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40" tabRatio="514"/>
  </bookViews>
  <sheets>
    <sheet name="考题" sheetId="3" r:id="rId1"/>
    <sheet name="数据源" sheetId="1" r:id="rId2"/>
    <sheet name="区域分布" sheetId="6" r:id="rId3"/>
    <sheet name="产品分类" sheetId="8" r:id="rId4"/>
  </sheets>
  <definedNames>
    <definedName name="_xlnm._FilterDatabase" localSheetId="1" hidden="1">数据源!$A$1:$R$8568</definedName>
    <definedName name="_xlnm._FilterDatabase" localSheetId="3" hidden="1">产品分类!$B$1:$E$3324</definedName>
  </definedNames>
  <calcPr calcId="144525"/>
</workbook>
</file>

<file path=xl/sharedStrings.xml><?xml version="1.0" encoding="utf-8"?>
<sst xmlns="http://schemas.openxmlformats.org/spreadsheetml/2006/main" count="76613" uniqueCount="2702">
  <si>
    <t>制表要求</t>
  </si>
  <si>
    <t>1）请保留使用的函数以及数透表，即不要数值化</t>
  </si>
  <si>
    <t>2）销售金额占比为整体销售金额的占比</t>
  </si>
  <si>
    <t>3）表格要求：标题加粗、标题栏填充淡蓝色、数据居中、金额用人民币标注、占比留小数点后留一位数并居中、表格边框为实线、内部为虚线</t>
  </si>
  <si>
    <t>4）各区域、产品分类销售金额要有各区域的小计以及各产品分类的合计</t>
  </si>
  <si>
    <t>题一：各区域订单额以及总金额占比</t>
  </si>
  <si>
    <t>题二：销售金额前十名产品的区域分布</t>
  </si>
  <si>
    <t>区域</t>
  </si>
  <si>
    <t>销售金额</t>
  </si>
  <si>
    <t>销售金额占比</t>
  </si>
  <si>
    <t>总销售额</t>
  </si>
  <si>
    <t>NO.</t>
  </si>
  <si>
    <t>产品名称</t>
  </si>
  <si>
    <t>东北</t>
  </si>
  <si>
    <t>华北</t>
  </si>
  <si>
    <t>华东</t>
  </si>
  <si>
    <t>华南</t>
  </si>
  <si>
    <t>西北</t>
  </si>
  <si>
    <t>西南</t>
  </si>
  <si>
    <t>合计销售金额</t>
  </si>
  <si>
    <t>总销售金额</t>
  </si>
  <si>
    <t>合计</t>
  </si>
  <si>
    <t>* 根据以上数据请制作饼图置于下部</t>
  </si>
  <si>
    <t>题三：各区域、各产品分类销售金额合计</t>
  </si>
  <si>
    <t>产品分类</t>
  </si>
  <si>
    <t>办公用品</t>
  </si>
  <si>
    <t>家具产品</t>
  </si>
  <si>
    <t>数码电子</t>
  </si>
  <si>
    <t>订单日期</t>
  </si>
  <si>
    <t>发货日期</t>
  </si>
  <si>
    <t>顾客姓名</t>
  </si>
  <si>
    <t>订单单号</t>
  </si>
  <si>
    <t>发货城市</t>
  </si>
  <si>
    <t>目的省份</t>
  </si>
  <si>
    <t>目的省份（拼音）</t>
  </si>
  <si>
    <t>目的城市</t>
  </si>
  <si>
    <t>目的城市（拼音）</t>
  </si>
  <si>
    <t>快递公司</t>
  </si>
  <si>
    <t>快递单号</t>
  </si>
  <si>
    <t>签收日期</t>
  </si>
  <si>
    <t>订单额</t>
  </si>
  <si>
    <t>订单数量</t>
  </si>
  <si>
    <t>产品单价</t>
  </si>
  <si>
    <t>运输成本</t>
  </si>
  <si>
    <t>利润额</t>
  </si>
  <si>
    <t>天数</t>
  </si>
  <si>
    <t>Muhammed MacIntyre</t>
  </si>
  <si>
    <t>广州</t>
  </si>
  <si>
    <t>河北省</t>
  </si>
  <si>
    <t>Hebei</t>
  </si>
  <si>
    <t>石家庄</t>
  </si>
  <si>
    <t>Shijiazhuang</t>
  </si>
  <si>
    <t>顺丰</t>
  </si>
  <si>
    <t>Eldon Base for stackable storage shelf, platinum</t>
  </si>
  <si>
    <t>Ruben Dartt</t>
  </si>
  <si>
    <t>河南省</t>
  </si>
  <si>
    <t>Henan</t>
  </si>
  <si>
    <t>郑州</t>
  </si>
  <si>
    <t>Zhengzhou</t>
  </si>
  <si>
    <t>Kleencut® Forged Office Shears by Acme United Corporation</t>
  </si>
  <si>
    <t>Liz Pelletier</t>
  </si>
  <si>
    <t>广东省</t>
  </si>
  <si>
    <t>Guandong</t>
  </si>
  <si>
    <t>汕头</t>
  </si>
  <si>
    <t>Shantou</t>
  </si>
  <si>
    <t>Tenex Contemporary Contur Chairmats for Low and Medium Pile Carpet, Computer, 39" x 49"</t>
  </si>
  <si>
    <t>内蒙古</t>
  </si>
  <si>
    <t>Nei Mongol</t>
  </si>
  <si>
    <t>呼和浩特</t>
  </si>
  <si>
    <t>Hohhot</t>
  </si>
  <si>
    <t>KI Conference Tables</t>
  </si>
  <si>
    <t>Bell Sonecor JB700 Caller ID</t>
  </si>
  <si>
    <t>辽宁省</t>
  </si>
  <si>
    <t>Liaoning</t>
  </si>
  <si>
    <t>沈阳</t>
  </si>
  <si>
    <t>Shenyang</t>
  </si>
  <si>
    <t>Imation 3.5 IBM Diskettes, 10/Box</t>
  </si>
  <si>
    <t>Julie Creighton</t>
  </si>
  <si>
    <t>吉林省</t>
  </si>
  <si>
    <t>Jilin</t>
  </si>
  <si>
    <t>长春</t>
  </si>
  <si>
    <t>Changchun</t>
  </si>
  <si>
    <t>Dixon Ticonderoga Core-Lock Colored Pencils</t>
  </si>
  <si>
    <t>湖北省</t>
  </si>
  <si>
    <t>Hubei</t>
  </si>
  <si>
    <t>武汉</t>
  </si>
  <si>
    <t>Wuhan</t>
  </si>
  <si>
    <t>CF 688</t>
  </si>
  <si>
    <t>Sample Company A</t>
  </si>
  <si>
    <t>6162i</t>
  </si>
  <si>
    <t>Tamara Dahlen</t>
  </si>
  <si>
    <t>广西省</t>
  </si>
  <si>
    <t>Guangxi</t>
  </si>
  <si>
    <t>南宁</t>
  </si>
  <si>
    <t>Nanning</t>
  </si>
  <si>
    <t>Verbatim DVD-R, 4.7GB, Spindle, WE, Blank, Ink Jet/Thermal, 20/Spindle</t>
  </si>
  <si>
    <t>Arthur Gainer</t>
  </si>
  <si>
    <t>北京市</t>
  </si>
  <si>
    <t>Beijing</t>
  </si>
  <si>
    <t xml:space="preserve">北京 </t>
  </si>
  <si>
    <t>Newell 340</t>
  </si>
  <si>
    <t>Jonathan Doherty</t>
  </si>
  <si>
    <t>甘肃省</t>
  </si>
  <si>
    <t>Gansu</t>
  </si>
  <si>
    <t>兰州</t>
  </si>
  <si>
    <t>Lanzhou</t>
  </si>
  <si>
    <t>Advantus Employee of the Month Certificate Frame, 11 x 13-1/2</t>
  </si>
  <si>
    <t>Newell 308</t>
  </si>
  <si>
    <t>Helen Wasserman</t>
  </si>
  <si>
    <t>Super Bands, 12/Pack</t>
  </si>
  <si>
    <t>3285</t>
  </si>
  <si>
    <t>Keith Dawkins</t>
  </si>
  <si>
    <t>SC7868i</t>
  </si>
  <si>
    <t>Craig Yedwab</t>
  </si>
  <si>
    <t>四川省</t>
  </si>
  <si>
    <t>Sichuan</t>
  </si>
  <si>
    <t>成都</t>
  </si>
  <si>
    <t>Chengdu</t>
  </si>
  <si>
    <t>Avery 498</t>
  </si>
  <si>
    <t>Pauline Chand</t>
  </si>
  <si>
    <t>Xerox 217</t>
  </si>
  <si>
    <t>Roy Collins</t>
  </si>
  <si>
    <t>海南省</t>
  </si>
  <si>
    <t>Hainan</t>
  </si>
  <si>
    <t>海口</t>
  </si>
  <si>
    <t>Haikou</t>
  </si>
  <si>
    <t>Canon MP41DH Printing Calculator</t>
  </si>
  <si>
    <t>福建省</t>
  </si>
  <si>
    <t>Fujian</t>
  </si>
  <si>
    <t>福州</t>
  </si>
  <si>
    <t>Fuzhou</t>
  </si>
  <si>
    <t>Computer Printout Paper with Letter-Trim Perforations</t>
  </si>
  <si>
    <t>天津市</t>
  </si>
  <si>
    <t>Tianjin</t>
  </si>
  <si>
    <t xml:space="preserve">天津 </t>
  </si>
  <si>
    <t>Filing/Storage Totes and Swivel Casters</t>
  </si>
  <si>
    <t>Emily Phan</t>
  </si>
  <si>
    <t>新疆</t>
  </si>
  <si>
    <t>Xinjiang Uygur</t>
  </si>
  <si>
    <t>乌鲁木齐</t>
  </si>
  <si>
    <t>Wulumuqi</t>
  </si>
  <si>
    <t>韵达</t>
  </si>
  <si>
    <t>O'Sullivan Elevations Bookcase, Cherry Finish</t>
  </si>
  <si>
    <t>Michael Dominguez</t>
  </si>
  <si>
    <t>Safco Industrial Wire Shelving</t>
  </si>
  <si>
    <t>Anne Pryor</t>
  </si>
  <si>
    <t>Imation 3.5", DISKETTE 44766 HGHLD3.52HD/FM, 10/Pack</t>
  </si>
  <si>
    <t>Valerie Takahito</t>
  </si>
  <si>
    <t>i270</t>
  </si>
  <si>
    <t>Justin Hirsh</t>
  </si>
  <si>
    <t>Eldon Simplefile® Box Office®</t>
  </si>
  <si>
    <t>Maria Zettner</t>
  </si>
  <si>
    <t>山西省</t>
  </si>
  <si>
    <t>Shanxi</t>
  </si>
  <si>
    <t>太原</t>
  </si>
  <si>
    <t>Taiyuan</t>
  </si>
  <si>
    <t>Master Caster Door Stop, Large Neon Orange</t>
  </si>
  <si>
    <t>Serrated Blade or Curved Handle Hand Letter Openers</t>
  </si>
  <si>
    <t>Brad Thomas</t>
  </si>
  <si>
    <t>Dixon Ticonderoga Core-Lock Colored Pencils, 48-Color Set</t>
  </si>
  <si>
    <t>Penelope Sewall</t>
  </si>
  <si>
    <t>Acme® 8" Straight Scissors</t>
  </si>
  <si>
    <t>Bart Folk</t>
  </si>
  <si>
    <t>Eldon® Expressions™ Wood Desk Accessories, Oak</t>
  </si>
  <si>
    <t>Xerox 193</t>
  </si>
  <si>
    <t>Decoflex Hanging Personal Folder File, Blue</t>
  </si>
  <si>
    <t>Karen Ferguson</t>
  </si>
  <si>
    <t>上海市</t>
  </si>
  <si>
    <t>Shanghai</t>
  </si>
  <si>
    <t>上海</t>
  </si>
  <si>
    <t>Newell 314</t>
  </si>
  <si>
    <t>浙江省</t>
  </si>
  <si>
    <t>Zhejiang</t>
  </si>
  <si>
    <t>杭州</t>
  </si>
  <si>
    <t>Hangzhou</t>
  </si>
  <si>
    <t>Prismacolor Color Pencil Set</t>
  </si>
  <si>
    <t>Peter Fuller</t>
  </si>
  <si>
    <t>安徽省</t>
  </si>
  <si>
    <t>Anhui</t>
  </si>
  <si>
    <t>合肥</t>
  </si>
  <si>
    <t>Hefei</t>
  </si>
  <si>
    <t>Nu-Dell Executive Frame</t>
  </si>
  <si>
    <t>Matt Abelman</t>
  </si>
  <si>
    <t>江西省</t>
  </si>
  <si>
    <t>Jiangxi</t>
  </si>
  <si>
    <t>南昌</t>
  </si>
  <si>
    <t>Nanchang</t>
  </si>
  <si>
    <t>GBC Standard Therm-A-Bind Covers</t>
  </si>
  <si>
    <t>Erin Creighton</t>
  </si>
  <si>
    <t>Boston 1645 Deluxe Heavier-Duty Electric Pencil Sharpener</t>
  </si>
  <si>
    <t>StarTAC ST7762</t>
  </si>
  <si>
    <t>Sean Braxton</t>
  </si>
  <si>
    <t>Hoover WindTunnel™ Plus Canister Vacuum</t>
  </si>
  <si>
    <t>Liz Willingham</t>
  </si>
  <si>
    <t>Xerox 1984</t>
  </si>
  <si>
    <t>Tennsco Lockers, Gray</t>
  </si>
  <si>
    <t>Wilson Jones® Four-Pocket Poly Binders</t>
  </si>
  <si>
    <t>Sonia Sunley</t>
  </si>
  <si>
    <t>7160</t>
  </si>
  <si>
    <t>Paul Lucas</t>
  </si>
  <si>
    <t>3M Organizer Strips</t>
  </si>
  <si>
    <t>Dorris Love</t>
  </si>
  <si>
    <t>Rediform Wirebound "Phone Memo" Message Book, 11 x 5-3/4</t>
  </si>
  <si>
    <t>#6 3/4 Gummed Flap White Envelopes</t>
  </si>
  <si>
    <t>Barry French</t>
  </si>
  <si>
    <t>1.7 Cubic Foot Compact "Cube" Office Refrigerators</t>
  </si>
  <si>
    <t>Cardinal Slant-D® Ring Binder, Heavy Gauge Vinyl</t>
  </si>
  <si>
    <t>Sanjit Chand</t>
  </si>
  <si>
    <t>陕西省</t>
  </si>
  <si>
    <t>Shaanxi</t>
  </si>
  <si>
    <t>西安</t>
  </si>
  <si>
    <t>Xian</t>
  </si>
  <si>
    <t>Fellowes Staxonsteel® Drawer Files</t>
  </si>
  <si>
    <t>Giulietta Weimer</t>
  </si>
  <si>
    <t>I888 World Phone</t>
  </si>
  <si>
    <t>Xerox 1997</t>
  </si>
  <si>
    <t>Dario Medina</t>
  </si>
  <si>
    <t>Staples Standard Envelopes</t>
  </si>
  <si>
    <t>Xerox 1964</t>
  </si>
  <si>
    <t>Frank Gastineau</t>
  </si>
  <si>
    <t>VTech VT20-2481 2.4GHz Two-Line Phone System w/Answering Machine</t>
  </si>
  <si>
    <t>282</t>
  </si>
  <si>
    <t>Michelle Tran</t>
  </si>
  <si>
    <t>DXL™ Angle-View Binders with Locking Rings, Black</t>
  </si>
  <si>
    <t>Advantus Push Pins, Aluminum Head</t>
  </si>
  <si>
    <t>Dean Percer</t>
  </si>
  <si>
    <t>Quartet Alpha® White Chalk, 12/Pack</t>
  </si>
  <si>
    <t>Henry MacAllister</t>
  </si>
  <si>
    <t>Accessory4</t>
  </si>
  <si>
    <t>Ricardo Block</t>
  </si>
  <si>
    <t>黑龙江</t>
  </si>
  <si>
    <t>Hei Longjiang</t>
  </si>
  <si>
    <t>哈尔滨</t>
  </si>
  <si>
    <t>Harbin</t>
  </si>
  <si>
    <t>O'Sullivan 2-Shelf Heavy-Duty Bookcases</t>
  </si>
  <si>
    <t>80 Minute CD-R Spindle, 100/Pack - Staples</t>
  </si>
  <si>
    <t>Cari Sayre</t>
  </si>
  <si>
    <t>Bevis 36 x 72 Conference Tables</t>
  </si>
  <si>
    <t>Sonia Cooley</t>
  </si>
  <si>
    <t>BPI Conference Tables</t>
  </si>
  <si>
    <t>Tracy Poddar</t>
  </si>
  <si>
    <t>Avery 501</t>
  </si>
  <si>
    <t>Avery Hi-Liter Pen Style Six-Color Fluorescent Set</t>
  </si>
  <si>
    <t>Jennifer Halladay</t>
  </si>
  <si>
    <t>Harmony HEPA Quiet Air Purifiers</t>
  </si>
  <si>
    <t>Stuart Calhoun</t>
  </si>
  <si>
    <t>5190</t>
  </si>
  <si>
    <t>Robert Barroso</t>
  </si>
  <si>
    <t>Hewlett-Packard cp1700 [D, PS] Series Color Inkjet Printers</t>
  </si>
  <si>
    <t>Hot File® 7-Pocket, Floor Stand</t>
  </si>
  <si>
    <t>Tony Sayre</t>
  </si>
  <si>
    <t>Xerox 190</t>
  </si>
  <si>
    <t>Xerox 1950</t>
  </si>
  <si>
    <t>湖南省</t>
  </si>
  <si>
    <t>Hunan</t>
  </si>
  <si>
    <t>长沙</t>
  </si>
  <si>
    <t>Changsha</t>
  </si>
  <si>
    <t>iDENi80s</t>
  </si>
  <si>
    <t>Candace McMahon</t>
  </si>
  <si>
    <t>Matt Collins</t>
  </si>
  <si>
    <t>Panasonic KP-350BK Electric Pencil Sharpener with Auto Stop</t>
  </si>
  <si>
    <t>Hanging Personal Folder File</t>
  </si>
  <si>
    <t>Darrin Martin</t>
  </si>
  <si>
    <t>Staples Bulk Pack Metal Binder Clips</t>
  </si>
  <si>
    <t>Art Foster</t>
  </si>
  <si>
    <t>636</t>
  </si>
  <si>
    <t>Clay Rozendal</t>
  </si>
  <si>
    <t>R380</t>
  </si>
  <si>
    <t>Valerie Dominguez</t>
  </si>
  <si>
    <t>Belkin 6 Outlet Metallic Surge Strip</t>
  </si>
  <si>
    <t>Sam Craven</t>
  </si>
  <si>
    <t>中通</t>
  </si>
  <si>
    <t>Lifetime Advantage™ Folding Chairs, 4/Carton</t>
  </si>
  <si>
    <t>Arthur Prichep</t>
  </si>
  <si>
    <t>Global Leather &amp; Oak Executive Chair, Burgundy</t>
  </si>
  <si>
    <t>Carlos Soltero</t>
  </si>
  <si>
    <t>Holmes HEPA Air Purifier</t>
  </si>
  <si>
    <t>西藏</t>
  </si>
  <si>
    <t>Tibet</t>
  </si>
  <si>
    <t>拉萨</t>
  </si>
  <si>
    <t>Lhasa</t>
  </si>
  <si>
    <t>G.E. Longer-Life Indoor Recessed Floodlight Bulbs</t>
  </si>
  <si>
    <t>Sung Chung</t>
  </si>
  <si>
    <t>Avery 481</t>
  </si>
  <si>
    <t>Xerox 1976</t>
  </si>
  <si>
    <t>V3682</t>
  </si>
  <si>
    <t>Ken Brennan</t>
  </si>
  <si>
    <t>Xerox 1922</t>
  </si>
  <si>
    <t>Joe Elijah</t>
  </si>
  <si>
    <t>Xerox 195</t>
  </si>
  <si>
    <t>Portfile® Personal File Boxes</t>
  </si>
  <si>
    <t>Sheri Gordon</t>
  </si>
  <si>
    <t>Xerox 1928</t>
  </si>
  <si>
    <t>6190</t>
  </si>
  <si>
    <t>Carl Jackson</t>
  </si>
  <si>
    <t>Angle-D Binders with Locking Rings, Label Holders</t>
  </si>
  <si>
    <t>SAFCO Mobile Desk Side File, Wire Frame</t>
  </si>
  <si>
    <t>Dave Hallsten</t>
  </si>
  <si>
    <t>Nu-Dell Leatherette Frames</t>
  </si>
  <si>
    <t>Balt Split Level Computer Training Table</t>
  </si>
  <si>
    <t>Tamara Chand</t>
  </si>
  <si>
    <t>O'Sullivan Living Dimensions 2-Shelf Bookcases</t>
  </si>
  <si>
    <t>Xerox 1939</t>
  </si>
  <si>
    <t>Monica Federle</t>
  </si>
  <si>
    <t>宁夏</t>
  </si>
  <si>
    <t>Ningxia</t>
  </si>
  <si>
    <t>银川</t>
  </si>
  <si>
    <t>Yinchuan</t>
  </si>
  <si>
    <t>SAFCO Commercial Wire Shelving, Black</t>
  </si>
  <si>
    <t>Bill Eplett</t>
  </si>
  <si>
    <t>Hon 4070 Series Pagoda™ Round Back Stacking Chairs</t>
  </si>
  <si>
    <t>Harold Engle</t>
  </si>
  <si>
    <t>GBC Binding covers</t>
  </si>
  <si>
    <t>Duane Huffman</t>
  </si>
  <si>
    <t>Acme® Forged Steel Scissors with Black Enamel Handles</t>
  </si>
  <si>
    <t>Dorothy Badders</t>
  </si>
  <si>
    <t>Xerox 198</t>
  </si>
  <si>
    <t>Sarah Jordon</t>
  </si>
  <si>
    <t>Newell 326</t>
  </si>
  <si>
    <t>Susan MacKendrick</t>
  </si>
  <si>
    <t>Avery Poly Binder Pockets</t>
  </si>
  <si>
    <t>Deflect-o EconoMat Studded, No Bevel Mat for Low Pile Carpeting</t>
  </si>
  <si>
    <t>Panasonic KX-P1150 Dot Matrix Printer</t>
  </si>
  <si>
    <t>Caroline Jumper</t>
  </si>
  <si>
    <t>Belkin 8 Outlet SurgeMaster II Gold Surge Protector with Phone Protection</t>
  </si>
  <si>
    <t>Xerox 23</t>
  </si>
  <si>
    <t>Thomas Boland</t>
  </si>
  <si>
    <t>Avery White Multi-Purpose Labels</t>
  </si>
  <si>
    <t>Roy French</t>
  </si>
  <si>
    <t>Hewlett-Packard Deskjet 5550 Color Inkjet Printer</t>
  </si>
  <si>
    <t>Darrin Van Huff</t>
  </si>
  <si>
    <t>Xerox 1949</t>
  </si>
  <si>
    <t>Pamela Stobb</t>
  </si>
  <si>
    <t>Bionaire 99.97% HEPA Air Cleaner</t>
  </si>
  <si>
    <t>Helen Abelman</t>
  </si>
  <si>
    <t>Talkabout T8367</t>
  </si>
  <si>
    <t>Sibella Parks</t>
  </si>
  <si>
    <t>Hoover Portapower™ Portable Vacuum</t>
  </si>
  <si>
    <t>Peter McVee</t>
  </si>
  <si>
    <t>Bagged Rubber Bands</t>
  </si>
  <si>
    <t>Dixon Prang® Watercolor Pencils, 10-Color Set with Brush</t>
  </si>
  <si>
    <t>Thais Sissman</t>
  </si>
  <si>
    <t>江苏省</t>
  </si>
  <si>
    <t>Jiangsu</t>
  </si>
  <si>
    <t>南京</t>
  </si>
  <si>
    <t>Nanjing</t>
  </si>
  <si>
    <t>Rogers Handheld Barrel Pencil Sharpener</t>
  </si>
  <si>
    <t>Kean Nguyen</t>
  </si>
  <si>
    <t>Fellowes Binding Cases</t>
  </si>
  <si>
    <t>AT&amp;T Black Trimline Phone, Model 210</t>
  </si>
  <si>
    <t>Toby Swindell</t>
  </si>
  <si>
    <t>DAX Value U-Channel Document Frames, Easel Back</t>
  </si>
  <si>
    <t>Neola Schneider</t>
  </si>
  <si>
    <t>Xerox 1980</t>
  </si>
  <si>
    <t>Advantus Map Pennant Flags and Round Head Tacks</t>
  </si>
  <si>
    <t>Alice McCarthy</t>
  </si>
  <si>
    <t>Olvera Toch</t>
  </si>
  <si>
    <t>GBC ProClick Spines for 32-Hole Punch</t>
  </si>
  <si>
    <t>Eugene Moren</t>
  </si>
  <si>
    <t>Sean O'Donnell</t>
  </si>
  <si>
    <t>Avery Hi-Liter® Smear-Safe Highlighters</t>
  </si>
  <si>
    <t>Carlos Daly</t>
  </si>
  <si>
    <t>宜宾</t>
  </si>
  <si>
    <t>Yibin</t>
  </si>
  <si>
    <t>DS/HD IBM Formatted Diskettes, 200/Pack - Staples</t>
  </si>
  <si>
    <t>Tripp Lite Isotel 8 Ultra 8 Outlet Metal Surge</t>
  </si>
  <si>
    <t>David Kendrick</t>
  </si>
  <si>
    <t>申通</t>
  </si>
  <si>
    <t>Eldon Expressions Mahogany Wood Desk Collection</t>
  </si>
  <si>
    <t>Edward Nazzal</t>
  </si>
  <si>
    <t>Sanjit Jacobs</t>
  </si>
  <si>
    <t>Logitech Access Keyboard</t>
  </si>
  <si>
    <t>Hon 94000 Series Round Tables</t>
  </si>
  <si>
    <t>Karen Carlisle</t>
  </si>
  <si>
    <t>Avery Trapezoid Ring Binder, 3" Capacity, Black, 1040 sheets</t>
  </si>
  <si>
    <t>Meg O'Connel</t>
  </si>
  <si>
    <t>Kensington 7 Outlet MasterPiece Power Center with Fax/Phone Line Protection</t>
  </si>
  <si>
    <t>Anthony O'Donnell</t>
  </si>
  <si>
    <t>Belkin 8 Outlet SurgeMaster II Gold Surge Protector</t>
  </si>
  <si>
    <t>DAX Clear Channel Poster Frame</t>
  </si>
  <si>
    <t>Luke Foster</t>
  </si>
  <si>
    <t>Micro Innovations 104 Keyboard</t>
  </si>
  <si>
    <t>Phillina Ober</t>
  </si>
  <si>
    <t>Adams Phone Message Book, 200 Message Capacity, 8 1/16” x 11”</t>
  </si>
  <si>
    <t>Claudia Miner</t>
  </si>
  <si>
    <t>Wilson Jones 1" Hanging DublLock® Ring Binders</t>
  </si>
  <si>
    <t>Jim Kriz</t>
  </si>
  <si>
    <t>DAX Wood Document Frame.</t>
  </si>
  <si>
    <t>Mike Vittorini</t>
  </si>
  <si>
    <t>GBC Therma-A-Bind 250T Electric Binding System</t>
  </si>
  <si>
    <t>Holmes Replacement Filter for HEPA Air Cleaner, Very Large Room, HEPA Filter</t>
  </si>
  <si>
    <t>Stefania Perrino</t>
  </si>
  <si>
    <t>Avery Hanging File Binders</t>
  </si>
  <si>
    <t>Peel-Off® China Markers</t>
  </si>
  <si>
    <t>Jas O'Carroll</t>
  </si>
  <si>
    <t>Global Adaptabilities™ Conference Tables</t>
  </si>
  <si>
    <t>Maureen Gastineau</t>
  </si>
  <si>
    <t>Sharp EL500L Fraction Calculator</t>
  </si>
  <si>
    <t>Panasonic KP-150 Electric Pencil Sharpener</t>
  </si>
  <si>
    <t>Hon Rectangular Conference Tables</t>
  </si>
  <si>
    <t>Kelly Lampkin</t>
  </si>
  <si>
    <t>OIC Colored Binder Clips, Assorted Sizes</t>
  </si>
  <si>
    <t>Ultra Commercial Grade Dual Valve Door Closer</t>
  </si>
  <si>
    <t>Allen Rosenblatt</t>
  </si>
  <si>
    <t>#10-4 1/8" x 9 1/2" Premium Diagonal Seam Envelopes</t>
  </si>
  <si>
    <t>Max Jones</t>
  </si>
  <si>
    <t>Fellowes Stor/Drawer® Steel Plus™ Storage Drawers</t>
  </si>
  <si>
    <t>Hallie Redmond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</si>
  <si>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</si>
  <si>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</si>
  <si>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</si>
  <si>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</si>
  <si>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</si>
  <si>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</si>
  <si>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T28 WORLD</t>
  </si>
  <si>
    <t>Wilson Jones 14 Line Acrylic Coated Pressboard Data Binders</t>
  </si>
  <si>
    <t>Wilson Jones Ledger-Size, Piano-Hinge Binder, 2", Blue</t>
  </si>
  <si>
    <t>Harold Dahlen</t>
  </si>
  <si>
    <t>Vinyl Sectional Post Binders</t>
  </si>
  <si>
    <t>Muhammed Yedwab</t>
  </si>
  <si>
    <t>Microsoft Internet Keyboard</t>
  </si>
  <si>
    <t>Ed Braxton</t>
  </si>
  <si>
    <t>Rubbermaid ClusterMat Chairmats, Mat Size- 66" x 60", Lip 20" x 11" -90 Degree Angle</t>
  </si>
  <si>
    <t>Thea Hendricks</t>
  </si>
  <si>
    <t>Hon 4-Shelf Metal Bookcases</t>
  </si>
  <si>
    <t>Sylvia Foulston</t>
  </si>
  <si>
    <t>Lesro Sheffield Collection Coffee Table, End Table, Center Table, Corner Table</t>
  </si>
  <si>
    <t>Avery 493</t>
  </si>
  <si>
    <t>Ionia McGrath</t>
  </si>
  <si>
    <t>Xerox 194</t>
  </si>
  <si>
    <t>Guy Armstrong</t>
  </si>
  <si>
    <t>Aaron Smayling</t>
  </si>
  <si>
    <t>Grip Seal Envelopes</t>
  </si>
  <si>
    <t>Karl Brown</t>
  </si>
  <si>
    <t>重庆市</t>
  </si>
  <si>
    <t xml:space="preserve">Chongqing </t>
  </si>
  <si>
    <t>重庆</t>
  </si>
  <si>
    <t>Zhongqing</t>
  </si>
  <si>
    <t>Barricks 18" x 48" Non-Folding Utility Table with Bottom Storage Shelf</t>
  </si>
  <si>
    <t>Sung Shariari</t>
  </si>
  <si>
    <t>Craig Carroll</t>
  </si>
  <si>
    <t>Holmes Odor Grabber</t>
  </si>
  <si>
    <t>Lela Donovan</t>
  </si>
  <si>
    <t>Avery Printable Repositionable Plastic Tabs</t>
  </si>
  <si>
    <t>GBC DocuBind TL300 Electric Binding System</t>
  </si>
  <si>
    <t>Storex DuraTech Recycled Plastic Frosted Binders</t>
  </si>
  <si>
    <t>Nicole Brennan</t>
  </si>
  <si>
    <t>Xerox 1981</t>
  </si>
  <si>
    <t>Tanja Norvell</t>
  </si>
  <si>
    <t>Fellowes Bankers Box™ Stor/Drawer® Steel Plus™</t>
  </si>
  <si>
    <t>Emily Grady</t>
  </si>
  <si>
    <t>Memorex 4.7GB DVD-RAM, 3/Pack</t>
  </si>
  <si>
    <t>Prang Drawing Pencil Set</t>
  </si>
  <si>
    <t>Don Weiss</t>
  </si>
  <si>
    <t>潮州</t>
  </si>
  <si>
    <t>Chaozhou</t>
  </si>
  <si>
    <t>BoxOffice By Design Rectangular and Half-Moon Meeting Room Tables</t>
  </si>
  <si>
    <t>Lena Creighton</t>
  </si>
  <si>
    <t>Wilson Jones Impact Binders</t>
  </si>
  <si>
    <t>Accessory20</t>
  </si>
  <si>
    <t>Mitch Willingham</t>
  </si>
  <si>
    <t>Eldon Antistatic Chair Mats for Low to Medium Pile Carpets</t>
  </si>
  <si>
    <t>Sally Matthias</t>
  </si>
  <si>
    <t>Xerox 1973</t>
  </si>
  <si>
    <t>Justin Knight</t>
  </si>
  <si>
    <t>Wirebound Message Books, Four 2 3/4" x 5" Forms per Page, 600 Sets per Book</t>
  </si>
  <si>
    <t>Janet Lee</t>
  </si>
  <si>
    <t>Jim Radford</t>
  </si>
  <si>
    <t>g520</t>
  </si>
  <si>
    <t>LX 788</t>
  </si>
  <si>
    <t>Ritsa Hightower</t>
  </si>
  <si>
    <t>Bush Westfield Collection Bookcases, Fully Assembled</t>
  </si>
  <si>
    <t>Theone Pippenger</t>
  </si>
  <si>
    <t>贵州省</t>
  </si>
  <si>
    <t>Guizhou</t>
  </si>
  <si>
    <t>贵阳</t>
  </si>
  <si>
    <t>Guiyang</t>
  </si>
  <si>
    <t>Corey Catlett</t>
  </si>
  <si>
    <t>Accessory37</t>
  </si>
  <si>
    <t>Ibico Presentation Index for Binding Systems</t>
  </si>
  <si>
    <t>Bush Cubix Collection Bookcases, Fully Assembled</t>
  </si>
  <si>
    <t>Frank Merwin</t>
  </si>
  <si>
    <t>Deluxe Rollaway Locking File with Drawer</t>
  </si>
  <si>
    <t>Ed Jacobs</t>
  </si>
  <si>
    <t>Rush Hierlooms Collection Rich Wood Bookcases</t>
  </si>
  <si>
    <t>5165</t>
  </si>
  <si>
    <t>Avery 52</t>
  </si>
  <si>
    <t>Plymouth Boxed Rubber Bands by Plymouth</t>
  </si>
  <si>
    <t>Carol Darley</t>
  </si>
  <si>
    <t>Balt Solid Wood Rectangular Table</t>
  </si>
  <si>
    <t>Stefanie Holloman</t>
  </si>
  <si>
    <t>Executive Impressions 12" Wall Clock</t>
  </si>
  <si>
    <t>Noel Staavos</t>
  </si>
  <si>
    <t>Canon PC1060 Personal Laser Copier</t>
  </si>
  <si>
    <t>Okidata ML395C Color Dot Matrix Printer</t>
  </si>
  <si>
    <t>Advantus Rolling Storage Box</t>
  </si>
  <si>
    <t>Xerox 1979</t>
  </si>
  <si>
    <t>Shahid Shariari</t>
  </si>
  <si>
    <t>GBC DocuBind 200 Manual Binding Machine</t>
  </si>
  <si>
    <t>Staples SlimLine Pencil Sharpener</t>
  </si>
  <si>
    <t>Barry Gonzalez</t>
  </si>
  <si>
    <t>SC-3160</t>
  </si>
  <si>
    <t>Maribeth Schnelling</t>
  </si>
  <si>
    <t>TDK 4.7GB DVD-R</t>
  </si>
  <si>
    <t>Harold Ryan</t>
  </si>
  <si>
    <t>Adesso Programmable 142-Key Keyboard</t>
  </si>
  <si>
    <t>Grant Thornton</t>
  </si>
  <si>
    <t>Peel &amp; Stick Add-On Corner Pockets</t>
  </si>
  <si>
    <t>Ted Trevino</t>
  </si>
  <si>
    <t>T60</t>
  </si>
  <si>
    <t>Carl Ludwig</t>
  </si>
  <si>
    <t>GBC Pre-Punched Binding Paper, Plastic, White, 8-1/2" x 11"</t>
  </si>
  <si>
    <t>Maxell 3.5" DS/HD IBM-Formatted Diskettes, 10/Pack</t>
  </si>
  <si>
    <t>Don Miller</t>
  </si>
  <si>
    <t>Newell 335</t>
  </si>
  <si>
    <t>Linda Southworth</t>
  </si>
  <si>
    <t>Belkin Premiere Surge Master II 8-outlet surge protector</t>
  </si>
  <si>
    <t>Steel Personal Filing/Posting Tote</t>
  </si>
  <si>
    <t>Lena Radford</t>
  </si>
  <si>
    <t>Global Push Button Manager's Chair, Indigo</t>
  </si>
  <si>
    <t>Dave Poirier</t>
  </si>
  <si>
    <t>Rediform S.O.S. Phone Message Books</t>
  </si>
  <si>
    <t>8860</t>
  </si>
  <si>
    <t>Liz MacKendrick</t>
  </si>
  <si>
    <t>Eldon Expressions™ Desk Accessory, Wood Pencil Holder, Oak</t>
  </si>
  <si>
    <t>Rick Wilson</t>
  </si>
  <si>
    <t>Aleksandra Gannaway</t>
  </si>
  <si>
    <t>山东省</t>
  </si>
  <si>
    <t>Shandong</t>
  </si>
  <si>
    <t>菏泽</t>
  </si>
  <si>
    <t>Heze</t>
  </si>
  <si>
    <t>Belkin OmniView SE Rackmount Kit</t>
  </si>
  <si>
    <t>US Robotics 56K V.92 External Faxmodem</t>
  </si>
  <si>
    <t>Boston School Pro Electric Pencil Sharpener, 1670</t>
  </si>
  <si>
    <t>Sean Christensen</t>
  </si>
  <si>
    <t>Strathmore Photo Mount Cards</t>
  </si>
  <si>
    <t>John Lucas</t>
  </si>
  <si>
    <t>Accessory35</t>
  </si>
  <si>
    <t>Nona Balk</t>
  </si>
  <si>
    <t>GBC ProClick™ 150 Presentation Binding System</t>
  </si>
  <si>
    <t>Ed Ludwig</t>
  </si>
  <si>
    <t>Imation Printable White 80 Minute CD-R Spindle, 50/Pack</t>
  </si>
  <si>
    <t>Dana Halogen Swing-Arm Architect Lamp</t>
  </si>
  <si>
    <t>Annie Cyprus</t>
  </si>
  <si>
    <t>SANFORD Liquid Accent™ Tank-Style Highlighters</t>
  </si>
  <si>
    <t>Canon PC940 Copier</t>
  </si>
  <si>
    <t>Lisa Hazard</t>
  </si>
  <si>
    <t>Wausau Papers Astrobrights® Colored Envelopes</t>
  </si>
  <si>
    <t>Southworth 25% Cotton Antique Laid Paper &amp; Envelopes</t>
  </si>
  <si>
    <t>Roger Barcio</t>
  </si>
  <si>
    <t>Tenex Personal Project File with Scoop Front Design, Black</t>
  </si>
  <si>
    <t>Joni Blumstein</t>
  </si>
  <si>
    <t>GBC Standard Plastic Binding Systems' Combs</t>
  </si>
  <si>
    <t>Deanra Eno</t>
  </si>
  <si>
    <t>ACCOHIDE® 3-Ring Binder, Blue, 1"</t>
  </si>
  <si>
    <t>Trudy Schmidt</t>
  </si>
  <si>
    <t>Hon Comfortask® Task/Swivel Chairs</t>
  </si>
  <si>
    <t>Xerox 204</t>
  </si>
  <si>
    <t>Becky Pak</t>
  </si>
  <si>
    <t>SAFCO Arco Folding Chair</t>
  </si>
  <si>
    <t>Eldon® 200 Class™ Desk Accessories, Burgundy</t>
  </si>
  <si>
    <t>Newell 310</t>
  </si>
  <si>
    <t>Susan Vittorini</t>
  </si>
  <si>
    <t>Hammermill CopyPlus Copy Paper (20Lb. and 84 Bright)</t>
  </si>
  <si>
    <t>Tom Stivers</t>
  </si>
  <si>
    <t>Wilson Jones Suede Grain Vinyl Binders</t>
  </si>
  <si>
    <t>Sauder Facets Collection Locker/File Cabinet, Sky Alder Finish</t>
  </si>
  <si>
    <t>Alex Avila</t>
  </si>
  <si>
    <t>Euro Pro Shark Stick Mini Vacuum</t>
  </si>
  <si>
    <t>M3682</t>
  </si>
  <si>
    <t>StarTAC 6500</t>
  </si>
  <si>
    <t>Roy Phan</t>
  </si>
  <si>
    <t>DIXON Ticonderoga® Erasable Checking Pencils</t>
  </si>
  <si>
    <t>Sung Pak</t>
  </si>
  <si>
    <t>Bevis Steel Folding Chairs</t>
  </si>
  <si>
    <t>Kean Thornton</t>
  </si>
  <si>
    <t>Hon iLevel™ Computer Training Table</t>
  </si>
  <si>
    <t>Newell® 3-Hole Punched Plastic Slotted Magazine Holders for Binders</t>
  </si>
  <si>
    <t>Jeremy Ellison</t>
  </si>
  <si>
    <t>Joe Kamberova</t>
  </si>
  <si>
    <t>Xerox 207</t>
  </si>
  <si>
    <t>Xerox 216</t>
  </si>
  <si>
    <t>Benjamin Venier</t>
  </si>
  <si>
    <t>Sanyo Counter Height Refrigerator with Crisper, 3.6 Cubic Foot, Stainless Steel/Black</t>
  </si>
  <si>
    <t>Brian Moss</t>
  </si>
  <si>
    <t>Memorex 80 Minute CD-R, 30/Pack</t>
  </si>
  <si>
    <t>Alejandro Grove</t>
  </si>
  <si>
    <t>Sam Zeldin</t>
  </si>
  <si>
    <t>Heavy-Duty E-Z-D® Binders</t>
  </si>
  <si>
    <t>Katherine Murray</t>
  </si>
  <si>
    <t>Epson LQ-870 Dot Matrix Printer</t>
  </si>
  <si>
    <t>Xerox 1978</t>
  </si>
  <si>
    <t>Paul Knutson</t>
  </si>
  <si>
    <t>Barry Franz</t>
  </si>
  <si>
    <t>3M Polarizing Task Lamp with Clamp Arm, Light Gray</t>
  </si>
  <si>
    <t>Okidata ML320 Series Turbo Dot Matrix Printers</t>
  </si>
  <si>
    <t>Sandra Glassco</t>
  </si>
  <si>
    <t>Imation 3.5, DISKETTE 44766 HGHLD3.52HD/FM, 10/Pack</t>
  </si>
  <si>
    <t>Alan Hwang</t>
  </si>
  <si>
    <t>Hoover Replacement Belts For Soft Guard™ &amp; Commercial Ltweight Upright Vacs, 2/Pk</t>
  </si>
  <si>
    <t>Keytronic 105-Key Spanish Keyboard</t>
  </si>
  <si>
    <t>Ürümqi</t>
  </si>
  <si>
    <t>Xerox 1952</t>
  </si>
  <si>
    <t>青海省</t>
  </si>
  <si>
    <t>Qinghai</t>
  </si>
  <si>
    <t>西宁</t>
  </si>
  <si>
    <t>Xining</t>
  </si>
  <si>
    <t>3.6 Cubic Foot Counter Height Office Refrigerator</t>
  </si>
  <si>
    <t>Tripp Lite Isotel 6 Outlet Surge Protector with Fax/Modem Protection</t>
  </si>
  <si>
    <t>James Galang</t>
  </si>
  <si>
    <t>Avery 482</t>
  </si>
  <si>
    <t>Rob Lucas</t>
  </si>
  <si>
    <t>ACCOHIDE® Binder by Acco</t>
  </si>
  <si>
    <t>Ken Lonsdale</t>
  </si>
  <si>
    <t>Global Troy™ Executive Leather Low-Back Tilter</t>
  </si>
  <si>
    <t>Katrina Willman</t>
  </si>
  <si>
    <t>Seth Thomas 12" Clock w/ Goldtone Case</t>
  </si>
  <si>
    <t>Nora Paige</t>
  </si>
  <si>
    <t>#10- 4 1/8" x 9 1/2" Recycled Envelopes</t>
  </si>
  <si>
    <t>Andy Reiter</t>
  </si>
  <si>
    <t>Xerox 1893</t>
  </si>
  <si>
    <t>Xerox 1908</t>
  </si>
  <si>
    <t>SAFCO Folding Chair Trolley</t>
  </si>
  <si>
    <t>Todd Boyes</t>
  </si>
  <si>
    <t>Avery 479</t>
  </si>
  <si>
    <t>Belkin 8 Outlet Surge Protector</t>
  </si>
  <si>
    <t>Lori Olson</t>
  </si>
  <si>
    <t>Eldon Expressions Punched Metal &amp; Wood Desk Accessories, Black &amp; Cherry</t>
  </si>
  <si>
    <t>Charles Sheldon</t>
  </si>
  <si>
    <t>Bevis Round Conference Table Top, X-Base</t>
  </si>
  <si>
    <t>Avery 494</t>
  </si>
  <si>
    <t>OIC Bulk Pack Metal Binder Clips</t>
  </si>
  <si>
    <t>Jack O'Briant</t>
  </si>
  <si>
    <t>Ibico Covers for Plastic or Wire Binding Elements</t>
  </si>
  <si>
    <t>Hewlett Packard LaserJet 3310 Copier</t>
  </si>
  <si>
    <t>Pete Armstrong</t>
  </si>
  <si>
    <t>Wirebound Voice Message Log Book</t>
  </si>
  <si>
    <t>Newell 336</t>
  </si>
  <si>
    <t>270c</t>
  </si>
  <si>
    <t>Vivian Mathis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</si>
  <si>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</si>
  <si>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</si>
  <si>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</si>
  <si>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</si>
  <si>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</si>
  <si>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</si>
  <si>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</si>
  <si>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</si>
  <si>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Durable Pressboard Binders</t>
  </si>
  <si>
    <t>Clay Cheatham</t>
  </si>
  <si>
    <t>Okidata Pacemark 4410N Wide Format Dot Matrix Printer</t>
  </si>
  <si>
    <t>Grant Donatelli</t>
  </si>
  <si>
    <t>Bush Advantage Collection® Round Conference Table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</si>
  <si>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</si>
  <si>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</si>
  <si>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</si>
  <si>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</si>
  <si>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</si>
  <si>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Office Star - Task Chair with Contemporary Loop Arms</t>
  </si>
  <si>
    <t>Acco Perma® 3000 Stacking Storage Drawers</t>
  </si>
  <si>
    <t>Maribeth Dona</t>
  </si>
  <si>
    <t>Bush Westfield Collection Bookcases, Dark Cherry Finish, Fully Assembled</t>
  </si>
  <si>
    <t>Xerox 1923</t>
  </si>
  <si>
    <t>Iceberg Mobile Mega Data/Printer Cart ®</t>
  </si>
  <si>
    <t>Liz Thompson</t>
  </si>
  <si>
    <t>Acco Four Pocket Poly Ring Binder with Label Holder, Smoke, 1"</t>
  </si>
  <si>
    <t>Carol Adams</t>
  </si>
  <si>
    <t>Eric Barreto</t>
  </si>
  <si>
    <t>圆通</t>
  </si>
  <si>
    <t>Fred Harton</t>
  </si>
  <si>
    <t>Eldon Executive Woodline II Cherry Finish Desk Accessories</t>
  </si>
  <si>
    <t>Jennifer Braxton</t>
  </si>
  <si>
    <t>Fellowes Strictly Business® Drawer File, Letter/Legal Size</t>
  </si>
  <si>
    <t>Sara Luxemburg</t>
  </si>
  <si>
    <t>Xerox 1899</t>
  </si>
  <si>
    <t>Sally Hughsby</t>
  </si>
  <si>
    <t>Holmes Replacement Filter for HEPA Air Cleaner, Large Room</t>
  </si>
  <si>
    <t>TOPS Money Receipt Book, Consecutively Numbered in Red,</t>
  </si>
  <si>
    <t>Vivek Gonzalez</t>
  </si>
  <si>
    <t>Avery Round Ring Poly Binders</t>
  </si>
  <si>
    <t>Lexmark 4227 Plus Dot Matrix Printer</t>
  </si>
  <si>
    <t>Adam Hart</t>
  </si>
  <si>
    <t>Xerox 1929</t>
  </si>
  <si>
    <t>Andrew Allen</t>
  </si>
  <si>
    <t>GBC White Gloss Covers, Plain Front</t>
  </si>
  <si>
    <t>Accessory31</t>
  </si>
  <si>
    <t>Quincy Jones</t>
  </si>
  <si>
    <t>Michael Moore</t>
  </si>
  <si>
    <t>i470</t>
  </si>
  <si>
    <t>Bobby Elias</t>
  </si>
  <si>
    <t>Cardinal Poly Pocket Divider Pockets for Ring Binders</t>
  </si>
  <si>
    <t>Avery 506</t>
  </si>
  <si>
    <t>1726 Digital Answering Machine</t>
  </si>
  <si>
    <t>Alan Barnes</t>
  </si>
  <si>
    <t>Self-Adhesive Address Labels for Typewriters by Universal</t>
  </si>
  <si>
    <t>Roland Fjeld</t>
  </si>
  <si>
    <t>TDK 4.7GB DVD+RW</t>
  </si>
  <si>
    <t>Cindy Chapman</t>
  </si>
  <si>
    <t>Fuji Slim Jewel Case CD-R</t>
  </si>
  <si>
    <t>Staples 1 Part Blank Computer Paper</t>
  </si>
  <si>
    <t>Xerox 1891</t>
  </si>
  <si>
    <t>Brenda Bowman</t>
  </si>
  <si>
    <t>Newell 315</t>
  </si>
  <si>
    <t>John Dryer</t>
  </si>
  <si>
    <t>Hon Deluxe Fabric Upholstered Stacking Chairs, Rounded Back</t>
  </si>
  <si>
    <t>Art Miller</t>
  </si>
  <si>
    <t>Riverside Palais Royal Lawyers Bookcase, Royale Cherry Finish</t>
  </si>
  <si>
    <t>Advantus Panel Wall Acrylic Frame</t>
  </si>
  <si>
    <t>Christine Kargatis</t>
  </si>
  <si>
    <t>Avery 504</t>
  </si>
  <si>
    <t>Eileen Kiefer</t>
  </si>
  <si>
    <t>*Staples* Letter Opener</t>
  </si>
  <si>
    <t>Patrick Ryan</t>
  </si>
  <si>
    <t>While You Were Out Pads, 50 per Pad, 4 x 5 1/4, Green Cycle</t>
  </si>
  <si>
    <t>Jack Garza</t>
  </si>
  <si>
    <t>Fuji 5.2GB DVD-RAM</t>
  </si>
  <si>
    <t>Nathan Cano</t>
  </si>
  <si>
    <t>Hon Non-Folding Utility Tables</t>
  </si>
  <si>
    <t>Accessory13</t>
  </si>
  <si>
    <t>Troy Blackwell</t>
  </si>
  <si>
    <t>Sanyo 2.5 Cubic Foot Mid-Size Office Refrigerators</t>
  </si>
  <si>
    <t>Bill Shonely</t>
  </si>
  <si>
    <t>Xerox 1905</t>
  </si>
  <si>
    <t>Accessory8</t>
  </si>
  <si>
    <t>T39m</t>
  </si>
  <si>
    <t>Atlantic Metals Mobile 3-Shelf Bookcases, Custom Colors</t>
  </si>
  <si>
    <t>Christopher Martinez</t>
  </si>
  <si>
    <t>StarTAC 7760</t>
  </si>
  <si>
    <t>Jay Fine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</si>
  <si>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</si>
  <si>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</si>
  <si>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</si>
  <si>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</si>
  <si>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</si>
  <si>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Philip Brown</t>
  </si>
  <si>
    <t>Kensington 6 Outlet MasterPiece® HOMEOFFICE Power Control Center</t>
  </si>
  <si>
    <t>Xerox 1938</t>
  </si>
  <si>
    <t>Jane Waco</t>
  </si>
  <si>
    <t>Xerox 1904</t>
  </si>
  <si>
    <t>Denny Ordway</t>
  </si>
  <si>
    <t>Fellowes Smart Design 104-Key Enhanced Keyboard, PS/2 Adapter, Platinum</t>
  </si>
  <si>
    <t>Avery 48</t>
  </si>
  <si>
    <t>Julia West</t>
  </si>
  <si>
    <t>Lycoris Saunders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</si>
  <si>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</si>
  <si>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</si>
  <si>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</si>
  <si>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</si>
  <si>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</si>
  <si>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Avery Binder Labels</t>
  </si>
  <si>
    <t>Hon Every-Day® Chair Series Swivel Task Chairs</t>
  </si>
  <si>
    <t>IBM Multi-Purpose Copy Paper, 8 1/2 x 11", Case</t>
  </si>
  <si>
    <t>Ross Baird</t>
  </si>
  <si>
    <t>Panasonic KP-310 Heavy-Duty Electric Pencil Sharpener</t>
  </si>
  <si>
    <t>Luke Schmidt</t>
  </si>
  <si>
    <t>Gyration Ultra Professional Cordless Optical Suite</t>
  </si>
  <si>
    <t>Artistic Insta-Plaque</t>
  </si>
  <si>
    <t>GE 4 Foot Flourescent Tube, 40 Watt</t>
  </si>
  <si>
    <t>Xerox 1892</t>
  </si>
  <si>
    <t>Robert Waldorf</t>
  </si>
  <si>
    <t>Tennsco Double-Tier Lockers</t>
  </si>
  <si>
    <t>Eldon Advantage® Chair Mats for Low to Medium Pile Carpets</t>
  </si>
  <si>
    <t>Bill Tyler</t>
  </si>
  <si>
    <t>Yoseph Carroll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</si>
  <si>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</si>
  <si>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</si>
  <si>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</si>
  <si>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</si>
  <si>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</si>
  <si>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</si>
  <si>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</si>
  <si>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</si>
  <si>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</si>
  <si>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</si>
  <si>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柳州</t>
  </si>
  <si>
    <t>Liuzhou</t>
  </si>
  <si>
    <t>Alan Schoenberger</t>
  </si>
  <si>
    <t>iDEN i550</t>
  </si>
  <si>
    <t>Multimedia Mailers</t>
  </si>
  <si>
    <t>2160i</t>
  </si>
  <si>
    <t>Charles Crestani</t>
  </si>
  <si>
    <t>Maxwell Schwartz</t>
  </si>
  <si>
    <t>Ibico Hi-Tech Manual Binding System</t>
  </si>
  <si>
    <t>Tracy Zic</t>
  </si>
  <si>
    <t>Xerox 21</t>
  </si>
  <si>
    <t>Christy Brittain</t>
  </si>
  <si>
    <t>Jasper Cacioppo</t>
  </si>
  <si>
    <t>Avery Reinforcements for Hole-Punch Pages</t>
  </si>
  <si>
    <t>宁波</t>
  </si>
  <si>
    <t>Ningbo</t>
  </si>
  <si>
    <t>Polycom ViewStation™ ISDN Videoconferencing Unit</t>
  </si>
  <si>
    <t>Hon 4070 Series Pagoda™ Armless Upholstered Stacking Chairs</t>
  </si>
  <si>
    <t>David Wiener</t>
  </si>
  <si>
    <t>Xerox 224</t>
  </si>
  <si>
    <t>Boston 16701 Slimline Battery Pencil Sharpener</t>
  </si>
  <si>
    <t>芜湖</t>
  </si>
  <si>
    <t>Wuhu</t>
  </si>
  <si>
    <t>Crayola Anti Dust Chalk, 12/Pack</t>
  </si>
  <si>
    <t>Executive Impressions 14" Contract Wall Clock with Quartz Movement</t>
  </si>
  <si>
    <t>Talkabout T8097</t>
  </si>
  <si>
    <t>Helen Andreada</t>
  </si>
  <si>
    <t>Epson C82 Color Inkjet Printer</t>
  </si>
  <si>
    <t>Paul Prost</t>
  </si>
  <si>
    <t>Bradley Nguyen</t>
  </si>
  <si>
    <t>Motorola SB4200 Cable Modem</t>
  </si>
  <si>
    <t>Matt Collister</t>
  </si>
  <si>
    <t>IBM 3.5" DS/HD IBM Formatted Diskettes, 50/Pack</t>
  </si>
  <si>
    <t>Master Big Foot® Doorstop, Beige</t>
  </si>
  <si>
    <t>Liz Carlisle</t>
  </si>
  <si>
    <t>Annie Thurman</t>
  </si>
  <si>
    <t>Accessory39</t>
  </si>
  <si>
    <t>Bradley Drucker</t>
  </si>
  <si>
    <t>Economy Rollaway Files</t>
  </si>
  <si>
    <t>Richard Eichhorn</t>
  </si>
  <si>
    <t>Nu-Form 106-Key Ergonomic Keyboard w/ Touchpad</t>
  </si>
  <si>
    <t>Alan Haines</t>
  </si>
  <si>
    <t>Brad Eason</t>
  </si>
  <si>
    <t>XtraLife® ClearVue™ Slant-D® Ring Binders by Cardinal</t>
  </si>
  <si>
    <t>James Lanier</t>
  </si>
  <si>
    <t>Sterling Rubber Bands by Alliance</t>
  </si>
  <si>
    <t>Edward Becker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</si>
  <si>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</si>
  <si>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</si>
  <si>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</si>
  <si>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</si>
  <si>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</si>
  <si>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Neil Knudson</t>
  </si>
  <si>
    <t>Avery 508</t>
  </si>
  <si>
    <t>Ben Peterman</t>
  </si>
  <si>
    <t>Avery Hi-Liter GlideStik Fluorescent Highlighter, Yellow Ink</t>
  </si>
  <si>
    <t>Sandra Flanagan</t>
  </si>
  <si>
    <t>Belkin F5C206VTEL 6 Outlet Surge</t>
  </si>
  <si>
    <t>Michael Granlund</t>
  </si>
  <si>
    <t>Xerox 1927</t>
  </si>
  <si>
    <t>Dixon My First Ticonderoga Pencil, #2</t>
  </si>
  <si>
    <t>Christina Vanderzanden</t>
  </si>
  <si>
    <t>Eldon® Gobal File Keepers</t>
  </si>
  <si>
    <t>Gary Zandusky</t>
  </si>
  <si>
    <t>Steve Carroll</t>
  </si>
  <si>
    <t>DAX Two-Tone Rosewood/Black Document Frame, Desktop, 5 x 7</t>
  </si>
  <si>
    <t>Cathy Armstrong</t>
  </si>
  <si>
    <t>Acco PRESSTEX® Data Binder with Storage Hooks, Dark Blue, 14 7/8" X 11"</t>
  </si>
  <si>
    <t>1/4 Fold Party Design Invitations &amp; White Envelopes, 24 8-1/2" X 11" Cards, 25 Env./Pack</t>
  </si>
  <si>
    <t>Park Ridge™ Embossed Executive Business Envelopes</t>
  </si>
  <si>
    <t>Iris® 3-Drawer Stacking Bin, Black</t>
  </si>
  <si>
    <t>Alex Grayson</t>
  </si>
  <si>
    <t>Belkin 105-Key Black Keyboard</t>
  </si>
  <si>
    <t>Avery Durable Binders</t>
  </si>
  <si>
    <t>Anthony Johnson</t>
  </si>
  <si>
    <t>Lisa DeCherney</t>
  </si>
  <si>
    <t>Memorex 4.7GB DVD+R, 3/Pack</t>
  </si>
  <si>
    <t>Gary McGarr</t>
  </si>
  <si>
    <t>LX 677</t>
  </si>
  <si>
    <t>Steve Nguyen</t>
  </si>
  <si>
    <t>Perma STOR-ALL™ Hanging File Box, 13 1/8"W x 12 1/4"D x 10 1/2"H</t>
  </si>
  <si>
    <t>Susan Gilcrest</t>
  </si>
  <si>
    <t>Accessory32</t>
  </si>
  <si>
    <t>StarTAC 7797</t>
  </si>
  <si>
    <t>Julia Dunbar</t>
  </si>
  <si>
    <t>Mick Crebagga</t>
  </si>
  <si>
    <t>Global High-Back Leather Tilter, Burgundy</t>
  </si>
  <si>
    <t>Roy Skaria</t>
  </si>
  <si>
    <t>Catalog Binders with Expanding Posts</t>
  </si>
  <si>
    <t>Newell 318</t>
  </si>
  <si>
    <t>Patrick Jones</t>
  </si>
  <si>
    <t>Giulietta Baptist</t>
  </si>
  <si>
    <t>Verbatim DVD-RAM, 5.2GB, Rewritable, Type 1, DS</t>
  </si>
  <si>
    <t>Nicole Hansen</t>
  </si>
  <si>
    <t>Tom Prescott</t>
  </si>
  <si>
    <t>Eldon® 500 Class™ Desk Accessories</t>
  </si>
  <si>
    <t>齐齐哈尔</t>
  </si>
  <si>
    <t>Qiqihar</t>
  </si>
  <si>
    <t>Newell 343</t>
  </si>
  <si>
    <t>Ken Heidel</t>
  </si>
  <si>
    <t>Xerox 1881</t>
  </si>
  <si>
    <t>George Zrebassa</t>
  </si>
  <si>
    <t>Binder Posts</t>
  </si>
  <si>
    <t>Logan Haushalter</t>
  </si>
  <si>
    <t>Acco Pressboard Covers with Storage Hooks, 14 7/8" x 11", Dark Blue</t>
  </si>
  <si>
    <t>Ann Blume</t>
  </si>
  <si>
    <t>Riverleaf Stik-Withit® Designer Note Cubes®</t>
  </si>
  <si>
    <t>Newell 323</t>
  </si>
  <si>
    <t>Lena Cacioppo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</si>
  <si>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</si>
  <si>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</si>
  <si>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</si>
  <si>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</si>
  <si>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</si>
  <si>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Self-Adhesive Removable Labels</t>
  </si>
  <si>
    <t>Herbert Flentye</t>
  </si>
  <si>
    <t>Avanti 1.7 Cu. Ft. Refrigerator</t>
  </si>
  <si>
    <t>Global Leather Task Chair, Black</t>
  </si>
  <si>
    <t>Staples Brown Kraft Recycled Clasp Envelopes</t>
  </si>
  <si>
    <t>Steven Ward</t>
  </si>
  <si>
    <t>KH 688</t>
  </si>
  <si>
    <t>GBC Instant Index™ System for Binding Systems</t>
  </si>
  <si>
    <t>Avery 514</t>
  </si>
  <si>
    <t>Denise Monton</t>
  </si>
  <si>
    <t>Hon Multipurpose Stacking Arm Chairs</t>
  </si>
  <si>
    <t>Lynn Smith</t>
  </si>
  <si>
    <t>Sanford Liquid Accent Highlighters</t>
  </si>
  <si>
    <t>Eldon® Wave Desk Accessories</t>
  </si>
  <si>
    <t>Soundgear Copyboard Conference Phone, Optional Battery</t>
  </si>
  <si>
    <t>Timeport L7089</t>
  </si>
  <si>
    <t>Evan Henry</t>
  </si>
  <si>
    <t>Xerox 2</t>
  </si>
  <si>
    <t>Newell 35</t>
  </si>
  <si>
    <t>Marc Harrigan</t>
  </si>
  <si>
    <t>Acco® Hot Clips™ Clips to Go</t>
  </si>
  <si>
    <t>Erin Smith</t>
  </si>
  <si>
    <t>广安</t>
  </si>
  <si>
    <t>Guangan</t>
  </si>
  <si>
    <t>Deflect-o SuperTray™ Unbreakable Stackable Tray, Letter, Black</t>
  </si>
  <si>
    <t>Alan Dominguez</t>
  </si>
  <si>
    <t>6160</t>
  </si>
  <si>
    <t>Xerox 1903</t>
  </si>
  <si>
    <t>Ken Black</t>
  </si>
  <si>
    <t>Mead 1st Gear 2" Zipper Binder, Asst. Colors</t>
  </si>
  <si>
    <t>Xerox 1992</t>
  </si>
  <si>
    <t>Deirdre Greer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</si>
  <si>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</si>
  <si>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</si>
  <si>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</si>
  <si>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</si>
  <si>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</si>
  <si>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</si>
  <si>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</si>
  <si>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Eldon Portable Mobile Manager</t>
  </si>
  <si>
    <t>John Stevenson</t>
  </si>
  <si>
    <t>Fellowes PB500 Electric Punch Plastic Comb Binding Machine with Manual Bind</t>
  </si>
  <si>
    <t>StarTAC 8000</t>
  </si>
  <si>
    <t>Stephanie Phelps</t>
  </si>
  <si>
    <t>12-1/2 Diameter Round Wall Clock</t>
  </si>
  <si>
    <t>温州</t>
  </si>
  <si>
    <t>Wenzhou</t>
  </si>
  <si>
    <t>Document Clip Frames</t>
  </si>
  <si>
    <t>Xerox 1885</t>
  </si>
  <si>
    <t>Muhammed Lee</t>
  </si>
  <si>
    <t>Avery Flip-Chart Easel Binder, Black</t>
  </si>
  <si>
    <t>Logitech Cordless Access Keyboard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</si>
  <si>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</si>
  <si>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</si>
  <si>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</si>
  <si>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</si>
  <si>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</si>
  <si>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</si>
  <si>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</si>
  <si>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Snap-A-Way® Black Print Carbonless Ruled Speed Letter, Triplicate</t>
  </si>
  <si>
    <t>Jack Lebron</t>
  </si>
  <si>
    <t>Conquest™ 14 Commercial Heavy-Duty Upright Vacuum, Collection System, Accessory Kit</t>
  </si>
  <si>
    <t>Tennsco Snap-Together Open Shelving Units, Starter Sets and Add-On Units</t>
  </si>
  <si>
    <t>Home/Office Personal File Carts</t>
  </si>
  <si>
    <t>DMI Eclipse Executive Suite Bookcases</t>
  </si>
  <si>
    <t>Christine Sundaresam</t>
  </si>
  <si>
    <t>Eldon Cleatmat Plus™ Chair Mats for High Pile Carpets</t>
  </si>
  <si>
    <t>Bevis Rectangular Conference Tables</t>
  </si>
  <si>
    <t>Bruce Stewart</t>
  </si>
  <si>
    <t>Xerox 213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</si>
  <si>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</si>
  <si>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</si>
  <si>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</si>
  <si>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</si>
  <si>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</si>
  <si>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</si>
  <si>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Allen Golden</t>
  </si>
  <si>
    <t>Xerox 1948</t>
  </si>
  <si>
    <t>Aaron Bergman</t>
  </si>
  <si>
    <t>Avery 49</t>
  </si>
  <si>
    <t>Anthony Garverick</t>
  </si>
  <si>
    <t>Microsoft Multimedia Keyboard</t>
  </si>
  <si>
    <t>Alyssa Tate</t>
  </si>
  <si>
    <t>Avery 491</t>
  </si>
  <si>
    <t>Executive Impressions 14" Two-Color Numerals Wall Clock</t>
  </si>
  <si>
    <t>Hewlett-Packard 4.7GB DVD+R Discs</t>
  </si>
  <si>
    <t>Bruce Money</t>
  </si>
  <si>
    <t>Coloredge Poster Frame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</si>
  <si>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</si>
  <si>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</si>
  <si>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</si>
  <si>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</si>
  <si>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</si>
  <si>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</si>
  <si>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</si>
  <si>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Sanford 52201 APSCO Electric Pencil Sharpener</t>
  </si>
  <si>
    <t>Kelly Andreada</t>
  </si>
  <si>
    <t>Crate-A-Files™</t>
  </si>
  <si>
    <t>Iceberg OfficeWorks 42" Round Tables</t>
  </si>
  <si>
    <t>Victoria Pisteka</t>
  </si>
  <si>
    <t>Pressboard Data Binder, Crimson, 12" X 8 1/2"</t>
  </si>
  <si>
    <t>Erica Bern</t>
  </si>
  <si>
    <t>GBC DocuBind P100 Manual Binding Machine</t>
  </si>
  <si>
    <t>Scott Cohen</t>
  </si>
  <si>
    <t>Executive Impressions 13" Chairman Wall Clock</t>
  </si>
  <si>
    <t>Boston 1730 StandUp Electric Pencil Sharpener</t>
  </si>
  <si>
    <t>Avery 497</t>
  </si>
  <si>
    <t>Michael Paige</t>
  </si>
  <si>
    <t>Master Giant Foot® Doorstop, Safety Yellow</t>
  </si>
  <si>
    <t>Scott Williamson</t>
  </si>
  <si>
    <t>Bevis Round Conference Table Top &amp; Single Column Base</t>
  </si>
  <si>
    <t>StarTAC 3000</t>
  </si>
  <si>
    <t>Canon BP1200DH 12-Digit Bubble Jet Printing Calculator</t>
  </si>
  <si>
    <t>Ryan Crowe</t>
  </si>
  <si>
    <t>HP Office Paper (20Lb. and 87 Bright)</t>
  </si>
  <si>
    <t>EcoTones® Memo Sheets</t>
  </si>
  <si>
    <t>Epson C62 Color Inkjet Printer</t>
  </si>
  <si>
    <t>DAX Contemporary Wood Frame with Silver Metal Mat, Desktop, 11 x 14 Size</t>
  </si>
  <si>
    <t>Dennis Bolton</t>
  </si>
  <si>
    <t>Satellite Sectional Post Binders</t>
  </si>
  <si>
    <t>Tyvek® Side-Opening Peel &amp; Seel® Expanding Envelopes</t>
  </si>
  <si>
    <t>Novimex Turbo Task Chair</t>
  </si>
  <si>
    <t>Odella Nelson</t>
  </si>
  <si>
    <t>80 Minute Slim Jewel Case CD-R , 10/Pack - Staples</t>
  </si>
  <si>
    <t>#10 White Business Envelopes,4 1/8 x 9 1/2</t>
  </si>
  <si>
    <t>Imation 3.5" DS-HD Macintosh Formatted Diskettes, 10/Pack</t>
  </si>
  <si>
    <t>Project Tote Personal File</t>
  </si>
  <si>
    <t>Clytie Kelty</t>
  </si>
  <si>
    <t>Fellowes 17-key keypad for PS/2 interface</t>
  </si>
  <si>
    <t>Acco 6 Outlet Guardian Premium Surge Suppressor</t>
  </si>
  <si>
    <t>Brother DCP1000 Digital 3 in 1 Multifunction Machine</t>
  </si>
  <si>
    <t>Carlos Meador</t>
  </si>
  <si>
    <t>Accessory6</t>
  </si>
  <si>
    <t>Acme Hot Forged Carbon Steel Scissors with Nickel-Plated Handles, 3 7/8" Cut, 8"L</t>
  </si>
  <si>
    <t>Peel &amp; Seel® Recycled Catalog Envelopes, Brown</t>
  </si>
  <si>
    <t>Deflect-O® Glasstique™ Clear Desk Accessories</t>
  </si>
  <si>
    <t>Christina Anderson</t>
  </si>
  <si>
    <t>Office Star - Contemporary Task Swivel chair with 2-way adjustable arms, Plum</t>
  </si>
  <si>
    <t>4009® Highlighters by Sanford</t>
  </si>
  <si>
    <t>Avery 510</t>
  </si>
  <si>
    <t>Adrian Hane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</si>
  <si>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</si>
  <si>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</si>
  <si>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</si>
  <si>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</si>
  <si>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</si>
  <si>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</si>
  <si>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大连</t>
  </si>
  <si>
    <t>Dalian</t>
  </si>
  <si>
    <t>黄石</t>
  </si>
  <si>
    <t>Huangshi</t>
  </si>
  <si>
    <t>Lindsay Williams</t>
  </si>
  <si>
    <t>PC Concepts 116 Key Quantum 3000 Keyboard</t>
  </si>
  <si>
    <t>Max Engle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</si>
  <si>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</si>
  <si>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</si>
  <si>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</si>
  <si>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</si>
  <si>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</si>
  <si>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</si>
  <si>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</si>
  <si>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</si>
  <si>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Michael Stewart</t>
  </si>
  <si>
    <t>Imation DVD-RAM discs</t>
  </si>
  <si>
    <t>i600</t>
  </si>
  <si>
    <t>Wilson Jones “Snap” Scratch Pad Binder Tool for Ring Binders</t>
  </si>
  <si>
    <t>Giulietta Dortch</t>
  </si>
  <si>
    <t>Wirebound Message Forms, Four 2 3/4 x 5 Forms per Page, Pink Paper</t>
  </si>
  <si>
    <t>T18</t>
  </si>
  <si>
    <t>自贡</t>
  </si>
  <si>
    <t>Zigong</t>
  </si>
  <si>
    <t>Speediset Carbonless Redi-Letter® 7" x 8 1/2"</t>
  </si>
  <si>
    <t>Xylona Price</t>
  </si>
  <si>
    <t>*Staples* vLetter Openers, 2/Pack</t>
  </si>
  <si>
    <t>Corinna Mitchell</t>
  </si>
  <si>
    <t>Global Leather and Oak Executive Chair, Black</t>
  </si>
  <si>
    <t>Honeywell Enviracaire® Portable Air Cleaner for up to 8 x 10 Room</t>
  </si>
  <si>
    <t>Xerox 196</t>
  </si>
  <si>
    <t>Rob Dowd</t>
  </si>
  <si>
    <t>Letter Size Cart</t>
  </si>
  <si>
    <t>Randy Bradley</t>
  </si>
  <si>
    <t>Sean Wendt</t>
  </si>
  <si>
    <t>Newell 346</t>
  </si>
  <si>
    <t>John Castell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</si>
  <si>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</si>
  <si>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</si>
  <si>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</si>
  <si>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</si>
  <si>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</si>
  <si>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东莞</t>
  </si>
  <si>
    <t>Dongwan</t>
  </si>
  <si>
    <t>Robert Dilbeck</t>
  </si>
  <si>
    <t>Tonja Turnell</t>
  </si>
  <si>
    <t>SAFCO PlanMaster Heigh-Adjustable Drafting Table Base, 43w x 30d x 30-37h, Black</t>
  </si>
  <si>
    <t>2160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</si>
  <si>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</si>
  <si>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</si>
  <si>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</si>
  <si>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</si>
  <si>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</si>
  <si>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</si>
  <si>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</si>
  <si>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</si>
  <si>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</si>
  <si>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</si>
  <si>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</si>
  <si>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</si>
  <si>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Ampad® Evidence® Wirebond Steno Books, 6" x 9"</t>
  </si>
  <si>
    <t>Nu-Dell Float Frame 11 x 14 1/2</t>
  </si>
  <si>
    <t>Don Jones</t>
  </si>
  <si>
    <t>Unpadded Memo Slips</t>
  </si>
  <si>
    <t>Brendan Sweed</t>
  </si>
  <si>
    <t>Frank Carlisle</t>
  </si>
  <si>
    <t>Binney &amp; Smith Crayola® Metallic Colored Pencils, 8-Color Set</t>
  </si>
  <si>
    <t>Manila Recycled Extra-Heavyweight Clasp Envelopes, 6" x 9"</t>
  </si>
  <si>
    <t>Xerox 1966</t>
  </si>
  <si>
    <t>8890</t>
  </si>
  <si>
    <t>Shahid Hopkins</t>
  </si>
  <si>
    <t>Anna Andreadi</t>
  </si>
  <si>
    <t>HP Office Recycled Paper (20Lb. and 87 Bright)</t>
  </si>
  <si>
    <t>KF 788</t>
  </si>
  <si>
    <t>Beth Thompson</t>
  </si>
  <si>
    <t>Ashley Jarboe</t>
  </si>
  <si>
    <t>Wirebound Service Call Books, 5 1/2" x 4"</t>
  </si>
  <si>
    <t>Art Ferguson</t>
  </si>
  <si>
    <t>DIXON Oriole® Pencils</t>
  </si>
  <si>
    <t>StarTAC Series</t>
  </si>
  <si>
    <t>Binding Machine Supplies</t>
  </si>
  <si>
    <t>8290</t>
  </si>
  <si>
    <t>Fred Chung</t>
  </si>
  <si>
    <t>Randy Ferguson</t>
  </si>
  <si>
    <t>Frank Price</t>
  </si>
  <si>
    <t>Anna Gayman</t>
  </si>
  <si>
    <t>Imation 3.5" Unformatted DS/HD Diskettes, 10/Box</t>
  </si>
  <si>
    <t>Rick Hansen</t>
  </si>
  <si>
    <t>Xerox 1895</t>
  </si>
  <si>
    <t>Gary Hansen</t>
  </si>
  <si>
    <t>Aluminum Document Frame</t>
  </si>
  <si>
    <t>Michelle Lonsdale</t>
  </si>
  <si>
    <t>Nick Radford</t>
  </si>
  <si>
    <t>DAX Cubicle Frames - 8x10</t>
  </si>
  <si>
    <t>Dennis Kane</t>
  </si>
  <si>
    <t>Raymond Fair</t>
  </si>
  <si>
    <t>Eldon Jumbo ProFile™ Portable File Boxes Graphite/Black</t>
  </si>
  <si>
    <t>Theresa Swint</t>
  </si>
  <si>
    <t>GBC DocuBind 300 Electric Binding Machine</t>
  </si>
  <si>
    <t>JM Magazine Binder</t>
  </si>
  <si>
    <t>Imation 3.5" IBM-Formatted Diskettes, 10/Pack</t>
  </si>
  <si>
    <t>大同</t>
  </si>
  <si>
    <t>Datong</t>
  </si>
  <si>
    <t>X-Rack™ File for Hanging Folders</t>
  </si>
  <si>
    <t>Kristina Nunn</t>
  </si>
  <si>
    <t>Kensington 6 Outlet Guardian Standard Surge Protector</t>
  </si>
  <si>
    <t>Sean Miller</t>
  </si>
  <si>
    <t>Super Decoflex Portable Personal File</t>
  </si>
  <si>
    <t>Nancy Lomonaco</t>
  </si>
  <si>
    <t>Global Airflow Leather Mesh Back Chair, Black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</si>
  <si>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</si>
  <si>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</si>
  <si>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</si>
  <si>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</si>
  <si>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</si>
  <si>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Bush® Cubix Conference Tables, Fully Assembled</t>
  </si>
  <si>
    <t>Eureka The Boss® Cordless Rechargeable Stick Vac</t>
  </si>
  <si>
    <t>Guy Thornton</t>
  </si>
  <si>
    <t>David Philippe</t>
  </si>
  <si>
    <t>Accessory21</t>
  </si>
  <si>
    <t>Avery Legal 4-Ring Binder</t>
  </si>
  <si>
    <t>Ann Chong</t>
  </si>
  <si>
    <t>Avery Arch Ring Binders</t>
  </si>
  <si>
    <t>APC 7 Outlet Network SurgeArrest Surge Protector</t>
  </si>
  <si>
    <t>Nat Gilpin</t>
  </si>
  <si>
    <t>Dual Level, Single-Width Filing Carts</t>
  </si>
  <si>
    <t>Maurice Satty</t>
  </si>
  <si>
    <t>Fellowes Personal Hanging Folder Files, Navy</t>
  </si>
  <si>
    <t>Joy Bell</t>
  </si>
  <si>
    <t>Deflect-o RollaMat Studded, Beveled Mat for Medium Pile Carpeting</t>
  </si>
  <si>
    <t>Epson FX-2180 Wide Format Dot Matrix Printer</t>
  </si>
  <si>
    <t>Bush Mission Pointe Library</t>
  </si>
  <si>
    <t>Staples Plastic Wall Frames</t>
  </si>
  <si>
    <t>Filia McAdams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</si>
  <si>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</si>
  <si>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</si>
  <si>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</si>
  <si>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</si>
  <si>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</si>
  <si>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</si>
  <si>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Xerox 200</t>
  </si>
  <si>
    <t>Skye Norling</t>
  </si>
  <si>
    <t>Personal Creations™ Ink Jet Cards and Labels</t>
  </si>
  <si>
    <t>Toby Grace</t>
  </si>
  <si>
    <t>Master Caster Door Stop, Brown</t>
  </si>
  <si>
    <t>Xerox 1882</t>
  </si>
  <si>
    <t>Arianne Irving</t>
  </si>
  <si>
    <t>Phillip Flathmann</t>
  </si>
  <si>
    <t>Lexmark Z25 Color Inkjet Printer</t>
  </si>
  <si>
    <t>Hon 2111 Invitation™ Series Corner Table</t>
  </si>
  <si>
    <t>Maureen Fritzler</t>
  </si>
  <si>
    <t>鸡西</t>
  </si>
  <si>
    <t>Jixi</t>
  </si>
  <si>
    <t>Michael Kennedy</t>
  </si>
  <si>
    <t>252</t>
  </si>
  <si>
    <t>Seth Thomas 13 1/2" Wall Clock</t>
  </si>
  <si>
    <t>Barry Weirich</t>
  </si>
  <si>
    <t>High Speed Automatic Electric Letter Opener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</si>
  <si>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</si>
  <si>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</si>
  <si>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</si>
  <si>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</si>
  <si>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</si>
  <si>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</si>
  <si>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5125</t>
  </si>
  <si>
    <t>Xerox 1916</t>
  </si>
  <si>
    <t>Henry Goldwyn</t>
  </si>
  <si>
    <t>Quartet Omega® Colored Chalk, 12/Pack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</si>
  <si>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</si>
  <si>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</si>
  <si>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</si>
  <si>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</si>
  <si>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</si>
  <si>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Katharine Harms</t>
  </si>
  <si>
    <t>6" Cubicle Wall Clock, Black</t>
  </si>
  <si>
    <t>3395</t>
  </si>
  <si>
    <t>Joseph Holt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</si>
  <si>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</si>
  <si>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</si>
  <si>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</si>
  <si>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</si>
  <si>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Ricardo Emerson</t>
  </si>
  <si>
    <t>嘉峪关</t>
  </si>
  <si>
    <t>Jiayuguan</t>
  </si>
  <si>
    <t>Imation 3.5" Diskettes, IBM Format, DS/HD, 10/Box, Neon</t>
  </si>
  <si>
    <t>Binder Clips by OIC</t>
  </si>
  <si>
    <t>Nathan Mautz</t>
  </si>
  <si>
    <t>Acme® Box Cutter Scissors</t>
  </si>
  <si>
    <t>Smead Adjustable Mobile File Trolley with Lockable Top</t>
  </si>
  <si>
    <t>Avery 487</t>
  </si>
  <si>
    <t>EMS</t>
  </si>
  <si>
    <t>Anna Haberlin</t>
  </si>
  <si>
    <t>DAX Solid Wood Frames</t>
  </si>
  <si>
    <t>Ralph Arnett</t>
  </si>
  <si>
    <t>Alan Shonely</t>
  </si>
  <si>
    <t>Julie Prescott</t>
  </si>
  <si>
    <t>Fellowes Internet Keyboard, Platinum</t>
  </si>
  <si>
    <t>Avery Hi-Liter Comfort Grip Fluorescent Highlighter, Yellow Ink</t>
  </si>
  <si>
    <t>Cynthia Arntzen</t>
  </si>
  <si>
    <t>Jill Fjeld</t>
  </si>
  <si>
    <t>Eureka Sanitaire ® Multi-Pro Heavy-Duty Upright, Disposable Bags</t>
  </si>
  <si>
    <t>Boston Electric Pencil Sharpener, Model 1818, Charcoal Black</t>
  </si>
  <si>
    <t>Max Ludwig</t>
  </si>
  <si>
    <t>Anne McFarland</t>
  </si>
  <si>
    <t>Acme Design Line 8" Stainless Steel Bent Scissors w/Champagne Handles, 3-1/8" Cut</t>
  </si>
  <si>
    <t>Tennsco Industrial Shelving</t>
  </si>
  <si>
    <t>Chad Sievert</t>
  </si>
  <si>
    <t>达州</t>
  </si>
  <si>
    <t>Dazhou</t>
  </si>
  <si>
    <t>Ibico Recycled Linen-Style Covers</t>
  </si>
  <si>
    <t>Executive Impressions 13" Clairmont Wall Clock</t>
  </si>
  <si>
    <t>Astrea Jones</t>
  </si>
  <si>
    <t>Natalie Webber</t>
  </si>
  <si>
    <t>Fellowes Black Plastic Comb Bindings</t>
  </si>
  <si>
    <t>Stuart Van</t>
  </si>
  <si>
    <t>Bill Overfelt</t>
  </si>
  <si>
    <t>Brooke Gillingham</t>
  </si>
  <si>
    <t>Riverside Furniture Stanwyck Manor Table Series</t>
  </si>
  <si>
    <t>Assorted Color Push Pins</t>
  </si>
  <si>
    <t>Lindsay Castell</t>
  </si>
  <si>
    <t>Canon MP25DIII Desktop Whisper-Quiet Printing Calculator</t>
  </si>
  <si>
    <t>Imation 3.5" DS/HD IBM Formatted Diskettes, 50/Pack</t>
  </si>
  <si>
    <t>Kelly Collister</t>
  </si>
  <si>
    <t>Chuck Clark</t>
  </si>
  <si>
    <t>十堰</t>
  </si>
  <si>
    <t>Shiyan</t>
  </si>
  <si>
    <t>Victor Price</t>
  </si>
  <si>
    <t>GBC VeloBinder Strips</t>
  </si>
  <si>
    <t>Peter Buhler</t>
  </si>
  <si>
    <t>吉林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</si>
  <si>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</si>
  <si>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</si>
  <si>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</si>
  <si>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</si>
  <si>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</si>
  <si>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Logan Currie</t>
  </si>
  <si>
    <t>Deflect-o EconoMat Nonstudded, No Bevel Mat</t>
  </si>
  <si>
    <t>Phillip Breyer</t>
  </si>
  <si>
    <t>Dianna Arnett</t>
  </si>
  <si>
    <t>Accessory24</t>
  </si>
  <si>
    <t>TI 30X Scientific Calculator</t>
  </si>
  <si>
    <t>Ralph Knight</t>
  </si>
  <si>
    <t>鞍山</t>
  </si>
  <si>
    <t>Anshan</t>
  </si>
  <si>
    <t>T65</t>
  </si>
  <si>
    <t>Dean Katz</t>
  </si>
  <si>
    <t>GBC Standard Plastic Binding Systems Combs</t>
  </si>
  <si>
    <t>Georgia Rosenberg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</si>
  <si>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</si>
  <si>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</si>
  <si>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</si>
  <si>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</si>
  <si>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</si>
  <si>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</si>
  <si>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</si>
  <si>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</si>
  <si>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</si>
  <si>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蚌埠</t>
  </si>
  <si>
    <t>Bangbu</t>
  </si>
  <si>
    <t>Recycled Steel Personal File for Standard File Folders</t>
  </si>
  <si>
    <t>Career Cubicle Clock, 8 1/4", Black</t>
  </si>
  <si>
    <t>V8162</t>
  </si>
  <si>
    <t>Andy Gerbode</t>
  </si>
  <si>
    <t>8260</t>
  </si>
  <si>
    <t>DAX Wood Document Frame</t>
  </si>
  <si>
    <t>Hon Metal Bookcases, Black</t>
  </si>
  <si>
    <t>Debra Catini</t>
  </si>
  <si>
    <t>Linden® 12" Wall Clock With Oak Frame</t>
  </si>
  <si>
    <t>6000</t>
  </si>
  <si>
    <t>Maureen Grace</t>
  </si>
  <si>
    <t>Eldon Delta Triangular Chair Mat, 52" x 58", Clear</t>
  </si>
  <si>
    <t>Mary Zewe</t>
  </si>
  <si>
    <t>Brown Kraft Recycled Envelopes</t>
  </si>
  <si>
    <t>Wirebound Message Book, 4 per Page</t>
  </si>
  <si>
    <t>Sony MFD2HD Formatted Diskettes, 10/Pack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</si>
  <si>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</si>
  <si>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</si>
  <si>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</si>
  <si>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</si>
  <si>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Pizzaz™ Desk Accessories</t>
  </si>
  <si>
    <t>Eric Hoffmann</t>
  </si>
  <si>
    <t>Tyvek Interoffice Envelopes, 9 1/2" x 12 1/2", 100/Box</t>
  </si>
  <si>
    <t>Acco Recycled 2" Capacity Laser Printer Hanging Data Binders</t>
  </si>
  <si>
    <t>Greg Matthias</t>
  </si>
  <si>
    <t>Global Leather Executive Chair</t>
  </si>
  <si>
    <t>Brites Rubber Bands, 1 1/2 oz. Box</t>
  </si>
  <si>
    <t>Kimberly Carter</t>
  </si>
  <si>
    <t>O'Sullivan Manor Hill 2-Door Library in Brianna Oak</t>
  </si>
  <si>
    <t>Mark Packer</t>
  </si>
  <si>
    <t>Fellowes Basic 104-Key Keyboard, Platinum</t>
  </si>
  <si>
    <t>Darren Koutras</t>
  </si>
  <si>
    <t>Accessory29</t>
  </si>
  <si>
    <t>Maxell Pro 80 Minute CD-R, 10/Pack</t>
  </si>
  <si>
    <t>US Robotics 56K V.92 Internal PCI Faxmodem</t>
  </si>
  <si>
    <t>Xerox 1941</t>
  </si>
  <si>
    <t>Jill Stevenson</t>
  </si>
  <si>
    <t>驻马店</t>
  </si>
  <si>
    <t>Zhumadian</t>
  </si>
  <si>
    <t>Xerox 1910</t>
  </si>
  <si>
    <t>Resi Polking</t>
  </si>
  <si>
    <t>Avery 05222 Permanent Self-Adhesive File Folder Labels for Typewriters, on Rolls, White, 250/Roll</t>
  </si>
  <si>
    <t>Jim Karlsson</t>
  </si>
  <si>
    <t>Ibico EB-19 Dual Function Manual Binding System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</si>
  <si>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</si>
  <si>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</si>
  <si>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</si>
  <si>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</si>
  <si>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</si>
  <si>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</si>
  <si>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</si>
  <si>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Howard Miller Distant Time Traveler Alarm Clock</t>
  </si>
  <si>
    <t>Chromcraft 48" x 96" Racetrack Double Pedestal Table</t>
  </si>
  <si>
    <t>Amy Hunt</t>
  </si>
  <si>
    <t>Darren Budd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</si>
  <si>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</si>
  <si>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</si>
  <si>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</si>
  <si>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</si>
  <si>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</si>
  <si>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</si>
  <si>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</si>
  <si>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莱芜</t>
  </si>
  <si>
    <t>Laiwu</t>
  </si>
  <si>
    <t>Tom Boeckenhauer</t>
  </si>
  <si>
    <t>Meg Tillman</t>
  </si>
  <si>
    <t>Bevis Round Bullnose 29" High Table Top</t>
  </si>
  <si>
    <t>Beth Paige</t>
  </si>
  <si>
    <t>Alex Russell</t>
  </si>
  <si>
    <t>Erica Hackney</t>
  </si>
  <si>
    <t>Tenex B1-RE Series Chair Mats for Low Pile Carpets</t>
  </si>
  <si>
    <t>Xerox 1932</t>
  </si>
  <si>
    <t>厦门</t>
  </si>
  <si>
    <t>Xiamen</t>
  </si>
  <si>
    <t>O'Sullivan 3-Shelf Heavy-Duty Bookcases</t>
  </si>
  <si>
    <t>佛山</t>
  </si>
  <si>
    <t>Foshan</t>
  </si>
  <si>
    <t>Global Deluxe High-Back Office Chair in Storm</t>
  </si>
  <si>
    <t>Gene Hale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</si>
  <si>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</si>
  <si>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</si>
  <si>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</si>
  <si>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</si>
  <si>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</si>
  <si>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</si>
  <si>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</si>
  <si>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</si>
  <si>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Dennis Pardue</t>
  </si>
  <si>
    <t>Staples Surge Protector 6 outlet</t>
  </si>
  <si>
    <t>Berol Giant Pencil Sharpener</t>
  </si>
  <si>
    <t>Hon 61000 Series Interactive Training Tables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</si>
  <si>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</si>
  <si>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</si>
  <si>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</si>
  <si>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</si>
  <si>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</si>
  <si>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</si>
  <si>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</si>
  <si>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</si>
  <si>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</si>
  <si>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Array® Parchment Paper, Assorted Colors</t>
  </si>
  <si>
    <t>Master Caster Door Stop, Gray</t>
  </si>
  <si>
    <t>Newell 337</t>
  </si>
  <si>
    <t>John Grady</t>
  </si>
  <si>
    <t>Imation Primaris 3.5" 2HD Unformatted Diskettes, 10/Pack</t>
  </si>
  <si>
    <t>Patrick O'Brill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</si>
  <si>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</si>
  <si>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</si>
  <si>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</si>
  <si>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</si>
  <si>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</si>
  <si>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GBC Recycled Regency Composition Covers</t>
  </si>
  <si>
    <t>Jason Klamczynski</t>
  </si>
  <si>
    <t>Gary Hwang</t>
  </si>
  <si>
    <t>抚顺</t>
  </si>
  <si>
    <t>Fushun</t>
  </si>
  <si>
    <t>Karen Seio</t>
  </si>
  <si>
    <t>i2000</t>
  </si>
  <si>
    <t>桂林</t>
  </si>
  <si>
    <t>Guilin</t>
  </si>
  <si>
    <t>Jennifer Patt</t>
  </si>
  <si>
    <t>Tamara Manning</t>
  </si>
  <si>
    <t>GBC Wire Binding Strips</t>
  </si>
  <si>
    <t>Adams Phone Message Book, Professional, 400 Message Capacity, 5 3/6” x 11”</t>
  </si>
  <si>
    <t>Logitech Internet Navigator Keyboard</t>
  </si>
  <si>
    <t>Nicole Fjeld</t>
  </si>
  <si>
    <t>Xerox 1936</t>
  </si>
  <si>
    <t>Xerox 214</t>
  </si>
  <si>
    <t>Becky Martin</t>
  </si>
  <si>
    <t>Acco Keyboard-In-A-Box®</t>
  </si>
  <si>
    <t>Eva Jacobs</t>
  </si>
  <si>
    <t>Belkin 5 Outlet SurgeMaster™ Power Centers</t>
  </si>
  <si>
    <t>Staples® General Use 3-Ring Binders</t>
  </si>
  <si>
    <t>Christine Phan</t>
  </si>
  <si>
    <t>Robert Marley</t>
  </si>
  <si>
    <t>Fred McMath</t>
  </si>
  <si>
    <t>Canon P1-DHIII Palm Printing Calculator</t>
  </si>
  <si>
    <t>Acco Six-Outlet Power Strip, 4' Cord Length</t>
  </si>
  <si>
    <t>Barbara Fisher</t>
  </si>
  <si>
    <t>唐山</t>
  </si>
  <si>
    <t>Tangshan</t>
  </si>
  <si>
    <t>包头</t>
  </si>
  <si>
    <t>Baotou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</si>
  <si>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</si>
  <si>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</si>
  <si>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</si>
  <si>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</si>
  <si>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</si>
  <si>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</si>
  <si>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</si>
  <si>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</si>
  <si>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</si>
  <si>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</si>
  <si>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</si>
  <si>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</si>
  <si>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</si>
  <si>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Rose O'Brian</t>
  </si>
  <si>
    <t>"While you Were Out" Message Book, One Form per Page</t>
  </si>
  <si>
    <t>3390</t>
  </si>
  <si>
    <t>Accessory36</t>
  </si>
  <si>
    <t>Thomas Brumley</t>
  </si>
  <si>
    <t>Suzanne McNair</t>
  </si>
  <si>
    <t>Honeywell Enviracaire® Portable HEPA Air Cleaner for up to 10 x 16 Room</t>
  </si>
  <si>
    <t>Surelock™ Post Binders</t>
  </si>
  <si>
    <t>i1000plus</t>
  </si>
  <si>
    <t>Carina Double Wide Media Storage Towers in Natural &amp; Black</t>
  </si>
  <si>
    <t>Advantus Panel Wall Certificate Holder - 8.5x11</t>
  </si>
  <si>
    <t>Xerox 19</t>
  </si>
  <si>
    <t>Barry Pond</t>
  </si>
  <si>
    <t>Canon F603 Scientific Calculator</t>
  </si>
  <si>
    <t>Tony Molinari</t>
  </si>
  <si>
    <t>鹤岗</t>
  </si>
  <si>
    <t>Hegang</t>
  </si>
  <si>
    <t>Hammermill Color Copier Paper (28Lb. and 96 Bright)</t>
  </si>
  <si>
    <t>Wilson Jones Elliptical Ring 3 1/2" Capacity Binders, 800 sheets</t>
  </si>
  <si>
    <t>Hon Olson Stacker Stools</t>
  </si>
  <si>
    <t>688</t>
  </si>
  <si>
    <t>6340</t>
  </si>
  <si>
    <t>Stewart Visinsky</t>
  </si>
  <si>
    <t>Christopher Schild</t>
  </si>
  <si>
    <t>阳泉</t>
  </si>
  <si>
    <t>Yangquan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</si>
  <si>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</si>
  <si>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</si>
  <si>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</si>
  <si>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</si>
  <si>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</si>
  <si>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</si>
  <si>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Michael Nguyen</t>
  </si>
  <si>
    <t>Okidata ML184 Turbo Dot Matrix Printers</t>
  </si>
  <si>
    <t>GE 48" Fluorescent Tube, Cool White Energy Saver, 34 Watts, 30/Box</t>
  </si>
  <si>
    <t>Russell Applegate</t>
  </si>
  <si>
    <t>V 3600 Series</t>
  </si>
  <si>
    <t>Steven Roelle</t>
  </si>
  <si>
    <t>Jeremy Pistek</t>
  </si>
  <si>
    <t>Tennsco Regal Shelving Units</t>
  </si>
  <si>
    <t>Cyra Reiten</t>
  </si>
  <si>
    <t>Tracy Hopkins</t>
  </si>
  <si>
    <t>铜川</t>
  </si>
  <si>
    <t>Tongchuan</t>
  </si>
  <si>
    <t>Xerox 1926</t>
  </si>
  <si>
    <t>Acco Smartsocket™ Table Surge Protector, 6 Color-Coded Adapter Outlets</t>
  </si>
  <si>
    <t>Bryan Davis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</si>
  <si>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</si>
  <si>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</si>
  <si>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</si>
  <si>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</si>
  <si>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</si>
  <si>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</si>
  <si>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Bravo II™ Megaboss® 12-Amp Hard Body Upright, Replacement Belts, 2 Belts per Pack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</si>
  <si>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</si>
  <si>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</si>
  <si>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</si>
  <si>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</si>
  <si>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</si>
  <si>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</si>
  <si>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</si>
  <si>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</si>
  <si>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</si>
  <si>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</si>
  <si>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</si>
  <si>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</si>
  <si>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</si>
  <si>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</si>
  <si>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Hunter Lopez</t>
  </si>
  <si>
    <t>Lexmark Z55se Color Inkjet Printer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</si>
  <si>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</si>
  <si>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</si>
  <si>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</si>
  <si>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</si>
  <si>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</si>
  <si>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Fellowes Mobile Numeric Keypad, Graphite</t>
  </si>
  <si>
    <t>Polycom ViaVideo™ Desktop Video Communications Unit</t>
  </si>
  <si>
    <t>Staples Wirebound Steno Books, 6" x 9", 12/Pack</t>
  </si>
  <si>
    <t>Matthew Grinstein</t>
  </si>
  <si>
    <t>Eugene Hildebrand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</si>
  <si>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</si>
  <si>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</si>
  <si>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</si>
  <si>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</si>
  <si>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Gene McClure</t>
  </si>
  <si>
    <t>Larry Tron</t>
  </si>
  <si>
    <t>36X48 HARDFLOOR CHAIRMAT</t>
  </si>
  <si>
    <t>Sally Knutson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</si>
  <si>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</si>
  <si>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</si>
  <si>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</si>
  <si>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</si>
  <si>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</si>
  <si>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TimeportP7382</t>
  </si>
  <si>
    <t>Tyvek ® Top-Opening Peel &amp; Seel Envelopes, Plain White</t>
  </si>
  <si>
    <t>Hon 4700 Series Mobuis™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</si>
  <si>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</si>
  <si>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</si>
  <si>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</si>
  <si>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</si>
  <si>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石嘴山</t>
  </si>
  <si>
    <t>Shizuishan</t>
  </si>
  <si>
    <t>Office Impressions Heavy Duty Welded Shelving &amp; Multimedia Storage Drawers</t>
  </si>
  <si>
    <t>Fluorescent Highlighters by Dixon</t>
  </si>
  <si>
    <t>Binney &amp; Smith inkTank™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</si>
  <si>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</si>
  <si>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</si>
  <si>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</si>
  <si>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</si>
  <si>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</si>
  <si>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</si>
  <si>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</si>
  <si>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</si>
  <si>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</si>
  <si>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</si>
  <si>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</si>
  <si>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</si>
  <si>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</si>
  <si>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</si>
  <si>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</si>
  <si>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2180</t>
  </si>
  <si>
    <t>Trudy Brown</t>
  </si>
  <si>
    <t>本溪</t>
  </si>
  <si>
    <t>Benxi</t>
  </si>
  <si>
    <t>Hon Pagoda™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</si>
  <si>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</si>
  <si>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</si>
  <si>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</si>
  <si>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Melanie Page</t>
  </si>
  <si>
    <t>Acme Galleria® Hot Forged Steel Scissors with Colored Handles</t>
  </si>
  <si>
    <t>Global Ergonomic Managers Chair</t>
  </si>
  <si>
    <t>Evan Minnotte</t>
  </si>
  <si>
    <t>Boston KS Multi-Size Manual Pencil Sharpener</t>
  </si>
  <si>
    <t>Hunt BOSTON® Vista® Battery-Operated Pencil Sharpener, Black</t>
  </si>
  <si>
    <t>Belkin 107-key enhanced keyboard, USB/PS/2 interface</t>
  </si>
  <si>
    <t>Stacking Tray, Side-Loading, Legal, Smoke</t>
  </si>
  <si>
    <t>Xerox 1897</t>
  </si>
  <si>
    <t>嘉兴</t>
  </si>
  <si>
    <t>Jiaxing</t>
  </si>
  <si>
    <t>Guy Phonely</t>
  </si>
  <si>
    <t>Acco Smartsocket® Color-Coded Six-Outlet AC Adapter Model Surge Protectors</t>
  </si>
  <si>
    <t>Jesus Ocampo</t>
  </si>
  <si>
    <t>Doug Bickford</t>
  </si>
  <si>
    <t>Bevis Boat-Shaped Conference Table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</si>
  <si>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</si>
  <si>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</si>
  <si>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</si>
  <si>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</si>
  <si>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</si>
  <si>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</si>
  <si>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</si>
  <si>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</si>
  <si>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宿迁</t>
  </si>
  <si>
    <t>Suqian</t>
  </si>
  <si>
    <t>Joni Wasserman</t>
  </si>
  <si>
    <t>600 Series Flip</t>
  </si>
  <si>
    <t>Dave Brooks</t>
  </si>
  <si>
    <t>Xerox 1954</t>
  </si>
  <si>
    <t>Jocasta Rupert</t>
  </si>
  <si>
    <t>Aaron Hawkins</t>
  </si>
  <si>
    <t>Eldon Econocleat® Chair Mats for Low Pile Carpets</t>
  </si>
  <si>
    <t>A1228</t>
  </si>
  <si>
    <t>Deborah Brumfield</t>
  </si>
  <si>
    <t>V70</t>
  </si>
  <si>
    <t>Xerox 199</t>
  </si>
  <si>
    <t>Dianna Wilson</t>
  </si>
  <si>
    <t>Saphhira Shifley</t>
  </si>
  <si>
    <t>Avery Self-Adhesive Photo Pockets for Polaroid Photos</t>
  </si>
  <si>
    <t>Jamie Kunitz</t>
  </si>
  <si>
    <t>Xerox Blank Computer Paper</t>
  </si>
  <si>
    <t>Cyma Kinney</t>
  </si>
  <si>
    <t>Jenna Caffey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</si>
  <si>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</si>
  <si>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</si>
  <si>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</si>
  <si>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</si>
  <si>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</si>
  <si>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</si>
  <si>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</si>
  <si>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</si>
  <si>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</si>
  <si>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</si>
  <si>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</si>
  <si>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</si>
  <si>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</si>
  <si>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</si>
  <si>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</si>
  <si>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</si>
  <si>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Scot Coram</t>
  </si>
  <si>
    <t>Recycled Interoffice Envelopes with String and Button Closure, 10 x 13</t>
  </si>
  <si>
    <t>长治</t>
  </si>
  <si>
    <t>Changzhi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</si>
  <si>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</si>
  <si>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</si>
  <si>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</si>
  <si>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</si>
  <si>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</si>
  <si>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</si>
  <si>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</si>
  <si>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</si>
  <si>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Zoom V.92 USB External Faxmodem</t>
  </si>
  <si>
    <t>Lock-Up Easel 'Spel-Binder'</t>
  </si>
  <si>
    <t>Kalyca Meade</t>
  </si>
  <si>
    <t>Binney &amp; Smith inkTank™ Erasable Desk Highlighter, Chisel Tip, Yellow, 12/Box</t>
  </si>
  <si>
    <t>四平</t>
  </si>
  <si>
    <t>Siping</t>
  </si>
  <si>
    <t>Cardinal Holdit Business Card Pockets</t>
  </si>
  <si>
    <t>Jay Kimmel</t>
  </si>
  <si>
    <t>焦作</t>
  </si>
  <si>
    <t>Jiaozuo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</si>
  <si>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</si>
  <si>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</si>
  <si>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</si>
  <si>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</si>
  <si>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</si>
  <si>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</si>
  <si>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</si>
  <si>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Sarah Bern</t>
  </si>
  <si>
    <t>Presstex Flexible Ring Binders</t>
  </si>
  <si>
    <t>Matt Connell</t>
  </si>
  <si>
    <t>Nathan Gelder</t>
  </si>
  <si>
    <t>Prang Colored Pencils</t>
  </si>
  <si>
    <t>Patrick Bzostek</t>
  </si>
  <si>
    <t>Tenex Personal Self-Stacking Standard File Box, Black/Gray</t>
  </si>
  <si>
    <t>Laurel Beltran</t>
  </si>
  <si>
    <t>Maxell DVD-RAM Discs</t>
  </si>
  <si>
    <t>济南</t>
  </si>
  <si>
    <t>Jinan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</si>
  <si>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</si>
  <si>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</si>
  <si>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</si>
  <si>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</si>
  <si>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</si>
  <si>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</si>
  <si>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</si>
  <si>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</si>
  <si>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</si>
  <si>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Rogers® Profile Extra Capacity Storage Tub</t>
  </si>
  <si>
    <t>Valerie Mitchum</t>
  </si>
  <si>
    <t>Erica Smith</t>
  </si>
  <si>
    <t>Newell 329</t>
  </si>
  <si>
    <t>雅安</t>
  </si>
  <si>
    <t>Yaan</t>
  </si>
  <si>
    <t>Post-it® “Important Message” Note Pad, Neon Colors, 50 Sheets/Pad</t>
  </si>
  <si>
    <t>Epson Stylus 1520 Color Inkjet Printer</t>
  </si>
  <si>
    <t>SouthWestern Bell FA970 Digital Answering Machine with Time/Day Stamp</t>
  </si>
  <si>
    <t>Mark Cousins</t>
  </si>
  <si>
    <t>Southworth Structures Collection™</t>
  </si>
  <si>
    <t>Marina Lichtenstein</t>
  </si>
  <si>
    <t>Panasonic All Digital Answering System with Caller ID*, KX-TM150B</t>
  </si>
  <si>
    <t>Mike Gockenbach</t>
  </si>
  <si>
    <t>Ampad #10 Peel &amp; Seel®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</si>
  <si>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</si>
  <si>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</si>
  <si>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</si>
  <si>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</si>
  <si>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</si>
  <si>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</si>
  <si>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Loop™ Wire Binding Elements, 9/16" Spine, Black</t>
  </si>
  <si>
    <t>Avery Hi-Liter® Fluorescent Desk Style Markers</t>
  </si>
  <si>
    <t>Ivan Liston</t>
  </si>
  <si>
    <t>Carina Mini System Audio Rack, Model AR050B</t>
  </si>
  <si>
    <t>湖州</t>
  </si>
  <si>
    <t>Huzhou</t>
  </si>
  <si>
    <t>Ann Steele</t>
  </si>
  <si>
    <t>Panasonic KX-P2130 Dot Matrix Printer</t>
  </si>
  <si>
    <t>九江</t>
  </si>
  <si>
    <t>Jiujiang</t>
  </si>
  <si>
    <t>DAX Charcoal/Nickel-Tone Document Frame, 5 x 7</t>
  </si>
  <si>
    <t>iDEN i95</t>
  </si>
  <si>
    <t>Electrix Halogen Magnifier Lamp</t>
  </si>
  <si>
    <t>Cindy Stewart</t>
  </si>
  <si>
    <t>Grace Kelly</t>
  </si>
  <si>
    <t>Flat Face Poster Frame</t>
  </si>
  <si>
    <t>Accessory17</t>
  </si>
  <si>
    <t>Brad Norvell</t>
  </si>
  <si>
    <t>Dan Lawera</t>
  </si>
  <si>
    <t>Belkin 7 Outlet SurgeMaster Surge Protector with Phone Protection</t>
  </si>
  <si>
    <t>Anderson Hickey Conga Table Tops &amp; Accessories</t>
  </si>
  <si>
    <t>Plastic Binding Combs</t>
  </si>
  <si>
    <t>Troy Staebel</t>
  </si>
  <si>
    <t>Seth Thomas 14" Putty-Colored Wall Clock</t>
  </si>
  <si>
    <t>Hunter Glantz</t>
  </si>
  <si>
    <t>Pizazz® Global Quick File™</t>
  </si>
  <si>
    <t>Logitech Cordless Navigator Duo</t>
  </si>
  <si>
    <t>SimpliFile™ Personal File, Black Granite, 15w x 6-15/16d x 11-1/4h</t>
  </si>
  <si>
    <t>Cathy Prescott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</si>
  <si>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</si>
  <si>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</si>
  <si>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</si>
  <si>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</si>
  <si>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</si>
  <si>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</si>
  <si>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</si>
  <si>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</si>
  <si>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</si>
  <si>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</si>
  <si>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</si>
  <si>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</si>
  <si>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</si>
  <si>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</si>
  <si>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</si>
  <si>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</si>
  <si>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</si>
  <si>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232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</si>
  <si>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</si>
  <si>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</si>
  <si>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</si>
  <si>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</si>
  <si>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</si>
  <si>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</si>
  <si>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</si>
  <si>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</si>
  <si>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</si>
  <si>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Greg Guthrie</t>
  </si>
  <si>
    <t>Acco Suede Grain Vinyl Round Ring Binder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</si>
  <si>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</si>
  <si>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</si>
  <si>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</si>
  <si>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</si>
  <si>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</si>
  <si>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</si>
  <si>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</si>
  <si>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</si>
  <si>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</si>
  <si>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</si>
  <si>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</si>
  <si>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</si>
  <si>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Guangzhou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</si>
  <si>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</si>
  <si>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</si>
  <si>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</si>
  <si>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</si>
  <si>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</si>
  <si>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</si>
  <si>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</si>
  <si>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Jennifer Ferguson</t>
  </si>
  <si>
    <t>Eldon Radial Chair Mat for Low to Medium Pile Carpets</t>
  </si>
  <si>
    <t>Fellowes EZ Multi-Media Keyboard</t>
  </si>
  <si>
    <t>Holmes 99% HEPA Air Purifier</t>
  </si>
  <si>
    <t>Tensor "Hersey Kiss" Styled Floor Lamp</t>
  </si>
  <si>
    <t>Xerox 1906</t>
  </si>
  <si>
    <t>Fiskars® Softgrip Scissors</t>
  </si>
  <si>
    <t>Acme Kleencut® Forged Steel Scissors</t>
  </si>
  <si>
    <t>Karen Daniels</t>
  </si>
  <si>
    <t>Jim Mitchum</t>
  </si>
  <si>
    <t>Memorex 80 Minute CD-R Spindle, 100/Pack</t>
  </si>
  <si>
    <t>Pamela Coakley</t>
  </si>
  <si>
    <t>双鸭山</t>
  </si>
  <si>
    <t>Shuangyashan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</si>
  <si>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</si>
  <si>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</si>
  <si>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</si>
  <si>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</si>
  <si>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</si>
  <si>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</si>
  <si>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无锡</t>
  </si>
  <si>
    <t>Wuxi</t>
  </si>
  <si>
    <t>DMI Arturo Collection Mission-style Design Wood Chair</t>
  </si>
  <si>
    <t>Katherine Nockton</t>
  </si>
  <si>
    <t>Space Solutions™ Industrial Galvanized Steel Shelving.</t>
  </si>
  <si>
    <t>Denny Joy</t>
  </si>
  <si>
    <t>邯郸</t>
  </si>
  <si>
    <t>Handan</t>
  </si>
  <si>
    <t>Security-Tint Envelopes</t>
  </si>
  <si>
    <t>Avery 520</t>
  </si>
  <si>
    <t>Scot Wooten</t>
  </si>
  <si>
    <t>Accessory9</t>
  </si>
  <si>
    <t>Andy Yotov</t>
  </si>
  <si>
    <t>John Murray</t>
  </si>
  <si>
    <t>Global Enterprise™ Series Seating Low-Back Swivel/Tilt Chairs</t>
  </si>
  <si>
    <t>Frank Hawley</t>
  </si>
  <si>
    <t>Accessory23</t>
  </si>
  <si>
    <t>Allen Armold</t>
  </si>
  <si>
    <t>Acme® Office Executive Series Stainless Steel Trimmers</t>
  </si>
  <si>
    <t>Hewlett-Packard Deskjet 6122 Color Inkjet Printer</t>
  </si>
  <si>
    <t>Dan Reichenbach</t>
  </si>
  <si>
    <t>Xerox 1985</t>
  </si>
  <si>
    <t>Jill Matthias</t>
  </si>
  <si>
    <t>攀枝花</t>
  </si>
  <si>
    <t>Panzhihua</t>
  </si>
  <si>
    <t>MaryBeth Skach</t>
  </si>
  <si>
    <t>Eldon® 300 Class™ Desk Accessories, Black</t>
  </si>
  <si>
    <t>Staples 6 Outlet Surge</t>
  </si>
  <si>
    <t>Hon 4060 Series Tables</t>
  </si>
  <si>
    <t>Newell 307</t>
  </si>
  <si>
    <t>Acco D-Ring Binder w/DublLock®</t>
  </si>
  <si>
    <t>Executive Impressions 14" Contract Wall Clock</t>
  </si>
  <si>
    <t>Noah Childs</t>
  </si>
  <si>
    <t>Advantus Push Pins</t>
  </si>
  <si>
    <t>Rush Hierlooms Collection 1" Thick Stackable Bookcases</t>
  </si>
  <si>
    <t>Eldon® 200 Class™ Desk Accessories</t>
  </si>
  <si>
    <t>Eldon® Image Series Desk Accessories, Burgundy</t>
  </si>
  <si>
    <t>Accessory27</t>
  </si>
  <si>
    <t>Theresa Coyne</t>
  </si>
  <si>
    <t>Xerox 1953</t>
  </si>
  <si>
    <t>Bobby Trafton</t>
  </si>
  <si>
    <t>Verbatim 4.7GB DVD-R</t>
  </si>
  <si>
    <t>Fellowes High-Stak®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</si>
  <si>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</si>
  <si>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</si>
  <si>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</si>
  <si>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</si>
  <si>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</si>
  <si>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丹东</t>
  </si>
  <si>
    <t>Dandong</t>
  </si>
  <si>
    <t>Sauder Facets Collection Library, Sky Alder Finish</t>
  </si>
  <si>
    <t>Rick Duston</t>
  </si>
  <si>
    <t>Airmail Envelopes</t>
  </si>
  <si>
    <t>Henia Zydlo</t>
  </si>
  <si>
    <t>晋城</t>
  </si>
  <si>
    <t>Jincheng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</si>
  <si>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</si>
  <si>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</si>
  <si>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</si>
  <si>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</si>
  <si>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</si>
  <si>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</si>
  <si>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Tracy Blumstein</t>
  </si>
  <si>
    <t>三门峡</t>
  </si>
  <si>
    <t>Sanmenxia</t>
  </si>
  <si>
    <t>Fellowes Officeware™ Wire Shelving</t>
  </si>
  <si>
    <t>IBM Numeric Access II Keypad, 17-Key, Black</t>
  </si>
  <si>
    <t>Prang Dustless Chalk Sticks</t>
  </si>
  <si>
    <t>Xerox 221</t>
  </si>
  <si>
    <t>5170</t>
  </si>
  <si>
    <t>TIMEPORT P8767</t>
  </si>
  <si>
    <t>David Smith</t>
  </si>
  <si>
    <t>Turquoise Lead Holder with Pocket Clip</t>
  </si>
  <si>
    <t>Juliana Krohn</t>
  </si>
  <si>
    <t>Canon Image Class D660 Copier</t>
  </si>
  <si>
    <t>Angele Hood</t>
  </si>
  <si>
    <t>John Lee</t>
  </si>
  <si>
    <t>Jason Fortune</t>
  </si>
  <si>
    <t>12 Colored Short Pencils</t>
  </si>
  <si>
    <t>Erica Hernandez</t>
  </si>
  <si>
    <t>Staples #10 Colored Envelopes</t>
  </si>
  <si>
    <t>辽源</t>
  </si>
  <si>
    <t>Liaoyuan</t>
  </si>
  <si>
    <t>Howard Miller 16" Diameter Gallery Wall Clock</t>
  </si>
  <si>
    <t>Xerox 1917</t>
  </si>
  <si>
    <t>Tuff Stuff™ Recycled Round Ring Binders</t>
  </si>
  <si>
    <t>Newell 327</t>
  </si>
  <si>
    <t>Kensington 4 Outlet MasterPiece® Compact Power Control Center</t>
  </si>
  <si>
    <t>Darrin Sayre</t>
  </si>
  <si>
    <t>Toby Knight</t>
  </si>
  <si>
    <t>Fellowes Super Stor/Drawer® Files</t>
  </si>
  <si>
    <t>Astroparche® Fine Business Paper</t>
  </si>
  <si>
    <t>Avery®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</si>
  <si>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</si>
  <si>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</si>
  <si>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</si>
  <si>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</si>
  <si>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</si>
  <si>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</si>
  <si>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</si>
  <si>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Anemone Ratner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</si>
  <si>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</si>
  <si>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</si>
  <si>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</si>
  <si>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</si>
  <si>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梧州</t>
  </si>
  <si>
    <t>Wuzhou</t>
  </si>
  <si>
    <t>青岛</t>
  </si>
  <si>
    <t>Qingdao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</si>
  <si>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</si>
  <si>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</si>
  <si>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</si>
  <si>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</si>
  <si>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</si>
  <si>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</si>
  <si>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</si>
  <si>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Naresj Patel</t>
  </si>
  <si>
    <t>Staples Gold Paper Clips</t>
  </si>
  <si>
    <t>Brian Thompson</t>
  </si>
  <si>
    <t>Ruben Ausman</t>
  </si>
  <si>
    <t>Patricia Hirasaki</t>
  </si>
  <si>
    <t>Paul Gonzalez</t>
  </si>
  <si>
    <t>宜昌</t>
  </si>
  <si>
    <t>Yichang</t>
  </si>
  <si>
    <t>Erin Mull</t>
  </si>
  <si>
    <t>Tensor Computer Mounted Lamp</t>
  </si>
  <si>
    <t>Larry Hughes</t>
  </si>
  <si>
    <t>Deflect-o Glass Clear Studded Chair Mats</t>
  </si>
  <si>
    <t>Magdelene Morse</t>
  </si>
  <si>
    <t>Katherine Hughes</t>
  </si>
  <si>
    <t>莆田</t>
  </si>
  <si>
    <t>Putian</t>
  </si>
  <si>
    <t>Xerox 1972</t>
  </si>
  <si>
    <t>Greg Maxwell</t>
  </si>
  <si>
    <t>SANFORD Major Accent™ Highlighters</t>
  </si>
  <si>
    <t>Cari MacIntyre</t>
  </si>
  <si>
    <t>V2397</t>
  </si>
  <si>
    <t>Eldon Spacemaker® Box, Quick-Snap Lid, Clear</t>
  </si>
  <si>
    <t>Beth Fritzler</t>
  </si>
  <si>
    <t>Xerox 20</t>
  </si>
  <si>
    <t>Chris Selesnick</t>
  </si>
  <si>
    <t>Paul Van Hugh</t>
  </si>
  <si>
    <t>Colorific® Watercolor Pencils</t>
  </si>
  <si>
    <t>锦州</t>
  </si>
  <si>
    <t>Jinzhou</t>
  </si>
  <si>
    <t>巴中</t>
  </si>
  <si>
    <t>Bazhong</t>
  </si>
  <si>
    <t>Avery Hi-Liter® EverBold™ Pen Style Fluorescent Highlighters, 4/Pack</t>
  </si>
  <si>
    <t>Tyvek ® Top-Opening Peel &amp; Seel ® Envelopes, Gray</t>
  </si>
  <si>
    <t>Jeremy Farry</t>
  </si>
  <si>
    <t>宝鸡</t>
  </si>
  <si>
    <t>Baoji</t>
  </si>
  <si>
    <t>Xerox 1982</t>
  </si>
  <si>
    <t>Sanford EarthWrite® Recycled Pencils, Medium Soft, #2</t>
  </si>
  <si>
    <t>Premier Elliptical Ring Binder, Black</t>
  </si>
  <si>
    <t>Staples Colored Bar Computer Paper</t>
  </si>
  <si>
    <t>BASF Silver 74 Minute CD-R</t>
  </si>
  <si>
    <t>BOSTON® Ranger® #55 Pencil Sharpener, Black</t>
  </si>
  <si>
    <t>Janet Martin</t>
  </si>
  <si>
    <t>Eldon Shelf Savers™ Cubes and Bins</t>
  </si>
  <si>
    <t>Fellowes Neat Ideas®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</si>
  <si>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</si>
  <si>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</si>
  <si>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</si>
  <si>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</si>
  <si>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</si>
  <si>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</si>
  <si>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</si>
  <si>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Acme®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</si>
  <si>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</si>
  <si>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</si>
  <si>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</si>
  <si>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</si>
  <si>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</si>
  <si>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</si>
  <si>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</si>
  <si>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</si>
  <si>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</si>
  <si>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</si>
  <si>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</si>
  <si>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</si>
  <si>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Duane Benoit</t>
  </si>
  <si>
    <t>Office Star Flex Back Scooter Chair with White Frame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</si>
  <si>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</si>
  <si>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</si>
  <si>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</si>
  <si>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</si>
  <si>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</si>
  <si>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</si>
  <si>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Cleatmat® Chair Mats for Medium Pile Carpets</t>
  </si>
  <si>
    <t>Fellowes Bases and Tops For Staxonsteel®/High-Stak® Systems</t>
  </si>
  <si>
    <t>Logitech Cordless Keyboard</t>
  </si>
  <si>
    <t>株洲</t>
  </si>
  <si>
    <t>Zhuzhou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</si>
  <si>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</si>
  <si>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</si>
  <si>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</si>
  <si>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</si>
  <si>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</si>
  <si>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</si>
  <si>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#10 Self-Seal White Envelopes</t>
  </si>
  <si>
    <t>Nora Pelletier</t>
  </si>
  <si>
    <t>营口</t>
  </si>
  <si>
    <t>Yingkou</t>
  </si>
  <si>
    <t>Avery 485</t>
  </si>
  <si>
    <t>Jonathan Howell</t>
  </si>
  <si>
    <t>Roland Black</t>
  </si>
  <si>
    <t>Matthew Clasen</t>
  </si>
  <si>
    <t>Storex Dura Pro™ Binders</t>
  </si>
  <si>
    <t>吴忠</t>
  </si>
  <si>
    <t>Wuzhong</t>
  </si>
  <si>
    <t>Telescoping Adjustable Floor Lamp</t>
  </si>
  <si>
    <t>Craig Rider</t>
  </si>
  <si>
    <t>Xerox 1951</t>
  </si>
  <si>
    <t>Jeremy Lonsdale</t>
  </si>
  <si>
    <t>绍兴</t>
  </si>
  <si>
    <t>Shaoxing</t>
  </si>
  <si>
    <t>Round Ring Binders</t>
  </si>
  <si>
    <t>Rob Williams</t>
  </si>
  <si>
    <t>Chuck Magee</t>
  </si>
  <si>
    <t>Bart Pistole</t>
  </si>
  <si>
    <t>泸州</t>
  </si>
  <si>
    <t>Luzhou</t>
  </si>
  <si>
    <t>V8160</t>
  </si>
  <si>
    <t>Linda Cazamias</t>
  </si>
  <si>
    <t>Avery 511</t>
  </si>
  <si>
    <t>邢台</t>
  </si>
  <si>
    <t>Xingtai</t>
  </si>
  <si>
    <t>Brendan Murry</t>
  </si>
  <si>
    <t>资阳</t>
  </si>
  <si>
    <t>Ziyang</t>
  </si>
  <si>
    <t>Message Book, Standard Line "While You Were Out", 5 1/2" X 4", 200 Sets/Book</t>
  </si>
  <si>
    <t>Cassandra Brandow</t>
  </si>
  <si>
    <t>6185</t>
  </si>
  <si>
    <t>Jason Gross</t>
  </si>
  <si>
    <t>Howard Miller 12-3/4 Diameter Accuwave DS ™ Wall Clock</t>
  </si>
  <si>
    <t>Laminate Occasional Tables</t>
  </si>
  <si>
    <t>Jim Sink</t>
  </si>
  <si>
    <t>Telephone Message Books with Fax/Mobile Section, 4 1/4" x 6"</t>
  </si>
  <si>
    <t>Amy Cox</t>
  </si>
  <si>
    <t>淄博</t>
  </si>
  <si>
    <t>Zibo</t>
  </si>
  <si>
    <t>File Shuttle II and Handi-File, Black</t>
  </si>
  <si>
    <t>Maribeth Yedwab</t>
  </si>
  <si>
    <t>Verbatim DVD-R 4.7GB authoring disc</t>
  </si>
  <si>
    <t>Nat Carroll</t>
  </si>
  <si>
    <t>Harold Pawlan</t>
  </si>
  <si>
    <t>北海</t>
  </si>
  <si>
    <t>Beihai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</si>
  <si>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</si>
  <si>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</si>
  <si>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</si>
  <si>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</si>
  <si>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</si>
  <si>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</si>
  <si>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</si>
  <si>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乌海</t>
  </si>
  <si>
    <t>Wuhai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</si>
  <si>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</si>
  <si>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</si>
  <si>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</si>
  <si>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</si>
  <si>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</si>
  <si>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</si>
  <si>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</si>
  <si>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</si>
  <si>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</si>
  <si>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衢州</t>
  </si>
  <si>
    <t>Quzhou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</si>
  <si>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</si>
  <si>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</si>
  <si>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</si>
  <si>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</si>
  <si>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</si>
  <si>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</si>
  <si>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</si>
  <si>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</si>
  <si>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</si>
  <si>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</si>
  <si>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</si>
  <si>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</si>
  <si>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咸阳</t>
  </si>
  <si>
    <t>Xianyang</t>
  </si>
  <si>
    <t>Xerox 1963</t>
  </si>
  <si>
    <t>徐州</t>
  </si>
  <si>
    <t>Xuzhou</t>
  </si>
  <si>
    <t>Canon PC-428 Personal Copier</t>
  </si>
  <si>
    <t>C-Line Cubicle Keepers Polyproplyene Holder w/Velcro®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</si>
  <si>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</si>
  <si>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</si>
  <si>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</si>
  <si>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</si>
  <si>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</si>
  <si>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</si>
  <si>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</si>
  <si>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</si>
  <si>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</si>
  <si>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</si>
  <si>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</si>
  <si>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通化</t>
  </si>
  <si>
    <t>Tonghua</t>
  </si>
  <si>
    <t>Sharp EL501VB Scientific Calculator, Battery Operated, 10-Digit Display, Hard Case</t>
  </si>
  <si>
    <t>德阳</t>
  </si>
  <si>
    <t>Deyang</t>
  </si>
  <si>
    <t>Bretford “Just In Time” Height-Adjustable Multi-Task Work Tables</t>
  </si>
  <si>
    <t>Xerox 1937</t>
  </si>
  <si>
    <t>洛阳</t>
  </si>
  <si>
    <t>Luoyang</t>
  </si>
  <si>
    <t>Standard Line™ “While You Were Out” Hardbound Telephone Message Book</t>
  </si>
  <si>
    <t>Frank Atkinson</t>
  </si>
  <si>
    <t>SAFCO Boltless Steel Shelving</t>
  </si>
  <si>
    <t>Memorex 'Cool' 80 Minute CD-R Spindle, 25/Pack</t>
  </si>
  <si>
    <t>Heather Kirkland</t>
  </si>
  <si>
    <t>金昌</t>
  </si>
  <si>
    <t>Jinchang</t>
  </si>
  <si>
    <t>Executive Impressions 13-1/2" Indoor/Outdoor Wall Clock</t>
  </si>
  <si>
    <t>Lindsay Shagiari</t>
  </si>
  <si>
    <t>Fred Wasserman</t>
  </si>
  <si>
    <t>Tom Ashbrook</t>
  </si>
  <si>
    <t>淮南</t>
  </si>
  <si>
    <t>Huainan</t>
  </si>
  <si>
    <t>DPC 650 Piper</t>
  </si>
  <si>
    <t>GBC Durable Plastic Covers</t>
  </si>
  <si>
    <t>Eldon® Expressions™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</si>
  <si>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</si>
  <si>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</si>
  <si>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</si>
  <si>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</si>
  <si>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</si>
  <si>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</si>
  <si>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Micro Innovations Media Access Pro Keyboard</t>
  </si>
  <si>
    <t>朔州</t>
  </si>
  <si>
    <t>Shuozhou</t>
  </si>
  <si>
    <t>Office Star - Professional Matrix Back Chair with 2-to-1 Synchro Tilt and Mesh Fabric Seat</t>
  </si>
  <si>
    <t>Poly Designer Cover &amp; Back</t>
  </si>
  <si>
    <t>Adams Telephone Message Books, 5 1/4” x 11”</t>
  </si>
  <si>
    <t>安顺</t>
  </si>
  <si>
    <t>Anshun</t>
  </si>
  <si>
    <t>襄阳</t>
  </si>
  <si>
    <t>Xiangyang</t>
  </si>
  <si>
    <t>Jamie Frazer</t>
  </si>
  <si>
    <t>Snap-A-Way®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</si>
  <si>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</si>
  <si>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</si>
  <si>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</si>
  <si>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</si>
  <si>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</si>
  <si>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</si>
  <si>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</si>
  <si>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</si>
  <si>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绵阳</t>
  </si>
  <si>
    <t>Mianyang</t>
  </si>
  <si>
    <t>Bradley Talbott</t>
  </si>
  <si>
    <t>三亚</t>
  </si>
  <si>
    <t>Sanya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</si>
  <si>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</si>
  <si>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</si>
  <si>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</si>
  <si>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</si>
  <si>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</si>
  <si>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PRESSTEX® Data Binder with Storage Hooks, Dark Blue, 9 1/2" X 11"</t>
  </si>
  <si>
    <t>Soundgear TeleForum DX Desktop Conference Phone</t>
  </si>
  <si>
    <t>CF 888</t>
  </si>
  <si>
    <t>赤峰</t>
  </si>
  <si>
    <t>Chifeng</t>
  </si>
  <si>
    <t>Hewlett-Packard Business Color Inkjet 3000 [N, DTN] Series Printers</t>
  </si>
  <si>
    <t>Maris LaWare</t>
  </si>
  <si>
    <t>Desktop 3-Pocket Hot File®</t>
  </si>
  <si>
    <t>大庆</t>
  </si>
  <si>
    <t>Daqing</t>
  </si>
  <si>
    <t>Xerox 226</t>
  </si>
  <si>
    <t>渭南</t>
  </si>
  <si>
    <t>Weinan</t>
  </si>
  <si>
    <t>6120</t>
  </si>
  <si>
    <t>河源</t>
  </si>
  <si>
    <t>Heyuan</t>
  </si>
  <si>
    <t>O'Sullivan Living Dimensions 3-Shelf Bookcases</t>
  </si>
  <si>
    <t>保定</t>
  </si>
  <si>
    <t>Baoding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</si>
  <si>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</si>
  <si>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</si>
  <si>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</si>
  <si>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</si>
  <si>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三明</t>
  </si>
  <si>
    <t>Sanming</t>
  </si>
  <si>
    <t>枣庄</t>
  </si>
  <si>
    <t>Zaozhuang</t>
  </si>
  <si>
    <t>湘潭</t>
  </si>
  <si>
    <t>Xiangtan</t>
  </si>
  <si>
    <t>马鞍山</t>
  </si>
  <si>
    <t>Maanshan</t>
  </si>
  <si>
    <t>濮阳</t>
  </si>
  <si>
    <t>Puyang</t>
  </si>
  <si>
    <t>Xerox 1995</t>
  </si>
  <si>
    <t>晋中</t>
  </si>
  <si>
    <t>Jinzhong</t>
  </si>
  <si>
    <t>Luxo Adjustable Task Clamp Lamp</t>
  </si>
  <si>
    <t>Victoria Brennan</t>
  </si>
  <si>
    <t>广元</t>
  </si>
  <si>
    <t>Guangyuan</t>
  </si>
  <si>
    <t>GBC Poly Designer Binding Covers</t>
  </si>
  <si>
    <t>Xerox 229</t>
  </si>
  <si>
    <t>Mick Brown</t>
  </si>
  <si>
    <t>Anthony Jacobs</t>
  </si>
  <si>
    <t>Trimflex™ Flexible Post Binders</t>
  </si>
  <si>
    <t>Luxo Economy Swing Arm Lamp</t>
  </si>
  <si>
    <t>赣州</t>
  </si>
  <si>
    <t>Ganzhou</t>
  </si>
  <si>
    <t>Accessory12</t>
  </si>
  <si>
    <t>Holmes Harmony HEPA Air Purifier for 17 x 20 Room</t>
  </si>
  <si>
    <t>惠州</t>
  </si>
  <si>
    <t>Huizhou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</si>
  <si>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</si>
  <si>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</si>
  <si>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</si>
  <si>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</si>
  <si>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</si>
  <si>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</si>
  <si>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</si>
  <si>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Acme® Design Stainless Steel Bent Scissors</t>
  </si>
  <si>
    <t>Ames Color-File® Green Diamond Border X-ray Mailers</t>
  </si>
  <si>
    <t>George Bell</t>
  </si>
  <si>
    <t>Chris McAfee</t>
  </si>
  <si>
    <t>Lumber Crayons</t>
  </si>
  <si>
    <t>Ultra Door Push Plate</t>
  </si>
  <si>
    <t>荆州</t>
  </si>
  <si>
    <t>Jingzhou</t>
  </si>
  <si>
    <t>Charles McCrossin</t>
  </si>
  <si>
    <t>Staples Paper Clips</t>
  </si>
  <si>
    <t>Eureka The Boss® Plus 12-Amp Hard Box Upright Vacuum, Red</t>
  </si>
  <si>
    <t>白银</t>
  </si>
  <si>
    <t>Baiyin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</si>
  <si>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</si>
  <si>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</si>
  <si>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</si>
  <si>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</si>
  <si>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</si>
  <si>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</si>
  <si>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通辽</t>
  </si>
  <si>
    <t>Tongliao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</si>
  <si>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</si>
  <si>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</si>
  <si>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</si>
  <si>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</si>
  <si>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</si>
  <si>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常州</t>
  </si>
  <si>
    <t>Changzhou</t>
  </si>
  <si>
    <t>Sanford Pocket Accent® Highlighters</t>
  </si>
  <si>
    <t>Fellowes Mighty 8 Compact Surge Protector</t>
  </si>
  <si>
    <t>Hoover®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</si>
  <si>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</si>
  <si>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</si>
  <si>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</si>
  <si>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</si>
  <si>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Collection®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</si>
  <si>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</si>
  <si>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</si>
  <si>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</si>
  <si>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</si>
  <si>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</si>
  <si>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Expressions™ Desk Accessory, Wood Photo Frame, Mahogany</t>
  </si>
  <si>
    <t>Hunt Boston® Vacuum Mount KS Pencil Sharpener</t>
  </si>
  <si>
    <t>Philisse Overcash</t>
  </si>
  <si>
    <t>遂宁</t>
  </si>
  <si>
    <t>Suining</t>
  </si>
  <si>
    <t>Stephanie Ulpright</t>
  </si>
  <si>
    <t>东营</t>
  </si>
  <si>
    <t>Dongying</t>
  </si>
  <si>
    <t>Xerox 1896</t>
  </si>
  <si>
    <t>Daniel Raglin</t>
  </si>
  <si>
    <t>伊春</t>
  </si>
  <si>
    <t>Yichun</t>
  </si>
  <si>
    <t>Memo Book, 100 Message Capacity, 5 3/8” x 11”</t>
  </si>
  <si>
    <t>Avery File Folder Labels</t>
  </si>
  <si>
    <t>Xerox 1933</t>
  </si>
  <si>
    <t>Pete Kriz</t>
  </si>
  <si>
    <t>GBC DocuBind TL200 Manual Binding Machine</t>
  </si>
  <si>
    <t>淮北</t>
  </si>
  <si>
    <t>Huaibei</t>
  </si>
  <si>
    <t>Shaun Chance</t>
  </si>
  <si>
    <t>Sarah Foster</t>
  </si>
  <si>
    <t>衡阳</t>
  </si>
  <si>
    <t>Hengyang</t>
  </si>
  <si>
    <t>SAFCO Optional Arm Kit for Workspace® Cribbage Stacking Chair</t>
  </si>
  <si>
    <t>Avery Hole Reinforcements</t>
  </si>
  <si>
    <t>Chad McGuire</t>
  </si>
  <si>
    <t>Rachel Payne</t>
  </si>
  <si>
    <t>烟台</t>
  </si>
  <si>
    <t>Yantai</t>
  </si>
  <si>
    <t>5185</t>
  </si>
  <si>
    <t>Nick Zandusky</t>
  </si>
  <si>
    <t>内江</t>
  </si>
  <si>
    <t>Neijiang</t>
  </si>
  <si>
    <t>Multicolor Computer Printout Paper</t>
  </si>
  <si>
    <t>延安</t>
  </si>
  <si>
    <t>Yanan</t>
  </si>
  <si>
    <t>运城</t>
  </si>
  <si>
    <t>Yuncheng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</si>
  <si>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</si>
  <si>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</si>
  <si>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</si>
  <si>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</si>
  <si>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</si>
  <si>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泰州</t>
  </si>
  <si>
    <t>Taizhou</t>
  </si>
  <si>
    <t>Hoover Replacement Belt for Commercial Guardsman Heavy-Duty Upright Vacuum</t>
  </si>
  <si>
    <t>Richard Bierner</t>
  </si>
  <si>
    <t>江门</t>
  </si>
  <si>
    <t>Jiangmen</t>
  </si>
  <si>
    <t>Safco Value Mate Steel Bookcase, Baked Enamel Finish on Steel, Black</t>
  </si>
  <si>
    <t>Joni Sundaresam</t>
  </si>
  <si>
    <t>Dixon Ticonderoga® Erasable Colored Pencil Set, 12-Color</t>
  </si>
  <si>
    <t>Xerox 4200 Series MultiUse Premium Copy Paper (20Lb. and 84 Bright)</t>
  </si>
  <si>
    <t>Avery® 3 1/2" Diskette Storage Pages, 10/Pack</t>
  </si>
  <si>
    <t>Cathy Hwang</t>
  </si>
  <si>
    <t>Panasonic KX-P3626 Dot Matrix Printer</t>
  </si>
  <si>
    <t>Wilson Jones Easy Flow II™ Sheet Lifters</t>
  </si>
  <si>
    <t>Craig Carreira</t>
  </si>
  <si>
    <t>Victoria Wilson</t>
  </si>
  <si>
    <t>Paul Stevenson</t>
  </si>
  <si>
    <t>天水</t>
  </si>
  <si>
    <t>Tianshui</t>
  </si>
  <si>
    <t>Electrix Architect's Clamp-On Swing Arm Lamp, Black</t>
  </si>
  <si>
    <t>Fellowes 8 Outlet Superior Workstation Surge Protector</t>
  </si>
  <si>
    <t>Eldon® Executive Woodline II Desk Accessories, Mahogany</t>
  </si>
  <si>
    <t>平顶山</t>
  </si>
  <si>
    <t>Pingdingshan</t>
  </si>
  <si>
    <t>Verbatim DVD Rewritable Disc, Single-Sided, 4.7GB</t>
  </si>
  <si>
    <t>Parhena Norris</t>
  </si>
  <si>
    <t>Xerox 1989</t>
  </si>
  <si>
    <t>Frank Olsen</t>
  </si>
  <si>
    <t>Global Comet™ Stacking Armless Chair</t>
  </si>
  <si>
    <t>Model L Table or Wall-Mount Pencil Sharpener</t>
  </si>
  <si>
    <t>铜陵</t>
  </si>
  <si>
    <t>Tongling</t>
  </si>
  <si>
    <t>Adrian Shami</t>
  </si>
  <si>
    <t>Eldon Wave Desk Accessories</t>
  </si>
  <si>
    <t>Office Star Flex Back Scooter Chair with Aluminum Finish Frame</t>
  </si>
  <si>
    <t>邵阳</t>
  </si>
  <si>
    <t>Shaoyang</t>
  </si>
  <si>
    <t>Greg Hansen</t>
  </si>
  <si>
    <t>Lisa Ryan</t>
  </si>
  <si>
    <t>Shahid Collister</t>
  </si>
  <si>
    <t>鄂州</t>
  </si>
  <si>
    <t>Ezhou</t>
  </si>
  <si>
    <t>Emily Burns</t>
  </si>
  <si>
    <t>舟山</t>
  </si>
  <si>
    <t>Zhoushan</t>
  </si>
  <si>
    <t>Vivek Sundaresam</t>
  </si>
  <si>
    <t>Michelle Huthwaite</t>
  </si>
  <si>
    <t>揭阳</t>
  </si>
  <si>
    <t>Jieyang</t>
  </si>
  <si>
    <t>Doug O'Connell</t>
  </si>
  <si>
    <t>鄂尔多斯</t>
  </si>
  <si>
    <t>Eerduosi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</si>
  <si>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</si>
  <si>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</si>
  <si>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</si>
  <si>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</si>
  <si>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</si>
  <si>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</si>
  <si>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</si>
  <si>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</si>
  <si>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</si>
  <si>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</si>
  <si>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</si>
  <si>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佳木斯</t>
  </si>
  <si>
    <t>Jiamusi</t>
  </si>
  <si>
    <t>乐山</t>
  </si>
  <si>
    <t>Leshan</t>
  </si>
  <si>
    <t>Fiskars 8" Scissors, 2/Pack</t>
  </si>
  <si>
    <t>Lesro Round Back Collection Coffee Table, End Table</t>
  </si>
  <si>
    <t>Natalie DeCherney</t>
  </si>
  <si>
    <t>白山</t>
  </si>
  <si>
    <t>Baishan</t>
  </si>
  <si>
    <t>Tenex Personal Filing Tote With Secure Closure Lid, Black/Frost</t>
  </si>
  <si>
    <t>Newell 325</t>
  </si>
  <si>
    <t>固原</t>
  </si>
  <si>
    <t>Guyuan</t>
  </si>
  <si>
    <t>潍坊</t>
  </si>
  <si>
    <t>Weifang</t>
  </si>
  <si>
    <t>上饶</t>
  </si>
  <si>
    <t>Shangrao</t>
  </si>
  <si>
    <t>Toby Braunhardt</t>
  </si>
  <si>
    <t>Strathmore #10 Envelopes, Ultimate White</t>
  </si>
  <si>
    <t>Avery Binding System Hidden Tab™ Executive Style Index Sets</t>
  </si>
  <si>
    <t>Bart Watters</t>
  </si>
  <si>
    <t>Neoma Murray</t>
  </si>
  <si>
    <t>Mary O'Rourke</t>
  </si>
  <si>
    <t>苏州</t>
  </si>
  <si>
    <t>Suzhou</t>
  </si>
  <si>
    <t>Joel Jenkins</t>
  </si>
  <si>
    <t>阜新</t>
  </si>
  <si>
    <t>Fuxin</t>
  </si>
  <si>
    <t>武威</t>
  </si>
  <si>
    <t>Wuwei</t>
  </si>
  <si>
    <t>Xerox 209</t>
  </si>
  <si>
    <t>Karen Bern</t>
  </si>
  <si>
    <t>Julie Kriz</t>
  </si>
  <si>
    <t>Avery Non-Stick Binders</t>
  </si>
  <si>
    <t>六盘水</t>
  </si>
  <si>
    <t>Liupanshui</t>
  </si>
  <si>
    <t>泉州</t>
  </si>
  <si>
    <t>Quanzhou</t>
  </si>
  <si>
    <t>Kristen Hastings</t>
  </si>
  <si>
    <t>Xerox 1968</t>
  </si>
  <si>
    <t>Hon Valutask™ Swivel Chairs</t>
  </si>
  <si>
    <t>呼伦贝尔</t>
  </si>
  <si>
    <t>Hulunbeier</t>
  </si>
  <si>
    <t>Xerox 1998</t>
  </si>
  <si>
    <t>Eudokia Martin</t>
  </si>
  <si>
    <t>辽阳</t>
  </si>
  <si>
    <t>Liaoyang</t>
  </si>
  <si>
    <t>14-7/8 x 11 Blue Bar Computer Printout Paper</t>
  </si>
  <si>
    <t>松原</t>
  </si>
  <si>
    <t>Songyuan</t>
  </si>
  <si>
    <t>Hewlett Packard 6S Scientific Calculator</t>
  </si>
  <si>
    <t>Newell 351</t>
  </si>
  <si>
    <t>Fred Hopkins</t>
  </si>
  <si>
    <t>南阳</t>
  </si>
  <si>
    <t>Nanyang</t>
  </si>
  <si>
    <t>Toby Carlisle</t>
  </si>
  <si>
    <t>24 Capacity Maxi Data Binder Racks, Pearl</t>
  </si>
  <si>
    <t>南通</t>
  </si>
  <si>
    <t>Nantong</t>
  </si>
  <si>
    <t>梅州</t>
  </si>
  <si>
    <t>Meizhou</t>
  </si>
  <si>
    <t>Quality Park Security Envelopes</t>
  </si>
  <si>
    <t>Acco Clips to Go™ Binder Clips, 24 Clips in Two Sizes</t>
  </si>
  <si>
    <t>Hoover Commercial Lightweight Upright Vacuum with E-Z Empty™ Dirt Cup</t>
  </si>
  <si>
    <t>宜春</t>
  </si>
  <si>
    <t>Ted Butterfield</t>
  </si>
  <si>
    <t>岳阳</t>
  </si>
  <si>
    <t>Yueyang</t>
  </si>
  <si>
    <t>Todd Sumrall</t>
  </si>
  <si>
    <t>忻州</t>
  </si>
  <si>
    <t>Xinzhou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</si>
  <si>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</si>
  <si>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</si>
  <si>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</si>
  <si>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</si>
  <si>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</si>
  <si>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</si>
  <si>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</si>
  <si>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</si>
  <si>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安庆</t>
  </si>
  <si>
    <t>Anqing</t>
  </si>
  <si>
    <t>Dorothy Dickinson</t>
  </si>
  <si>
    <t>济宁</t>
  </si>
  <si>
    <t>Jining</t>
  </si>
  <si>
    <t>Rubber Band Ball</t>
  </si>
  <si>
    <t>Accessory1</t>
  </si>
  <si>
    <t>三沙</t>
  </si>
  <si>
    <t>Sansha</t>
  </si>
  <si>
    <t>Wilson Jones Standard D-Ring Binders</t>
  </si>
  <si>
    <t>Aimee Bixby</t>
  </si>
  <si>
    <t>漳州</t>
  </si>
  <si>
    <t>Zhangzhou</t>
  </si>
  <si>
    <t>Newell 332</t>
  </si>
  <si>
    <t>Avery Heavy-Duty EZD ™ Binder With Locking Rings</t>
  </si>
  <si>
    <t>Dot Matrix Printer Tape Reel Labels, White, 5000/Box</t>
  </si>
  <si>
    <t>巴彦淖尔</t>
  </si>
  <si>
    <t>Bayannaoer</t>
  </si>
  <si>
    <t>南充</t>
  </si>
  <si>
    <t>Nanchong</t>
  </si>
  <si>
    <t>安阳</t>
  </si>
  <si>
    <t>Anyang</t>
  </si>
  <si>
    <t>Staples Pushpins</t>
  </si>
  <si>
    <t>张家口</t>
  </si>
  <si>
    <t>Zhangjiakou</t>
  </si>
  <si>
    <t>Newell 333</t>
  </si>
  <si>
    <t>七台河</t>
  </si>
  <si>
    <t>Qitaihe</t>
  </si>
  <si>
    <t>Stanley Bostitch Contemporary Electric Pencil Sharpeners</t>
  </si>
  <si>
    <t>Boston 1799 Powerhouse™ Electric Pencil Sharpener</t>
  </si>
  <si>
    <t>防城港</t>
  </si>
  <si>
    <t>Fangchenggang</t>
  </si>
  <si>
    <t>张掖</t>
  </si>
  <si>
    <t>Zhangye</t>
  </si>
  <si>
    <t>Mark Hamilton</t>
  </si>
  <si>
    <t>台州</t>
  </si>
  <si>
    <t>Eldon Imàge® Series Desk Accessories, Clear</t>
  </si>
  <si>
    <t>Acco Pressboard Covers with Storage Hooks, 14 7/8" x 11", Executive Red</t>
  </si>
  <si>
    <t>白城</t>
  </si>
  <si>
    <t>Baicheng</t>
  </si>
  <si>
    <t>V66</t>
  </si>
  <si>
    <t>黄山</t>
  </si>
  <si>
    <t>Huangshan</t>
  </si>
  <si>
    <t>Advantus Plastic Paper Clips</t>
  </si>
  <si>
    <t>Sanford Colorific® Eraseable Coloring Pencils, 12 Count</t>
  </si>
  <si>
    <t>Colored Push Pins</t>
  </si>
  <si>
    <t>牡丹江</t>
  </si>
  <si>
    <t>Mudanjiang</t>
  </si>
  <si>
    <t>Hewlett Packard 610 Color Digital Copier / Printer</t>
  </si>
  <si>
    <t>眉山</t>
  </si>
  <si>
    <t>Meishan</t>
  </si>
  <si>
    <t>钦州</t>
  </si>
  <si>
    <t>Qinzhou</t>
  </si>
  <si>
    <t>克拉玛依</t>
  </si>
  <si>
    <t>Kelamayi</t>
  </si>
  <si>
    <t>清远</t>
  </si>
  <si>
    <t>Qingyuan</t>
  </si>
  <si>
    <t>常德</t>
  </si>
  <si>
    <t>Changde</t>
  </si>
  <si>
    <t>孝感</t>
  </si>
  <si>
    <t>Xiaogan</t>
  </si>
  <si>
    <t>Dean Braden</t>
  </si>
  <si>
    <t>聊城</t>
  </si>
  <si>
    <t>Liaocheng</t>
  </si>
  <si>
    <t>连云港</t>
  </si>
  <si>
    <t>Lianyungang</t>
  </si>
  <si>
    <t>云南省</t>
  </si>
  <si>
    <t>Yunnan</t>
  </si>
  <si>
    <t>昆明</t>
  </si>
  <si>
    <t>Kunming</t>
  </si>
  <si>
    <t>Geographics Note Cards, Blank, White, 8 1/2" x 11"</t>
  </si>
  <si>
    <t>Maria Etezadi</t>
  </si>
  <si>
    <t>遵义</t>
  </si>
  <si>
    <t>Zunyi</t>
  </si>
  <si>
    <t>贵港</t>
  </si>
  <si>
    <t>Guigang</t>
  </si>
  <si>
    <t>中卫</t>
  </si>
  <si>
    <t>Zhongwei</t>
  </si>
  <si>
    <t>滁州</t>
  </si>
  <si>
    <t>Chuzhou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</si>
  <si>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</si>
  <si>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</si>
  <si>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</si>
  <si>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</si>
  <si>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</si>
  <si>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临汾</t>
  </si>
  <si>
    <t>Linfen</t>
  </si>
  <si>
    <t>6162</t>
  </si>
  <si>
    <t>承德</t>
  </si>
  <si>
    <t>Chengde</t>
  </si>
  <si>
    <t>Blackstonian Pencils</t>
  </si>
  <si>
    <t>Chromcraft Bull-Nose Wood Round Conference Table Top, Wood Base</t>
  </si>
  <si>
    <t>Sensible Storage WireTech Storage Systems</t>
  </si>
  <si>
    <t>阜阳</t>
  </si>
  <si>
    <t>Fuyang</t>
  </si>
  <si>
    <t>汕尾</t>
  </si>
  <si>
    <t>Shanwei</t>
  </si>
  <si>
    <t>Dana Swing-Arm Lamps</t>
  </si>
  <si>
    <t>黑河</t>
  </si>
  <si>
    <t>Heihe</t>
  </si>
  <si>
    <t>Adams Telephone Message Book W/Dividers/Space For Phone Numbers, 5 1/4"X8 1/2", 200/Messages</t>
  </si>
  <si>
    <t>景德镇</t>
  </si>
  <si>
    <t>Jingdezhen</t>
  </si>
  <si>
    <t>南平</t>
  </si>
  <si>
    <t>Nanping</t>
  </si>
  <si>
    <t>玉林</t>
  </si>
  <si>
    <t>Yulin</t>
  </si>
  <si>
    <t>盘锦</t>
  </si>
  <si>
    <t>Panjin</t>
  </si>
  <si>
    <t>平凉</t>
  </si>
  <si>
    <t>Pingliang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</si>
  <si>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</si>
  <si>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</si>
  <si>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</si>
  <si>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</si>
  <si>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宿州</t>
  </si>
  <si>
    <t>泰安</t>
  </si>
  <si>
    <t>Taian</t>
  </si>
  <si>
    <t>六安</t>
  </si>
  <si>
    <t>Liuan</t>
  </si>
  <si>
    <t>韶关</t>
  </si>
  <si>
    <t>Shaoguan</t>
  </si>
  <si>
    <t>百色</t>
  </si>
  <si>
    <t>Baise</t>
  </si>
  <si>
    <t>抚州</t>
  </si>
  <si>
    <t>Barricks Non-Folding Utility Table with Steel Legs, Laminate Tops</t>
  </si>
  <si>
    <t>黄冈</t>
  </si>
  <si>
    <t>Huanggang</t>
  </si>
  <si>
    <t>张家界</t>
  </si>
  <si>
    <t>Zhangjiajie</t>
  </si>
  <si>
    <t>Howard Miller 11-1/2" Diameter Ridgewood Wall Clock</t>
  </si>
  <si>
    <t>淮安</t>
  </si>
  <si>
    <t>Huaian</t>
  </si>
  <si>
    <t>乌兰察布</t>
  </si>
  <si>
    <t>Wulanchabu</t>
  </si>
  <si>
    <t>Sony IBM Color Diskettes, 25/Pack</t>
  </si>
  <si>
    <t>临沧</t>
  </si>
  <si>
    <t>Lincang</t>
  </si>
  <si>
    <t>吕梁</t>
  </si>
  <si>
    <t>Lvliang</t>
  </si>
  <si>
    <t>铁岭</t>
  </si>
  <si>
    <t>Tieling</t>
  </si>
  <si>
    <t>GBC ProClick Punch Binding System</t>
  </si>
  <si>
    <t>临沂</t>
  </si>
  <si>
    <t>Linyi</t>
  </si>
  <si>
    <t>深圳</t>
  </si>
  <si>
    <t>Shenzhen</t>
  </si>
  <si>
    <t>AT&amp;T 1430 2.4GHz Analog Phone w/Caller ID</t>
  </si>
  <si>
    <t>沧州</t>
  </si>
  <si>
    <t>Cangzhou</t>
  </si>
  <si>
    <t>UniKeep™ View Case Binders</t>
  </si>
  <si>
    <t>绥化</t>
  </si>
  <si>
    <t>Suihua</t>
  </si>
  <si>
    <t>漯河</t>
  </si>
  <si>
    <t>Luohe</t>
  </si>
  <si>
    <t>朝阳</t>
  </si>
  <si>
    <t>Chaoyang</t>
  </si>
  <si>
    <t>龙岩</t>
  </si>
  <si>
    <t>Longyan</t>
  </si>
  <si>
    <t>Tiffany House</t>
  </si>
  <si>
    <t>亳州</t>
  </si>
  <si>
    <t>Haozhou</t>
  </si>
  <si>
    <t>益阳</t>
  </si>
  <si>
    <t>Yiyang</t>
  </si>
  <si>
    <t>吉安</t>
  </si>
  <si>
    <t>Jian</t>
  </si>
  <si>
    <t>酒泉</t>
  </si>
  <si>
    <t>Jiuquan</t>
  </si>
  <si>
    <t>曲靖</t>
  </si>
  <si>
    <t>Qujing</t>
  </si>
  <si>
    <t>贺州</t>
  </si>
  <si>
    <t>Hezhou</t>
  </si>
  <si>
    <t>Shirley Daniels</t>
  </si>
  <si>
    <t>威海</t>
  </si>
  <si>
    <t>Weihai</t>
  </si>
  <si>
    <t>池州</t>
  </si>
  <si>
    <t>Chizhou</t>
  </si>
  <si>
    <t>阳江</t>
  </si>
  <si>
    <t>Yangjiang</t>
  </si>
  <si>
    <t>Advantus SlideClip™ Paper Clips</t>
  </si>
  <si>
    <t>Alliance Rubber Bands</t>
  </si>
  <si>
    <t>Sanford Uni-Blazer™ View Highlighters, Chisel Tip, Yellow</t>
  </si>
  <si>
    <t>鹤壁</t>
  </si>
  <si>
    <t>Hebi</t>
  </si>
  <si>
    <t>汉中</t>
  </si>
  <si>
    <t>Hanzhong</t>
  </si>
  <si>
    <t>盐城</t>
  </si>
  <si>
    <t>Yancheng</t>
  </si>
  <si>
    <t>毕节</t>
  </si>
  <si>
    <t>Bijie</t>
  </si>
  <si>
    <t>廊坊</t>
  </si>
  <si>
    <t>Langfang</t>
  </si>
  <si>
    <t>新余</t>
  </si>
  <si>
    <t>Xinyu</t>
  </si>
  <si>
    <t>宣城</t>
  </si>
  <si>
    <t>Xuancheng</t>
  </si>
  <si>
    <t>云浮</t>
  </si>
  <si>
    <t>Yunfu</t>
  </si>
  <si>
    <t>永州</t>
  </si>
  <si>
    <t>Yongzhou</t>
  </si>
  <si>
    <t>Xerox 1883</t>
  </si>
  <si>
    <t>葫芦岛</t>
  </si>
  <si>
    <t>Huludao</t>
  </si>
  <si>
    <t>玉溪</t>
  </si>
  <si>
    <t>Yuxi</t>
  </si>
  <si>
    <t>商丘</t>
  </si>
  <si>
    <t>Shangqiu</t>
  </si>
  <si>
    <t>Xerox 223</t>
  </si>
  <si>
    <t>庆阳</t>
  </si>
  <si>
    <t>Qingyang</t>
  </si>
  <si>
    <t>榆林</t>
  </si>
  <si>
    <t>AT&amp;T Black Trimline Phone, 广东del 210</t>
  </si>
  <si>
    <t>Fel低级es Bankers Box™ Staxonsteel® Drawer File/Stacking System</t>
  </si>
  <si>
    <t>Fel低级es Twister Kit, Gray/Clear, 3/pkg</t>
  </si>
  <si>
    <t>Global Leather 高级back Executive Chair with Pneustalltic Height Adjustment, Black</t>
  </si>
  <si>
    <t>Prisstallcolor Color Pencil Set</t>
  </si>
  <si>
    <t>Tripp Lite Isotel 6 Outlet Surge Protector with Fax/广东dem Protection</t>
  </si>
  <si>
    <t>Global 高级-Back Leather Tilter, Burgundy</t>
  </si>
  <si>
    <t>stallster Giant Foot® Doorstop, Safety Yel低级</t>
  </si>
  <si>
    <t>Istalltion Pristallris 3.5" 2HD Unforstalltted Diskettes, 10/Pack</t>
  </si>
  <si>
    <t>Global Ergonomic stallnagers Chair</t>
  </si>
  <si>
    <t>Deflect-o Rollastallt Studded, Beveled stallt for 中级 Pile Carpeting</t>
  </si>
  <si>
    <t>新乡</t>
  </si>
  <si>
    <t>Xinxiang</t>
  </si>
  <si>
    <t>Istalltion DVD-RAM discs</t>
  </si>
  <si>
    <t>SANFORD stalljor Accent™ 高级lighters</t>
  </si>
  <si>
    <t>Array® Me广东 Cubes</t>
  </si>
  <si>
    <t>河池</t>
  </si>
  <si>
    <t>Hechi</t>
  </si>
  <si>
    <t>安康</t>
  </si>
  <si>
    <t>Ankang</t>
  </si>
  <si>
    <t>省份</t>
  </si>
  <si>
    <t>产品子类别</t>
  </si>
  <si>
    <t>产品类别</t>
  </si>
  <si>
    <t>Binders and Binder Accessories</t>
  </si>
  <si>
    <t>Office manchines</t>
  </si>
  <si>
    <t>Labels</t>
  </si>
  <si>
    <t>Paper</t>
  </si>
  <si>
    <t>Appliances</t>
  </si>
  <si>
    <t>Pens &amp; Art Supplies</t>
  </si>
  <si>
    <t>Chairs &amp; Chairmants</t>
  </si>
  <si>
    <t>Envelopes</t>
  </si>
  <si>
    <t>Copiers and Fax</t>
  </si>
  <si>
    <t>Storage &amp; Organization</t>
  </si>
  <si>
    <t>Bookcases</t>
  </si>
  <si>
    <t>Computer Peripherals</t>
  </si>
  <si>
    <t>Office Furnishings</t>
  </si>
  <si>
    <t>Telephones and Communication</t>
  </si>
  <si>
    <t>Tables</t>
  </si>
  <si>
    <t>Rubber Bands</t>
  </si>
  <si>
    <t>Scissors, Rulers and Trimmers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</si>
</sst>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_(* #,##0_);_(* \(#,##0\);_(* &quot;-&quot;??_);_(@_)"/>
    <numFmt numFmtId="178" formatCode="#,##0_ "/>
    <numFmt numFmtId="179" formatCode="0.0%"/>
  </numFmts>
  <fonts count="24">
    <font>
      <sz val="11"/>
      <color theme="1"/>
      <name val="宋体"/>
      <charset val="134"/>
      <scheme val="minor"/>
    </font>
    <font>
      <sz val="10"/>
      <name val="MS Sans Serif"/>
      <charset val="134"/>
    </font>
    <font>
      <sz val="11"/>
      <color rgb="FF0000FF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5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9" borderId="8" applyNumberFormat="0" applyFont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7" fillId="13" borderId="11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19" fillId="14" borderId="12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" fillId="0" borderId="0"/>
  </cellStyleXfs>
  <cellXfs count="36">
    <xf numFmtId="0" fontId="0" fillId="0" borderId="0" xfId="0">
      <alignment vertical="center"/>
    </xf>
    <xf numFmtId="177" fontId="0" fillId="0" borderId="0" xfId="8" applyNumberFormat="1" applyFont="1" applyFill="1" applyAlignment="1">
      <alignment horizontal="center" vertical="center"/>
    </xf>
    <xf numFmtId="0" fontId="0" fillId="0" borderId="0" xfId="0" applyAlignment="1"/>
    <xf numFmtId="176" fontId="0" fillId="0" borderId="0" xfId="0" applyNumberForma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8" applyNumberFormat="1" applyFont="1" applyFill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178" fontId="0" fillId="0" borderId="0" xfId="0" applyNumberFormat="1">
      <alignment vertical="center"/>
    </xf>
    <xf numFmtId="14" fontId="0" fillId="0" borderId="0" xfId="8" applyNumberFormat="1" applyFont="1" applyFill="1" applyAlignment="1">
      <alignment horizontal="center"/>
    </xf>
    <xf numFmtId="0" fontId="0" fillId="0" borderId="0" xfId="0" applyNumberFormat="1" applyAlignment="1"/>
    <xf numFmtId="14" fontId="0" fillId="0" borderId="0" xfId="0" applyNumberFormat="1">
      <alignment vertical="center"/>
    </xf>
    <xf numFmtId="0" fontId="0" fillId="0" borderId="0" xfId="0" applyNumberFormat="1" applyFill="1" applyAlignment="1">
      <alignment horizontal="center"/>
    </xf>
    <xf numFmtId="0" fontId="0" fillId="0" borderId="0" xfId="8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1" fillId="0" borderId="0" xfId="49" applyNumberFormat="1" applyFill="1" applyAlignment="1">
      <alignment horizontal="left"/>
    </xf>
    <xf numFmtId="0" fontId="0" fillId="0" borderId="0" xfId="0" applyNumberFormat="1">
      <alignment vertical="center"/>
    </xf>
    <xf numFmtId="14" fontId="0" fillId="0" borderId="0" xfId="8" applyNumberFormat="1" applyFont="1" applyFill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1" fillId="0" borderId="0" xfId="49" applyNumberFormat="1" applyFill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NumberFormat="1" applyFill="1" applyAlignment="1">
      <alignment horizontal="left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179" fontId="0" fillId="0" borderId="6" xfId="0" applyNumberFormat="1" applyFont="1" applyFill="1" applyBorder="1" applyAlignment="1">
      <alignment horizontal="center" vertical="center"/>
    </xf>
    <xf numFmtId="179" fontId="0" fillId="2" borderId="0" xfId="0" applyNumberFormat="1" applyFill="1">
      <alignment vertical="center"/>
    </xf>
    <xf numFmtId="179" fontId="0" fillId="2" borderId="0" xfId="0" applyNumberFormat="1" applyFill="1" applyAlignment="1">
      <alignment horizontal="center" vertical="center"/>
    </xf>
    <xf numFmtId="10" fontId="0" fillId="2" borderId="0" xfId="0" applyNumberFormat="1" applyFill="1">
      <alignment vertical="center"/>
    </xf>
    <xf numFmtId="0" fontId="1" fillId="0" borderId="0" xfId="49" applyNumberFormat="1" applyFill="1" applyAlignment="1" quotePrefix="1">
      <alignment horizontal="left"/>
    </xf>
    <xf numFmtId="0" fontId="1" fillId="0" borderId="0" xfId="49" applyNumberFormat="1" applyFill="1" applyAlignment="1" quotePrefix="1">
      <alignment horizontal="left" vertical="center"/>
    </xf>
    <xf numFmtId="0" fontId="0" fillId="0" borderId="0" xfId="0" applyNumberFormat="1" applyFill="1" applyAlignment="1" quotePrefix="1">
      <alignment horizontal="left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9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ColorStyle" Target="colors1.xml"/><Relationship Id="rId2" Type="http://schemas.microsoft.com/office/2011/relationships/chartStyle" Target="style1.xml"/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t>各</a:t>
            </a:r>
          </a:p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t>区域占比</a:t>
            </a:r>
          </a:p>
        </c:rich>
      </c:tx>
      <c:layout/>
      <c:overlay val="1"/>
      <c:spPr>
        <a:solidFill>
          <a:sysClr val="window" lastClr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300459674049311"/>
          <c:y val="0.25974025974026"/>
          <c:w val="0.408552723220504"/>
          <c:h val="0.692561983471074"/>
        </c:manualLayout>
      </c:layout>
      <c:pieChart>
        <c:varyColors val="1"/>
        <c:ser>
          <c:idx val="0"/>
          <c:order val="0"/>
          <c:tx>
            <c:strRef>
              <c:f>考题!$C$12</c:f>
              <c:strCache>
                <c:ptCount val="1"/>
                <c:pt idx="0">
                  <c:v>销售金额</c:v>
                </c:pt>
              </c:strCache>
            </c:strRef>
          </c:tx>
          <c:spPr>
            <a:solidFill>
              <a:srgbClr val="859949"/>
            </a:solidFill>
            <a:ln w="31750">
              <a:solidFill>
                <a:schemeClr val="bg1">
                  <a:alpha val="42000"/>
                </a:schemeClr>
              </a:solidFill>
            </a:ln>
          </c:spPr>
          <c:explosion val="0"/>
          <c:dPt>
            <c:idx val="0"/>
            <c:bubble3D val="0"/>
            <c:spPr>
              <a:solidFill>
                <a:srgbClr val="365B7C"/>
              </a:solidFill>
              <a:ln w="31750">
                <a:solidFill>
                  <a:schemeClr val="bg1">
                    <a:alpha val="42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966480"/>
              </a:solidFill>
              <a:ln w="31750">
                <a:solidFill>
                  <a:schemeClr val="bg1">
                    <a:alpha val="42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06F83"/>
              </a:solidFill>
              <a:ln w="31750">
                <a:solidFill>
                  <a:schemeClr val="bg1">
                    <a:alpha val="42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DD5F71"/>
              </a:solidFill>
              <a:ln w="31750">
                <a:solidFill>
                  <a:schemeClr val="bg1">
                    <a:alpha val="42000"/>
                  </a:schemeClr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F68B6B"/>
              </a:solidFill>
              <a:ln w="31750">
                <a:solidFill>
                  <a:schemeClr val="bg1">
                    <a:alpha val="42000"/>
                  </a:schemeClr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859949"/>
              </a:solidFill>
              <a:ln w="31750">
                <a:solidFill>
                  <a:schemeClr val="bg1">
                    <a:alpha val="42000"/>
                  </a:schemeClr>
                </a:solidFill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 forceAA="0"/>
              <a:lstStyle/>
              <a:p>
                <a:pPr>
                  <a:defRPr lang="zh-CN" sz="900" b="0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微软雅黑" panose="020B0503020204020204" pitchFamily="34" charset="-122"/>
                    <a:sym typeface="微软雅黑" panose="020B0503020204020204" pitchFamily="34" charset="-122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考题!$B$13:$B$18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华南</c:v>
                </c:pt>
                <c:pt idx="4">
                  <c:v>西北</c:v>
                </c:pt>
                <c:pt idx="5">
                  <c:v>西南</c:v>
                </c:pt>
              </c:strCache>
            </c:strRef>
          </c:cat>
          <c:val>
            <c:numRef>
              <c:f>考题!$C$13:$C$18</c:f>
              <c:numCache>
                <c:formatCode>General</c:formatCode>
                <c:ptCount val="6"/>
                <c:pt idx="0">
                  <c:v>2061871.255</c:v>
                </c:pt>
                <c:pt idx="1">
                  <c:v>3071869.1065</c:v>
                </c:pt>
                <c:pt idx="2">
                  <c:v>2751499.774</c:v>
                </c:pt>
                <c:pt idx="3">
                  <c:v>5607977.694</c:v>
                </c:pt>
                <c:pt idx="4">
                  <c:v>1169780.6515</c:v>
                </c:pt>
                <c:pt idx="5">
                  <c:v>491191.825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考题!$D$12</c15:sqref>
                        </c15:formulaRef>
                      </c:ext>
                    </c:extLst>
                    <c:strCache>
                      <c:ptCount val="1"/>
                      <c:pt idx="0">
                        <c:v>销售金额占比</c:v>
                      </c:pt>
                    </c:strCache>
                  </c:strRef>
                </c:tx>
                <c:spPr/>
                <c:explosion val="0"/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/>
                  </c:spPr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>
                      <a:noFill/>
                    </a:ln>
                    <a:effectLst/>
                  </c:spPr>
                </c:dPt>
                <c:dLbls>
                  <c:numFmt formatCode="General" sourceLinked="1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0" vertOverflow="ellipsis" vert="horz" wrap="square" lIns="38100" tIns="19050" rIns="38100" bIns="19050" anchor="ctr" anchorCtr="1"/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65000"/>
                              <a:lumOff val="35000"/>
                            </a:schemeClr>
                          </a:solidFill>
                          <a:latin typeface="微软雅黑" panose="020B0503020204020204" pitchFamily="34" charset="-122"/>
                          <a:ea typeface="微软雅黑" panose="020B0503020204020204" pitchFamily="34" charset="-122"/>
                          <a:cs typeface="微软雅黑" panose="020B0503020204020204" pitchFamily="34" charset="-122"/>
                          <a:sym typeface="微软雅黑" panose="020B0503020204020204" pitchFamily="34" charset="-122"/>
                        </a:defRPr>
                      </a:pPr>
                    </a:p>
                  </c:txPr>
                  <c:dLblPos val="bestFit"/>
                  <c:showLegendKey val="0"/>
                  <c:showVal val="0"/>
                  <c:showCatName val="1"/>
                  <c:showSerName val="0"/>
                  <c:showPercent val="1"/>
                  <c:showBubbleSize val="0"/>
                  <c:showLeaderLines val="1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考题!$B$13:$B$18</c15:sqref>
                        </c15:formulaRef>
                      </c:ext>
                    </c:extLst>
                    <c:strCache>
                      <c:ptCount val="6"/>
                      <c:pt idx="0">
                        <c:v>东北</c:v>
                      </c:pt>
                      <c:pt idx="1">
                        <c:v>华北</c:v>
                      </c:pt>
                      <c:pt idx="2">
                        <c:v>华东</c:v>
                      </c:pt>
                      <c:pt idx="3">
                        <c:v>华南</c:v>
                      </c:pt>
                      <c:pt idx="4">
                        <c:v>西北</c:v>
                      </c:pt>
                      <c:pt idx="5">
                        <c:v>西南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考题!$D$13:$D$18</c15:sqref>
                        </c15:formulaRef>
                      </c:ext>
                    </c:extLst>
                    <c:numCache>
                      <c:formatCode>0.0%</c:formatCode>
                      <c:ptCount val="6"/>
                      <c:pt idx="0">
                        <c:v>0.136059480141518</c:v>
                      </c:pt>
                      <c:pt idx="1">
                        <c:v>0.202707570940544</c:v>
                      </c:pt>
                      <c:pt idx="2">
                        <c:v>0.181566927591677</c:v>
                      </c:pt>
                      <c:pt idx="3">
                        <c:v>0.370061189727808</c:v>
                      </c:pt>
                      <c:pt idx="4">
                        <c:v>0.0771918939830685</c:v>
                      </c:pt>
                      <c:pt idx="5">
                        <c:v>0.0324129376153816</c:v>
                      </c:pt>
                    </c:numCache>
                  </c:numRef>
                </c:val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tr"/>
      <c:layout/>
      <c:overlay val="0"/>
      <c:spPr>
        <a:noFill/>
        <a:ln>
          <a:solidFill>
            <a:srgbClr val="4F81BD"/>
          </a:solidFill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dist="37357" dir="2700000" sx="0" sy="0" rotWithShape="0">
        <a:scrgbClr r="0" g="0" b="0"/>
      </a:outerShdw>
    </a:effectLst>
  </c:spPr>
  <c:txPr>
    <a:bodyPr/>
    <a:lstStyle/>
    <a:p>
      <a:pPr>
        <a:defRPr lang="zh-CN">
          <a:solidFill>
            <a:schemeClr val="tx1">
              <a:lumMod val="65000"/>
              <a:lumOff val="35000"/>
            </a:schemeClr>
          </a:solidFill>
          <a:latin typeface="微软雅黑" panose="020B0503020204020204" pitchFamily="34" charset="-122"/>
          <a:ea typeface="微软雅黑" panose="020B0503020204020204" pitchFamily="34" charset="-122"/>
          <a:cs typeface="微软雅黑" panose="020B0503020204020204" pitchFamily="34" charset="-122"/>
          <a:sym typeface="微软雅黑" panose="020B0503020204020204" pitchFamily="34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1069975</xdr:colOff>
      <xdr:row>19</xdr:row>
      <xdr:rowOff>31750</xdr:rowOff>
    </xdr:from>
    <xdr:to>
      <xdr:col>4</xdr:col>
      <xdr:colOff>1127760</xdr:colOff>
      <xdr:row>31</xdr:row>
      <xdr:rowOff>79375</xdr:rowOff>
    </xdr:to>
    <xdr:graphicFrame>
      <xdr:nvGraphicFramePr>
        <xdr:cNvPr id="2" name="图表 1" descr="7b0a202020202263686172745265734964223a2022383733373732220a7d0a"/>
        <xdr:cNvGraphicFramePr/>
      </xdr:nvGraphicFramePr>
      <xdr:xfrm>
        <a:off x="1069975" y="3289300"/>
        <a:ext cx="4163060" cy="2105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B1:R63"/>
  <sheetViews>
    <sheetView tabSelected="1" workbookViewId="0">
      <selection activeCell="C13" sqref="C13"/>
    </sheetView>
  </sheetViews>
  <sheetFormatPr defaultColWidth="9" defaultRowHeight="13.5"/>
  <cols>
    <col min="1" max="1" width="15.875" style="21" customWidth="1"/>
    <col min="2" max="2" width="6.75" style="21" customWidth="1"/>
    <col min="3" max="5" width="15.625" style="21" customWidth="1"/>
    <col min="6" max="7" width="9" style="21"/>
    <col min="8" max="8" width="6.375" style="21" customWidth="1"/>
    <col min="9" max="9" width="68.25" style="21" customWidth="1"/>
    <col min="10" max="10" width="25.875" style="21" customWidth="1"/>
    <col min="11" max="11" width="15" style="21"/>
    <col min="12" max="13" width="12.625" style="21" customWidth="1"/>
    <col min="14" max="14" width="10.625" style="21" customWidth="1"/>
    <col min="15" max="15" width="12.625" style="21"/>
    <col min="16" max="16" width="12.875" style="21" customWidth="1"/>
    <col min="17" max="17" width="13" style="21" customWidth="1"/>
    <col min="18" max="19" width="12.625" style="21"/>
    <col min="20" max="16384" width="9" style="21"/>
  </cols>
  <sheetData>
    <row r="1" spans="2:2">
      <c r="B1" s="22" t="s">
        <v>0</v>
      </c>
    </row>
    <row r="3" spans="2:2">
      <c r="B3" s="22" t="s">
        <v>1</v>
      </c>
    </row>
    <row r="4" spans="2:2">
      <c r="B4" s="22" t="s">
        <v>2</v>
      </c>
    </row>
    <row r="5" spans="2:2">
      <c r="B5" s="22" t="s">
        <v>3</v>
      </c>
    </row>
    <row r="6" spans="2:2">
      <c r="B6" s="22" t="s">
        <v>4</v>
      </c>
    </row>
    <row r="10" spans="2:8">
      <c r="B10" s="23" t="s">
        <v>5</v>
      </c>
      <c r="H10" s="24" t="s">
        <v>6</v>
      </c>
    </row>
    <row r="11" spans="8:8">
      <c r="H11" s="25"/>
    </row>
    <row r="12" spans="2:18">
      <c r="B12" s="26" t="s">
        <v>7</v>
      </c>
      <c r="C12" s="27" t="s">
        <v>8</v>
      </c>
      <c r="D12" s="28" t="s">
        <v>9</v>
      </c>
      <c r="E12" s="21" t="s">
        <v>10</v>
      </c>
      <c r="H12" s="29" t="s">
        <v>11</v>
      </c>
      <c r="I12" s="29" t="s">
        <v>12</v>
      </c>
      <c r="J12" s="29" t="s">
        <v>13</v>
      </c>
      <c r="K12" s="29" t="s">
        <v>14</v>
      </c>
      <c r="L12" s="29" t="s">
        <v>15</v>
      </c>
      <c r="M12" s="29" t="s">
        <v>16</v>
      </c>
      <c r="N12" s="29" t="s">
        <v>17</v>
      </c>
      <c r="O12" s="29" t="s">
        <v>18</v>
      </c>
      <c r="P12" s="29" t="s">
        <v>19</v>
      </c>
      <c r="Q12" s="29" t="s">
        <v>9</v>
      </c>
      <c r="R12" s="21" t="s">
        <v>20</v>
      </c>
    </row>
    <row r="13" spans="2:18">
      <c r="B13" s="30" t="s">
        <v>13</v>
      </c>
      <c r="C13" s="31">
        <f>SUMPRODUCT(SUMIF(数据源!$F$2:$F$8568,区域分布!C3:C5,数据源!$M$2:$M$8568))</f>
        <v>2061871.255</v>
      </c>
      <c r="D13" s="32">
        <f t="shared" ref="D13:D19" si="0">C13/$E$13</f>
        <v>0.136059480141518</v>
      </c>
      <c r="E13" s="21">
        <f>SUM(数据源!M2:M8568)</f>
        <v>15154190.306</v>
      </c>
      <c r="H13" s="29">
        <v>1</v>
      </c>
      <c r="I13" s="29" t="str">
        <f>产品分类!C2</f>
        <v>Canon PC940 Copier</v>
      </c>
      <c r="J13" s="34">
        <f>(SUMIFS(数据源!M$2:M$8568,数据源!R$2:R$8568,I13,数据源!F$2:F$8568,区域分布!C$3)+SUMIFS(数据源!M$2:M$8568,数据源!R$2:R$8568,I13,数据源!F$2:F$8568,区域分布!C$4)+SUMIFS(数据源!M$2:M$8568,数据源!R$2:R$8568,I13,数据源!F$2:F$8568,区域分布!C$5))/P13</f>
        <v>0.216128353409977</v>
      </c>
      <c r="K13" s="34">
        <f>(SUMIFS(数据源!M$2:M$8568,数据源!R$2:R$8568,I13,数据源!F$2:F$8568,区域分布!C$6)+SUMIFS(数据源!M$2:M$8568,数据源!R$2:R$8568,I13,数据源!F$2:F$8568,区域分布!C$7)+SUMIFS(数据源!M$2:M$8568,数据源!R$2:R$8568,I13,数据源!F$2:F$8568,区域分布!C$8)+SUMIFS(数据源!M$2:M$8568,数据源!R$2:R$8568,I13,数据源!F$2:F$8568,区域分布!C$9)+SUMIFS(数据源!M$2:M$8568,数据源!R$2:R$8568,I13,数据源!F$2:F$8568,区域分布!C$10))/P13</f>
        <v>0.168465988212835</v>
      </c>
      <c r="L13" s="34">
        <f>(SUMIFS(数据源!M$2:M$8568,数据源!R$2:R$8568,I13,数据源!F$2:F$8568,区域分布!C$11)+SUMIFS(数据源!M$2:M$8568,数据源!R$2:R$8568,I13,数据源!F$2:F$8568,区域分布!C$12)+SUMIFS(数据源!M$2:M$8568,数据源!R$2:R$8568,I13,数据源!F$2:F$8568,区域分布!C$13)+SUMIFS(数据源!M$2:M$8568,数据源!R$2:R$8568,I13,数据源!F$2:F$8568,区域分布!C$14)+SUMIFS(数据源!M$2:M$8568,数据源!R$2:R$8568,I13,数据源!F$2:F$8568,区域分布!C$15)+SUMIFS(数据源!M$2:M$8568,数据源!R$2:R$8568,I13,数据源!F$2:F$8568,区域分布!C$16))/P13</f>
        <v>0.223414031991035</v>
      </c>
      <c r="M13" s="34">
        <f>(SUMIFS(数据源!$M$2:$M$8568,数据源!$R$2:$R$8568,I13,数据源!$F$2:$F$8568,区域分布!$C$18)+SUMIFS(数据源!$M$2:$M$8568,数据源!$R$2:$R$8568,I13,数据源!$F$2:$F$8568,区域分布!$C$19)+SUMIFS(数据源!$M$2:$M$8568,数据源!$R$2:$R$8568,I13,数据源!$F$2:$F$8568,区域分布!$C$20)+SUMIFS(数据源!$M$2:$M$8568,数据源!$R$2:$R$8568,I13,数据源!$F$2:$F$8568,区域分布!$C$21)+SUMIFS(数据源!$M$2:$M$8568,数据源!$R$2:$R$8568,I13,数据源!$F$2:$F$8568,区域分布!$C$22)+SUMIFS(数据源!$M$2:$M$8568,数据源!$R$2:$R$8568,I13,数据源!$F$2:$F$8568,区域分布!$C$23))/P13</f>
        <v>0.373287690304995</v>
      </c>
      <c r="N13" s="34">
        <f>(SUMIFS(数据源!$M$2:$M$8568,数据源!$R$2:$R$8568,I13,数据源!$F$2:$F$8568,区域分布!$C$24)+SUMIFS(数据源!$M$2:$M$8568,数据源!$R$2:$R$8568,I13,数据源!$F$2:$F$8568,区域分布!$C$25)+SUMIFS(数据源!$M$2:$M$8568,数据源!$R$2:$R$8568,I13,数据源!$F$2:$F$8568,区域分布!$C$26)+SUMIFS(数据源!$M$2:$M$8568,数据源!$R$2:$R$8568,I13,数据源!$F$2:$F$8568,区域分布!$C$27)+SUMIFS(数据源!$M$2:$M$8568,数据源!$R$2:$R$8568,I13,数据源!$F$2:$F$8568,区域分布!$C$28))/P13</f>
        <v>0.0813827893478874</v>
      </c>
      <c r="O13" s="34">
        <f>(SUMIFS(数据源!$M$2:$M$8568,数据源!$R$2:$R$8568,I13,数据源!$F$2:$F$8568,区域分布!$C$29)+SUMIFS(数据源!$M$2:$M$8568,数据源!$R$2:$R$8568,I13,数据源!$F$2:$F$8568,区域分布!$C$30)+SUMIFS(数据源!$M$2:$M$8568,数据源!$R$2:$R$8568,I13,数据源!$F$2:$F$8568,区域分布!$C$31)+SUMIFS(数据源!$M$2:$M$8568,数据源!$R$2:$R$8568,I13,数据源!$F$2:$F$8568,区域分布!$C$32)+SUMIFS(数据源!$M$2:$M$8568,数据源!$R$2:$R$8568,I13,数据源!$F$2:$F$8568,区域分布!$C$33))/P13</f>
        <v>0</v>
      </c>
      <c r="P13" s="29">
        <f>产品分类!E2</f>
        <v>177767.93</v>
      </c>
      <c r="Q13" s="34">
        <f>P13/$R$13</f>
        <v>0.0144018316464228</v>
      </c>
      <c r="R13" s="21">
        <f>SUM(产品分类!E2:E3324)</f>
        <v>12343425.084</v>
      </c>
    </row>
    <row r="14" spans="2:17">
      <c r="B14" s="30" t="s">
        <v>14</v>
      </c>
      <c r="C14" s="31">
        <f>SUMPRODUCT(SUMIF(数据源!$F$2:$F$8568,区域分布!C6:C10,数据源!$M$2:$M$8568))</f>
        <v>3071869.1065</v>
      </c>
      <c r="D14" s="32">
        <f t="shared" si="0"/>
        <v>0.202707570940544</v>
      </c>
      <c r="H14" s="29">
        <v>2</v>
      </c>
      <c r="I14" s="29" t="str">
        <f>产品分类!C3</f>
        <v>Polycom ViewStation™ ISDN Videoconferencing Unit</v>
      </c>
      <c r="J14" s="34">
        <f>(SUMIFS(数据源!M$2:M$8568,数据源!R$2:R$8568,I14,数据源!F$2:F$8568,区域分布!C$3)+SUMIFS(数据源!M$2:M$8568,数据源!R$2:R$8568,I14,数据源!F$2:F$8568,区域分布!C$4)+SUMIFS(数据源!M$2:M$8568,数据源!R$2:R$8568,I14,数据源!F$2:F$8568,区域分布!C$5))/P14</f>
        <v>0</v>
      </c>
      <c r="K14" s="34">
        <f>(SUMIFS(数据源!M$2:M$8568,数据源!R$2:R$8568,I14,数据源!F$2:F$8568,区域分布!C$6)+SUMIFS(数据源!M$2:M$8568,数据源!R$2:R$8568,I14,数据源!F$2:F$8568,区域分布!C$7)+SUMIFS(数据源!M$2:M$8568,数据源!R$2:R$8568,I14,数据源!F$2:F$8568,区域分布!C$8)+SUMIFS(数据源!M$2:M$8568,数据源!R$2:R$8568,I14,数据源!F$2:F$8568,区域分布!C$9)+SUMIFS(数据源!M$2:M$8568,数据源!R$2:R$8568,I14,数据源!F$2:F$8568,区域分布!C$10))/P14</f>
        <v>0.529055786154204</v>
      </c>
      <c r="L14" s="34">
        <f>(SUMIFS(数据源!M3:M8569,数据源!R3:R8569,I14,数据源!F3:F8569,区域分布!C$11)+SUMIFS(数据源!M3:M8569,数据源!R3:R8569,I14,数据源!F3:F8569,区域分布!C$12)+SUMIFS(数据源!M3:M8569,数据源!R3:R8569,I14,数据源!F3:F8569,区域分布!C$13)+SUMIFS(数据源!M3:M8569,数据源!R3:R8569,I14,数据源!F3:F8569,区域分布!C$14)+SUMIFS(数据源!M3:M8569,数据源!R3:R8569,I14,数据源!F3:F8569,区域分布!C$15)+SUMIFS(数据源!M3:M8569,数据源!R3:R8569,I14,数据源!F3:F8569,区域分布!C$16)+SUMIFS(数据源!M3:M8569,数据源!R3:R8569,I14,数据源!F3:F8569,区域分布!C$17))/P14</f>
        <v>0.498082447851552</v>
      </c>
      <c r="M14" s="34">
        <f>(SUMIFS(数据源!$M$2:$M$8568,数据源!$R$2:$R$8568,I14,数据源!$F$2:$F$8568,区域分布!$C$18)+SUMIFS(数据源!$M$2:$M$8568,数据源!$R$2:$R$8568,I14,数据源!$F$2:$F$8568,区域分布!$C$19)+SUMIFS(数据源!$M$2:$M$8568,数据源!$R$2:$R$8568,I14,数据源!$F$2:$F$8568,区域分布!$C$20)+SUMIFS(数据源!$M$2:$M$8568,数据源!$R$2:$R$8568,I14,数据源!$F$2:$F$8568,区域分布!$C$21)+SUMIFS(数据源!$M$2:$M$8568,数据源!$R$2:$R$8568,I14,数据源!$F$2:$F$8568,区域分布!$C$22)+SUMIFS(数据源!$M$2:$M$8568,数据源!$R$2:$R$8568,I14,数据源!$F$2:$F$8568,区域分布!$C$23))/P14</f>
        <v>0.245594055635863</v>
      </c>
      <c r="N14" s="34">
        <f>(SUMIFS(数据源!$M$2:$M$8568,数据源!$R$2:$R$8568,I14,数据源!$F$2:$F$8568,区域分布!$C$24)+SUMIFS(数据源!$M$2:$M$8568,数据源!$R$2:$R$8568,I14,数据源!$F$2:$F$8568,区域分布!$C$25)+SUMIFS(数据源!$M$2:$M$8568,数据源!$R$2:$R$8568,I14,数据源!$F$2:$F$8568,区域分布!$C$26)+SUMIFS(数据源!$M$2:$M$8568,数据源!$R$2:$R$8568,I14,数据源!$F$2:$F$8568,区域分布!$C$27)+SUMIFS(数据源!$M$2:$M$8568,数据源!$R$2:$R$8568,I14,数据源!$F$2:$F$8568,区域分布!$C$28))/P14</f>
        <v>0</v>
      </c>
      <c r="O14" s="34">
        <f>(SUMIFS(数据源!$M$2:$M$8568,数据源!$R$2:$R$8568,I14,数据源!$F$2:$F$8568,区域分布!$C$29)+SUMIFS(数据源!$M$2:$M$8568,数据源!$R$2:$R$8568,I14,数据源!$F$2:$F$8568,区域分布!$C$30)+SUMIFS(数据源!$M$2:$M$8568,数据源!$R$2:$R$8568,I14,数据源!$F$2:$F$8568,区域分布!$C$31)+SUMIFS(数据源!$M$2:$M$8568,数据源!$R$2:$R$8568,I14,数据源!$F$2:$F$8568,区域分布!$C$32)+SUMIFS(数据源!$M$2:$M$8568,数据源!$R$2:$R$8568,I14,数据源!$F$2:$F$8568,区域分布!$C$33))/P14</f>
        <v>7.19379074278533e-5</v>
      </c>
      <c r="P14" s="29">
        <f>产品分类!E3</f>
        <v>168339.62</v>
      </c>
      <c r="Q14" s="34">
        <f t="shared" ref="Q14:Q23" si="1">P14/$R$13</f>
        <v>0.01363799908489</v>
      </c>
    </row>
    <row r="15" spans="2:17">
      <c r="B15" s="30" t="s">
        <v>15</v>
      </c>
      <c r="C15" s="31">
        <f>SUMPRODUCT(SUMIF(数据源!$F$2:$F$8568,区域分布!C11:C17,数据源!$M$2:$M$8568))</f>
        <v>2751499.774</v>
      </c>
      <c r="D15" s="32">
        <f t="shared" si="0"/>
        <v>0.181566927591677</v>
      </c>
      <c r="H15" s="29">
        <v>3</v>
      </c>
      <c r="I15" s="29" t="str">
        <f>产品分类!C4</f>
        <v>Hewlett Packard LaserJet 3310 Copier</v>
      </c>
      <c r="J15" s="34">
        <f>(SUMIFS(数据源!M$2:M$8568,数据源!R$2:R$8568,I15,数据源!F$2:F$8568,区域分布!C$3)+SUMIFS(数据源!M$2:M$8568,数据源!R$2:R$8568,I15,数据源!F$2:F$8568,区域分布!C$4)+SUMIFS(数据源!M$2:M$8568,数据源!R$2:R$8568,I15,数据源!F$2:F$8568,区域分布!C$5))/P15</f>
        <v>0.070348282711022</v>
      </c>
      <c r="K15" s="34">
        <f>(SUMIFS(数据源!M$2:M$8568,数据源!R$2:R$8568,I15,数据源!F$2:F$8568,区域分布!C$6)+SUMIFS(数据源!M$2:M$8568,数据源!R$2:R$8568,I15,数据源!F$2:F$8568,区域分布!C$7)+SUMIFS(数据源!M$2:M$8568,数据源!R$2:R$8568,I15,数据源!F$2:F$8568,区域分布!C$8)+SUMIFS(数据源!M$2:M$8568,数据源!R$2:R$8568,I15,数据源!F$2:F$8568,区域分布!C$9)+SUMIFS(数据源!M$2:M$8568,数据源!R$2:R$8568,I15,数据源!F$2:F$8568,区域分布!C$10))/P15</f>
        <v>0.595329481865755</v>
      </c>
      <c r="L15" s="34">
        <f>(SUMIFS(数据源!M4:M8570,数据源!R4:R8570,I15,数据源!F4:F8570,区域分布!C$11)+SUMIFS(数据源!M4:M8570,数据源!R4:R8570,I15,数据源!F4:F8570,区域分布!C$12)+SUMIFS(数据源!M4:M8570,数据源!R4:R8570,I15,数据源!F4:F8570,区域分布!C$13)+SUMIFS(数据源!M4:M8570,数据源!R4:R8570,I15,数据源!F4:F8570,区域分布!C$14)+SUMIFS(数据源!M4:M8570,数据源!R4:R8570,I15,数据源!F4:F8570,区域分布!C$15)+SUMIFS(数据源!M4:M8570,数据源!R4:R8570,I15,数据源!F4:F8570,区域分布!C$16)+SUMIFS(数据源!M4:M8570,数据源!R4:R8570,I15,数据源!F4:F8570,区域分布!C$17))/P15</f>
        <v>0.00240113911537171</v>
      </c>
      <c r="M15" s="34">
        <f>(SUMIFS(数据源!$M$2:$M$8568,数据源!$R$2:$R$8568,I15,数据源!$F$2:$F$8568,区域分布!$C$18)+SUMIFS(数据源!$M$2:$M$8568,数据源!$R$2:$R$8568,I15,数据源!$F$2:$F$8568,区域分布!$C$19)+SUMIFS(数据源!$M$2:$M$8568,数据源!$R$2:$R$8568,I15,数据源!$F$2:$F$8568,区域分布!$C$20)+SUMIFS(数据源!$M$2:$M$8568,数据源!$R$2:$R$8568,I15,数据源!$F$2:$F$8568,区域分布!$C$21)+SUMIFS(数据源!$M$2:$M$8568,数据源!$R$2:$R$8568,I15,数据源!$F$2:$F$8568,区域分布!$C$22)+SUMIFS(数据源!$M$2:$M$8568,数据源!$R$2:$R$8568,I15,数据源!$F$2:$F$8568,区域分布!$C$23))/P15</f>
        <v>0.430488749421827</v>
      </c>
      <c r="N15" s="34">
        <f>(SUMIFS(数据源!$M$2:$M$8568,数据源!$R$2:$R$8568,I15,数据源!$F$2:$F$8568,区域分布!$C$24)+SUMIFS(数据源!$M$2:$M$8568,数据源!$R$2:$R$8568,I15,数据源!$F$2:$F$8568,区域分布!$C$25)+SUMIFS(数据源!$M$2:$M$8568,数据源!$R$2:$R$8568,I15,数据源!$F$2:$F$8568,区域分布!$C$26)+SUMIFS(数据源!$M$2:$M$8568,数据源!$R$2:$R$8568,I15,数据源!$F$2:$F$8568,区域分布!$C$27)+SUMIFS(数据源!$M$2:$M$8568,数据源!$R$2:$R$8568,I15,数据源!$F$2:$F$8568,区域分布!$C$28))/P15</f>
        <v>0.070348282711022</v>
      </c>
      <c r="O15" s="34">
        <f>(SUMIFS(数据源!$M$2:$M$8568,数据源!$R$2:$R$8568,I15,数据源!$F$2:$F$8568,区域分布!$C$29)+SUMIFS(数据源!$M$2:$M$8568,数据源!$R$2:$R$8568,I15,数据源!$F$2:$F$8568,区域分布!$C$30)+SUMIFS(数据源!$M$2:$M$8568,数据源!$R$2:$R$8568,I15,数据源!$F$2:$F$8568,区域分布!$C$31)+SUMIFS(数据源!$M$2:$M$8568,数据源!$R$2:$R$8568,I15,数据源!$F$2:$F$8568,区域分布!$C$32)+SUMIFS(数据源!$M$2:$M$8568,数据源!$R$2:$R$8568,I15,数据源!$F$2:$F$8568,区域分布!$C$33))/P15</f>
        <v>0</v>
      </c>
      <c r="P15" s="29">
        <f>产品分类!E4</f>
        <v>137826.25</v>
      </c>
      <c r="Q15" s="34">
        <f t="shared" si="1"/>
        <v>0.0111659648000501</v>
      </c>
    </row>
    <row r="16" spans="2:17">
      <c r="B16" s="30" t="s">
        <v>16</v>
      </c>
      <c r="C16" s="31">
        <f>SUMPRODUCT(SUMIF(数据源!$F$2:$F$8568,区域分布!C18:C23,数据源!$M$2:$M$8568))</f>
        <v>5607977.694</v>
      </c>
      <c r="D16" s="32">
        <f t="shared" si="0"/>
        <v>0.370061189727808</v>
      </c>
      <c r="H16" s="29">
        <v>4</v>
      </c>
      <c r="I16" s="29" t="str">
        <f>产品分类!C5</f>
        <v>Global Troy™ Executive Leather Low-Back Tilter</v>
      </c>
      <c r="J16" s="34">
        <f>(SUMIFS(数据源!M$2:M$8568,数据源!R$2:R$8568,I16,数据源!F$2:F$8568,区域分布!C$3)+SUMIFS(数据源!M$2:M$8568,数据源!R$2:R$8568,I16,数据源!F$2:F$8568,区域分布!C$4)+SUMIFS(数据源!M$2:M$8568,数据源!R$2:R$8568,I16,数据源!F$2:F$8568,区域分布!C$5))/P16</f>
        <v>0</v>
      </c>
      <c r="K16" s="34">
        <f>(SUMIFS(数据源!M$2:M$8568,数据源!R$2:R$8568,I16,数据源!F$2:F$8568,区域分布!C$6)+SUMIFS(数据源!M$2:M$8568,数据源!R$2:R$8568,I16,数据源!F$2:F$8568,区域分布!C$7)+SUMIFS(数据源!M$2:M$8568,数据源!R$2:R$8568,I16,数据源!F$2:F$8568,区域分布!C$8)+SUMIFS(数据源!M$2:M$8568,数据源!R$2:R$8568,I16,数据源!F$2:F$8568,区域分布!C$9)+SUMIFS(数据源!M$2:M$8568,数据源!R$2:R$8568,I16,数据源!F$2:F$8568,区域分布!C$10))/P16</f>
        <v>0.408260056501575</v>
      </c>
      <c r="L16" s="34">
        <f>(SUMIFS(数据源!M5:M8571,数据源!R5:R8571,I16,数据源!F5:F8571,区域分布!C$11)+SUMIFS(数据源!M5:M8571,数据源!R5:R8571,I16,数据源!F5:F8571,区域分布!C$12)+SUMIFS(数据源!M5:M8571,数据源!R5:R8571,I16,数据源!F5:F8571,区域分布!C$13)+SUMIFS(数据源!M5:M8571,数据源!R5:R8571,I16,数据源!F5:F8571,区域分布!C$14)+SUMIFS(数据源!M5:M8571,数据源!R5:R8571,I16,数据源!F5:F8571,区域分布!C$15)+SUMIFS(数据源!M5:M8571,数据源!R5:R8571,I16,数据源!F5:F8571,区域分布!C$16)+SUMIFS(数据源!M5:M8571,数据源!R5:R8571,I16,数据源!F5:F8571,区域分布!C$17))/P16</f>
        <v>0.309292043055411</v>
      </c>
      <c r="M16" s="34">
        <f>(SUMIFS(数据源!$M$2:$M$8568,数据源!$R$2:$R$8568,I16,数据源!$F$2:$F$8568,区域分布!$C$18)+SUMIFS(数据源!$M$2:$M$8568,数据源!$R$2:$R$8568,I16,数据源!$F$2:$F$8568,区域分布!$C$19)+SUMIFS(数据源!$M$2:$M$8568,数据源!$R$2:$R$8568,I16,数据源!$F$2:$F$8568,区域分布!$C$20)+SUMIFS(数据源!$M$2:$M$8568,数据源!$R$2:$R$8568,I16,数据源!$F$2:$F$8568,区域分布!$C$21)+SUMIFS(数据源!$M$2:$M$8568,数据源!$R$2:$R$8568,I16,数据源!$F$2:$F$8568,区域分布!$C$22)+SUMIFS(数据源!$M$2:$M$8568,数据源!$R$2:$R$8568,I16,数据源!$F$2:$F$8568,区域分布!$C$23))/P16</f>
        <v>0.524480716926822</v>
      </c>
      <c r="N16" s="34">
        <f>(SUMIFS(数据源!$M$2:$M$8568,数据源!$R$2:$R$8568,I16,数据源!$F$2:$F$8568,区域分布!$C$24)+SUMIFS(数据源!$M$2:$M$8568,数据源!$R$2:$R$8568,I16,数据源!$F$2:$F$8568,区域分布!$C$25)+SUMIFS(数据源!$M$2:$M$8568,数据源!$R$2:$R$8568,I16,数据源!$F$2:$F$8568,区域分布!$C$26)+SUMIFS(数据源!$M$2:$M$8568,数据源!$R$2:$R$8568,I16,数据源!$F$2:$F$8568,区域分布!$C$27)+SUMIFS(数据源!$M$2:$M$8568,数据源!$R$2:$R$8568,I16,数据源!$F$2:$F$8568,区域分布!$C$28))/P16</f>
        <v>0</v>
      </c>
      <c r="O16" s="34">
        <f>(SUMIFS(数据源!$M$2:$M$8568,数据源!$R$2:$R$8568,I16,数据源!$F$2:$F$8568,区域分布!$C$29)+SUMIFS(数据源!$M$2:$M$8568,数据源!$R$2:$R$8568,I16,数据源!$F$2:$F$8568,区域分布!$C$30)+SUMIFS(数据源!$M$2:$M$8568,数据源!$R$2:$R$8568,I16,数据源!$F$2:$F$8568,区域分布!$C$31)+SUMIFS(数据源!$M$2:$M$8568,数据源!$R$2:$R$8568,I16,数据源!$F$2:$F$8568,区域分布!$C$32)+SUMIFS(数据源!$M$2:$M$8568,数据源!$R$2:$R$8568,I16,数据源!$F$2:$F$8568,区域分布!$C$33))/P16</f>
        <v>0</v>
      </c>
      <c r="P16" s="29">
        <f>产品分类!E5</f>
        <v>138686.4</v>
      </c>
      <c r="Q16" s="34">
        <f t="shared" si="1"/>
        <v>0.0112356496722916</v>
      </c>
    </row>
    <row r="17" spans="2:17">
      <c r="B17" s="30" t="s">
        <v>17</v>
      </c>
      <c r="C17" s="31">
        <f>SUMPRODUCT(SUMIF(数据源!$F$2:$F$8568,区域分布!C24:C28,数据源!$M$2:$M$8568))</f>
        <v>1169780.6515</v>
      </c>
      <c r="D17" s="32">
        <f t="shared" si="0"/>
        <v>0.0771918939830685</v>
      </c>
      <c r="H17" s="29">
        <v>5</v>
      </c>
      <c r="I17" s="29" t="str">
        <f>产品分类!C6</f>
        <v>Riverside Palais Royal Lawyers Bookcase, Royale Cherry Finish</v>
      </c>
      <c r="J17" s="34">
        <f>(SUMIFS(数据源!M$2:M$8568,数据源!R$2:R$8568,I17,数据源!F$2:F$8568,区域分布!C$3)+SUMIFS(数据源!M$2:M$8568,数据源!R$2:R$8568,I17,数据源!F$2:F$8568,区域分布!C$4)+SUMIFS(数据源!M$2:M$8568,数据源!R$2:R$8568,I17,数据源!F$2:F$8568,区域分布!C$5))/P17</f>
        <v>0.151113812801096</v>
      </c>
      <c r="K17" s="34">
        <f>(SUMIFS(数据源!M$2:M$8568,数据源!R$2:R$8568,I17,数据源!F$2:F$8568,区域分布!C$6)+SUMIFS(数据源!M$2:M$8568,数据源!R$2:R$8568,I17,数据源!F$2:F$8568,区域分布!C$7)+SUMIFS(数据源!M$2:M$8568,数据源!R$2:R$8568,I17,数据源!F$2:F$8568,区域分布!C$8)+SUMIFS(数据源!M$2:M$8568,数据源!R$2:R$8568,I17,数据源!F$2:F$8568,区域分布!C$9)+SUMIFS(数据源!M$2:M$8568,数据源!R$2:R$8568,I17,数据源!F$2:F$8568,区域分布!C$10))/P17</f>
        <v>0.0780617775600102</v>
      </c>
      <c r="L17" s="34">
        <f>(SUMIFS(数据源!M6:M8572,数据源!R6:R8572,I17,数据源!F6:F8572,区域分布!C$11)+SUMIFS(数据源!M6:M8572,数据源!R6:R8572,I17,数据源!F6:F8572,区域分布!C$12)+SUMIFS(数据源!M6:M8572,数据源!R6:R8572,I17,数据源!F6:F8572,区域分布!C$13)+SUMIFS(数据源!M6:M8572,数据源!R6:R8572,I17,数据源!F6:F8572,区域分布!C$14)+SUMIFS(数据源!M6:M8572,数据源!R6:R8572,I17,数据源!F6:F8572,区域分布!C$15)+SUMIFS(数据源!M6:M8572,数据源!R6:R8572,I17,数据源!F6:F8572,区域分布!C$16)+SUMIFS(数据源!M6:M8572,数据源!R6:R8572,I17,数据源!F6:F8572,区域分布!C$17))/P17</f>
        <v>0.0626204482504679</v>
      </c>
      <c r="M17" s="34">
        <f>(SUMIFS(数据源!$M$2:$M$8568,数据源!$R$2:$R$8568,I17,数据源!$F$2:$F$8568,区域分布!$C$18)+SUMIFS(数据源!$M$2:$M$8568,数据源!$R$2:$R$8568,I17,数据源!$F$2:$F$8568,区域分布!$C$19)+SUMIFS(数据源!$M$2:$M$8568,数据源!$R$2:$R$8568,I17,数据源!$F$2:$F$8568,区域分布!$C$20)+SUMIFS(数据源!$M$2:$M$8568,数据源!$R$2:$R$8568,I17,数据源!$F$2:$F$8568,区域分布!$C$21)+SUMIFS(数据源!$M$2:$M$8568,数据源!$R$2:$R$8568,I17,数据源!$F$2:$F$8568,区域分布!$C$22)+SUMIFS(数据源!$M$2:$M$8568,数据源!$R$2:$R$8568,I17,数据源!$F$2:$F$8568,区域分布!$C$23))/P17</f>
        <v>0.446224502098438</v>
      </c>
      <c r="N17" s="34">
        <f>(SUMIFS(数据源!$M$2:$M$8568,数据源!$R$2:$R$8568,I17,数据源!$F$2:$F$8568,区域分布!$C$24)+SUMIFS(数据源!$M$2:$M$8568,数据源!$R$2:$R$8568,I17,数据源!$F$2:$F$8568,区域分布!$C$25)+SUMIFS(数据源!$M$2:$M$8568,数据源!$R$2:$R$8568,I17,数据源!$F$2:$F$8568,区域分布!$C$26)+SUMIFS(数据源!$M$2:$M$8568,数据源!$R$2:$R$8568,I17,数据源!$F$2:$F$8568,区域分布!$C$27)+SUMIFS(数据源!$M$2:$M$8568,数据源!$R$2:$R$8568,I17,数据源!$F$2:$F$8568,区域分布!$C$28))/P17</f>
        <v>0.0587639750577473</v>
      </c>
      <c r="O17" s="34">
        <f>(SUMIFS(数据源!$M$2:$M$8568,数据源!$R$2:$R$8568,I17,数据源!$F$2:$F$8568,区域分布!$C$29)+SUMIFS(数据源!$M$2:$M$8568,数据源!$R$2:$R$8568,I17,数据源!$F$2:$F$8568,区域分布!$C$30)+SUMIFS(数据源!$M$2:$M$8568,数据源!$R$2:$R$8568,I17,数据源!$F$2:$F$8568,区域分布!$C$31)+SUMIFS(数据源!$M$2:$M$8568,数据源!$R$2:$R$8568,I17,数据源!$F$2:$F$8568,区域分布!$C$32)+SUMIFS(数据源!$M$2:$M$8568,数据源!$R$2:$R$8568,I17,数据源!$F$2:$F$8568,区域分布!$C$33))/P17</f>
        <v>0.203215484232241</v>
      </c>
      <c r="P17" s="29">
        <f>产品分类!E6</f>
        <v>187865.95</v>
      </c>
      <c r="Q17" s="34">
        <f t="shared" si="1"/>
        <v>0.0152199206234515</v>
      </c>
    </row>
    <row r="18" spans="2:17">
      <c r="B18" s="30" t="s">
        <v>18</v>
      </c>
      <c r="C18" s="31">
        <f>SUMPRODUCT(SUMIF(数据源!$F$2:$F$8568,区域分布!C29:C33,数据源!$M$2:$M$8568))</f>
        <v>491191.825</v>
      </c>
      <c r="D18" s="32">
        <f t="shared" si="0"/>
        <v>0.0324129376153816</v>
      </c>
      <c r="H18" s="29">
        <v>6</v>
      </c>
      <c r="I18" s="29" t="str">
        <f>产品分类!C7</f>
        <v>Bretford CR8500 Series Meeting Room Furniture</v>
      </c>
      <c r="J18" s="34">
        <f>(SUMIFS(数据源!M$2:M$8568,数据源!R$2:R$8568,I18,数据源!F$2:F$8568,区域分布!C$3)+SUMIFS(数据源!M$2:M$8568,数据源!R$2:R$8568,I18,数据源!F$2:F$8568,区域分布!C$4)+SUMIFS(数据源!M$2:M$8568,数据源!R$2:R$8568,I18,数据源!F$2:F$8568,区域分布!C$5))/P18</f>
        <v>0</v>
      </c>
      <c r="K18" s="34">
        <f>(SUMIFS(数据源!M$2:M$8568,数据源!R$2:R$8568,I18,数据源!F$2:F$8568,区域分布!C$6)+SUMIFS(数据源!M$2:M$8568,数据源!R$2:R$8568,I18,数据源!F$2:F$8568,区域分布!C$7)+SUMIFS(数据源!M$2:M$8568,数据源!R$2:R$8568,I18,数据源!F$2:F$8568,区域分布!C$8)+SUMIFS(数据源!M$2:M$8568,数据源!R$2:R$8568,I18,数据源!F$2:F$8568,区域分布!C$9)+SUMIFS(数据源!M$2:M$8568,数据源!R$2:R$8568,I18,数据源!F$2:F$8568,区域分布!C$10))/P18</f>
        <v>0.138926902245555</v>
      </c>
      <c r="L18" s="34">
        <f>(SUMIFS(数据源!M7:M8573,数据源!R7:R8573,I18,数据源!F7:F8573,区域分布!C$11)+SUMIFS(数据源!M7:M8573,数据源!R7:R8573,I18,数据源!F7:F8573,区域分布!C$12)+SUMIFS(数据源!M7:M8573,数据源!R7:R8573,I18,数据源!F7:F8573,区域分布!C$13)+SUMIFS(数据源!M7:M8573,数据源!R7:R8573,I18,数据源!F7:F8573,区域分布!C$14)+SUMIFS(数据源!M7:M8573,数据源!R7:R8573,I18,数据源!F7:F8573,区域分布!C$15)+SUMIFS(数据源!M7:M8573,数据源!R7:R8573,I18,数据源!F7:F8573,区域分布!C$16)+SUMIFS(数据源!M7:M8573,数据源!R7:R8573,I18,数据源!F7:F8573,区域分布!C$17))/P18</f>
        <v>0.426504218191165</v>
      </c>
      <c r="M18" s="34">
        <f>(SUMIFS(数据源!$M$2:$M$8568,数据源!$R$2:$R$8568,I18,数据源!$F$2:$F$8568,区域分布!$C$18)+SUMIFS(数据源!$M$2:$M$8568,数据源!$R$2:$R$8568,I18,数据源!$F$2:$F$8568,区域分布!$C$19)+SUMIFS(数据源!$M$2:$M$8568,数据源!$R$2:$R$8568,I18,数据源!$F$2:$F$8568,区域分布!$C$20)+SUMIFS(数据源!$M$2:$M$8568,数据源!$R$2:$R$8568,I18,数据源!$F$2:$F$8568,区域分布!$C$21)+SUMIFS(数据源!$M$2:$M$8568,数据源!$R$2:$R$8568,I18,数据源!$F$2:$F$8568,区域分布!$C$22)+SUMIFS(数据源!$M$2:$M$8568,数据源!$R$2:$R$8568,I18,数据源!$F$2:$F$8568,区域分布!$C$23))/P18</f>
        <v>0.421512815214942</v>
      </c>
      <c r="N18" s="34">
        <f>(SUMIFS(数据源!$M$2:$M$8568,数据源!$R$2:$R$8568,I18,数据源!$F$2:$F$8568,区域分布!$C$24)+SUMIFS(数据源!$M$2:$M$8568,数据源!$R$2:$R$8568,I18,数据源!$F$2:$F$8568,区域分布!$C$25)+SUMIFS(数据源!$M$2:$M$8568,数据源!$R$2:$R$8568,I18,数据源!$F$2:$F$8568,区域分布!$C$26)+SUMIFS(数据源!$M$2:$M$8568,数据源!$R$2:$R$8568,I18,数据源!$F$2:$F$8568,区域分布!$C$27)+SUMIFS(数据源!$M$2:$M$8568,数据源!$R$2:$R$8568,I18,数据源!$F$2:$F$8568,区域分布!$C$28))/P18</f>
        <v>0</v>
      </c>
      <c r="O18" s="34">
        <f>(SUMIFS(数据源!$M$2:$M$8568,数据源!$R$2:$R$8568,I18,数据源!$F$2:$F$8568,区域分布!$C$29)+SUMIFS(数据源!$M$2:$M$8568,数据源!$R$2:$R$8568,I18,数据源!$F$2:$F$8568,区域分布!$C$30)+SUMIFS(数据源!$M$2:$M$8568,数据源!$R$2:$R$8568,I18,数据源!$F$2:$F$8568,区域分布!$C$31)+SUMIFS(数据源!$M$2:$M$8568,数据源!$R$2:$R$8568,I18,数据源!$F$2:$F$8568,区域分布!$C$32)+SUMIFS(数据源!$M$2:$M$8568,数据源!$R$2:$R$8568,I18,数据源!$F$2:$F$8568,区域分布!$C$33))/P18</f>
        <v>0.0130560643483372</v>
      </c>
      <c r="P18" s="29">
        <f>产品分类!E7</f>
        <v>124152.268</v>
      </c>
      <c r="Q18" s="34">
        <f t="shared" si="1"/>
        <v>0.0100581700099538</v>
      </c>
    </row>
    <row r="19" spans="2:17">
      <c r="B19" s="30" t="s">
        <v>21</v>
      </c>
      <c r="C19" s="31">
        <f>SUM(C13:C18)</f>
        <v>15154190.306</v>
      </c>
      <c r="D19" s="32">
        <f t="shared" si="0"/>
        <v>0.999999999999997</v>
      </c>
      <c r="H19" s="29">
        <v>7</v>
      </c>
      <c r="I19" s="29" t="str">
        <f>产品分类!C8</f>
        <v>Sharp AL-1530CS Digital Copier</v>
      </c>
      <c r="J19" s="34">
        <f>(SUMIFS(数据源!M$2:M$8568,数据源!R$2:R$8568,I19,数据源!F$2:F$8568,区域分布!C$3)+SUMIFS(数据源!M$2:M$8568,数据源!R$2:R$8568,I19,数据源!F$2:F$8568,区域分布!C$4)+SUMIFS(数据源!M$2:M$8568,数据源!R$2:R$8568,I19,数据源!F$2:F$8568,区域分布!C$5))/P19</f>
        <v>0.0123093276409912</v>
      </c>
      <c r="K19" s="34">
        <f>(SUMIFS(数据源!M$2:M$8568,数据源!R$2:R$8568,I19,数据源!F$2:F$8568,区域分布!C$6)+SUMIFS(数据源!M$2:M$8568,数据源!R$2:R$8568,I19,数据源!F$2:F$8568,区域分布!C$7)+SUMIFS(数据源!M$2:M$8568,数据源!R$2:R$8568,I19,数据源!F$2:F$8568,区域分布!C$8)+SUMIFS(数据源!M$2:M$8568,数据源!R$2:R$8568,I19,数据源!F$2:F$8568,区域分布!C$9)+SUMIFS(数据源!M$2:M$8568,数据源!R$2:R$8568,I19,数据源!F$2:F$8568,区域分布!C$10))/P19</f>
        <v>0.261401974748564</v>
      </c>
      <c r="L19" s="34">
        <f>(SUMIFS(数据源!M8:M8574,数据源!R8:R8574,I19,数据源!F8:F8574,区域分布!C$11)+SUMIFS(数据源!M8:M8574,数据源!R8:R8574,I19,数据源!F8:F8574,区域分布!C$12)+SUMIFS(数据源!M8:M8574,数据源!R8:R8574,I19,数据源!F8:F8574,区域分布!C$13)+SUMIFS(数据源!M8:M8574,数据源!R8:R8574,I19,数据源!F8:F8574,区域分布!C$14)+SUMIFS(数据源!M8:M8574,数据源!R8:R8574,I19,数据源!F8:F8574,区域分布!C$15)+SUMIFS(数据源!M8:M8574,数据源!R8:R8574,I19,数据源!F8:F8574,区域分布!C$16)+SUMIFS(数据源!M8:M8574,数据源!R8:R8574,I19,数据源!F8:F8574,区域分布!C$17))/P19</f>
        <v>0.260301945565891</v>
      </c>
      <c r="M19" s="34">
        <f>(SUMIFS(数据源!$M$2:$M$8568,数据源!$R$2:$R$8568,I19,数据源!$F$2:$F$8568,区域分布!$C$18)+SUMIFS(数据源!$M$2:$M$8568,数据源!$R$2:$R$8568,I19,数据源!$F$2:$F$8568,区域分布!$C$19)+SUMIFS(数据源!$M$2:$M$8568,数据源!$R$2:$R$8568,I19,数据源!$F$2:$F$8568,区域分布!$C$20)+SUMIFS(数据源!$M$2:$M$8568,数据源!$R$2:$R$8568,I19,数据源!$F$2:$F$8568,区域分布!$C$21)+SUMIFS(数据源!$M$2:$M$8568,数据源!$R$2:$R$8568,I19,数据源!$F$2:$F$8568,区域分布!$C$22)+SUMIFS(数据源!$M$2:$M$8568,数据源!$R$2:$R$8568,I19,数据源!$F$2:$F$8568,区域分布!$C$23))/P19</f>
        <v>0.321508173593974</v>
      </c>
      <c r="N19" s="34">
        <f>(SUMIFS(数据源!$M$2:$M$8568,数据源!$R$2:$R$8568,I19,数据源!$F$2:$F$8568,区域分布!$C$24)+SUMIFS(数据源!$M$2:$M$8568,数据源!$R$2:$R$8568,I19,数据源!$F$2:$F$8568,区域分布!$C$25)+SUMIFS(数据源!$M$2:$M$8568,数据源!$R$2:$R$8568,I19,数据源!$F$2:$F$8568,区域分布!$C$26)+SUMIFS(数据源!$M$2:$M$8568,数据源!$R$2:$R$8568,I19,数据源!$F$2:$F$8568,区域分布!$C$27)+SUMIFS(数据源!$M$2:$M$8568,数据源!$R$2:$R$8568,I19,数据源!$F$2:$F$8568,区域分布!$C$28))/P19</f>
        <v>0.323017955767328</v>
      </c>
      <c r="O19" s="34">
        <f>(SUMIFS(数据源!$M$2:$M$8568,数据源!$R$2:$R$8568,I19,数据源!$F$2:$F$8568,区域分布!$C$29)+SUMIFS(数据源!$M$2:$M$8568,数据源!$R$2:$R$8568,I19,数据源!$F$2:$F$8568,区域分布!$C$30)+SUMIFS(数据源!$M$2:$M$8568,数据源!$R$2:$R$8568,I19,数据源!$F$2:$F$8568,区域分布!$C$31)+SUMIFS(数据源!$M$2:$M$8568,数据源!$R$2:$R$8568,I19,数据源!$F$2:$F$8568,区域分布!$C$32)+SUMIFS(数据源!$M$2:$M$8568,数据源!$R$2:$R$8568,I19,数据源!$F$2:$F$8568,区域分布!$C$33))/P19</f>
        <v>0.0291587618938414</v>
      </c>
      <c r="P19" s="29">
        <f>产品分类!E8</f>
        <v>92006.65</v>
      </c>
      <c r="Q19" s="34">
        <f t="shared" si="1"/>
        <v>0.00745389949498396</v>
      </c>
    </row>
    <row r="20" spans="8:17">
      <c r="H20" s="29">
        <v>8</v>
      </c>
      <c r="I20" s="29" t="str">
        <f>产品分类!C9</f>
        <v>Hewlett-Packard cp1700 [D, PS] Series Color Inkjet Printers</v>
      </c>
      <c r="J20" s="34">
        <f>(SUMIFS(数据源!M$2:M$8568,数据源!R$2:R$8568,I20,数据源!F$2:F$8568,区域分布!C$3)+SUMIFS(数据源!M$2:M$8568,数据源!R$2:R$8568,I20,数据源!F$2:F$8568,区域分布!C$4)+SUMIFS(数据源!M$2:M$8568,数据源!R$2:R$8568,I20,数据源!F$2:F$8568,区域分布!C$5))/P20</f>
        <v>0.292481084460641</v>
      </c>
      <c r="K20" s="34">
        <f>(SUMIFS(数据源!M$2:M$8568,数据源!R$2:R$8568,I20,数据源!F$2:F$8568,区域分布!C$6)+SUMIFS(数据源!M$2:M$8568,数据源!R$2:R$8568,I20,数据源!F$2:F$8568,区域分布!C$7)+SUMIFS(数据源!M$2:M$8568,数据源!R$2:R$8568,I20,数据源!F$2:F$8568,区域分布!C$8)+SUMIFS(数据源!M$2:M$8568,数据源!R$2:R$8568,I20,数据源!F$2:F$8568,区域分布!C$9)+SUMIFS(数据源!M$2:M$8568,数据源!R$2:R$8568,I20,数据源!F$2:F$8568,区域分布!C$10))/P20</f>
        <v>0.121524112958915</v>
      </c>
      <c r="L20" s="34">
        <f>(SUMIFS(数据源!M9:M8575,数据源!R9:R8575,I20,数据源!F9:F8575,区域分布!C$11)+SUMIFS(数据源!M9:M8575,数据源!R9:R8575,I20,数据源!F9:F8575,区域分布!C$12)+SUMIFS(数据源!M9:M8575,数据源!R9:R8575,I20,数据源!F9:F8575,区域分布!C$13)+SUMIFS(数据源!M9:M8575,数据源!R9:R8575,I20,数据源!F9:F8575,区域分布!C$14)+SUMIFS(数据源!M9:M8575,数据源!R9:R8575,I20,数据源!F9:F8575,区域分布!C$15)+SUMIFS(数据源!M9:M8575,数据源!R9:R8575,I20,数据源!F9:F8575,区域分布!C$16)+SUMIFS(数据源!M9:M8575,数据源!R9:R8575,I20,数据源!F9:F8575,区域分布!C$17))/P20</f>
        <v>0.257932861834414</v>
      </c>
      <c r="M20" s="34">
        <f>(SUMIFS(数据源!$M$2:$M$8568,数据源!$R$2:$R$8568,I20,数据源!$F$2:$F$8568,区域分布!$C$18)+SUMIFS(数据源!$M$2:$M$8568,数据源!$R$2:$R$8568,I20,数据源!$F$2:$F$8568,区域分布!$C$19)+SUMIFS(数据源!$M$2:$M$8568,数据源!$R$2:$R$8568,I20,数据源!$F$2:$F$8568,区域分布!$C$20)+SUMIFS(数据源!$M$2:$M$8568,数据源!$R$2:$R$8568,I20,数据源!$F$2:$F$8568,区域分布!$C$21)+SUMIFS(数据源!$M$2:$M$8568,数据源!$R$2:$R$8568,I20,数据源!$F$2:$F$8568,区域分布!$C$22)+SUMIFS(数据源!$M$2:$M$8568,数据源!$R$2:$R$8568,I20,数据源!$F$2:$F$8568,区域分布!$C$23))/P20</f>
        <v>0.215488282895768</v>
      </c>
      <c r="N20" s="34">
        <f>(SUMIFS(数据源!$M$2:$M$8568,数据源!$R$2:$R$8568,I20,数据源!$F$2:$F$8568,区域分布!$C$24)+SUMIFS(数据源!$M$2:$M$8568,数据源!$R$2:$R$8568,I20,数据源!$F$2:$F$8568,区域分布!$C$25)+SUMIFS(数据源!$M$2:$M$8568,数据源!$R$2:$R$8568,I20,数据源!$F$2:$F$8568,区域分布!$C$26)+SUMIFS(数据源!$M$2:$M$8568,数据源!$R$2:$R$8568,I20,数据源!$F$2:$F$8568,区域分布!$C$27)+SUMIFS(数据源!$M$2:$M$8568,数据源!$R$2:$R$8568,I20,数据源!$F$2:$F$8568,区域分布!$C$28))/P20</f>
        <v>0.643847969600431</v>
      </c>
      <c r="O20" s="34">
        <f>(SUMIFS(数据源!$M$2:$M$8568,数据源!$R$2:$R$8568,I20,数据源!$F$2:$F$8568,区域分布!$C$29)+SUMIFS(数据源!$M$2:$M$8568,数据源!$R$2:$R$8568,I20,数据源!$F$2:$F$8568,区域分布!$C$30)+SUMIFS(数据源!$M$2:$M$8568,数据源!$R$2:$R$8568,I20,数据源!$F$2:$F$8568,区域分布!$C$31)+SUMIFS(数据源!$M$2:$M$8568,数据源!$R$2:$R$8568,I20,数据源!$F$2:$F$8568,区域分布!$C$32)+SUMIFS(数据源!$M$2:$M$8568,数据源!$R$2:$R$8568,I20,数据源!$F$2:$F$8568,区域分布!$C$33))/P20</f>
        <v>0.304704719447574</v>
      </c>
      <c r="P20" s="29">
        <f>产品分类!E9</f>
        <v>59165.7065</v>
      </c>
      <c r="Q20" s="34">
        <f t="shared" si="1"/>
        <v>0.00479329733014645</v>
      </c>
    </row>
    <row r="21" spans="2:17">
      <c r="B21" s="22" t="s">
        <v>22</v>
      </c>
      <c r="H21" s="29">
        <v>9</v>
      </c>
      <c r="I21" s="29" t="str">
        <f>产品分类!C10</f>
        <v>Bretford CR4500 Series Slim Rectangular Table</v>
      </c>
      <c r="J21" s="34">
        <f>(SUMIFS(数据源!M$2:M$8568,数据源!R$2:R$8568,I21,数据源!F$2:F$8568,区域分布!C$3)+SUMIFS(数据源!M$2:M$8568,数据源!R$2:R$8568,I21,数据源!F$2:F$8568,区域分布!C$4)+SUMIFS(数据源!M$2:M$8568,数据源!R$2:R$8568,I21,数据源!F$2:F$8568,区域分布!C$5))/P21</f>
        <v>0.243433316236716</v>
      </c>
      <c r="K21" s="34">
        <f>(SUMIFS(数据源!M$2:M$8568,数据源!R$2:R$8568,I21,数据源!F$2:F$8568,区域分布!C$6)+SUMIFS(数据源!M$2:M$8568,数据源!R$2:R$8568,I21,数据源!F$2:F$8568,区域分布!C$7)+SUMIFS(数据源!M$2:M$8568,数据源!R$2:R$8568,I21,数据源!F$2:F$8568,区域分布!C$8)+SUMIFS(数据源!M$2:M$8568,数据源!R$2:R$8568,I21,数据源!F$2:F$8568,区域分布!C$9)+SUMIFS(数据源!M$2:M$8568,数据源!R$2:R$8568,I21,数据源!F$2:F$8568,区域分布!C$10))/P21</f>
        <v>0.215127998465795</v>
      </c>
      <c r="L21" s="34">
        <f>(SUMIFS(数据源!M10:M8576,数据源!R10:R8576,I21,数据源!F10:F8576,区域分布!C$11)+SUMIFS(数据源!M10:M8576,数据源!R10:R8576,I21,数据源!F10:F8576,区域分布!C$12)+SUMIFS(数据源!M10:M8576,数据源!R10:R8576,I21,数据源!F10:F8576,区域分布!C$13)+SUMIFS(数据源!M10:M8576,数据源!R10:R8576,I21,数据源!F10:F8576,区域分布!C$14)+SUMIFS(数据源!M10:M8576,数据源!R10:R8576,I21,数据源!F10:F8576,区域分布!C$15)+SUMIFS(数据源!M10:M8576,数据源!R10:R8576,I21,数据源!F10:F8576,区域分布!C$16)+SUMIFS(数据源!M10:M8576,数据源!R10:R8576,I21,数据源!F10:F8576,区域分布!C$17))/P21</f>
        <v>0.0735755182569642</v>
      </c>
      <c r="M21" s="34">
        <f>(SUMIFS(数据源!$M$2:$M$8568,数据源!$R$2:$R$8568,I21,数据源!$F$2:$F$8568,区域分布!$C$18)+SUMIFS(数据源!$M$2:$M$8568,数据源!$R$2:$R$8568,I21,数据源!$F$2:$F$8568,区域分布!$C$19)+SUMIFS(数据源!$M$2:$M$8568,数据源!$R$2:$R$8568,I21,数据源!$F$2:$F$8568,区域分布!$C$20)+SUMIFS(数据源!$M$2:$M$8568,数据源!$R$2:$R$8568,I21,数据源!$F$2:$F$8568,区域分布!$C$21)+SUMIFS(数据源!$M$2:$M$8568,数据源!$R$2:$R$8568,I21,数据源!$F$2:$F$8568,区域分布!$C$22)+SUMIFS(数据源!$M$2:$M$8568,数据源!$R$2:$R$8568,I21,数据源!$F$2:$F$8568,区域分布!$C$23))/P21</f>
        <v>0.447048555379624</v>
      </c>
      <c r="N21" s="34">
        <f>(SUMIFS(数据源!$M$2:$M$8568,数据源!$R$2:$R$8568,I21,数据源!$F$2:$F$8568,区域分布!$C$24)+SUMIFS(数据源!$M$2:$M$8568,数据源!$R$2:$R$8568,I21,数据源!$F$2:$F$8568,区域分布!$C$25)+SUMIFS(数据源!$M$2:$M$8568,数据源!$R$2:$R$8568,I21,数据源!$F$2:$F$8568,区域分布!$C$26)+SUMIFS(数据源!$M$2:$M$8568,数据源!$R$2:$R$8568,I21,数据源!$F$2:$F$8568,区域分布!$C$27)+SUMIFS(数据源!$M$2:$M$8568,数据源!$R$2:$R$8568,I21,数据源!$F$2:$F$8568,区域分布!$C$28))/P21</f>
        <v>0.0208146116609008</v>
      </c>
      <c r="O21" s="34">
        <f>(SUMIFS(数据源!$M$2:$M$8568,数据源!$R$2:$R$8568,I21,数据源!$F$2:$F$8568,区域分布!$C$29)+SUMIFS(数据源!$M$2:$M$8568,数据源!$R$2:$R$8568,I21,数据源!$F$2:$F$8568,区域分布!$C$30)+SUMIFS(数据源!$M$2:$M$8568,数据源!$R$2:$R$8568,I21,数据源!$F$2:$F$8568,区域分布!$C$31)+SUMIFS(数据源!$M$2:$M$8568,数据源!$R$2:$R$8568,I21,数据源!$F$2:$F$8568,区域分布!$C$32)+SUMIFS(数据源!$M$2:$M$8568,数据源!$R$2:$R$8568,I21,数据源!$F$2:$F$8568,区域分布!$C$33))/P21</f>
        <v>0</v>
      </c>
      <c r="P21" s="29">
        <f>产品分类!E10</f>
        <v>91304.61</v>
      </c>
      <c r="Q21" s="34">
        <f t="shared" si="1"/>
        <v>0.00739702387130395</v>
      </c>
    </row>
    <row r="22" spans="8:17">
      <c r="H22" s="29">
        <v>10</v>
      </c>
      <c r="I22" s="29" t="str">
        <f>产品分类!C11</f>
        <v>Hewlett-Packard Deskjet 1220Cse Color Inkjet Printer</v>
      </c>
      <c r="J22" s="34">
        <f>(SUMIFS(数据源!M$2:M$8568,数据源!R$2:R$8568,I22,数据源!F$2:F$8568,区域分布!C$3)+SUMIFS(数据源!M$2:M$8568,数据源!R$2:R$8568,I22,数据源!F$2:F$8568,区域分布!C$4)+SUMIFS(数据源!M$2:M$8568,数据源!R$2:R$8568,I22,数据源!F$2:F$8568,区域分布!C$5))/P22</f>
        <v>0</v>
      </c>
      <c r="K22" s="34">
        <f>(SUMIFS(数据源!M$2:M$8568,数据源!R$2:R$8568,I22,数据源!F$2:F$8568,区域分布!C$6)+SUMIFS(数据源!M$2:M$8568,数据源!R$2:R$8568,I22,数据源!F$2:F$8568,区域分布!C$7)+SUMIFS(数据源!M$2:M$8568,数据源!R$2:R$8568,I22,数据源!F$2:F$8568,区域分布!C$8)+SUMIFS(数据源!M$2:M$8568,数据源!R$2:R$8568,I22,数据源!F$2:F$8568,区域分布!C$9)+SUMIFS(数据源!M$2:M$8568,数据源!R$2:R$8568,I22,数据源!F$2:F$8568,区域分布!C$10))/P22</f>
        <v>0.534081985309778</v>
      </c>
      <c r="L22" s="34">
        <f>(SUMIFS(数据源!M11:M8577,数据源!R11:R8577,I22,数据源!F11:F8577,区域分布!C$11)+SUMIFS(数据源!M11:M8577,数据源!R11:R8577,I22,数据源!F11:F8577,区域分布!C$12)+SUMIFS(数据源!M11:M8577,数据源!R11:R8577,I22,数据源!F11:F8577,区域分布!C$13)+SUMIFS(数据源!M11:M8577,数据源!R11:R8577,I22,数据源!F11:F8577,区域分布!C$14)+SUMIFS(数据源!M11:M8577,数据源!R11:R8577,I22,数据源!F11:F8577,区域分布!C$15)+SUMIFS(数据源!M11:M8577,数据源!R11:R8577,I22,数据源!F11:F8577,区域分布!C$16)+SUMIFS(数据源!M11:M8577,数据源!R11:R8577,I22,数据源!F11:F8577,区域分布!C$17))/P22</f>
        <v>0.00992785748879646</v>
      </c>
      <c r="M22" s="34">
        <f>(SUMIFS(数据源!$M$2:$M$8568,数据源!$R$2:$R$8568,I22,数据源!$F$2:$F$8568,区域分布!$C$18)+SUMIFS(数据源!$M$2:$M$8568,数据源!$R$2:$R$8568,I22,数据源!$F$2:$F$8568,区域分布!$C$19)+SUMIFS(数据源!$M$2:$M$8568,数据源!$R$2:$R$8568,I22,数据源!$F$2:$F$8568,区域分布!$C$20)+SUMIFS(数据源!$M$2:$M$8568,数据源!$R$2:$R$8568,I22,数据源!$F$2:$F$8568,区域分布!$C$21)+SUMIFS(数据源!$M$2:$M$8568,数据源!$R$2:$R$8568,I22,数据源!$F$2:$F$8568,区域分布!$C$22)+SUMIFS(数据源!$M$2:$M$8568,数据源!$R$2:$R$8568,I22,数据源!$F$2:$F$8568,区域分布!$C$23))/P22</f>
        <v>0.566427473521908</v>
      </c>
      <c r="N22" s="34">
        <f>(SUMIFS(数据源!$M$2:$M$8568,数据源!$R$2:$R$8568,I22,数据源!$F$2:$F$8568,区域分布!$C$24)+SUMIFS(数据源!$M$2:$M$8568,数据源!$R$2:$R$8568,I22,数据源!$F$2:$F$8568,区域分布!$C$25)+SUMIFS(数据源!$M$2:$M$8568,数据源!$R$2:$R$8568,I22,数据源!$F$2:$F$8568,区域分布!$C$26)+SUMIFS(数据源!$M$2:$M$8568,数据源!$R$2:$R$8568,I22,数据源!$F$2:$F$8568,区域分布!$C$27)+SUMIFS(数据源!$M$2:$M$8568,数据源!$R$2:$R$8568,I22,数据源!$F$2:$F$8568,区域分布!$C$28))/P22</f>
        <v>0</v>
      </c>
      <c r="O22" s="34">
        <f>(SUMIFS(数据源!$M$2:$M$8568,数据源!$R$2:$R$8568,I22,数据源!$F$2:$F$8568,区域分布!$C$29)+SUMIFS(数据源!$M$2:$M$8568,数据源!$R$2:$R$8568,I22,数据源!$F$2:$F$8568,区域分布!$C$30)+SUMIFS(数据源!$M$2:$M$8568,数据源!$R$2:$R$8568,I22,数据源!$F$2:$F$8568,区域分布!$C$31)+SUMIFS(数据源!$M$2:$M$8568,数据源!$R$2:$R$8568,I22,数据源!$F$2:$F$8568,区域分布!$C$32)+SUMIFS(数据源!$M$2:$M$8568,数据源!$R$2:$R$8568,I22,数据源!$F$2:$F$8568,区域分布!$C$33))/P22</f>
        <v>0</v>
      </c>
      <c r="P22" s="29">
        <f>产品分类!E11</f>
        <v>74889.27</v>
      </c>
      <c r="Q22" s="34">
        <f t="shared" si="1"/>
        <v>0.00606713853653749</v>
      </c>
    </row>
    <row r="23" spans="8:17">
      <c r="H23" s="29" t="s">
        <v>21</v>
      </c>
      <c r="I23" s="29"/>
      <c r="J23" s="34">
        <f t="shared" ref="J23:P23" si="2">SUM(J13:J22)</f>
        <v>0.985814177260442</v>
      </c>
      <c r="K23" s="34">
        <f t="shared" si="2"/>
        <v>3.05023606402299</v>
      </c>
      <c r="L23" s="34">
        <f t="shared" si="2"/>
        <v>2.12405251160107</v>
      </c>
      <c r="M23" s="34">
        <f t="shared" si="2"/>
        <v>3.99206101499416</v>
      </c>
      <c r="N23" s="34">
        <f t="shared" si="2"/>
        <v>1.19817558414532</v>
      </c>
      <c r="O23" s="34">
        <f t="shared" si="2"/>
        <v>0.550206967829421</v>
      </c>
      <c r="P23" s="29">
        <f t="shared" si="2"/>
        <v>1252004.6545</v>
      </c>
      <c r="Q23" s="34">
        <f t="shared" si="1"/>
        <v>0.101430895070032</v>
      </c>
    </row>
    <row r="24" spans="10:15">
      <c r="J24" s="35"/>
      <c r="K24" s="35"/>
      <c r="L24" s="35"/>
      <c r="M24" s="35"/>
      <c r="N24" s="35"/>
      <c r="O24" s="35"/>
    </row>
    <row r="33" spans="2:2">
      <c r="B33" s="23" t="s">
        <v>23</v>
      </c>
    </row>
    <row r="34" spans="2:5">
      <c r="B34" s="21" t="s">
        <v>7</v>
      </c>
      <c r="C34" s="21" t="s">
        <v>24</v>
      </c>
      <c r="D34" s="21" t="s">
        <v>8</v>
      </c>
      <c r="E34" s="29" t="s">
        <v>9</v>
      </c>
    </row>
    <row r="35" spans="2:5">
      <c r="B35" s="21" t="str">
        <f>区域分布!B3</f>
        <v>东北</v>
      </c>
      <c r="C35" s="21" t="s">
        <v>25</v>
      </c>
      <c r="D35" s="21">
        <f>SUMPRODUCT(SUMIFS(数据源!$M$2:$M$8568,数据源!$T$2:$T$8568,C35,数据源!$F$2:$F$8568,区域分布!$C$3:$C$5))</f>
        <v>1116271.8005</v>
      </c>
      <c r="E35" s="33">
        <f>D35/$D$38</f>
        <v>0.541387731068592</v>
      </c>
    </row>
    <row r="36" spans="3:5">
      <c r="C36" s="21" t="s">
        <v>26</v>
      </c>
      <c r="D36" s="21">
        <f>SUMPRODUCT(SUMIFS(数据源!$M$2:$M$8568,数据源!$T$2:$T$8568,C36,数据源!$F$2:$F$8568,区域分布!$C$3:$C$5))</f>
        <v>496217.8085</v>
      </c>
      <c r="E36" s="33">
        <f>D36/$D$38</f>
        <v>0.240663818022915</v>
      </c>
    </row>
    <row r="37" spans="3:5">
      <c r="C37" s="21" t="s">
        <v>27</v>
      </c>
      <c r="D37" s="21">
        <f>SUMPRODUCT(SUMIFS(数据源!$M$2:$M$8568,数据源!$T$2:$T$8568,C37,数据源!$F$2:$F$8568,区域分布!$C$3:$C$5))</f>
        <v>449381.646</v>
      </c>
      <c r="E37" s="33">
        <f>D37/$D$38</f>
        <v>0.217948450908493</v>
      </c>
    </row>
    <row r="38" spans="2:5">
      <c r="B38" s="21" t="s">
        <v>21</v>
      </c>
      <c r="D38" s="21">
        <f>SUM(D35:D37)</f>
        <v>2061871.255</v>
      </c>
      <c r="E38" s="33">
        <f>D38/$D$38</f>
        <v>1</v>
      </c>
    </row>
    <row r="39" spans="5:5">
      <c r="E39" s="33"/>
    </row>
    <row r="40" spans="2:5">
      <c r="B40" s="21" t="s">
        <v>14</v>
      </c>
      <c r="C40" s="21" t="s">
        <v>25</v>
      </c>
      <c r="D40" s="21">
        <f>SUMPRODUCT(SUMIFS(数据源!$M$2:$M$8568,数据源!$T$2:$T$8568,C40,数据源!$F$2:$F$8568,区域分布!$C$6:$C$10))</f>
        <v>1639380.1395</v>
      </c>
      <c r="E40" s="33">
        <f>D40/$D$43</f>
        <v>0.53367512828952</v>
      </c>
    </row>
    <row r="41" spans="3:5">
      <c r="C41" s="21" t="s">
        <v>26</v>
      </c>
      <c r="D41" s="21">
        <f>SUMPRODUCT(SUMIFS(数据源!$M$2:$M$8568,数据源!$T$2:$T$8568,C41,数据源!$F$2:$F$8568,区域分布!$C$6:$C$10))</f>
        <v>759946.92</v>
      </c>
      <c r="E41" s="33">
        <f>D41/$D$43</f>
        <v>0.247389095580919</v>
      </c>
    </row>
    <row r="42" spans="3:5">
      <c r="C42" s="21" t="s">
        <v>27</v>
      </c>
      <c r="D42" s="21">
        <f>SUMPRODUCT(SUMIFS(数据源!$M$2:$M$8568,数据源!$T$2:$T$8568,C42,数据源!$F$2:$F$8568,区域分布!$C$6:$C$10))</f>
        <v>672542.047</v>
      </c>
      <c r="E42" s="33">
        <f>D42/$D$43</f>
        <v>0.218935776129561</v>
      </c>
    </row>
    <row r="43" spans="2:5">
      <c r="B43" s="21" t="s">
        <v>21</v>
      </c>
      <c r="D43" s="21">
        <f>SUM(D40:D42)</f>
        <v>3071869.1065</v>
      </c>
      <c r="E43" s="33">
        <f>D43/$D$43</f>
        <v>1</v>
      </c>
    </row>
    <row r="44" spans="5:5">
      <c r="E44" s="33"/>
    </row>
    <row r="45" spans="2:5">
      <c r="B45" s="21" t="s">
        <v>15</v>
      </c>
      <c r="C45" s="21" t="s">
        <v>25</v>
      </c>
      <c r="D45" s="21">
        <f>SUMPRODUCT(SUMIFS(数据源!$M$2:$M$8568,数据源!$T$2:$T$8568,C45,数据源!$F$2:$F$8568,区域分布!$C$11:$C$17))</f>
        <v>1439212.2565</v>
      </c>
      <c r="E45" s="33">
        <f>D45/$D$48</f>
        <v>0.523064646451975</v>
      </c>
    </row>
    <row r="46" spans="3:5">
      <c r="C46" s="21" t="s">
        <v>26</v>
      </c>
      <c r="D46" s="21">
        <f>SUMPRODUCT(SUMIFS(数据源!$M$2:$M$8568,数据源!$T$2:$T$8568,C46,数据源!$F$2:$F$8568,区域分布!$C$11:$C$17))</f>
        <v>623791.6665</v>
      </c>
      <c r="E46" s="33">
        <f>D46/$D$48</f>
        <v>0.226709692072103</v>
      </c>
    </row>
    <row r="47" spans="3:5">
      <c r="C47" s="21" t="s">
        <v>27</v>
      </c>
      <c r="D47" s="21">
        <f>SUMPRODUCT(SUMIFS(数据源!$M$2:$M$8568,数据源!$T$2:$T$8568,C47,数据源!$F$2:$F$8568,区域分布!$C$11:$C$17))</f>
        <v>688495.851</v>
      </c>
      <c r="E47" s="33">
        <f>D47/$D$48</f>
        <v>0.250225661475922</v>
      </c>
    </row>
    <row r="48" spans="2:5">
      <c r="B48" s="21" t="s">
        <v>21</v>
      </c>
      <c r="D48" s="21">
        <f>SUM(D45:D47)</f>
        <v>2751499.774</v>
      </c>
      <c r="E48" s="33">
        <f>D48/$D$48</f>
        <v>1</v>
      </c>
    </row>
    <row r="49" spans="5:5">
      <c r="E49" s="33"/>
    </row>
    <row r="50" spans="2:5">
      <c r="B50" s="21" t="s">
        <v>16</v>
      </c>
      <c r="C50" s="21" t="s">
        <v>25</v>
      </c>
      <c r="D50" s="21">
        <f>SUMPRODUCT(SUMIFS(数据源!$M$2:$M$8568,数据源!$T$2:$T$8568,C50,数据源!$F$2:$F$8568,区域分布!$C$18:$C$23))</f>
        <v>2980933.531</v>
      </c>
      <c r="E50" s="33">
        <f>D50/$D$53</f>
        <v>0.531552315942575</v>
      </c>
    </row>
    <row r="51" spans="3:5">
      <c r="C51" s="21" t="s">
        <v>26</v>
      </c>
      <c r="D51" s="21">
        <f>SUMPRODUCT(SUMIFS(数据源!$M$2:$M$8568,数据源!$T$2:$T$8568,C51,数据源!$F$2:$F$8568,区域分布!$C$18:$C$23))</f>
        <v>1268553.5525</v>
      </c>
      <c r="E51" s="33">
        <f>D51/$D$53</f>
        <v>0.226205170868855</v>
      </c>
    </row>
    <row r="52" spans="3:5">
      <c r="C52" s="21" t="s">
        <v>27</v>
      </c>
      <c r="D52" s="21">
        <f>SUMPRODUCT(SUMIFS(数据源!$M$2:$M$8568,数据源!$T$2:$T$8568,C52,数据源!$F$2:$F$8568,区域分布!$C$18:$C$23))</f>
        <v>1358490.6105</v>
      </c>
      <c r="E52" s="33">
        <f>D52/$D$53</f>
        <v>0.24224251318857</v>
      </c>
    </row>
    <row r="53" spans="2:5">
      <c r="B53" s="21" t="s">
        <v>21</v>
      </c>
      <c r="D53" s="21">
        <f>SUM(D50:D52)</f>
        <v>5607977.694</v>
      </c>
      <c r="E53" s="33">
        <f>D53/$D$53</f>
        <v>1</v>
      </c>
    </row>
    <row r="54" spans="5:5">
      <c r="E54" s="33"/>
    </row>
    <row r="55" spans="2:5">
      <c r="B55" s="21" t="s">
        <v>17</v>
      </c>
      <c r="C55" s="21" t="s">
        <v>25</v>
      </c>
      <c r="D55" s="21">
        <f>SUMPRODUCT(SUMIFS(数据源!$M$2:$M$8568,数据源!$T$2:$T$8568,C55,数据源!$F$2:$F$8568,区域分布!$C$24:$C$28))</f>
        <v>570720.948</v>
      </c>
      <c r="E55" s="33">
        <f>D55/$D$58</f>
        <v>0.487887149841442</v>
      </c>
    </row>
    <row r="56" spans="3:5">
      <c r="C56" s="21" t="s">
        <v>26</v>
      </c>
      <c r="D56" s="21">
        <f>SUMPRODUCT(SUMIFS(数据源!$M$2:$M$8568,数据源!$T$2:$T$8568,C56,数据源!$F$2:$F$8568,区域分布!$C$24:$C$28))</f>
        <v>300453.2395</v>
      </c>
      <c r="E56" s="33">
        <f>D56/$D$58</f>
        <v>0.2568457933671</v>
      </c>
    </row>
    <row r="57" spans="3:5">
      <c r="C57" s="21" t="s">
        <v>27</v>
      </c>
      <c r="D57" s="21">
        <f>SUMPRODUCT(SUMIFS(数据源!$M$2:$M$8568,数据源!$T$2:$T$8568,C57,数据源!$F$2:$F$8568,区域分布!$C$24:$C$28))</f>
        <v>298606.464</v>
      </c>
      <c r="E57" s="33">
        <f>D57/$D$58</f>
        <v>0.255267056791459</v>
      </c>
    </row>
    <row r="58" spans="2:5">
      <c r="B58" s="21" t="s">
        <v>21</v>
      </c>
      <c r="D58" s="21">
        <f>SUM(D55:D57)</f>
        <v>1169780.6515</v>
      </c>
      <c r="E58" s="33">
        <f>D58/$D$58</f>
        <v>1</v>
      </c>
    </row>
    <row r="59" spans="5:5">
      <c r="E59" s="33"/>
    </row>
    <row r="60" spans="2:5">
      <c r="B60" s="21" t="s">
        <v>18</v>
      </c>
      <c r="C60" s="21" t="s">
        <v>25</v>
      </c>
      <c r="D60" s="21">
        <f>SUMPRODUCT(SUMIFS(数据源!$M$2:$M$8568,数据源!$T$2:$T$8568,C60,数据源!$F$2:$F$8568,区域分布!$C$29:$C$33))</f>
        <v>293927.7355</v>
      </c>
      <c r="E60" s="33">
        <f>D60/$D$63</f>
        <v>0.598397042743942</v>
      </c>
    </row>
    <row r="61" spans="3:5">
      <c r="C61" s="21" t="s">
        <v>26</v>
      </c>
      <c r="D61" s="21">
        <f>SUMPRODUCT(SUMIFS(数据源!$M$2:$M$8568,数据源!$T$2:$T$8568,C61,数据源!$F$2:$F$8568,区域分布!$C$29:$C$33))</f>
        <v>120623.904</v>
      </c>
      <c r="E61" s="33">
        <f>D61/$D$63</f>
        <v>0.245573924199573</v>
      </c>
    </row>
    <row r="62" spans="3:5">
      <c r="C62" s="21" t="s">
        <v>27</v>
      </c>
      <c r="D62" s="21">
        <f>SUMPRODUCT(SUMIFS(数据源!$M$2:$M$8568,数据源!$T$2:$T$8568,C62,数据源!$F$2:$F$8568,区域分布!$C$29:$C$33))</f>
        <v>76640.1855</v>
      </c>
      <c r="E62" s="33">
        <f>D62/$D$63</f>
        <v>0.156029033056485</v>
      </c>
    </row>
    <row r="63" spans="2:5">
      <c r="B63" s="21" t="s">
        <v>21</v>
      </c>
      <c r="D63" s="21">
        <f>SUM(D60:D62)</f>
        <v>491191.825</v>
      </c>
      <c r="E63" s="33">
        <f>D63/$D$63</f>
        <v>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568"/>
  <sheetViews>
    <sheetView topLeftCell="B8505" workbookViewId="0">
      <selection activeCell="T3" sqref="T3"/>
    </sheetView>
  </sheetViews>
  <sheetFormatPr defaultColWidth="9" defaultRowHeight="13.5"/>
  <cols>
    <col min="1" max="1" width="11.5" style="1" customWidth="1"/>
    <col min="2" max="2" width="11" style="1" customWidth="1"/>
    <col min="3" max="3" width="20.5" style="2" customWidth="1"/>
    <col min="4" max="4" width="11.75" customWidth="1"/>
    <col min="5" max="5" width="12.375" customWidth="1"/>
    <col min="6" max="6" width="15" customWidth="1"/>
    <col min="7" max="7" width="16.875" hidden="1" customWidth="1"/>
    <col min="8" max="8" width="11.125" customWidth="1"/>
    <col min="9" max="9" width="17.75" hidden="1" customWidth="1"/>
    <col min="10" max="10" width="10.625" customWidth="1"/>
    <col min="11" max="11" width="15.25" style="3" customWidth="1"/>
    <col min="12" max="13" width="13.125" customWidth="1"/>
    <col min="14" max="14" width="13.125" style="4" customWidth="1"/>
    <col min="15" max="16" width="13.125" style="5" hidden="1" customWidth="1"/>
    <col min="17" max="17" width="10.25" style="6" hidden="1" customWidth="1"/>
    <col min="18" max="18" width="91.25" style="4" customWidth="1"/>
    <col min="19" max="19" width="9.5" style="7" customWidth="1"/>
    <col min="20" max="20" width="42.125" style="7" customWidth="1"/>
  </cols>
  <sheetData>
    <row r="1" ht="23.25" customHeight="1" spans="1:20">
      <c r="A1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  <c r="J1" t="s">
        <v>37</v>
      </c>
      <c r="K1" s="3" t="s">
        <v>38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12</v>
      </c>
      <c r="S1" s="7" t="s">
        <v>45</v>
      </c>
      <c r="T1" s="7" t="s">
        <v>24</v>
      </c>
    </row>
    <row r="2" ht="16.5" customHeight="1" spans="1:21">
      <c r="A2" s="8">
        <f>DATE(2012,12,31)-810</f>
        <v>40464</v>
      </c>
      <c r="B2" s="8">
        <f>DATE(2012,12,31)-810</f>
        <v>40464</v>
      </c>
      <c r="C2" s="9" t="s">
        <v>46</v>
      </c>
      <c r="D2">
        <v>10021265709</v>
      </c>
      <c r="E2" t="s">
        <v>47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K2" s="3">
        <v>100831535382</v>
      </c>
      <c r="L2" s="10">
        <v>40471</v>
      </c>
      <c r="M2">
        <v>261.54</v>
      </c>
      <c r="N2" s="11">
        <v>6</v>
      </c>
      <c r="O2" s="12">
        <v>38.94</v>
      </c>
      <c r="P2" s="12">
        <v>35</v>
      </c>
      <c r="Q2" s="13">
        <v>-213.25</v>
      </c>
      <c r="R2" s="36" t="s">
        <v>53</v>
      </c>
      <c r="S2" s="7">
        <f>+L2-B2</f>
        <v>7</v>
      </c>
      <c r="T2" s="15" t="str">
        <f>VLOOKUP(R2,产品分类!$C$2:$D$1278,2,0)</f>
        <v>数码电子</v>
      </c>
      <c r="U2">
        <f>LEN(R2)</f>
        <v>48</v>
      </c>
    </row>
    <row r="3" ht="15" customHeight="1" spans="1:20">
      <c r="A3" s="8">
        <f>DATE(2012,12,31)-315</f>
        <v>40959</v>
      </c>
      <c r="B3" s="8">
        <f>DATE(2012,12,31)-315</f>
        <v>40959</v>
      </c>
      <c r="C3" s="9" t="s">
        <v>54</v>
      </c>
      <c r="D3">
        <v>10021250753</v>
      </c>
      <c r="E3" t="s">
        <v>47</v>
      </c>
      <c r="F3" t="s">
        <v>55</v>
      </c>
      <c r="G3" t="s">
        <v>56</v>
      </c>
      <c r="H3" t="s">
        <v>57</v>
      </c>
      <c r="I3" t="s">
        <v>58</v>
      </c>
      <c r="J3" t="s">
        <v>52</v>
      </c>
      <c r="K3" s="3">
        <v>100114340738</v>
      </c>
      <c r="L3" s="10">
        <v>40960</v>
      </c>
      <c r="M3">
        <v>6.93</v>
      </c>
      <c r="N3" s="11">
        <v>2</v>
      </c>
      <c r="O3" s="12">
        <v>2.08</v>
      </c>
      <c r="P3" s="12">
        <v>2.56</v>
      </c>
      <c r="Q3" s="13">
        <v>-4.64</v>
      </c>
      <c r="R3" s="36" t="s">
        <v>59</v>
      </c>
      <c r="S3" s="7">
        <f t="shared" ref="S3:S66" si="0">+L3-B3</f>
        <v>1</v>
      </c>
      <c r="T3" s="15" t="str">
        <f>VLOOKUP(R3,产品分类!$C$2:$D$1278,2,0)</f>
        <v>数码电子</v>
      </c>
    </row>
    <row r="4" spans="1:20">
      <c r="A4" s="8">
        <f t="shared" ref="A4:B7" si="1">DATE(2012,12,31)-535</f>
        <v>40739</v>
      </c>
      <c r="B4" s="8">
        <f t="shared" si="1"/>
        <v>40739</v>
      </c>
      <c r="C4" s="9" t="s">
        <v>60</v>
      </c>
      <c r="D4">
        <v>10021257699</v>
      </c>
      <c r="E4" t="s">
        <v>47</v>
      </c>
      <c r="F4" t="s">
        <v>61</v>
      </c>
      <c r="G4" t="s">
        <v>62</v>
      </c>
      <c r="H4" t="s">
        <v>63</v>
      </c>
      <c r="I4" t="s">
        <v>64</v>
      </c>
      <c r="J4" t="s">
        <v>52</v>
      </c>
      <c r="K4" s="3">
        <v>100826632092</v>
      </c>
      <c r="L4" s="10">
        <v>40741</v>
      </c>
      <c r="M4">
        <v>2808.08</v>
      </c>
      <c r="N4" s="11">
        <v>26</v>
      </c>
      <c r="O4" s="12">
        <v>107.53</v>
      </c>
      <c r="P4" s="12">
        <v>5.81</v>
      </c>
      <c r="Q4" s="13">
        <v>1054.82</v>
      </c>
      <c r="R4" s="36" t="s">
        <v>65</v>
      </c>
      <c r="S4" s="7">
        <f t="shared" si="0"/>
        <v>2</v>
      </c>
      <c r="T4" s="15" t="str">
        <f>VLOOKUP(R4,产品分类!$C$2:$D$1278,2,0)</f>
        <v>家具产品</v>
      </c>
    </row>
    <row r="5" spans="1:20">
      <c r="A5" s="8">
        <f t="shared" si="1"/>
        <v>40739</v>
      </c>
      <c r="B5" s="8">
        <f t="shared" si="1"/>
        <v>40739</v>
      </c>
      <c r="C5" s="9" t="s">
        <v>60</v>
      </c>
      <c r="D5">
        <v>10021258358</v>
      </c>
      <c r="E5" t="s">
        <v>47</v>
      </c>
      <c r="F5" t="s">
        <v>66</v>
      </c>
      <c r="G5" t="s">
        <v>67</v>
      </c>
      <c r="H5" t="s">
        <v>68</v>
      </c>
      <c r="I5" t="s">
        <v>69</v>
      </c>
      <c r="J5" t="s">
        <v>52</v>
      </c>
      <c r="K5" s="3">
        <v>100926965841</v>
      </c>
      <c r="L5" s="10">
        <v>40740</v>
      </c>
      <c r="M5">
        <v>1761.4</v>
      </c>
      <c r="N5" s="11">
        <v>24</v>
      </c>
      <c r="O5" s="12">
        <v>70.89</v>
      </c>
      <c r="P5" s="12">
        <v>89.3</v>
      </c>
      <c r="Q5" s="13">
        <v>-1748.56</v>
      </c>
      <c r="R5" s="36" t="s">
        <v>70</v>
      </c>
      <c r="S5" s="7">
        <f t="shared" si="0"/>
        <v>1</v>
      </c>
      <c r="T5" s="15" t="str">
        <f>VLOOKUP(R5,产品分类!$C$2:$D$1278,2,0)</f>
        <v>数码电子</v>
      </c>
    </row>
    <row r="6" spans="1:20">
      <c r="A6" s="8">
        <f t="shared" si="1"/>
        <v>40739</v>
      </c>
      <c r="B6" s="8">
        <f t="shared" si="1"/>
        <v>40739</v>
      </c>
      <c r="C6" s="9" t="s">
        <v>60</v>
      </c>
      <c r="D6">
        <v>10021249836</v>
      </c>
      <c r="E6" t="s">
        <v>47</v>
      </c>
      <c r="F6" t="s">
        <v>66</v>
      </c>
      <c r="G6" t="s">
        <v>67</v>
      </c>
      <c r="H6" t="s">
        <v>68</v>
      </c>
      <c r="I6" t="s">
        <v>69</v>
      </c>
      <c r="J6" t="s">
        <v>52</v>
      </c>
      <c r="K6" s="3">
        <v>100810096112</v>
      </c>
      <c r="L6" s="10">
        <v>40741</v>
      </c>
      <c r="M6">
        <v>160.2335</v>
      </c>
      <c r="N6" s="11">
        <v>23</v>
      </c>
      <c r="O6" s="12">
        <v>7.99</v>
      </c>
      <c r="P6" s="12">
        <v>5.03</v>
      </c>
      <c r="Q6" s="13">
        <v>-85.129</v>
      </c>
      <c r="R6" s="36" t="s">
        <v>71</v>
      </c>
      <c r="S6" s="7">
        <f t="shared" si="0"/>
        <v>2</v>
      </c>
      <c r="T6" s="15" t="str">
        <f>VLOOKUP(R6,产品分类!$C$2:$D$1278,2,0)</f>
        <v>办公用品</v>
      </c>
    </row>
    <row r="7" spans="1:20">
      <c r="A7" s="8">
        <f t="shared" si="1"/>
        <v>40739</v>
      </c>
      <c r="B7" s="8">
        <f t="shared" si="1"/>
        <v>40739</v>
      </c>
      <c r="C7" s="9" t="s">
        <v>60</v>
      </c>
      <c r="D7">
        <v>10021253491</v>
      </c>
      <c r="E7" t="s">
        <v>47</v>
      </c>
      <c r="F7" t="s">
        <v>72</v>
      </c>
      <c r="G7" t="s">
        <v>73</v>
      </c>
      <c r="H7" t="s">
        <v>74</v>
      </c>
      <c r="I7" t="s">
        <v>75</v>
      </c>
      <c r="J7" t="s">
        <v>52</v>
      </c>
      <c r="K7" s="3">
        <v>100819274692</v>
      </c>
      <c r="L7" s="10">
        <v>40740</v>
      </c>
      <c r="M7">
        <v>140.56</v>
      </c>
      <c r="N7" s="11">
        <v>15</v>
      </c>
      <c r="O7" s="12">
        <v>8.46</v>
      </c>
      <c r="P7" s="12">
        <v>8.99</v>
      </c>
      <c r="Q7" s="13">
        <v>-128.38</v>
      </c>
      <c r="R7" s="36" t="s">
        <v>76</v>
      </c>
      <c r="S7" s="7">
        <f t="shared" si="0"/>
        <v>1</v>
      </c>
      <c r="T7" s="15" t="str">
        <f>VLOOKUP(R7,产品分类!$C$2:$D$1278,2,0)</f>
        <v>数码电子</v>
      </c>
    </row>
    <row r="8" spans="1:20">
      <c r="A8" s="8">
        <f>DATE(2012,12,31)-436</f>
        <v>40838</v>
      </c>
      <c r="B8" s="8">
        <f>DATE(2012,12,31)-436</f>
        <v>40838</v>
      </c>
      <c r="C8" s="9" t="s">
        <v>77</v>
      </c>
      <c r="D8">
        <v>10021266565</v>
      </c>
      <c r="E8" t="s">
        <v>47</v>
      </c>
      <c r="F8" t="s">
        <v>78</v>
      </c>
      <c r="G8" t="s">
        <v>79</v>
      </c>
      <c r="H8" t="s">
        <v>80</v>
      </c>
      <c r="I8" t="s">
        <v>81</v>
      </c>
      <c r="J8" t="s">
        <v>52</v>
      </c>
      <c r="K8" s="3">
        <v>100131798048</v>
      </c>
      <c r="L8" s="10">
        <v>40839</v>
      </c>
      <c r="M8">
        <v>288.56</v>
      </c>
      <c r="N8" s="11">
        <v>30</v>
      </c>
      <c r="O8" s="12">
        <v>9.11</v>
      </c>
      <c r="P8" s="12">
        <v>2.25</v>
      </c>
      <c r="Q8" s="13">
        <v>60.72</v>
      </c>
      <c r="R8" s="36" t="s">
        <v>82</v>
      </c>
      <c r="S8" s="7">
        <f t="shared" si="0"/>
        <v>1</v>
      </c>
      <c r="T8" s="15" t="str">
        <f>VLOOKUP(R8,产品分类!$C$2:$D$1278,2,0)</f>
        <v>数码电子</v>
      </c>
    </row>
    <row r="9" spans="1:20">
      <c r="A9" s="8">
        <f>DATE(2012,12,31)-436</f>
        <v>40838</v>
      </c>
      <c r="B9" s="8">
        <f>DATE(2012,12,31)-436</f>
        <v>40838</v>
      </c>
      <c r="C9" s="9" t="s">
        <v>77</v>
      </c>
      <c r="D9">
        <v>10021263127</v>
      </c>
      <c r="E9" t="s">
        <v>47</v>
      </c>
      <c r="F9" t="s">
        <v>83</v>
      </c>
      <c r="G9" t="s">
        <v>84</v>
      </c>
      <c r="H9" t="s">
        <v>85</v>
      </c>
      <c r="I9" t="s">
        <v>86</v>
      </c>
      <c r="J9" t="s">
        <v>52</v>
      </c>
      <c r="K9" s="3">
        <v>10096927231</v>
      </c>
      <c r="L9" s="10">
        <v>40840</v>
      </c>
      <c r="M9">
        <v>1892.848</v>
      </c>
      <c r="N9" s="11">
        <v>14</v>
      </c>
      <c r="O9" s="12">
        <v>155.99</v>
      </c>
      <c r="P9" s="12">
        <v>8.99</v>
      </c>
      <c r="Q9" s="13">
        <v>48.987</v>
      </c>
      <c r="R9" s="36" t="s">
        <v>87</v>
      </c>
      <c r="S9" s="7">
        <f t="shared" si="0"/>
        <v>2</v>
      </c>
      <c r="T9" s="15" t="str">
        <f>VLOOKUP(R9,产品分类!$C$2:$D$1278,2,0)</f>
        <v>办公用品</v>
      </c>
    </row>
    <row r="10" spans="1:20">
      <c r="A10" s="8">
        <f>DATE(2012,12,31)-425</f>
        <v>40849</v>
      </c>
      <c r="B10" s="8">
        <f>DATE(2012,12,31)-425</f>
        <v>40849</v>
      </c>
      <c r="C10" s="9" t="s">
        <v>88</v>
      </c>
      <c r="D10">
        <v>10021268727</v>
      </c>
      <c r="E10" t="s">
        <v>47</v>
      </c>
      <c r="F10" t="s">
        <v>55</v>
      </c>
      <c r="G10" t="s">
        <v>56</v>
      </c>
      <c r="H10" t="s">
        <v>57</v>
      </c>
      <c r="I10" t="s">
        <v>58</v>
      </c>
      <c r="J10" t="s">
        <v>52</v>
      </c>
      <c r="K10" s="3">
        <v>100832412422</v>
      </c>
      <c r="L10" s="10">
        <v>40849</v>
      </c>
      <c r="M10">
        <v>2484.7455</v>
      </c>
      <c r="N10" s="11">
        <v>46</v>
      </c>
      <c r="O10" s="12">
        <v>65.99</v>
      </c>
      <c r="P10" s="12">
        <v>4.2</v>
      </c>
      <c r="Q10" s="13">
        <v>657.477</v>
      </c>
      <c r="R10" s="36" t="s">
        <v>89</v>
      </c>
      <c r="S10" s="7">
        <f t="shared" si="0"/>
        <v>0</v>
      </c>
      <c r="T10" s="15" t="str">
        <f>VLOOKUP(R10,产品分类!$C$2:$D$1278,2,0)</f>
        <v>家具产品</v>
      </c>
    </row>
    <row r="11" spans="1:20">
      <c r="A11" s="8">
        <f>DATE(2012,12,31)-655</f>
        <v>40619</v>
      </c>
      <c r="B11" s="8">
        <f>DATE(2012,12,31)-655</f>
        <v>40619</v>
      </c>
      <c r="C11" s="9" t="s">
        <v>90</v>
      </c>
      <c r="D11">
        <v>10021248211</v>
      </c>
      <c r="E11" t="s">
        <v>47</v>
      </c>
      <c r="F11" t="s">
        <v>91</v>
      </c>
      <c r="G11" t="s">
        <v>92</v>
      </c>
      <c r="H11" t="s">
        <v>93</v>
      </c>
      <c r="I11" t="s">
        <v>94</v>
      </c>
      <c r="J11" t="s">
        <v>52</v>
      </c>
      <c r="K11" s="3">
        <v>1001777216</v>
      </c>
      <c r="L11" s="10">
        <v>40620</v>
      </c>
      <c r="M11">
        <v>3812.73</v>
      </c>
      <c r="N11" s="11">
        <v>32</v>
      </c>
      <c r="O11" s="12">
        <v>115.79</v>
      </c>
      <c r="P11" s="12">
        <v>1.99</v>
      </c>
      <c r="Q11" s="13">
        <v>1470.3</v>
      </c>
      <c r="R11" s="36" t="s">
        <v>95</v>
      </c>
      <c r="S11" s="7">
        <f t="shared" si="0"/>
        <v>1</v>
      </c>
      <c r="T11" s="15" t="str">
        <f>VLOOKUP(R11,产品分类!$C$2:$D$1278,2,0)</f>
        <v>数码电子</v>
      </c>
    </row>
    <row r="12" spans="1:20">
      <c r="A12" s="8">
        <f>DATE(2012,12,31)-1442</f>
        <v>39832</v>
      </c>
      <c r="B12" s="8">
        <f>DATE(2012,12,31)-1442</f>
        <v>39832</v>
      </c>
      <c r="C12" s="9" t="s">
        <v>96</v>
      </c>
      <c r="D12">
        <v>10021251834</v>
      </c>
      <c r="E12" t="s">
        <v>47</v>
      </c>
      <c r="F12" t="s">
        <v>97</v>
      </c>
      <c r="G12" t="s">
        <v>98</v>
      </c>
      <c r="H12" t="s">
        <v>99</v>
      </c>
      <c r="I12" t="s">
        <v>98</v>
      </c>
      <c r="J12" t="s">
        <v>52</v>
      </c>
      <c r="K12" s="3">
        <v>100414833353</v>
      </c>
      <c r="L12" s="10">
        <v>39832</v>
      </c>
      <c r="M12">
        <v>108.15</v>
      </c>
      <c r="N12" s="11">
        <v>41</v>
      </c>
      <c r="O12" s="12">
        <v>2.88</v>
      </c>
      <c r="P12" s="12">
        <v>0.7</v>
      </c>
      <c r="Q12" s="13">
        <v>7.57</v>
      </c>
      <c r="R12" s="36" t="s">
        <v>100</v>
      </c>
      <c r="S12" s="7">
        <f t="shared" si="0"/>
        <v>0</v>
      </c>
      <c r="T12" s="15" t="str">
        <f>VLOOKUP(R12,产品分类!$C$2:$D$1278,2,0)</f>
        <v>数码电子</v>
      </c>
    </row>
    <row r="13" spans="1:20">
      <c r="A13" s="8">
        <f>DATE(2012,12,31)-1307</f>
        <v>39967</v>
      </c>
      <c r="B13" s="8">
        <f>DATE(2012,12,31)-1307</f>
        <v>39967</v>
      </c>
      <c r="C13" s="9" t="s">
        <v>101</v>
      </c>
      <c r="D13">
        <v>10021269741</v>
      </c>
      <c r="E13" t="s">
        <v>47</v>
      </c>
      <c r="F13" t="s">
        <v>102</v>
      </c>
      <c r="G13" t="s">
        <v>103</v>
      </c>
      <c r="H13" t="s">
        <v>104</v>
      </c>
      <c r="I13" t="s">
        <v>105</v>
      </c>
      <c r="J13" t="s">
        <v>52</v>
      </c>
      <c r="K13" s="3">
        <v>100832459142</v>
      </c>
      <c r="L13" s="10">
        <v>39969</v>
      </c>
      <c r="M13">
        <v>1186.06</v>
      </c>
      <c r="N13" s="11">
        <v>42</v>
      </c>
      <c r="O13" s="12">
        <v>30.93</v>
      </c>
      <c r="P13" s="12">
        <v>3.92</v>
      </c>
      <c r="Q13" s="13">
        <v>511.69</v>
      </c>
      <c r="R13" s="36" t="s">
        <v>106</v>
      </c>
      <c r="S13" s="7">
        <f t="shared" si="0"/>
        <v>2</v>
      </c>
      <c r="T13" s="15" t="str">
        <f>VLOOKUP(R13,产品分类!$C$2:$D$1278,2,0)</f>
        <v>数码电子</v>
      </c>
    </row>
    <row r="14" spans="1:20">
      <c r="A14" s="8">
        <f>DATE(2012,12,31)-1307</f>
        <v>39967</v>
      </c>
      <c r="B14" s="8">
        <f>DATE(2012,12,31)-1307</f>
        <v>39967</v>
      </c>
      <c r="C14" s="9" t="s">
        <v>101</v>
      </c>
      <c r="D14">
        <v>10021255693</v>
      </c>
      <c r="E14" t="s">
        <v>47</v>
      </c>
      <c r="F14" t="s">
        <v>61</v>
      </c>
      <c r="G14" t="s">
        <v>62</v>
      </c>
      <c r="H14" t="s">
        <v>63</v>
      </c>
      <c r="I14" t="s">
        <v>64</v>
      </c>
      <c r="J14" t="s">
        <v>52</v>
      </c>
      <c r="K14" s="3">
        <v>100724372075</v>
      </c>
      <c r="L14" s="10">
        <v>39969</v>
      </c>
      <c r="M14">
        <v>51.53</v>
      </c>
      <c r="N14" s="11">
        <v>28</v>
      </c>
      <c r="O14" s="12">
        <v>1.68</v>
      </c>
      <c r="P14" s="12">
        <v>0.7</v>
      </c>
      <c r="Q14" s="13">
        <v>0.35</v>
      </c>
      <c r="R14" s="36" t="s">
        <v>107</v>
      </c>
      <c r="S14" s="7">
        <f t="shared" si="0"/>
        <v>2</v>
      </c>
      <c r="T14" s="15" t="str">
        <f>VLOOKUP(R14,产品分类!$C$2:$D$1278,2,0)</f>
        <v>家具产品</v>
      </c>
    </row>
    <row r="15" spans="1:20">
      <c r="A15" s="8">
        <f>DATE(2012,12,31)-745</f>
        <v>40529</v>
      </c>
      <c r="B15" s="8">
        <f>DATE(2012,12,31)-745</f>
        <v>40529</v>
      </c>
      <c r="C15" s="9" t="s">
        <v>108</v>
      </c>
      <c r="D15">
        <v>10021253900</v>
      </c>
      <c r="E15" t="s">
        <v>47</v>
      </c>
      <c r="F15" t="s">
        <v>61</v>
      </c>
      <c r="G15" t="s">
        <v>62</v>
      </c>
      <c r="H15" t="s">
        <v>63</v>
      </c>
      <c r="I15" t="s">
        <v>64</v>
      </c>
      <c r="J15" t="s">
        <v>52</v>
      </c>
      <c r="K15" s="3">
        <v>100920718931</v>
      </c>
      <c r="L15" s="10">
        <v>40534</v>
      </c>
      <c r="M15">
        <v>90.05</v>
      </c>
      <c r="N15" s="11">
        <v>48</v>
      </c>
      <c r="O15" s="12">
        <v>1.86</v>
      </c>
      <c r="P15" s="12">
        <v>2.58</v>
      </c>
      <c r="Q15" s="13">
        <v>-107</v>
      </c>
      <c r="R15" s="36" t="s">
        <v>109</v>
      </c>
      <c r="S15" s="7">
        <f t="shared" si="0"/>
        <v>5</v>
      </c>
      <c r="T15" s="15" t="str">
        <f>VLOOKUP(R15,产品分类!$C$2:$D$1278,2,0)</f>
        <v>数码电子</v>
      </c>
    </row>
    <row r="16" spans="1:20">
      <c r="A16" s="8">
        <f>DATE(2012,12,31)-745</f>
        <v>40529</v>
      </c>
      <c r="B16" s="8">
        <f>DATE(2012,12,31)-745</f>
        <v>40529</v>
      </c>
      <c r="C16" s="9" t="s">
        <v>108</v>
      </c>
      <c r="D16">
        <v>10021265473</v>
      </c>
      <c r="E16" t="s">
        <v>47</v>
      </c>
      <c r="F16" t="s">
        <v>97</v>
      </c>
      <c r="G16" t="s">
        <v>98</v>
      </c>
      <c r="H16" t="s">
        <v>99</v>
      </c>
      <c r="I16" t="s">
        <v>98</v>
      </c>
      <c r="J16" t="s">
        <v>52</v>
      </c>
      <c r="K16" s="3">
        <v>100131504638</v>
      </c>
      <c r="L16" s="10">
        <v>40534</v>
      </c>
      <c r="M16">
        <v>7804.53</v>
      </c>
      <c r="N16" s="11">
        <v>46</v>
      </c>
      <c r="O16" s="12">
        <v>205.99</v>
      </c>
      <c r="P16" s="12">
        <v>5.99</v>
      </c>
      <c r="Q16" s="13">
        <v>2057.166</v>
      </c>
      <c r="R16" s="36" t="s">
        <v>110</v>
      </c>
      <c r="S16" s="7">
        <f t="shared" si="0"/>
        <v>5</v>
      </c>
      <c r="T16" s="15" t="str">
        <f>VLOOKUP(R16,产品分类!$C$2:$D$1278,2,0)</f>
        <v>数码电子</v>
      </c>
    </row>
    <row r="17" spans="1:20">
      <c r="A17" s="8">
        <f>DATE(2012,12,31)-1355</f>
        <v>39919</v>
      </c>
      <c r="B17" s="8">
        <f>DATE(2012,12,31)-1355</f>
        <v>39919</v>
      </c>
      <c r="C17" s="9" t="s">
        <v>111</v>
      </c>
      <c r="D17">
        <v>10021248412</v>
      </c>
      <c r="E17" t="s">
        <v>47</v>
      </c>
      <c r="F17" t="s">
        <v>97</v>
      </c>
      <c r="G17" t="s">
        <v>98</v>
      </c>
      <c r="H17" t="s">
        <v>99</v>
      </c>
      <c r="I17" t="s">
        <v>98</v>
      </c>
      <c r="J17" t="s">
        <v>52</v>
      </c>
      <c r="K17" s="3">
        <v>10011908318</v>
      </c>
      <c r="L17" s="10">
        <v>39921</v>
      </c>
      <c r="M17">
        <v>4158.1235</v>
      </c>
      <c r="N17" s="11">
        <v>37</v>
      </c>
      <c r="O17" s="12">
        <v>125.99</v>
      </c>
      <c r="P17" s="12">
        <v>8.99</v>
      </c>
      <c r="Q17" s="13">
        <v>1228.887</v>
      </c>
      <c r="R17" s="36" t="s">
        <v>112</v>
      </c>
      <c r="S17" s="7">
        <f t="shared" si="0"/>
        <v>2</v>
      </c>
      <c r="T17" s="15" t="str">
        <f>VLOOKUP(R17,产品分类!$C$2:$D$1278,2,0)</f>
        <v>数码电子</v>
      </c>
    </row>
    <row r="18" spans="1:20">
      <c r="A18" s="8">
        <f>DATE(2012,12,31)-1068</f>
        <v>40206</v>
      </c>
      <c r="B18" s="8">
        <f>DATE(2012,12,31)-1068</f>
        <v>40206</v>
      </c>
      <c r="C18" s="9" t="s">
        <v>113</v>
      </c>
      <c r="D18">
        <v>10021262933</v>
      </c>
      <c r="E18" t="s">
        <v>47</v>
      </c>
      <c r="F18" t="s">
        <v>114</v>
      </c>
      <c r="G18" t="s">
        <v>115</v>
      </c>
      <c r="H18" t="s">
        <v>116</v>
      </c>
      <c r="I18" t="s">
        <v>117</v>
      </c>
      <c r="J18" t="s">
        <v>52</v>
      </c>
      <c r="K18" s="3">
        <v>100330436149</v>
      </c>
      <c r="L18" s="10">
        <v>40207</v>
      </c>
      <c r="M18">
        <v>75.57</v>
      </c>
      <c r="N18" s="11">
        <v>26</v>
      </c>
      <c r="O18" s="12">
        <v>2.89</v>
      </c>
      <c r="P18" s="12">
        <v>0.5</v>
      </c>
      <c r="Q18" s="13">
        <v>28.24</v>
      </c>
      <c r="R18" s="36" t="s">
        <v>118</v>
      </c>
      <c r="S18" s="7">
        <f t="shared" si="0"/>
        <v>1</v>
      </c>
      <c r="T18" s="15" t="str">
        <f>VLOOKUP(R18,产品分类!$C$2:$D$1278,2,0)</f>
        <v>办公用品</v>
      </c>
    </row>
    <row r="19" spans="1:20">
      <c r="A19" s="8">
        <f>DATE(2012,12,31)-43</f>
        <v>41231</v>
      </c>
      <c r="B19" s="8">
        <f>DATE(2012,12,31)-43</f>
        <v>41231</v>
      </c>
      <c r="C19" s="9" t="s">
        <v>119</v>
      </c>
      <c r="D19">
        <v>10021265539</v>
      </c>
      <c r="E19" t="s">
        <v>47</v>
      </c>
      <c r="F19" t="s">
        <v>91</v>
      </c>
      <c r="G19" t="s">
        <v>92</v>
      </c>
      <c r="H19" t="s">
        <v>93</v>
      </c>
      <c r="I19" t="s">
        <v>94</v>
      </c>
      <c r="J19" t="s">
        <v>52</v>
      </c>
      <c r="K19" s="3">
        <v>100131515186</v>
      </c>
      <c r="L19" s="10">
        <v>41240</v>
      </c>
      <c r="M19">
        <v>32.72</v>
      </c>
      <c r="N19" s="11">
        <v>4</v>
      </c>
      <c r="O19" s="12">
        <v>6.48</v>
      </c>
      <c r="P19" s="12">
        <v>8.19</v>
      </c>
      <c r="Q19" s="13">
        <v>-22.59</v>
      </c>
      <c r="R19" s="36" t="s">
        <v>120</v>
      </c>
      <c r="S19" s="7">
        <f t="shared" si="0"/>
        <v>9</v>
      </c>
      <c r="T19" s="15" t="str">
        <f>VLOOKUP(R19,产品分类!$C$2:$D$1278,2,0)</f>
        <v>家具产品</v>
      </c>
    </row>
    <row r="20" spans="1:20">
      <c r="A20" s="8">
        <f t="shared" ref="A20:B22" si="2">DATE(2012,12,31)-238</f>
        <v>41036</v>
      </c>
      <c r="B20" s="8">
        <f t="shared" si="2"/>
        <v>41036</v>
      </c>
      <c r="C20" s="9" t="s">
        <v>121</v>
      </c>
      <c r="D20">
        <v>10021254814</v>
      </c>
      <c r="E20" t="s">
        <v>47</v>
      </c>
      <c r="F20" t="s">
        <v>122</v>
      </c>
      <c r="G20" t="s">
        <v>123</v>
      </c>
      <c r="H20" t="s">
        <v>124</v>
      </c>
      <c r="I20" t="s">
        <v>125</v>
      </c>
      <c r="J20" t="s">
        <v>52</v>
      </c>
      <c r="K20" s="3">
        <v>100723078415</v>
      </c>
      <c r="L20" s="10">
        <v>41038</v>
      </c>
      <c r="M20">
        <v>461.89</v>
      </c>
      <c r="N20" s="11">
        <v>3</v>
      </c>
      <c r="O20" s="12">
        <v>150.98</v>
      </c>
      <c r="P20" s="12">
        <v>13.99</v>
      </c>
      <c r="Q20" s="13">
        <v>-309.8244</v>
      </c>
      <c r="R20" s="36" t="s">
        <v>126</v>
      </c>
      <c r="S20" s="7">
        <f t="shared" si="0"/>
        <v>2</v>
      </c>
      <c r="T20" s="15" t="str">
        <f>VLOOKUP(R20,产品分类!$C$2:$D$1278,2,0)</f>
        <v>家具产品</v>
      </c>
    </row>
    <row r="21" spans="1:20">
      <c r="A21" s="8">
        <f t="shared" si="2"/>
        <v>41036</v>
      </c>
      <c r="B21" s="8">
        <f t="shared" si="2"/>
        <v>41036</v>
      </c>
      <c r="C21" s="9" t="s">
        <v>121</v>
      </c>
      <c r="D21">
        <v>10021263989</v>
      </c>
      <c r="E21" t="s">
        <v>47</v>
      </c>
      <c r="F21" t="s">
        <v>127</v>
      </c>
      <c r="G21" t="s">
        <v>128</v>
      </c>
      <c r="H21" t="s">
        <v>129</v>
      </c>
      <c r="I21" t="s">
        <v>130</v>
      </c>
      <c r="J21" t="s">
        <v>52</v>
      </c>
      <c r="K21" s="3">
        <v>100130875197</v>
      </c>
      <c r="L21" s="10">
        <v>41037</v>
      </c>
      <c r="M21">
        <v>575.11</v>
      </c>
      <c r="N21" s="11">
        <v>29</v>
      </c>
      <c r="O21" s="12">
        <v>18.97</v>
      </c>
      <c r="P21" s="12">
        <v>9.03</v>
      </c>
      <c r="Q21" s="13">
        <v>71.75</v>
      </c>
      <c r="R21" s="36" t="s">
        <v>131</v>
      </c>
      <c r="S21" s="7">
        <f t="shared" si="0"/>
        <v>1</v>
      </c>
      <c r="T21" s="15" t="str">
        <f>VLOOKUP(R21,产品分类!$C$2:$D$1278,2,0)</f>
        <v>家具产品</v>
      </c>
    </row>
    <row r="22" spans="1:20">
      <c r="A22" s="8">
        <f t="shared" si="2"/>
        <v>41036</v>
      </c>
      <c r="B22" s="8">
        <f t="shared" si="2"/>
        <v>41036</v>
      </c>
      <c r="C22" s="9" t="s">
        <v>121</v>
      </c>
      <c r="D22">
        <v>10021260597</v>
      </c>
      <c r="E22" t="s">
        <v>47</v>
      </c>
      <c r="F22" t="s">
        <v>132</v>
      </c>
      <c r="G22" t="s">
        <v>133</v>
      </c>
      <c r="H22" t="s">
        <v>134</v>
      </c>
      <c r="I22" t="s">
        <v>133</v>
      </c>
      <c r="J22" t="s">
        <v>52</v>
      </c>
      <c r="K22" s="3">
        <v>100128667308</v>
      </c>
      <c r="L22" s="10">
        <v>41039</v>
      </c>
      <c r="M22">
        <v>236.46</v>
      </c>
      <c r="N22" s="11">
        <v>23</v>
      </c>
      <c r="O22" s="12">
        <v>9.71</v>
      </c>
      <c r="P22" s="12">
        <v>9.45</v>
      </c>
      <c r="Q22" s="13">
        <v>-134.31</v>
      </c>
      <c r="R22" s="36" t="s">
        <v>135</v>
      </c>
      <c r="S22" s="7">
        <f t="shared" si="0"/>
        <v>3</v>
      </c>
      <c r="T22" s="15" t="str">
        <f>VLOOKUP(R22,产品分类!$C$2:$D$1278,2,0)</f>
        <v>办公用品</v>
      </c>
    </row>
    <row r="23" spans="1:20">
      <c r="A23" s="8">
        <f>DATE(2012,12,31)-935</f>
        <v>40339</v>
      </c>
      <c r="B23" s="8">
        <f>DATE(2012,12,31)-935</f>
        <v>40339</v>
      </c>
      <c r="C23" s="9" t="s">
        <v>136</v>
      </c>
      <c r="D23">
        <v>10021251890</v>
      </c>
      <c r="E23" t="s">
        <v>47</v>
      </c>
      <c r="F23" t="s">
        <v>137</v>
      </c>
      <c r="G23" t="s">
        <v>138</v>
      </c>
      <c r="H23" t="s">
        <v>139</v>
      </c>
      <c r="I23" t="s">
        <v>140</v>
      </c>
      <c r="J23" t="s">
        <v>141</v>
      </c>
      <c r="K23" s="3">
        <v>100414891584</v>
      </c>
      <c r="L23" s="10">
        <v>40340</v>
      </c>
      <c r="M23">
        <v>192.814</v>
      </c>
      <c r="N23" s="11">
        <v>27</v>
      </c>
      <c r="O23" s="12">
        <v>7.99</v>
      </c>
      <c r="P23" s="12">
        <v>5.03</v>
      </c>
      <c r="Q23" s="13">
        <v>-86.196</v>
      </c>
      <c r="R23" s="36" t="s">
        <v>71</v>
      </c>
      <c r="S23" s="7">
        <f t="shared" si="0"/>
        <v>1</v>
      </c>
      <c r="T23" s="15" t="str">
        <f>VLOOKUP(R23,产品分类!$C$2:$D$1278,2,0)</f>
        <v>办公用品</v>
      </c>
    </row>
    <row r="24" spans="1:20">
      <c r="A24" s="8">
        <f>DATE(2012,12,31)-935</f>
        <v>40339</v>
      </c>
      <c r="B24" s="8">
        <f>DATE(2012,12,31)-935</f>
        <v>40339</v>
      </c>
      <c r="C24" s="9" t="s">
        <v>136</v>
      </c>
      <c r="D24">
        <v>10021253870</v>
      </c>
      <c r="E24" t="s">
        <v>47</v>
      </c>
      <c r="F24" t="s">
        <v>137</v>
      </c>
      <c r="G24" t="s">
        <v>138</v>
      </c>
      <c r="H24" t="s">
        <v>139</v>
      </c>
      <c r="I24" t="s">
        <v>140</v>
      </c>
      <c r="J24" t="s">
        <v>141</v>
      </c>
      <c r="K24" s="3">
        <v>100320663599</v>
      </c>
      <c r="L24" s="10">
        <v>40342</v>
      </c>
      <c r="M24">
        <v>4011.65</v>
      </c>
      <c r="N24" s="11">
        <v>30</v>
      </c>
      <c r="O24" s="12">
        <v>130.98</v>
      </c>
      <c r="P24" s="12">
        <v>54.74</v>
      </c>
      <c r="Q24" s="13">
        <v>-603.8</v>
      </c>
      <c r="R24" s="36" t="s">
        <v>142</v>
      </c>
      <c r="S24" s="7">
        <f t="shared" si="0"/>
        <v>3</v>
      </c>
      <c r="T24" s="15" t="str">
        <f>VLOOKUP(R24,产品分类!$C$2:$D$1278,2,0)</f>
        <v>数码电子</v>
      </c>
    </row>
    <row r="25" spans="1:20">
      <c r="A25" s="8">
        <f>DATE(2012,12,31)-245</f>
        <v>41029</v>
      </c>
      <c r="B25" s="8">
        <f>DATE(2012,12,31)-245</f>
        <v>41029</v>
      </c>
      <c r="C25" s="9" t="s">
        <v>143</v>
      </c>
      <c r="D25">
        <v>10021250528</v>
      </c>
      <c r="E25" t="s">
        <v>47</v>
      </c>
      <c r="F25" t="s">
        <v>55</v>
      </c>
      <c r="G25" t="s">
        <v>56</v>
      </c>
      <c r="H25" t="s">
        <v>57</v>
      </c>
      <c r="I25" t="s">
        <v>58</v>
      </c>
      <c r="J25" t="s">
        <v>141</v>
      </c>
      <c r="K25" s="3">
        <v>100113558846</v>
      </c>
      <c r="L25" s="10">
        <v>41031</v>
      </c>
      <c r="M25">
        <v>1132.6</v>
      </c>
      <c r="N25" s="11">
        <v>11</v>
      </c>
      <c r="O25" s="12">
        <v>95.99</v>
      </c>
      <c r="P25" s="12">
        <v>35</v>
      </c>
      <c r="Q25" s="13">
        <v>-310.21</v>
      </c>
      <c r="R25" s="36" t="s">
        <v>144</v>
      </c>
      <c r="S25" s="7">
        <f t="shared" si="0"/>
        <v>2</v>
      </c>
      <c r="T25" s="15" t="str">
        <f>VLOOKUP(R25,产品分类!$C$2:$D$1278,2,0)</f>
        <v>办公用品</v>
      </c>
    </row>
    <row r="26" spans="1:20">
      <c r="A26" s="8">
        <f>DATE(2012,12,31)-438</f>
        <v>40836</v>
      </c>
      <c r="B26" s="8">
        <f>DATE(2012,12,31)-438</f>
        <v>40836</v>
      </c>
      <c r="C26" s="9" t="s">
        <v>145</v>
      </c>
      <c r="D26">
        <v>10021254202</v>
      </c>
      <c r="E26" t="s">
        <v>47</v>
      </c>
      <c r="F26" t="s">
        <v>61</v>
      </c>
      <c r="G26" t="s">
        <v>62</v>
      </c>
      <c r="H26" t="s">
        <v>63</v>
      </c>
      <c r="I26" t="s">
        <v>64</v>
      </c>
      <c r="J26" t="s">
        <v>141</v>
      </c>
      <c r="K26" s="3">
        <v>100317364739</v>
      </c>
      <c r="L26" s="10">
        <v>40838</v>
      </c>
      <c r="M26">
        <v>125.85</v>
      </c>
      <c r="N26" s="11">
        <v>25</v>
      </c>
      <c r="O26" s="12">
        <v>4.98</v>
      </c>
      <c r="P26" s="12">
        <v>4.62</v>
      </c>
      <c r="Q26" s="13">
        <v>-89.25</v>
      </c>
      <c r="R26" s="36" t="s">
        <v>146</v>
      </c>
      <c r="S26" s="7">
        <f t="shared" si="0"/>
        <v>2</v>
      </c>
      <c r="T26" s="15" t="str">
        <f>VLOOKUP(R26,产品分类!$C$2:$D$1278,2,0)</f>
        <v>办公用品</v>
      </c>
    </row>
    <row r="27" spans="1:20">
      <c r="A27" s="8">
        <f>DATE(2012,12,31)-477</f>
        <v>40797</v>
      </c>
      <c r="B27" s="8">
        <f>DATE(2012,12,31)-477</f>
        <v>40797</v>
      </c>
      <c r="C27" s="9" t="s">
        <v>147</v>
      </c>
      <c r="D27">
        <v>10021263172</v>
      </c>
      <c r="E27" t="s">
        <v>47</v>
      </c>
      <c r="F27" t="s">
        <v>61</v>
      </c>
      <c r="G27" t="s">
        <v>62</v>
      </c>
      <c r="H27" t="s">
        <v>63</v>
      </c>
      <c r="I27" t="s">
        <v>64</v>
      </c>
      <c r="J27" t="s">
        <v>141</v>
      </c>
      <c r="K27" s="3">
        <v>100124949336</v>
      </c>
      <c r="L27" s="10">
        <v>40799</v>
      </c>
      <c r="M27">
        <v>567.936</v>
      </c>
      <c r="N27" s="11">
        <v>10</v>
      </c>
      <c r="O27" s="12">
        <v>65.99</v>
      </c>
      <c r="P27" s="12">
        <v>8.99</v>
      </c>
      <c r="Q27" s="13">
        <v>-126.093</v>
      </c>
      <c r="R27" s="36" t="s">
        <v>148</v>
      </c>
      <c r="S27" s="7">
        <f t="shared" si="0"/>
        <v>2</v>
      </c>
      <c r="T27" s="15" t="str">
        <f>VLOOKUP(R27,产品分类!$C$2:$D$1278,2,0)</f>
        <v>数码电子</v>
      </c>
    </row>
    <row r="28" spans="1:20">
      <c r="A28" s="8">
        <f>DATE(2012,12,31)-877</f>
        <v>40397</v>
      </c>
      <c r="B28" s="8">
        <f>DATE(2012,12,31)-877</f>
        <v>40397</v>
      </c>
      <c r="C28" s="9" t="s">
        <v>149</v>
      </c>
      <c r="D28">
        <v>10021249089</v>
      </c>
      <c r="E28" t="s">
        <v>47</v>
      </c>
      <c r="F28" t="s">
        <v>61</v>
      </c>
      <c r="G28" t="s">
        <v>62</v>
      </c>
      <c r="H28" t="s">
        <v>63</v>
      </c>
      <c r="I28" t="s">
        <v>64</v>
      </c>
      <c r="J28" t="s">
        <v>141</v>
      </c>
      <c r="K28" s="3">
        <v>10099163281</v>
      </c>
      <c r="L28" s="10">
        <v>40399</v>
      </c>
      <c r="M28">
        <v>174.89</v>
      </c>
      <c r="N28" s="11">
        <v>14</v>
      </c>
      <c r="O28" s="12">
        <v>12.44</v>
      </c>
      <c r="P28" s="12">
        <v>6.27</v>
      </c>
      <c r="Q28" s="13">
        <v>-37.04</v>
      </c>
      <c r="R28" s="36" t="s">
        <v>150</v>
      </c>
      <c r="S28" s="7">
        <f t="shared" si="0"/>
        <v>2</v>
      </c>
      <c r="T28" s="15" t="str">
        <f>VLOOKUP(R28,产品分类!$C$2:$D$1278,2,0)</f>
        <v>家具产品</v>
      </c>
    </row>
    <row r="29" spans="1:20">
      <c r="A29" s="8">
        <f>DATE(2012,12,31)-271</f>
        <v>41003</v>
      </c>
      <c r="B29" s="8">
        <f>DATE(2012,12,31)-271</f>
        <v>41003</v>
      </c>
      <c r="C29" s="9" t="s">
        <v>151</v>
      </c>
      <c r="D29">
        <v>10021248074</v>
      </c>
      <c r="E29" t="s">
        <v>47</v>
      </c>
      <c r="F29" t="s">
        <v>152</v>
      </c>
      <c r="G29" t="s">
        <v>153</v>
      </c>
      <c r="H29" t="s">
        <v>154</v>
      </c>
      <c r="I29" t="s">
        <v>155</v>
      </c>
      <c r="J29" t="s">
        <v>141</v>
      </c>
      <c r="K29" s="3">
        <v>100832756782</v>
      </c>
      <c r="L29" s="10">
        <v>41005</v>
      </c>
      <c r="M29">
        <v>329.03</v>
      </c>
      <c r="N29" s="11">
        <v>49</v>
      </c>
      <c r="O29" s="12">
        <v>7.28</v>
      </c>
      <c r="P29" s="12">
        <v>7.98</v>
      </c>
      <c r="Q29" s="13">
        <v>-197.25</v>
      </c>
      <c r="R29" s="36" t="s">
        <v>156</v>
      </c>
      <c r="S29" s="7">
        <f t="shared" si="0"/>
        <v>2</v>
      </c>
      <c r="T29" s="15" t="str">
        <f>VLOOKUP(R29,产品分类!$C$2:$D$1278,2,0)</f>
        <v>办公用品</v>
      </c>
    </row>
    <row r="30" spans="1:20">
      <c r="A30" s="8">
        <f>DATE(2012,12,31)-271</f>
        <v>41003</v>
      </c>
      <c r="B30" s="8">
        <f>DATE(2012,12,31)-271</f>
        <v>41003</v>
      </c>
      <c r="C30" s="9" t="s">
        <v>151</v>
      </c>
      <c r="D30">
        <v>10021250842</v>
      </c>
      <c r="E30" t="s">
        <v>47</v>
      </c>
      <c r="F30" t="s">
        <v>72</v>
      </c>
      <c r="G30" t="s">
        <v>73</v>
      </c>
      <c r="H30" t="s">
        <v>74</v>
      </c>
      <c r="I30" t="s">
        <v>75</v>
      </c>
      <c r="J30" t="s">
        <v>141</v>
      </c>
      <c r="K30" s="3">
        <v>100416095784</v>
      </c>
      <c r="L30" s="10">
        <v>41005</v>
      </c>
      <c r="M30">
        <v>20.19</v>
      </c>
      <c r="N30" s="11">
        <v>6</v>
      </c>
      <c r="O30" s="12">
        <v>3.14</v>
      </c>
      <c r="P30" s="12">
        <v>1.92</v>
      </c>
      <c r="Q30" s="13">
        <v>-13.44</v>
      </c>
      <c r="R30" s="36" t="s">
        <v>157</v>
      </c>
      <c r="S30" s="7">
        <f t="shared" si="0"/>
        <v>2</v>
      </c>
      <c r="T30" s="15" t="str">
        <f>VLOOKUP(R30,产品分类!$C$2:$D$1278,2,0)</f>
        <v>数码电子</v>
      </c>
    </row>
    <row r="31" spans="1:20">
      <c r="A31" s="8">
        <f>DATE(2012,12,31)-735</f>
        <v>40539</v>
      </c>
      <c r="B31" s="8">
        <f>DATE(2012,12,31)-735</f>
        <v>40539</v>
      </c>
      <c r="C31" s="9" t="s">
        <v>158</v>
      </c>
      <c r="D31">
        <v>10021257586</v>
      </c>
      <c r="E31" t="s">
        <v>47</v>
      </c>
      <c r="F31" t="s">
        <v>91</v>
      </c>
      <c r="G31" t="s">
        <v>92</v>
      </c>
      <c r="H31" t="s">
        <v>93</v>
      </c>
      <c r="I31" t="s">
        <v>94</v>
      </c>
      <c r="J31" t="s">
        <v>141</v>
      </c>
      <c r="K31" s="3">
        <v>100826547862</v>
      </c>
      <c r="L31" s="10">
        <v>40541</v>
      </c>
      <c r="M31">
        <v>1315.74</v>
      </c>
      <c r="N31" s="11">
        <v>34</v>
      </c>
      <c r="O31" s="12">
        <v>36.55</v>
      </c>
      <c r="P31" s="12">
        <v>13.89</v>
      </c>
      <c r="Q31" s="13">
        <v>260.87</v>
      </c>
      <c r="R31" s="36" t="s">
        <v>159</v>
      </c>
      <c r="S31" s="7">
        <f t="shared" si="0"/>
        <v>2</v>
      </c>
      <c r="T31" s="15" t="str">
        <f>VLOOKUP(R31,产品分类!$C$2:$D$1278,2,0)</f>
        <v>数码电子</v>
      </c>
    </row>
    <row r="32" spans="1:20">
      <c r="A32" s="8">
        <f>DATE(2012,12,31)-635</f>
        <v>40639</v>
      </c>
      <c r="B32" s="8">
        <f>DATE(2012,12,31)-635</f>
        <v>40639</v>
      </c>
      <c r="C32" s="9" t="s">
        <v>160</v>
      </c>
      <c r="D32">
        <v>10021258324</v>
      </c>
      <c r="E32" t="s">
        <v>47</v>
      </c>
      <c r="F32" t="s">
        <v>122</v>
      </c>
      <c r="G32" t="s">
        <v>123</v>
      </c>
      <c r="H32" t="s">
        <v>124</v>
      </c>
      <c r="I32" t="s">
        <v>125</v>
      </c>
      <c r="J32" t="s">
        <v>141</v>
      </c>
      <c r="K32" s="3">
        <v>100826833422</v>
      </c>
      <c r="L32" s="10">
        <v>40641</v>
      </c>
      <c r="M32">
        <v>310.52</v>
      </c>
      <c r="N32" s="11">
        <v>23</v>
      </c>
      <c r="O32" s="12">
        <v>12.98</v>
      </c>
      <c r="P32" s="12">
        <v>3.14</v>
      </c>
      <c r="Q32" s="13">
        <v>33.22</v>
      </c>
      <c r="R32" s="36" t="s">
        <v>161</v>
      </c>
      <c r="S32" s="7">
        <f t="shared" si="0"/>
        <v>2</v>
      </c>
      <c r="T32" s="15" t="str">
        <f>VLOOKUP(R32,产品分类!$C$2:$D$1278,2,0)</f>
        <v>办公用品</v>
      </c>
    </row>
    <row r="33" spans="1:20">
      <c r="A33" s="8">
        <f t="shared" ref="A33:B35" si="3">DATE(2012,12,31)-1293</f>
        <v>39981</v>
      </c>
      <c r="B33" s="8">
        <f t="shared" si="3"/>
        <v>39981</v>
      </c>
      <c r="C33" s="9" t="s">
        <v>162</v>
      </c>
      <c r="D33">
        <v>10021259992</v>
      </c>
      <c r="E33" t="s">
        <v>47</v>
      </c>
      <c r="F33" t="s">
        <v>122</v>
      </c>
      <c r="G33" t="s">
        <v>123</v>
      </c>
      <c r="H33" t="s">
        <v>124</v>
      </c>
      <c r="I33" t="s">
        <v>125</v>
      </c>
      <c r="J33" t="s">
        <v>141</v>
      </c>
      <c r="K33" s="3">
        <v>100128264567</v>
      </c>
      <c r="L33" s="10">
        <v>39982</v>
      </c>
      <c r="M33">
        <v>184.86</v>
      </c>
      <c r="N33" s="11">
        <v>25</v>
      </c>
      <c r="O33" s="12">
        <v>7.38</v>
      </c>
      <c r="P33" s="12">
        <v>5.21</v>
      </c>
      <c r="Q33" s="13">
        <v>-33.95</v>
      </c>
      <c r="R33" s="36" t="s">
        <v>163</v>
      </c>
      <c r="S33" s="7">
        <f t="shared" si="0"/>
        <v>1</v>
      </c>
      <c r="T33" s="15" t="str">
        <f>VLOOKUP(R33,产品分类!$C$2:$D$1278,2,0)</f>
        <v>家具产品</v>
      </c>
    </row>
    <row r="34" spans="1:20">
      <c r="A34" s="8">
        <f t="shared" si="3"/>
        <v>39981</v>
      </c>
      <c r="B34" s="8">
        <f t="shared" si="3"/>
        <v>39981</v>
      </c>
      <c r="C34" s="9" t="s">
        <v>162</v>
      </c>
      <c r="D34">
        <v>10021251783</v>
      </c>
      <c r="E34" t="s">
        <v>47</v>
      </c>
      <c r="F34" t="s">
        <v>97</v>
      </c>
      <c r="G34" t="s">
        <v>98</v>
      </c>
      <c r="H34" t="s">
        <v>99</v>
      </c>
      <c r="I34" t="s">
        <v>98</v>
      </c>
      <c r="J34" t="s">
        <v>141</v>
      </c>
      <c r="K34" s="3">
        <v>100314323449</v>
      </c>
      <c r="L34" s="10">
        <v>39982</v>
      </c>
      <c r="M34">
        <v>267.85</v>
      </c>
      <c r="N34" s="11">
        <v>44</v>
      </c>
      <c r="O34" s="12">
        <v>5.98</v>
      </c>
      <c r="P34" s="12">
        <v>5.15</v>
      </c>
      <c r="Q34" s="13">
        <v>-65.43</v>
      </c>
      <c r="R34" s="36" t="s">
        <v>164</v>
      </c>
      <c r="S34" s="7">
        <f t="shared" si="0"/>
        <v>1</v>
      </c>
      <c r="T34" s="15" t="str">
        <f>VLOOKUP(R34,产品分类!$C$2:$D$1278,2,0)</f>
        <v>办公用品</v>
      </c>
    </row>
    <row r="35" spans="1:20">
      <c r="A35" s="8">
        <f t="shared" si="3"/>
        <v>39981</v>
      </c>
      <c r="B35" s="8">
        <f t="shared" si="3"/>
        <v>39981</v>
      </c>
      <c r="C35" s="9" t="s">
        <v>162</v>
      </c>
      <c r="D35">
        <v>10021262668</v>
      </c>
      <c r="E35" t="s">
        <v>47</v>
      </c>
      <c r="F35" t="s">
        <v>97</v>
      </c>
      <c r="G35" t="s">
        <v>98</v>
      </c>
      <c r="H35" t="s">
        <v>99</v>
      </c>
      <c r="I35" t="s">
        <v>98</v>
      </c>
      <c r="J35" t="s">
        <v>141</v>
      </c>
      <c r="K35" s="3">
        <v>100730114975</v>
      </c>
      <c r="L35" s="10">
        <v>39982</v>
      </c>
      <c r="M35">
        <v>528.5</v>
      </c>
      <c r="N35" s="11">
        <v>33</v>
      </c>
      <c r="O35" s="12">
        <v>15.42</v>
      </c>
      <c r="P35" s="12">
        <v>10.68</v>
      </c>
      <c r="Q35" s="13">
        <v>-149.92</v>
      </c>
      <c r="R35" s="36" t="s">
        <v>165</v>
      </c>
      <c r="S35" s="7">
        <f t="shared" si="0"/>
        <v>1</v>
      </c>
      <c r="T35" s="15" t="str">
        <f>VLOOKUP(R35,产品分类!$C$2:$D$1278,2,0)</f>
        <v>办公用品</v>
      </c>
    </row>
    <row r="36" spans="1:20">
      <c r="A36" s="8">
        <f>DATE(2012,12,31)-587</f>
        <v>40687</v>
      </c>
      <c r="B36" s="8">
        <f>DATE(2012,12,31)-587</f>
        <v>40687</v>
      </c>
      <c r="C36" s="9" t="s">
        <v>166</v>
      </c>
      <c r="D36">
        <v>10021266901</v>
      </c>
      <c r="E36" t="s">
        <v>47</v>
      </c>
      <c r="F36" t="s">
        <v>167</v>
      </c>
      <c r="G36" t="s">
        <v>168</v>
      </c>
      <c r="H36" t="s">
        <v>169</v>
      </c>
      <c r="I36" t="s">
        <v>168</v>
      </c>
      <c r="J36" t="s">
        <v>141</v>
      </c>
      <c r="K36" s="3">
        <v>100932062341</v>
      </c>
      <c r="L36" s="10">
        <v>40688</v>
      </c>
      <c r="M36">
        <v>126.58</v>
      </c>
      <c r="N36" s="11">
        <v>24</v>
      </c>
      <c r="O36" s="12">
        <v>5.58</v>
      </c>
      <c r="P36" s="12">
        <v>0.7</v>
      </c>
      <c r="Q36" s="13">
        <v>18.27</v>
      </c>
      <c r="R36" s="36" t="s">
        <v>170</v>
      </c>
      <c r="S36" s="7">
        <f t="shared" si="0"/>
        <v>1</v>
      </c>
      <c r="T36" s="15" t="str">
        <f>VLOOKUP(R36,产品分类!$C$2:$D$1278,2,0)</f>
        <v>数码电子</v>
      </c>
    </row>
    <row r="37" spans="1:20">
      <c r="A37" s="8">
        <f>DATE(2012,12,31)-587</f>
        <v>40687</v>
      </c>
      <c r="B37" s="8">
        <f>DATE(2012,12,31)-587</f>
        <v>40687</v>
      </c>
      <c r="C37" s="9" t="s">
        <v>166</v>
      </c>
      <c r="D37">
        <v>10021261420</v>
      </c>
      <c r="E37" t="s">
        <v>47</v>
      </c>
      <c r="F37" t="s">
        <v>171</v>
      </c>
      <c r="G37" t="s">
        <v>172</v>
      </c>
      <c r="H37" t="s">
        <v>173</v>
      </c>
      <c r="I37" t="s">
        <v>174</v>
      </c>
      <c r="J37" t="s">
        <v>141</v>
      </c>
      <c r="K37" s="3">
        <v>100429437113</v>
      </c>
      <c r="L37" s="10">
        <v>40689</v>
      </c>
      <c r="M37">
        <v>23.7</v>
      </c>
      <c r="N37" s="11">
        <v>1</v>
      </c>
      <c r="O37" s="12">
        <v>19.84</v>
      </c>
      <c r="P37" s="12">
        <v>4.1</v>
      </c>
      <c r="Q37" s="13">
        <v>-8.97</v>
      </c>
      <c r="R37" s="36" t="s">
        <v>175</v>
      </c>
      <c r="S37" s="7">
        <f t="shared" si="0"/>
        <v>2</v>
      </c>
      <c r="T37" s="15" t="str">
        <f>VLOOKUP(R37,产品分类!$C$2:$D$1278,2,0)</f>
        <v>办公用品</v>
      </c>
    </row>
    <row r="38" spans="1:20">
      <c r="A38" s="8">
        <f>DATE(2012,12,31)-734</f>
        <v>40540</v>
      </c>
      <c r="B38" s="8">
        <f>DATE(2012,12,31)-734</f>
        <v>40540</v>
      </c>
      <c r="C38" s="9" t="s">
        <v>176</v>
      </c>
      <c r="D38">
        <v>10021264200</v>
      </c>
      <c r="E38" t="s">
        <v>47</v>
      </c>
      <c r="F38" t="s">
        <v>177</v>
      </c>
      <c r="G38" t="s">
        <v>178</v>
      </c>
      <c r="H38" t="s">
        <v>179</v>
      </c>
      <c r="I38" t="s">
        <v>180</v>
      </c>
      <c r="J38" t="s">
        <v>141</v>
      </c>
      <c r="K38" s="3">
        <v>100726970655</v>
      </c>
      <c r="L38" s="10">
        <v>40542</v>
      </c>
      <c r="M38">
        <v>586.11</v>
      </c>
      <c r="N38" s="11">
        <v>43</v>
      </c>
      <c r="O38" s="12">
        <v>12.64</v>
      </c>
      <c r="P38" s="12">
        <v>4.98</v>
      </c>
      <c r="Q38" s="13">
        <v>98.44</v>
      </c>
      <c r="R38" s="36" t="s">
        <v>181</v>
      </c>
      <c r="S38" s="7">
        <f t="shared" si="0"/>
        <v>2</v>
      </c>
      <c r="T38" s="15" t="str">
        <f>VLOOKUP(R38,产品分类!$C$2:$D$1278,2,0)</f>
        <v>数码电子</v>
      </c>
    </row>
    <row r="39" spans="1:20">
      <c r="A39" s="8">
        <f>DATE(2012,12,31)-734</f>
        <v>40540</v>
      </c>
      <c r="B39" s="8">
        <f>DATE(2012,12,31)-734</f>
        <v>40540</v>
      </c>
      <c r="C39" s="9" t="s">
        <v>182</v>
      </c>
      <c r="D39">
        <v>10021260170</v>
      </c>
      <c r="E39" t="s">
        <v>47</v>
      </c>
      <c r="F39" t="s">
        <v>183</v>
      </c>
      <c r="G39" t="s">
        <v>184</v>
      </c>
      <c r="H39" t="s">
        <v>185</v>
      </c>
      <c r="I39" t="s">
        <v>186</v>
      </c>
      <c r="J39" t="s">
        <v>141</v>
      </c>
      <c r="K39" s="3">
        <v>100418639193</v>
      </c>
      <c r="L39" s="10">
        <v>40541</v>
      </c>
      <c r="M39">
        <v>599.1</v>
      </c>
      <c r="N39" s="11">
        <v>24</v>
      </c>
      <c r="O39" s="12">
        <v>24.92</v>
      </c>
      <c r="P39" s="12">
        <v>12.98</v>
      </c>
      <c r="Q39" s="13">
        <v>3.8165</v>
      </c>
      <c r="R39" s="36" t="s">
        <v>187</v>
      </c>
      <c r="S39" s="7">
        <f t="shared" si="0"/>
        <v>1</v>
      </c>
      <c r="T39" s="15" t="str">
        <f>VLOOKUP(R39,产品分类!$C$2:$D$1278,2,0)</f>
        <v>数码电子</v>
      </c>
    </row>
    <row r="40" spans="1:20">
      <c r="A40" s="8">
        <f>DATE(2012,12,31)-797</f>
        <v>40477</v>
      </c>
      <c r="B40" s="8">
        <f>DATE(2012,12,31)-797</f>
        <v>40477</v>
      </c>
      <c r="C40" s="9" t="s">
        <v>188</v>
      </c>
      <c r="D40">
        <v>10021254897</v>
      </c>
      <c r="E40" t="s">
        <v>47</v>
      </c>
      <c r="F40" t="s">
        <v>177</v>
      </c>
      <c r="G40" t="s">
        <v>178</v>
      </c>
      <c r="H40" t="s">
        <v>179</v>
      </c>
      <c r="I40" t="s">
        <v>180</v>
      </c>
      <c r="J40" t="s">
        <v>141</v>
      </c>
      <c r="K40" s="3">
        <v>100123139246</v>
      </c>
      <c r="L40" s="10">
        <v>40479</v>
      </c>
      <c r="M40">
        <v>2029.75</v>
      </c>
      <c r="N40" s="11">
        <v>47</v>
      </c>
      <c r="O40" s="12">
        <v>43.98</v>
      </c>
      <c r="P40" s="12">
        <v>8.99</v>
      </c>
      <c r="Q40" s="13">
        <v>320.37</v>
      </c>
      <c r="R40" s="36" t="s">
        <v>189</v>
      </c>
      <c r="S40" s="7">
        <f t="shared" si="0"/>
        <v>2</v>
      </c>
      <c r="T40" s="15" t="str">
        <f>VLOOKUP(R40,产品分类!$C$2:$D$1278,2,0)</f>
        <v>数码电子</v>
      </c>
    </row>
    <row r="41" spans="1:20">
      <c r="A41" s="8">
        <f>DATE(2012,12,31)-797</f>
        <v>40477</v>
      </c>
      <c r="B41" s="8">
        <f>DATE(2012,12,31)-797</f>
        <v>40477</v>
      </c>
      <c r="C41" s="9" t="s">
        <v>188</v>
      </c>
      <c r="D41">
        <v>10021261653</v>
      </c>
      <c r="E41" t="s">
        <v>47</v>
      </c>
      <c r="F41" t="s">
        <v>61</v>
      </c>
      <c r="G41" t="s">
        <v>62</v>
      </c>
      <c r="H41" t="s">
        <v>63</v>
      </c>
      <c r="I41" t="s">
        <v>64</v>
      </c>
      <c r="J41" t="s">
        <v>141</v>
      </c>
      <c r="K41" s="3">
        <v>100129546608</v>
      </c>
      <c r="L41" s="10">
        <v>40479</v>
      </c>
      <c r="M41">
        <v>1118.396</v>
      </c>
      <c r="N41" s="11">
        <v>11</v>
      </c>
      <c r="O41" s="12">
        <v>125.99</v>
      </c>
      <c r="P41" s="12">
        <v>8.08</v>
      </c>
      <c r="Q41" s="13">
        <v>-212.333</v>
      </c>
      <c r="R41" s="36" t="s">
        <v>190</v>
      </c>
      <c r="S41" s="7">
        <f t="shared" si="0"/>
        <v>2</v>
      </c>
      <c r="T41" s="15" t="str">
        <f>VLOOKUP(R41,产品分类!$C$2:$D$1278,2,0)</f>
        <v>家具产品</v>
      </c>
    </row>
    <row r="42" spans="1:20">
      <c r="A42" s="8">
        <f>DATE(2012,12,31)-1190</f>
        <v>40084</v>
      </c>
      <c r="B42" s="8">
        <f>DATE(2012,12,31)-1190</f>
        <v>40084</v>
      </c>
      <c r="C42" s="9" t="s">
        <v>191</v>
      </c>
      <c r="D42">
        <v>10021257558</v>
      </c>
      <c r="E42" t="s">
        <v>47</v>
      </c>
      <c r="F42" t="s">
        <v>61</v>
      </c>
      <c r="G42" t="s">
        <v>62</v>
      </c>
      <c r="H42" t="s">
        <v>63</v>
      </c>
      <c r="I42" t="s">
        <v>64</v>
      </c>
      <c r="J42" t="s">
        <v>141</v>
      </c>
      <c r="K42" s="3">
        <v>100926511501</v>
      </c>
      <c r="L42" s="10">
        <v>40086</v>
      </c>
      <c r="M42">
        <v>689.74</v>
      </c>
      <c r="N42" s="11">
        <v>2</v>
      </c>
      <c r="O42" s="12">
        <v>363.25</v>
      </c>
      <c r="P42" s="12">
        <v>19.99</v>
      </c>
      <c r="Q42" s="13">
        <v>-490.84</v>
      </c>
      <c r="R42" s="36" t="s">
        <v>192</v>
      </c>
      <c r="S42" s="7">
        <f t="shared" si="0"/>
        <v>2</v>
      </c>
      <c r="T42" s="15" t="str">
        <f>VLOOKUP(R42,产品分类!$C$2:$D$1278,2,0)</f>
        <v>办公用品</v>
      </c>
    </row>
    <row r="43" spans="1:20">
      <c r="A43" s="8">
        <f t="shared" ref="A43:B45" si="4">DATE(2012,12,31)-734</f>
        <v>40540</v>
      </c>
      <c r="B43" s="8">
        <f t="shared" si="4"/>
        <v>40540</v>
      </c>
      <c r="C43" s="9" t="s">
        <v>193</v>
      </c>
      <c r="D43">
        <v>10021262606</v>
      </c>
      <c r="E43" t="s">
        <v>47</v>
      </c>
      <c r="F43" t="s">
        <v>61</v>
      </c>
      <c r="G43" t="s">
        <v>62</v>
      </c>
      <c r="H43" t="s">
        <v>63</v>
      </c>
      <c r="I43" t="s">
        <v>64</v>
      </c>
      <c r="J43" t="s">
        <v>141</v>
      </c>
      <c r="K43" s="3">
        <v>100730100105</v>
      </c>
      <c r="L43" s="10">
        <v>40542</v>
      </c>
      <c r="M43">
        <v>154.35</v>
      </c>
      <c r="N43" s="11">
        <v>21</v>
      </c>
      <c r="O43" s="12">
        <v>6.48</v>
      </c>
      <c r="P43" s="12">
        <v>8.74</v>
      </c>
      <c r="Q43" s="13">
        <v>-91.14</v>
      </c>
      <c r="R43" s="36" t="s">
        <v>194</v>
      </c>
      <c r="S43" s="7">
        <f t="shared" si="0"/>
        <v>2</v>
      </c>
      <c r="T43" s="15" t="str">
        <f>VLOOKUP(R43,产品分类!$C$2:$D$1278,2,0)</f>
        <v>办公用品</v>
      </c>
    </row>
    <row r="44" spans="1:20">
      <c r="A44" s="8">
        <f t="shared" si="4"/>
        <v>40540</v>
      </c>
      <c r="B44" s="8">
        <f t="shared" si="4"/>
        <v>40540</v>
      </c>
      <c r="C44" s="9" t="s">
        <v>193</v>
      </c>
      <c r="D44">
        <v>10021248654</v>
      </c>
      <c r="E44" t="s">
        <v>47</v>
      </c>
      <c r="F44" t="s">
        <v>97</v>
      </c>
      <c r="G44" t="s">
        <v>98</v>
      </c>
      <c r="H44" t="s">
        <v>99</v>
      </c>
      <c r="I44" t="s">
        <v>98</v>
      </c>
      <c r="J44" t="s">
        <v>141</v>
      </c>
      <c r="K44" s="3">
        <v>10043541584</v>
      </c>
      <c r="L44" s="10">
        <v>40541</v>
      </c>
      <c r="M44">
        <v>201.36</v>
      </c>
      <c r="N44" s="11">
        <v>7</v>
      </c>
      <c r="O44" s="12">
        <v>20.98</v>
      </c>
      <c r="P44" s="12">
        <v>53.03</v>
      </c>
      <c r="Q44" s="13">
        <v>-284.4</v>
      </c>
      <c r="R44" s="36" t="s">
        <v>195</v>
      </c>
      <c r="S44" s="7">
        <f t="shared" si="0"/>
        <v>1</v>
      </c>
      <c r="T44" s="15" t="str">
        <f>VLOOKUP(R44,产品分类!$C$2:$D$1278,2,0)</f>
        <v>家具产品</v>
      </c>
    </row>
    <row r="45" spans="1:20">
      <c r="A45" s="8">
        <f t="shared" si="4"/>
        <v>40540</v>
      </c>
      <c r="B45" s="8">
        <f t="shared" si="4"/>
        <v>40540</v>
      </c>
      <c r="C45" s="9" t="s">
        <v>193</v>
      </c>
      <c r="D45">
        <v>10021256099</v>
      </c>
      <c r="E45" t="s">
        <v>47</v>
      </c>
      <c r="F45" t="s">
        <v>72</v>
      </c>
      <c r="G45" t="s">
        <v>73</v>
      </c>
      <c r="H45" t="s">
        <v>74</v>
      </c>
      <c r="I45" t="s">
        <v>75</v>
      </c>
      <c r="J45" t="s">
        <v>141</v>
      </c>
      <c r="K45" s="3">
        <v>100424931263</v>
      </c>
      <c r="L45" s="10">
        <v>40542</v>
      </c>
      <c r="M45">
        <v>216.77</v>
      </c>
      <c r="N45" s="11">
        <v>33</v>
      </c>
      <c r="O45" s="12">
        <v>6.54</v>
      </c>
      <c r="P45" s="12">
        <v>5.27</v>
      </c>
      <c r="Q45" s="13">
        <v>-55.108</v>
      </c>
      <c r="R45" s="36" t="s">
        <v>196</v>
      </c>
      <c r="S45" s="7">
        <f t="shared" si="0"/>
        <v>2</v>
      </c>
      <c r="T45" s="15" t="str">
        <f>VLOOKUP(R45,产品分类!$C$2:$D$1278,2,0)</f>
        <v>办公用品</v>
      </c>
    </row>
    <row r="46" spans="1:20">
      <c r="A46" s="8">
        <f>DATE(2012,12,31)-917</f>
        <v>40357</v>
      </c>
      <c r="B46" s="8">
        <f>DATE(2012,12,31)-917</f>
        <v>40357</v>
      </c>
      <c r="C46" s="9" t="s">
        <v>197</v>
      </c>
      <c r="D46">
        <v>10021255969</v>
      </c>
      <c r="E46" t="s">
        <v>47</v>
      </c>
      <c r="F46" t="s">
        <v>72</v>
      </c>
      <c r="G46" t="s">
        <v>73</v>
      </c>
      <c r="H46" t="s">
        <v>74</v>
      </c>
      <c r="I46" t="s">
        <v>75</v>
      </c>
      <c r="J46" t="s">
        <v>141</v>
      </c>
      <c r="K46" s="3">
        <v>100924878461</v>
      </c>
      <c r="L46" s="10">
        <v>40358</v>
      </c>
      <c r="M46">
        <v>5677.609</v>
      </c>
      <c r="N46" s="11">
        <v>47</v>
      </c>
      <c r="O46" s="12">
        <v>140.99</v>
      </c>
      <c r="P46" s="12">
        <v>4.2</v>
      </c>
      <c r="Q46" s="13">
        <v>1680.786</v>
      </c>
      <c r="R46" s="36" t="s">
        <v>198</v>
      </c>
      <c r="S46" s="7">
        <f t="shared" si="0"/>
        <v>1</v>
      </c>
      <c r="T46" s="15" t="str">
        <f>VLOOKUP(R46,产品分类!$C$2:$D$1278,2,0)</f>
        <v>数码电子</v>
      </c>
    </row>
    <row r="47" spans="1:20">
      <c r="A47" s="8">
        <f>DATE(2012,12,31)-1325</f>
        <v>39949</v>
      </c>
      <c r="B47" s="8">
        <f>DATE(2012,12,31)-1325</f>
        <v>39949</v>
      </c>
      <c r="C47" s="9" t="s">
        <v>199</v>
      </c>
      <c r="D47">
        <v>10021255756</v>
      </c>
      <c r="E47" t="s">
        <v>47</v>
      </c>
      <c r="F47" t="s">
        <v>72</v>
      </c>
      <c r="G47" t="s">
        <v>73</v>
      </c>
      <c r="H47" t="s">
        <v>74</v>
      </c>
      <c r="I47" t="s">
        <v>75</v>
      </c>
      <c r="J47" t="s">
        <v>141</v>
      </c>
      <c r="K47" s="3">
        <v>100424408273</v>
      </c>
      <c r="L47" s="10">
        <v>39950</v>
      </c>
      <c r="M47">
        <v>136.77</v>
      </c>
      <c r="N47" s="11">
        <v>25</v>
      </c>
      <c r="O47" s="12">
        <v>5.4</v>
      </c>
      <c r="P47" s="12">
        <v>7.78</v>
      </c>
      <c r="Q47" s="13">
        <v>-136.252</v>
      </c>
      <c r="R47" s="36" t="s">
        <v>200</v>
      </c>
      <c r="S47" s="7">
        <f t="shared" si="0"/>
        <v>1</v>
      </c>
      <c r="T47" s="15" t="str">
        <f>VLOOKUP(R47,产品分类!$C$2:$D$1278,2,0)</f>
        <v>数码电子</v>
      </c>
    </row>
    <row r="48" spans="1:20">
      <c r="A48" s="8">
        <f>DATE(2012,12,31)-1456</f>
        <v>39818</v>
      </c>
      <c r="B48" s="8">
        <f>DATE(2012,12,31)-1456</f>
        <v>39818</v>
      </c>
      <c r="C48" s="9" t="s">
        <v>201</v>
      </c>
      <c r="D48">
        <v>10021268471</v>
      </c>
      <c r="E48" t="s">
        <v>47</v>
      </c>
      <c r="F48" t="s">
        <v>72</v>
      </c>
      <c r="G48" t="s">
        <v>73</v>
      </c>
      <c r="H48" t="s">
        <v>74</v>
      </c>
      <c r="I48" t="s">
        <v>75</v>
      </c>
      <c r="J48" t="s">
        <v>141</v>
      </c>
      <c r="K48" s="3">
        <v>100132398456</v>
      </c>
      <c r="L48" s="10">
        <v>39819</v>
      </c>
      <c r="M48">
        <v>188.73</v>
      </c>
      <c r="N48" s="11">
        <v>24</v>
      </c>
      <c r="O48" s="12">
        <v>7.64</v>
      </c>
      <c r="P48" s="12">
        <v>5.83</v>
      </c>
      <c r="Q48" s="13">
        <v>-32.48</v>
      </c>
      <c r="R48" s="36" t="s">
        <v>202</v>
      </c>
      <c r="S48" s="7">
        <f t="shared" si="0"/>
        <v>1</v>
      </c>
      <c r="T48" s="15" t="str">
        <f>VLOOKUP(R48,产品分类!$C$2:$D$1278,2,0)</f>
        <v>办公用品</v>
      </c>
    </row>
    <row r="49" spans="1:20">
      <c r="A49" s="8">
        <f>DATE(2012,12,31)-354</f>
        <v>40920</v>
      </c>
      <c r="B49" s="8">
        <f>DATE(2012,12,31)-354</f>
        <v>40920</v>
      </c>
      <c r="C49" s="9" t="s">
        <v>147</v>
      </c>
      <c r="D49">
        <v>10021261550</v>
      </c>
      <c r="E49" t="s">
        <v>47</v>
      </c>
      <c r="F49" t="s">
        <v>72</v>
      </c>
      <c r="G49" t="s">
        <v>73</v>
      </c>
      <c r="H49" t="s">
        <v>74</v>
      </c>
      <c r="I49" t="s">
        <v>75</v>
      </c>
      <c r="J49" t="s">
        <v>141</v>
      </c>
      <c r="K49" s="3">
        <v>100129462638</v>
      </c>
      <c r="L49" s="10">
        <v>40921</v>
      </c>
      <c r="M49">
        <v>412.62</v>
      </c>
      <c r="N49" s="11">
        <v>43</v>
      </c>
      <c r="O49" s="12">
        <v>9.9</v>
      </c>
      <c r="P49" s="12">
        <v>1.39</v>
      </c>
      <c r="Q49" s="13">
        <v>175.54</v>
      </c>
      <c r="R49" s="36" t="s">
        <v>203</v>
      </c>
      <c r="S49" s="7">
        <f t="shared" si="0"/>
        <v>1</v>
      </c>
      <c r="T49" s="15" t="str">
        <f>VLOOKUP(R49,产品分类!$C$2:$D$1278,2,0)</f>
        <v>办公用品</v>
      </c>
    </row>
    <row r="50" spans="1:20">
      <c r="A50" s="8">
        <f>DATE(2012,12,31)-91</f>
        <v>41183</v>
      </c>
      <c r="B50" s="8">
        <f>DATE(2012,12,31)-91</f>
        <v>41183</v>
      </c>
      <c r="C50" s="9" t="s">
        <v>204</v>
      </c>
      <c r="D50">
        <v>10021255833</v>
      </c>
      <c r="E50" t="s">
        <v>47</v>
      </c>
      <c r="F50" t="s">
        <v>91</v>
      </c>
      <c r="G50" t="s">
        <v>92</v>
      </c>
      <c r="H50" t="s">
        <v>93</v>
      </c>
      <c r="I50" t="s">
        <v>94</v>
      </c>
      <c r="J50" t="s">
        <v>141</v>
      </c>
      <c r="K50" s="3">
        <v>100724537685</v>
      </c>
      <c r="L50" s="10">
        <v>41184</v>
      </c>
      <c r="M50">
        <v>10123.02</v>
      </c>
      <c r="N50" s="11">
        <v>49</v>
      </c>
      <c r="O50" s="12">
        <v>208.16</v>
      </c>
      <c r="P50" s="12">
        <v>68.02</v>
      </c>
      <c r="Q50" s="13">
        <v>457.81</v>
      </c>
      <c r="R50" s="36" t="s">
        <v>205</v>
      </c>
      <c r="S50" s="7">
        <f t="shared" si="0"/>
        <v>1</v>
      </c>
      <c r="T50" s="15" t="str">
        <f>VLOOKUP(R50,产品分类!$C$2:$D$1278,2,0)</f>
        <v>家具产品</v>
      </c>
    </row>
    <row r="51" spans="1:20">
      <c r="A51" s="8">
        <f>DATE(2012,12,31)-91</f>
        <v>41183</v>
      </c>
      <c r="B51" s="8">
        <f>DATE(2012,12,31)-91</f>
        <v>41183</v>
      </c>
      <c r="C51" s="9" t="s">
        <v>204</v>
      </c>
      <c r="D51">
        <v>10021249829</v>
      </c>
      <c r="E51" t="s">
        <v>47</v>
      </c>
      <c r="F51" t="s">
        <v>55</v>
      </c>
      <c r="G51" t="s">
        <v>56</v>
      </c>
      <c r="H51" t="s">
        <v>57</v>
      </c>
      <c r="I51" t="s">
        <v>58</v>
      </c>
      <c r="J51" t="s">
        <v>141</v>
      </c>
      <c r="K51" s="3">
        <v>100110093278</v>
      </c>
      <c r="L51" s="10">
        <v>41185</v>
      </c>
      <c r="M51">
        <v>244.57</v>
      </c>
      <c r="N51" s="11">
        <v>27</v>
      </c>
      <c r="O51" s="12">
        <v>8.69</v>
      </c>
      <c r="P51" s="12">
        <v>2.99</v>
      </c>
      <c r="Q51" s="13">
        <v>46.7075</v>
      </c>
      <c r="R51" s="36" t="s">
        <v>206</v>
      </c>
      <c r="S51" s="7">
        <f t="shared" si="0"/>
        <v>2</v>
      </c>
      <c r="T51" s="15" t="str">
        <f>VLOOKUP(R51,产品分类!$C$2:$D$1278,2,0)</f>
        <v>数码电子</v>
      </c>
    </row>
    <row r="52" spans="1:20">
      <c r="A52" s="8">
        <f>DATE(2012,12,31)-900</f>
        <v>40374</v>
      </c>
      <c r="B52" s="8">
        <f>DATE(2012,12,31)-900</f>
        <v>40374</v>
      </c>
      <c r="C52" s="9" t="s">
        <v>207</v>
      </c>
      <c r="D52">
        <v>10021252748</v>
      </c>
      <c r="E52" t="s">
        <v>47</v>
      </c>
      <c r="F52" t="s">
        <v>208</v>
      </c>
      <c r="G52" t="s">
        <v>209</v>
      </c>
      <c r="H52" t="s">
        <v>210</v>
      </c>
      <c r="I52" t="s">
        <v>211</v>
      </c>
      <c r="J52" t="s">
        <v>141</v>
      </c>
      <c r="K52" s="3">
        <v>100112753697</v>
      </c>
      <c r="L52" s="10">
        <v>40375</v>
      </c>
      <c r="M52">
        <v>6375.28</v>
      </c>
      <c r="N52" s="11">
        <v>35</v>
      </c>
      <c r="O52" s="12">
        <v>193.17</v>
      </c>
      <c r="P52" s="12">
        <v>19.99</v>
      </c>
      <c r="Q52" s="13">
        <v>489.02</v>
      </c>
      <c r="R52" s="36" t="s">
        <v>212</v>
      </c>
      <c r="S52" s="7">
        <f t="shared" si="0"/>
        <v>1</v>
      </c>
      <c r="T52" s="15" t="str">
        <f>VLOOKUP(R52,产品分类!$C$2:$D$1278,2,0)</f>
        <v>家具产品</v>
      </c>
    </row>
    <row r="53" spans="1:20">
      <c r="A53" s="8">
        <f>DATE(2012,12,31)-288</f>
        <v>40986</v>
      </c>
      <c r="B53" s="8">
        <f>DATE(2012,12,31)-288</f>
        <v>40986</v>
      </c>
      <c r="C53" s="9" t="s">
        <v>213</v>
      </c>
      <c r="D53">
        <v>10021258830</v>
      </c>
      <c r="E53" t="s">
        <v>47</v>
      </c>
      <c r="F53" t="s">
        <v>83</v>
      </c>
      <c r="G53" t="s">
        <v>84</v>
      </c>
      <c r="H53" t="s">
        <v>85</v>
      </c>
      <c r="I53" t="s">
        <v>86</v>
      </c>
      <c r="J53" t="s">
        <v>141</v>
      </c>
      <c r="K53" s="3">
        <v>100327421239</v>
      </c>
      <c r="L53" s="10">
        <v>40988</v>
      </c>
      <c r="M53">
        <v>2634.8555</v>
      </c>
      <c r="N53" s="11">
        <v>20</v>
      </c>
      <c r="O53" s="12">
        <v>155.99</v>
      </c>
      <c r="P53" s="12">
        <v>8.08</v>
      </c>
      <c r="Q53" s="13">
        <v>257.76</v>
      </c>
      <c r="R53" s="36" t="s">
        <v>214</v>
      </c>
      <c r="S53" s="7">
        <f t="shared" si="0"/>
        <v>2</v>
      </c>
      <c r="T53" s="15" t="str">
        <f>VLOOKUP(R53,产品分类!$C$2:$D$1278,2,0)</f>
        <v>办公用品</v>
      </c>
    </row>
    <row r="54" spans="1:20">
      <c r="A54" s="8">
        <f>DATE(2012,12,31)-288</f>
        <v>40986</v>
      </c>
      <c r="B54" s="8">
        <f>DATE(2012,12,31)-288</f>
        <v>40986</v>
      </c>
      <c r="C54" s="9" t="s">
        <v>213</v>
      </c>
      <c r="D54">
        <v>10021269821</v>
      </c>
      <c r="E54" t="s">
        <v>47</v>
      </c>
      <c r="F54" t="s">
        <v>61</v>
      </c>
      <c r="G54" t="s">
        <v>62</v>
      </c>
      <c r="H54" t="s">
        <v>63</v>
      </c>
      <c r="I54" t="s">
        <v>64</v>
      </c>
      <c r="J54" t="s">
        <v>141</v>
      </c>
      <c r="K54" s="3">
        <v>100132462418</v>
      </c>
      <c r="L54" s="10">
        <v>40988</v>
      </c>
      <c r="M54">
        <v>281</v>
      </c>
      <c r="N54" s="11">
        <v>46</v>
      </c>
      <c r="O54" s="12">
        <v>6.48</v>
      </c>
      <c r="P54" s="12">
        <v>10.05</v>
      </c>
      <c r="Q54" s="13">
        <v>-291.59</v>
      </c>
      <c r="R54" s="36" t="s">
        <v>215</v>
      </c>
      <c r="S54" s="7">
        <f t="shared" si="0"/>
        <v>2</v>
      </c>
      <c r="T54" s="15" t="str">
        <f>VLOOKUP(R54,产品分类!$C$2:$D$1278,2,0)</f>
        <v>数码电子</v>
      </c>
    </row>
    <row r="55" spans="1:20">
      <c r="A55" s="8">
        <f>DATE(2012,12,31)-1377</f>
        <v>39897</v>
      </c>
      <c r="B55" s="8">
        <f>DATE(2012,12,31)-1377</f>
        <v>39897</v>
      </c>
      <c r="C55" s="9" t="s">
        <v>216</v>
      </c>
      <c r="D55">
        <v>10021256651</v>
      </c>
      <c r="E55" t="s">
        <v>47</v>
      </c>
      <c r="F55" t="s">
        <v>61</v>
      </c>
      <c r="G55" t="s">
        <v>62</v>
      </c>
      <c r="H55" t="s">
        <v>63</v>
      </c>
      <c r="I55" t="s">
        <v>64</v>
      </c>
      <c r="J55" t="s">
        <v>141</v>
      </c>
      <c r="K55" s="3">
        <v>100725454785</v>
      </c>
      <c r="L55" s="10">
        <v>39899</v>
      </c>
      <c r="M55">
        <v>108.09</v>
      </c>
      <c r="N55" s="11">
        <v>20</v>
      </c>
      <c r="O55" s="12">
        <v>5.68</v>
      </c>
      <c r="P55" s="12">
        <v>1.39</v>
      </c>
      <c r="Q55" s="13">
        <v>25.76</v>
      </c>
      <c r="R55" s="36" t="s">
        <v>217</v>
      </c>
      <c r="S55" s="7">
        <f t="shared" si="0"/>
        <v>2</v>
      </c>
      <c r="T55" s="15" t="str">
        <f>VLOOKUP(R55,产品分类!$C$2:$D$1278,2,0)</f>
        <v>办公用品</v>
      </c>
    </row>
    <row r="56" spans="1:20">
      <c r="A56" s="8">
        <f>DATE(2012,12,31)-1377</f>
        <v>39897</v>
      </c>
      <c r="B56" s="8">
        <f>DATE(2012,12,31)-1377</f>
        <v>39897</v>
      </c>
      <c r="C56" s="9" t="s">
        <v>216</v>
      </c>
      <c r="D56">
        <v>10021271459</v>
      </c>
      <c r="E56" t="s">
        <v>47</v>
      </c>
      <c r="F56" t="s">
        <v>66</v>
      </c>
      <c r="G56" t="s">
        <v>67</v>
      </c>
      <c r="H56" t="s">
        <v>68</v>
      </c>
      <c r="I56" t="s">
        <v>69</v>
      </c>
      <c r="J56" t="s">
        <v>141</v>
      </c>
      <c r="K56" s="3">
        <v>100732759095</v>
      </c>
      <c r="L56" s="10">
        <v>39899</v>
      </c>
      <c r="M56">
        <v>55.34</v>
      </c>
      <c r="N56" s="11">
        <v>2</v>
      </c>
      <c r="O56" s="12">
        <v>22.84</v>
      </c>
      <c r="P56" s="12">
        <v>11.54</v>
      </c>
      <c r="Q56" s="13">
        <v>-31.24</v>
      </c>
      <c r="R56" s="36" t="s">
        <v>218</v>
      </c>
      <c r="S56" s="7">
        <f t="shared" si="0"/>
        <v>2</v>
      </c>
      <c r="T56" s="15" t="str">
        <f>VLOOKUP(R56,产品分类!$C$2:$D$1278,2,0)</f>
        <v>数码电子</v>
      </c>
    </row>
    <row r="57" spans="1:20">
      <c r="A57" s="8">
        <f>DATE(2012,12,31)-287</f>
        <v>40987</v>
      </c>
      <c r="B57" s="8">
        <f>DATE(2012,12,31)-287</f>
        <v>40987</v>
      </c>
      <c r="C57" s="9" t="s">
        <v>219</v>
      </c>
      <c r="D57">
        <v>10021276528</v>
      </c>
      <c r="E57" t="s">
        <v>47</v>
      </c>
      <c r="F57" t="s">
        <v>177</v>
      </c>
      <c r="G57" t="s">
        <v>178</v>
      </c>
      <c r="H57" t="s">
        <v>179</v>
      </c>
      <c r="I57" t="s">
        <v>180</v>
      </c>
      <c r="J57" t="s">
        <v>141</v>
      </c>
      <c r="K57" s="3">
        <v>10033051579</v>
      </c>
      <c r="L57" s="10">
        <v>40989</v>
      </c>
      <c r="M57">
        <v>3872.634</v>
      </c>
      <c r="N57" s="11">
        <v>25</v>
      </c>
      <c r="O57" s="12">
        <v>179.99</v>
      </c>
      <c r="P57" s="12">
        <v>13.99</v>
      </c>
      <c r="Q57" s="13">
        <v>667.332</v>
      </c>
      <c r="R57" s="36" t="s">
        <v>220</v>
      </c>
      <c r="S57" s="7">
        <f t="shared" si="0"/>
        <v>2</v>
      </c>
      <c r="T57" s="15" t="str">
        <f>VLOOKUP(R57,产品分类!$C$2:$D$1278,2,0)</f>
        <v>办公用品</v>
      </c>
    </row>
    <row r="58" spans="1:20">
      <c r="A58" s="8">
        <f>DATE(2012,12,31)-807</f>
        <v>40467</v>
      </c>
      <c r="B58" s="8">
        <f>DATE(2012,12,31)-807</f>
        <v>40467</v>
      </c>
      <c r="C58" s="9" t="s">
        <v>113</v>
      </c>
      <c r="D58">
        <v>10021276096</v>
      </c>
      <c r="E58" t="s">
        <v>47</v>
      </c>
      <c r="F58" t="s">
        <v>102</v>
      </c>
      <c r="G58" t="s">
        <v>103</v>
      </c>
      <c r="H58" t="s">
        <v>104</v>
      </c>
      <c r="I58" t="s">
        <v>105</v>
      </c>
      <c r="J58" t="s">
        <v>141</v>
      </c>
      <c r="K58" s="3">
        <v>100115796507</v>
      </c>
      <c r="L58" s="10">
        <v>40471</v>
      </c>
      <c r="M58">
        <v>884.1275</v>
      </c>
      <c r="N58" s="11">
        <v>9</v>
      </c>
      <c r="O58" s="12">
        <v>115.99</v>
      </c>
      <c r="P58" s="12">
        <v>4.23</v>
      </c>
      <c r="Q58" s="13">
        <v>-178.706</v>
      </c>
      <c r="R58" s="36" t="s">
        <v>221</v>
      </c>
      <c r="S58" s="7">
        <f t="shared" si="0"/>
        <v>4</v>
      </c>
      <c r="T58" s="15" t="str">
        <f>VLOOKUP(R58,产品分类!$C$2:$D$1278,2,0)</f>
        <v>办公用品</v>
      </c>
    </row>
    <row r="59" spans="1:20">
      <c r="A59" s="8">
        <f>DATE(2012,12,31)-577</f>
        <v>40697</v>
      </c>
      <c r="B59" s="8">
        <f>DATE(2012,12,31)-577</f>
        <v>40697</v>
      </c>
      <c r="C59" s="9" t="s">
        <v>222</v>
      </c>
      <c r="D59">
        <v>10021250197</v>
      </c>
      <c r="E59" t="s">
        <v>47</v>
      </c>
      <c r="F59" t="s">
        <v>66</v>
      </c>
      <c r="G59" t="s">
        <v>67</v>
      </c>
      <c r="H59" t="s">
        <v>68</v>
      </c>
      <c r="I59" t="s">
        <v>69</v>
      </c>
      <c r="J59" t="s">
        <v>141</v>
      </c>
      <c r="K59" s="3">
        <v>10095769111</v>
      </c>
      <c r="L59" s="10">
        <v>40698</v>
      </c>
      <c r="M59">
        <v>218.27</v>
      </c>
      <c r="N59" s="11">
        <v>34</v>
      </c>
      <c r="O59" s="12">
        <v>5.99</v>
      </c>
      <c r="P59" s="12">
        <v>4.92</v>
      </c>
      <c r="Q59" s="13">
        <v>-44.137</v>
      </c>
      <c r="R59" s="36" t="s">
        <v>223</v>
      </c>
      <c r="S59" s="7">
        <f t="shared" si="0"/>
        <v>1</v>
      </c>
      <c r="T59" s="15" t="str">
        <f>VLOOKUP(R59,产品分类!$C$2:$D$1278,2,0)</f>
        <v>办公用品</v>
      </c>
    </row>
    <row r="60" spans="1:20">
      <c r="A60" s="8">
        <f>DATE(2012,12,31)-577</f>
        <v>40697</v>
      </c>
      <c r="B60" s="8">
        <f>DATE(2012,12,31)-577</f>
        <v>40697</v>
      </c>
      <c r="C60" s="9" t="s">
        <v>222</v>
      </c>
      <c r="D60">
        <v>10021265047</v>
      </c>
      <c r="E60" t="s">
        <v>47</v>
      </c>
      <c r="F60" t="s">
        <v>66</v>
      </c>
      <c r="G60" t="s">
        <v>67</v>
      </c>
      <c r="H60" t="s">
        <v>68</v>
      </c>
      <c r="I60" t="s">
        <v>69</v>
      </c>
      <c r="J60" t="s">
        <v>141</v>
      </c>
      <c r="K60" s="3">
        <v>100931259001</v>
      </c>
      <c r="L60" s="10">
        <v>40698</v>
      </c>
      <c r="M60">
        <v>100.95</v>
      </c>
      <c r="N60" s="11">
        <v>17</v>
      </c>
      <c r="O60" s="12">
        <v>5.81</v>
      </c>
      <c r="P60" s="12">
        <v>3.37</v>
      </c>
      <c r="Q60" s="13">
        <v>-21.3</v>
      </c>
      <c r="R60" s="36" t="s">
        <v>224</v>
      </c>
      <c r="S60" s="7">
        <f t="shared" si="0"/>
        <v>1</v>
      </c>
      <c r="T60" s="15" t="str">
        <f>VLOOKUP(R60,产品分类!$C$2:$D$1278,2,0)</f>
        <v>办公用品</v>
      </c>
    </row>
    <row r="61" spans="1:20">
      <c r="A61" s="8">
        <f>DATE(2012,12,31)-732</f>
        <v>40542</v>
      </c>
      <c r="B61" s="8">
        <f>DATE(2012,12,31)-732</f>
        <v>40542</v>
      </c>
      <c r="C61" s="9" t="s">
        <v>225</v>
      </c>
      <c r="D61">
        <v>10021251944</v>
      </c>
      <c r="E61" t="s">
        <v>47</v>
      </c>
      <c r="F61" t="s">
        <v>152</v>
      </c>
      <c r="G61" t="s">
        <v>153</v>
      </c>
      <c r="H61" t="s">
        <v>154</v>
      </c>
      <c r="I61" t="s">
        <v>155</v>
      </c>
      <c r="J61" t="s">
        <v>141</v>
      </c>
      <c r="K61" s="3">
        <v>100115275596</v>
      </c>
      <c r="L61" s="10">
        <v>40634</v>
      </c>
      <c r="M61">
        <v>46.94</v>
      </c>
      <c r="N61" s="11">
        <v>21</v>
      </c>
      <c r="O61" s="12">
        <v>2.21</v>
      </c>
      <c r="P61" s="12">
        <v>1</v>
      </c>
      <c r="Q61" s="13">
        <v>3.88</v>
      </c>
      <c r="R61" s="36" t="s">
        <v>226</v>
      </c>
      <c r="S61" s="7">
        <f t="shared" si="0"/>
        <v>92</v>
      </c>
      <c r="T61" s="15" t="str">
        <f>VLOOKUP(R61,产品分类!$C$2:$D$1278,2,0)</f>
        <v>家具产品</v>
      </c>
    </row>
    <row r="62" spans="1:20">
      <c r="A62" s="8">
        <f>DATE(2012,12,31)-1297</f>
        <v>39977</v>
      </c>
      <c r="B62" s="8">
        <f>DATE(2012,12,31)-1297</f>
        <v>39977</v>
      </c>
      <c r="C62" s="9" t="s">
        <v>227</v>
      </c>
      <c r="D62">
        <v>10021268757</v>
      </c>
      <c r="E62" t="s">
        <v>47</v>
      </c>
      <c r="F62" t="s">
        <v>78</v>
      </c>
      <c r="G62" t="s">
        <v>79</v>
      </c>
      <c r="H62" t="s">
        <v>80</v>
      </c>
      <c r="I62" t="s">
        <v>81</v>
      </c>
      <c r="J62" t="s">
        <v>141</v>
      </c>
      <c r="K62" s="3">
        <v>100432413773</v>
      </c>
      <c r="L62" s="10">
        <v>39982</v>
      </c>
      <c r="M62">
        <v>1239.6315</v>
      </c>
      <c r="N62" s="11">
        <v>16</v>
      </c>
      <c r="O62" s="12">
        <v>85.99</v>
      </c>
      <c r="P62" s="12">
        <v>0.99</v>
      </c>
      <c r="Q62" s="13">
        <v>-172.546</v>
      </c>
      <c r="R62" s="36" t="s">
        <v>228</v>
      </c>
      <c r="S62" s="7">
        <f t="shared" si="0"/>
        <v>5</v>
      </c>
      <c r="T62" s="15" t="str">
        <f>VLOOKUP(R62,产品分类!$C$2:$D$1278,2,0)</f>
        <v>数码电子</v>
      </c>
    </row>
    <row r="63" spans="1:20">
      <c r="A63" s="8">
        <f>DATE(2012,12,31)-834</f>
        <v>40440</v>
      </c>
      <c r="B63" s="8">
        <f>DATE(2012,12,31)-834</f>
        <v>40440</v>
      </c>
      <c r="C63" s="9" t="s">
        <v>229</v>
      </c>
      <c r="D63">
        <v>10021253387</v>
      </c>
      <c r="E63" t="s">
        <v>47</v>
      </c>
      <c r="F63" t="s">
        <v>230</v>
      </c>
      <c r="G63" t="s">
        <v>231</v>
      </c>
      <c r="H63" t="s">
        <v>232</v>
      </c>
      <c r="I63" t="s">
        <v>233</v>
      </c>
      <c r="J63" t="s">
        <v>141</v>
      </c>
      <c r="K63" s="3">
        <v>100419033004</v>
      </c>
      <c r="L63" s="10">
        <v>40442</v>
      </c>
      <c r="M63">
        <v>1640.9</v>
      </c>
      <c r="N63" s="11">
        <v>33</v>
      </c>
      <c r="O63" s="12">
        <v>48.58</v>
      </c>
      <c r="P63" s="12">
        <v>54.11</v>
      </c>
      <c r="Q63" s="13">
        <v>-1348.06</v>
      </c>
      <c r="R63" s="36" t="s">
        <v>234</v>
      </c>
      <c r="S63" s="7">
        <f t="shared" si="0"/>
        <v>2</v>
      </c>
      <c r="T63" s="15" t="str">
        <f>VLOOKUP(R63,产品分类!$C$2:$D$1278,2,0)</f>
        <v>家具产品</v>
      </c>
    </row>
    <row r="64" spans="1:20">
      <c r="A64" s="8">
        <f>DATE(2012,12,31)-834</f>
        <v>40440</v>
      </c>
      <c r="B64" s="8">
        <f>DATE(2012,12,31)-834</f>
        <v>40440</v>
      </c>
      <c r="C64" s="9" t="s">
        <v>229</v>
      </c>
      <c r="D64">
        <v>10021248976</v>
      </c>
      <c r="E64" t="s">
        <v>47</v>
      </c>
      <c r="F64" t="s">
        <v>55</v>
      </c>
      <c r="G64" t="s">
        <v>56</v>
      </c>
      <c r="H64" t="s">
        <v>57</v>
      </c>
      <c r="I64" t="s">
        <v>58</v>
      </c>
      <c r="J64" t="s">
        <v>141</v>
      </c>
      <c r="K64" s="3">
        <v>10038125419</v>
      </c>
      <c r="L64" s="10">
        <v>40440</v>
      </c>
      <c r="M64">
        <v>1235.87</v>
      </c>
      <c r="N64" s="11">
        <v>33</v>
      </c>
      <c r="O64" s="12">
        <v>39.48</v>
      </c>
      <c r="P64" s="12">
        <v>1.99</v>
      </c>
      <c r="Q64" s="13">
        <v>269.27</v>
      </c>
      <c r="R64" s="36" t="s">
        <v>235</v>
      </c>
      <c r="S64" s="7">
        <f t="shared" si="0"/>
        <v>0</v>
      </c>
      <c r="T64" s="15" t="str">
        <f>VLOOKUP(R64,产品分类!$C$2:$D$1278,2,0)</f>
        <v>办公用品</v>
      </c>
    </row>
    <row r="65" spans="1:20">
      <c r="A65" s="8">
        <f>DATE(2012,12,31)-1109</f>
        <v>40165</v>
      </c>
      <c r="B65" s="8">
        <f>DATE(2012,12,31)-1109</f>
        <v>40165</v>
      </c>
      <c r="C65" s="9" t="s">
        <v>236</v>
      </c>
      <c r="D65">
        <v>10021250757</v>
      </c>
      <c r="E65" t="s">
        <v>47</v>
      </c>
      <c r="F65" t="s">
        <v>91</v>
      </c>
      <c r="G65" t="s">
        <v>92</v>
      </c>
      <c r="H65" t="s">
        <v>93</v>
      </c>
      <c r="I65" t="s">
        <v>94</v>
      </c>
      <c r="J65" t="s">
        <v>141</v>
      </c>
      <c r="K65" s="3">
        <v>100914358451</v>
      </c>
      <c r="L65" s="10">
        <v>40166</v>
      </c>
      <c r="M65">
        <v>3659.66</v>
      </c>
      <c r="N65" s="11">
        <v>30</v>
      </c>
      <c r="O65" s="12">
        <v>124.49</v>
      </c>
      <c r="P65" s="12">
        <v>51.94</v>
      </c>
      <c r="Q65" s="13">
        <v>-500.38</v>
      </c>
      <c r="R65" s="36" t="s">
        <v>237</v>
      </c>
      <c r="S65" s="7">
        <f t="shared" si="0"/>
        <v>1</v>
      </c>
      <c r="T65" s="15" t="str">
        <f>VLOOKUP(R65,产品分类!$C$2:$D$1278,2,0)</f>
        <v>数码电子</v>
      </c>
    </row>
    <row r="66" spans="1:20">
      <c r="A66" s="8">
        <f>DATE(2012,12,31)-304</f>
        <v>40970</v>
      </c>
      <c r="B66" s="8">
        <f>DATE(2012,12,31)-304</f>
        <v>40970</v>
      </c>
      <c r="C66" s="9" t="s">
        <v>238</v>
      </c>
      <c r="D66">
        <v>10021261225</v>
      </c>
      <c r="E66" t="s">
        <v>47</v>
      </c>
      <c r="F66" t="s">
        <v>55</v>
      </c>
      <c r="G66" t="s">
        <v>56</v>
      </c>
      <c r="H66" t="s">
        <v>57</v>
      </c>
      <c r="I66" t="s">
        <v>58</v>
      </c>
      <c r="J66" t="s">
        <v>141</v>
      </c>
      <c r="K66" s="3">
        <v>100929214011</v>
      </c>
      <c r="L66" s="10">
        <v>40977</v>
      </c>
      <c r="M66">
        <v>7666.04</v>
      </c>
      <c r="N66" s="11">
        <v>50</v>
      </c>
      <c r="O66" s="12">
        <v>146.05</v>
      </c>
      <c r="P66" s="12">
        <v>80.2</v>
      </c>
      <c r="Q66" s="13">
        <v>-1820.84</v>
      </c>
      <c r="R66" s="36" t="s">
        <v>239</v>
      </c>
      <c r="S66" s="7">
        <f t="shared" si="0"/>
        <v>7</v>
      </c>
      <c r="T66" s="15" t="str">
        <f>VLOOKUP(R66,产品分类!$C$2:$D$1278,2,0)</f>
        <v>办公用品</v>
      </c>
    </row>
    <row r="67" spans="1:20">
      <c r="A67" s="16">
        <f>DATE(2012,12,31)-707</f>
        <v>40567</v>
      </c>
      <c r="B67" s="16">
        <f>DATE(2012,12,31)-707</f>
        <v>40567</v>
      </c>
      <c r="C67" s="9" t="s">
        <v>240</v>
      </c>
      <c r="D67">
        <v>10021256121</v>
      </c>
      <c r="E67" t="s">
        <v>47</v>
      </c>
      <c r="F67" t="s">
        <v>91</v>
      </c>
      <c r="G67" t="s">
        <v>92</v>
      </c>
      <c r="H67" t="s">
        <v>93</v>
      </c>
      <c r="I67" t="s">
        <v>94</v>
      </c>
      <c r="J67" t="s">
        <v>141</v>
      </c>
      <c r="K67" s="3">
        <v>10031867729</v>
      </c>
      <c r="L67" s="10">
        <v>40569</v>
      </c>
      <c r="M67">
        <v>14.96</v>
      </c>
      <c r="N67" s="17">
        <v>4</v>
      </c>
      <c r="O67" s="5">
        <v>3.69</v>
      </c>
      <c r="P67" s="5">
        <v>0.5</v>
      </c>
      <c r="Q67" s="6">
        <v>-0.0300000000000002</v>
      </c>
      <c r="R67" s="37" t="s">
        <v>241</v>
      </c>
      <c r="S67" s="7">
        <f t="shared" ref="S67:S130" si="5">+L67-B67</f>
        <v>2</v>
      </c>
      <c r="T67" s="15" t="str">
        <f>VLOOKUP(R67,产品分类!$C$2:$D$1278,2,0)</f>
        <v>数码电子</v>
      </c>
    </row>
    <row r="68" spans="1:20">
      <c r="A68" s="16">
        <f>DATE(2012,12,31)-707</f>
        <v>40567</v>
      </c>
      <c r="B68" s="16">
        <f>DATE(2012,12,31)-707</f>
        <v>40567</v>
      </c>
      <c r="C68" s="9" t="s">
        <v>240</v>
      </c>
      <c r="D68">
        <v>10021249600</v>
      </c>
      <c r="E68" t="s">
        <v>47</v>
      </c>
      <c r="F68" t="s">
        <v>91</v>
      </c>
      <c r="G68" t="s">
        <v>92</v>
      </c>
      <c r="H68" t="s">
        <v>93</v>
      </c>
      <c r="I68" t="s">
        <v>94</v>
      </c>
      <c r="J68" t="s">
        <v>141</v>
      </c>
      <c r="K68" s="3">
        <v>10019948488</v>
      </c>
      <c r="L68" s="10">
        <v>40569</v>
      </c>
      <c r="M68">
        <v>15.69</v>
      </c>
      <c r="N68" s="17">
        <v>4</v>
      </c>
      <c r="O68" s="5">
        <v>3.85</v>
      </c>
      <c r="P68" s="5">
        <v>0.7</v>
      </c>
      <c r="Q68" s="6">
        <v>-1.59</v>
      </c>
      <c r="R68" s="37" t="s">
        <v>242</v>
      </c>
      <c r="S68" s="7">
        <f t="shared" si="5"/>
        <v>2</v>
      </c>
      <c r="T68" s="15" t="str">
        <f>VLOOKUP(R68,产品分类!$C$2:$D$1278,2,0)</f>
        <v>办公用品</v>
      </c>
    </row>
    <row r="69" spans="1:20">
      <c r="A69" s="8">
        <f>DATE(2012,12,31)-16</f>
        <v>41258</v>
      </c>
      <c r="B69" s="8">
        <f>DATE(2012,12,31)-16</f>
        <v>41258</v>
      </c>
      <c r="C69" s="9" t="s">
        <v>243</v>
      </c>
      <c r="D69">
        <v>10021264396</v>
      </c>
      <c r="E69" t="s">
        <v>47</v>
      </c>
      <c r="F69" t="s">
        <v>102</v>
      </c>
      <c r="G69" t="s">
        <v>103</v>
      </c>
      <c r="H69" t="s">
        <v>104</v>
      </c>
      <c r="I69" t="s">
        <v>105</v>
      </c>
      <c r="J69" t="s">
        <v>141</v>
      </c>
      <c r="K69" s="3">
        <v>100131054098</v>
      </c>
      <c r="L69" s="10">
        <v>41261</v>
      </c>
      <c r="M69">
        <v>517.93</v>
      </c>
      <c r="N69" s="11">
        <v>46</v>
      </c>
      <c r="O69" s="12">
        <v>11.7</v>
      </c>
      <c r="P69" s="12">
        <v>6.96</v>
      </c>
      <c r="Q69" s="13">
        <v>-94.73</v>
      </c>
      <c r="R69" s="36" t="s">
        <v>244</v>
      </c>
      <c r="S69" s="7">
        <f t="shared" si="5"/>
        <v>3</v>
      </c>
      <c r="T69" s="15" t="str">
        <f>VLOOKUP(R69,产品分类!$C$2:$D$1278,2,0)</f>
        <v>办公用品</v>
      </c>
    </row>
    <row r="70" spans="1:20">
      <c r="A70" s="8">
        <f>DATE(2012,12,31)-827</f>
        <v>40447</v>
      </c>
      <c r="B70" s="8">
        <f>DATE(2012,12,31)-827</f>
        <v>40447</v>
      </c>
      <c r="C70" s="9" t="s">
        <v>245</v>
      </c>
      <c r="D70">
        <v>10021267646</v>
      </c>
      <c r="E70" t="s">
        <v>47</v>
      </c>
      <c r="F70" t="s">
        <v>208</v>
      </c>
      <c r="G70" t="s">
        <v>209</v>
      </c>
      <c r="H70" t="s">
        <v>210</v>
      </c>
      <c r="I70" t="s">
        <v>211</v>
      </c>
      <c r="J70" t="s">
        <v>141</v>
      </c>
      <c r="K70" s="3">
        <v>100432103263</v>
      </c>
      <c r="L70" s="10">
        <v>40452</v>
      </c>
      <c r="M70">
        <v>1156.6715</v>
      </c>
      <c r="N70" s="11">
        <v>20</v>
      </c>
      <c r="O70" s="12">
        <v>65.99</v>
      </c>
      <c r="P70" s="12">
        <v>7.69</v>
      </c>
      <c r="Q70" s="13">
        <v>88.524</v>
      </c>
      <c r="R70" s="36" t="s">
        <v>246</v>
      </c>
      <c r="S70" s="7">
        <f t="shared" si="5"/>
        <v>5</v>
      </c>
      <c r="T70" s="15" t="str">
        <f>VLOOKUP(R70,产品分类!$C$2:$D$1278,2,0)</f>
        <v>办公用品</v>
      </c>
    </row>
    <row r="71" spans="1:20">
      <c r="A71" s="8">
        <f>DATE(2012,12,31)-1425</f>
        <v>39849</v>
      </c>
      <c r="B71" s="8">
        <f>DATE(2012,12,31)-1425</f>
        <v>39849</v>
      </c>
      <c r="C71" s="9" t="s">
        <v>247</v>
      </c>
      <c r="D71">
        <v>10021265423</v>
      </c>
      <c r="E71" t="s">
        <v>47</v>
      </c>
      <c r="F71" t="s">
        <v>171</v>
      </c>
      <c r="G71" t="s">
        <v>172</v>
      </c>
      <c r="H71" t="s">
        <v>173</v>
      </c>
      <c r="I71" t="s">
        <v>174</v>
      </c>
      <c r="J71" t="s">
        <v>141</v>
      </c>
      <c r="K71" s="3">
        <v>100431500533</v>
      </c>
      <c r="L71" s="10">
        <v>39850</v>
      </c>
      <c r="M71">
        <v>15260.78</v>
      </c>
      <c r="N71" s="11">
        <v>39</v>
      </c>
      <c r="O71" s="12">
        <v>500.98</v>
      </c>
      <c r="P71" s="12">
        <v>28.14</v>
      </c>
      <c r="Q71" s="13">
        <v>8734.88</v>
      </c>
      <c r="R71" s="36" t="s">
        <v>248</v>
      </c>
      <c r="S71" s="7">
        <f t="shared" si="5"/>
        <v>1</v>
      </c>
      <c r="T71" s="15" t="str">
        <f>VLOOKUP(R71,产品分类!$C$2:$D$1278,2,0)</f>
        <v>家具产品</v>
      </c>
    </row>
    <row r="72" spans="1:20">
      <c r="A72" s="8">
        <f>DATE(2012,12,31)-1425</f>
        <v>39849</v>
      </c>
      <c r="B72" s="8">
        <f>DATE(2012,12,31)-1425</f>
        <v>39849</v>
      </c>
      <c r="C72" s="9" t="s">
        <v>247</v>
      </c>
      <c r="D72">
        <v>10021255755</v>
      </c>
      <c r="E72" t="s">
        <v>47</v>
      </c>
      <c r="F72" t="s">
        <v>171</v>
      </c>
      <c r="G72" t="s">
        <v>172</v>
      </c>
      <c r="H72" t="s">
        <v>173</v>
      </c>
      <c r="I72" t="s">
        <v>174</v>
      </c>
      <c r="J72" t="s">
        <v>141</v>
      </c>
      <c r="K72" s="3">
        <v>100924407931</v>
      </c>
      <c r="L72" s="10">
        <v>39851</v>
      </c>
      <c r="M72">
        <v>540.41</v>
      </c>
      <c r="N72" s="11">
        <v>3</v>
      </c>
      <c r="O72" s="12">
        <v>178.47</v>
      </c>
      <c r="P72" s="12">
        <v>19.99</v>
      </c>
      <c r="Q72" s="13">
        <v>-170.98</v>
      </c>
      <c r="R72" s="36" t="s">
        <v>249</v>
      </c>
      <c r="S72" s="7">
        <f t="shared" si="5"/>
        <v>2</v>
      </c>
      <c r="T72" s="15" t="str">
        <f>VLOOKUP(R72,产品分类!$C$2:$D$1278,2,0)</f>
        <v>办公用品</v>
      </c>
    </row>
    <row r="73" spans="1:20">
      <c r="A73" s="8">
        <f>DATE(2012,12,31)-428</f>
        <v>40846</v>
      </c>
      <c r="B73" s="8">
        <f>DATE(2012,12,31)-428</f>
        <v>40846</v>
      </c>
      <c r="C73" s="9" t="s">
        <v>250</v>
      </c>
      <c r="D73">
        <v>10021261766</v>
      </c>
      <c r="E73" t="s">
        <v>47</v>
      </c>
      <c r="F73" t="s">
        <v>167</v>
      </c>
      <c r="G73" t="s">
        <v>168</v>
      </c>
      <c r="H73" t="s">
        <v>169</v>
      </c>
      <c r="I73" t="s">
        <v>168</v>
      </c>
      <c r="J73" t="s">
        <v>141</v>
      </c>
      <c r="K73" s="3">
        <v>100929719751</v>
      </c>
      <c r="L73" s="10">
        <v>40846</v>
      </c>
      <c r="M73">
        <v>43.29</v>
      </c>
      <c r="N73" s="11">
        <v>8</v>
      </c>
      <c r="O73" s="12">
        <v>4.98</v>
      </c>
      <c r="P73" s="12">
        <v>4.86</v>
      </c>
      <c r="Q73" s="13">
        <v>-20.69</v>
      </c>
      <c r="R73" s="36" t="s">
        <v>251</v>
      </c>
      <c r="S73" s="7">
        <f t="shared" si="5"/>
        <v>0</v>
      </c>
      <c r="T73" s="15" t="str">
        <f>VLOOKUP(R73,产品分类!$C$2:$D$1278,2,0)</f>
        <v>办公用品</v>
      </c>
    </row>
    <row r="74" spans="1:20">
      <c r="A74" s="8">
        <f>DATE(2012,12,31)-428</f>
        <v>40846</v>
      </c>
      <c r="B74" s="8">
        <f>DATE(2012,12,31)-428</f>
        <v>40846</v>
      </c>
      <c r="C74" s="9" t="s">
        <v>250</v>
      </c>
      <c r="D74">
        <v>10021266102</v>
      </c>
      <c r="E74" t="s">
        <v>47</v>
      </c>
      <c r="F74" t="s">
        <v>177</v>
      </c>
      <c r="G74" t="s">
        <v>178</v>
      </c>
      <c r="H74" t="s">
        <v>179</v>
      </c>
      <c r="I74" t="s">
        <v>180</v>
      </c>
      <c r="J74" t="s">
        <v>141</v>
      </c>
      <c r="K74" s="3">
        <v>100731758745</v>
      </c>
      <c r="L74" s="10">
        <v>40848</v>
      </c>
      <c r="M74">
        <v>41.7</v>
      </c>
      <c r="N74" s="11">
        <v>6</v>
      </c>
      <c r="O74" s="12">
        <v>5.78</v>
      </c>
      <c r="P74" s="12">
        <v>5.37</v>
      </c>
      <c r="Q74" s="13">
        <v>-14.56</v>
      </c>
      <c r="R74" s="36" t="s">
        <v>252</v>
      </c>
      <c r="S74" s="7">
        <f t="shared" si="5"/>
        <v>2</v>
      </c>
      <c r="T74" s="15" t="str">
        <f>VLOOKUP(R74,产品分类!$C$2:$D$1278,2,0)</f>
        <v>办公用品</v>
      </c>
    </row>
    <row r="75" spans="1:20">
      <c r="A75" s="8">
        <f>DATE(2012,12,31)-499</f>
        <v>40775</v>
      </c>
      <c r="B75" s="8">
        <f>DATE(2012,12,31)-499</f>
        <v>40775</v>
      </c>
      <c r="C75" s="9" t="s">
        <v>158</v>
      </c>
      <c r="D75">
        <v>10021248282</v>
      </c>
      <c r="E75" t="s">
        <v>47</v>
      </c>
      <c r="F75" t="s">
        <v>253</v>
      </c>
      <c r="G75" t="s">
        <v>254</v>
      </c>
      <c r="H75" t="s">
        <v>255</v>
      </c>
      <c r="I75" t="s">
        <v>256</v>
      </c>
      <c r="J75" t="s">
        <v>141</v>
      </c>
      <c r="K75" s="3">
        <v>10041153523</v>
      </c>
      <c r="L75" s="10">
        <v>40777</v>
      </c>
      <c r="M75">
        <v>1162.4005</v>
      </c>
      <c r="N75" s="11">
        <v>22</v>
      </c>
      <c r="O75" s="12">
        <v>65.99</v>
      </c>
      <c r="P75" s="12">
        <v>19.99</v>
      </c>
      <c r="Q75" s="13">
        <v>-284.625</v>
      </c>
      <c r="R75" s="36" t="s">
        <v>257</v>
      </c>
      <c r="S75" s="7">
        <f t="shared" si="5"/>
        <v>2</v>
      </c>
      <c r="T75" s="15" t="str">
        <f>VLOOKUP(R75,产品分类!$C$2:$D$1278,2,0)</f>
        <v>办公用品</v>
      </c>
    </row>
    <row r="76" spans="1:20">
      <c r="A76" s="8">
        <f>DATE(2012,12,31)-531</f>
        <v>40743</v>
      </c>
      <c r="B76" s="8">
        <f>DATE(2012,12,31)-531</f>
        <v>40743</v>
      </c>
      <c r="C76" s="9" t="s">
        <v>258</v>
      </c>
      <c r="D76">
        <v>10021252147</v>
      </c>
      <c r="E76" t="s">
        <v>47</v>
      </c>
      <c r="F76" t="s">
        <v>61</v>
      </c>
      <c r="G76" t="s">
        <v>62</v>
      </c>
      <c r="H76" t="s">
        <v>63</v>
      </c>
      <c r="I76" t="s">
        <v>64</v>
      </c>
      <c r="J76" t="s">
        <v>141</v>
      </c>
      <c r="K76" s="3">
        <v>10084470122</v>
      </c>
      <c r="L76" s="10">
        <v>40745</v>
      </c>
      <c r="M76">
        <v>356.7</v>
      </c>
      <c r="N76" s="11">
        <v>45</v>
      </c>
      <c r="O76" s="12">
        <v>7.38</v>
      </c>
      <c r="P76" s="12">
        <v>5.21</v>
      </c>
      <c r="Q76" s="13">
        <v>-48.97</v>
      </c>
      <c r="R76" s="36" t="s">
        <v>163</v>
      </c>
      <c r="S76" s="7">
        <f t="shared" si="5"/>
        <v>2</v>
      </c>
      <c r="T76" s="15" t="str">
        <f>VLOOKUP(R76,产品分类!$C$2:$D$1278,2,0)</f>
        <v>家具产品</v>
      </c>
    </row>
    <row r="77" spans="1:20">
      <c r="A77" s="8">
        <f>DATE(2012,12,31)-668</f>
        <v>40606</v>
      </c>
      <c r="B77" s="8">
        <f>DATE(2012,12,31)-668</f>
        <v>40606</v>
      </c>
      <c r="C77" s="9" t="s">
        <v>259</v>
      </c>
      <c r="D77">
        <v>10021264036</v>
      </c>
      <c r="E77" t="s">
        <v>47</v>
      </c>
      <c r="F77" t="s">
        <v>83</v>
      </c>
      <c r="G77" t="s">
        <v>84</v>
      </c>
      <c r="H77" t="s">
        <v>85</v>
      </c>
      <c r="I77" t="s">
        <v>86</v>
      </c>
      <c r="J77" t="s">
        <v>141</v>
      </c>
      <c r="K77" s="3">
        <v>100830879652</v>
      </c>
      <c r="L77" s="10">
        <v>40607</v>
      </c>
      <c r="M77">
        <v>1000.78</v>
      </c>
      <c r="N77" s="11">
        <v>29</v>
      </c>
      <c r="O77" s="12">
        <v>34.58</v>
      </c>
      <c r="P77" s="12">
        <v>8.99</v>
      </c>
      <c r="Q77" s="13">
        <v>109.33</v>
      </c>
      <c r="R77" s="36" t="s">
        <v>260</v>
      </c>
      <c r="S77" s="7">
        <f t="shared" si="5"/>
        <v>1</v>
      </c>
      <c r="T77" s="15" t="str">
        <f>VLOOKUP(R77,产品分类!$C$2:$D$1278,2,0)</f>
        <v>数码电子</v>
      </c>
    </row>
    <row r="78" spans="1:20">
      <c r="A78" s="8">
        <f>DATE(2012,12,31)-668</f>
        <v>40606</v>
      </c>
      <c r="B78" s="8">
        <f>DATE(2012,12,31)-668</f>
        <v>40606</v>
      </c>
      <c r="C78" s="9" t="s">
        <v>259</v>
      </c>
      <c r="D78">
        <v>10021269416</v>
      </c>
      <c r="E78" t="s">
        <v>47</v>
      </c>
      <c r="F78" t="s">
        <v>91</v>
      </c>
      <c r="G78" t="s">
        <v>92</v>
      </c>
      <c r="H78" t="s">
        <v>93</v>
      </c>
      <c r="I78" t="s">
        <v>94</v>
      </c>
      <c r="J78" t="s">
        <v>141</v>
      </c>
      <c r="K78" s="3">
        <v>100332443969</v>
      </c>
      <c r="L78" s="10">
        <v>40608</v>
      </c>
      <c r="M78">
        <v>543.72</v>
      </c>
      <c r="N78" s="11">
        <v>35</v>
      </c>
      <c r="O78" s="12">
        <v>15.7</v>
      </c>
      <c r="P78" s="12">
        <v>11.25</v>
      </c>
      <c r="Q78" s="13">
        <v>-211.13</v>
      </c>
      <c r="R78" s="36" t="s">
        <v>261</v>
      </c>
      <c r="S78" s="7">
        <f t="shared" si="5"/>
        <v>2</v>
      </c>
      <c r="T78" s="15" t="str">
        <f>VLOOKUP(R78,产品分类!$C$2:$D$1278,2,0)</f>
        <v>家具产品</v>
      </c>
    </row>
    <row r="79" spans="1:20">
      <c r="A79" s="16">
        <f>DATE(2012,12,31)-371</f>
        <v>40903</v>
      </c>
      <c r="B79" s="16">
        <f>DATE(2012,12,31)-371</f>
        <v>40903</v>
      </c>
      <c r="C79" s="9" t="s">
        <v>262</v>
      </c>
      <c r="D79">
        <v>10021262261</v>
      </c>
      <c r="E79" t="s">
        <v>47</v>
      </c>
      <c r="F79" t="s">
        <v>91</v>
      </c>
      <c r="G79" t="s">
        <v>92</v>
      </c>
      <c r="H79" t="s">
        <v>93</v>
      </c>
      <c r="I79" t="s">
        <v>94</v>
      </c>
      <c r="J79" t="s">
        <v>141</v>
      </c>
      <c r="K79" s="3">
        <v>100829890462</v>
      </c>
      <c r="L79" s="10">
        <v>40905</v>
      </c>
      <c r="M79">
        <v>234.2</v>
      </c>
      <c r="N79" s="17">
        <v>42</v>
      </c>
      <c r="O79" s="5">
        <v>6.08</v>
      </c>
      <c r="P79" s="5">
        <v>1.82</v>
      </c>
      <c r="Q79" s="6">
        <v>56.22</v>
      </c>
      <c r="R79" s="37" t="s">
        <v>263</v>
      </c>
      <c r="S79" s="7">
        <f t="shared" si="5"/>
        <v>2</v>
      </c>
      <c r="T79" s="15" t="str">
        <f>VLOOKUP(R79,产品分类!$C$2:$D$1278,2,0)</f>
        <v>家具产品</v>
      </c>
    </row>
    <row r="80" spans="1:20">
      <c r="A80" s="8">
        <f>DATE(2012,12,31)-85</f>
        <v>41189</v>
      </c>
      <c r="B80" s="8">
        <f>DATE(2012,12,31)-85</f>
        <v>41189</v>
      </c>
      <c r="C80" s="9" t="s">
        <v>264</v>
      </c>
      <c r="D80">
        <v>10021270321</v>
      </c>
      <c r="E80" t="s">
        <v>47</v>
      </c>
      <c r="F80" t="s">
        <v>122</v>
      </c>
      <c r="G80" t="s">
        <v>123</v>
      </c>
      <c r="H80" t="s">
        <v>124</v>
      </c>
      <c r="I80" t="s">
        <v>125</v>
      </c>
      <c r="J80" t="s">
        <v>141</v>
      </c>
      <c r="K80" s="3">
        <v>100732703645</v>
      </c>
      <c r="L80" s="10">
        <v>41191</v>
      </c>
      <c r="M80">
        <v>4509.3775</v>
      </c>
      <c r="N80" s="11">
        <v>44</v>
      </c>
      <c r="O80" s="12">
        <v>115.99</v>
      </c>
      <c r="P80" s="12">
        <v>5.26</v>
      </c>
      <c r="Q80" s="13">
        <v>1426.257</v>
      </c>
      <c r="R80" s="36" t="s">
        <v>265</v>
      </c>
      <c r="S80" s="7">
        <f t="shared" si="5"/>
        <v>2</v>
      </c>
      <c r="T80" s="15" t="str">
        <f>VLOOKUP(R80,产品分类!$C$2:$D$1278,2,0)</f>
        <v>办公用品</v>
      </c>
    </row>
    <row r="81" spans="1:20">
      <c r="A81" s="8">
        <f>DATE(2012,12,31)-540</f>
        <v>40734</v>
      </c>
      <c r="B81" s="8">
        <f>DATE(2012,12,31)-540</f>
        <v>40734</v>
      </c>
      <c r="C81" s="9" t="s">
        <v>266</v>
      </c>
      <c r="D81">
        <v>10021271453</v>
      </c>
      <c r="E81" t="s">
        <v>47</v>
      </c>
      <c r="F81" t="s">
        <v>66</v>
      </c>
      <c r="G81" t="s">
        <v>67</v>
      </c>
      <c r="H81" t="s">
        <v>68</v>
      </c>
      <c r="I81" t="s">
        <v>69</v>
      </c>
      <c r="J81" t="s">
        <v>141</v>
      </c>
      <c r="K81" s="3">
        <v>100330232749</v>
      </c>
      <c r="L81" s="10">
        <v>40736</v>
      </c>
      <c r="M81">
        <v>4965.7595</v>
      </c>
      <c r="N81" s="11">
        <v>30</v>
      </c>
      <c r="O81" s="12">
        <v>195.99</v>
      </c>
      <c r="P81" s="12">
        <v>3.99</v>
      </c>
      <c r="Q81" s="13">
        <v>1198.971</v>
      </c>
      <c r="R81" s="36" t="s">
        <v>267</v>
      </c>
      <c r="S81" s="7">
        <f t="shared" si="5"/>
        <v>2</v>
      </c>
      <c r="T81" s="15" t="str">
        <f>VLOOKUP(R81,产品分类!$C$2:$D$1278,2,0)</f>
        <v>办公用品</v>
      </c>
    </row>
    <row r="82" spans="1:20">
      <c r="A82" s="8">
        <f>DATE(2012,12,31)-136</f>
        <v>41138</v>
      </c>
      <c r="B82" s="8">
        <f>DATE(2012,12,31)-136</f>
        <v>41138</v>
      </c>
      <c r="C82" s="9" t="s">
        <v>268</v>
      </c>
      <c r="D82">
        <v>10021270691</v>
      </c>
      <c r="E82" t="s">
        <v>47</v>
      </c>
      <c r="F82" t="s">
        <v>171</v>
      </c>
      <c r="G82" t="s">
        <v>172</v>
      </c>
      <c r="H82" t="s">
        <v>173</v>
      </c>
      <c r="I82" t="s">
        <v>174</v>
      </c>
      <c r="J82" t="s">
        <v>141</v>
      </c>
      <c r="K82" s="3">
        <v>10038750479</v>
      </c>
      <c r="L82" s="10">
        <v>41139</v>
      </c>
      <c r="M82">
        <v>210.4</v>
      </c>
      <c r="N82" s="11">
        <v>19</v>
      </c>
      <c r="O82" s="12">
        <v>10.89</v>
      </c>
      <c r="P82" s="12">
        <v>4.5</v>
      </c>
      <c r="Q82" s="13">
        <v>-18.96</v>
      </c>
      <c r="R82" s="36" t="s">
        <v>269</v>
      </c>
      <c r="S82" s="7">
        <f t="shared" si="5"/>
        <v>1</v>
      </c>
      <c r="T82" s="15" t="str">
        <f>VLOOKUP(R82,产品分类!$C$2:$D$1278,2,0)</f>
        <v>办公用品</v>
      </c>
    </row>
    <row r="83" spans="1:20">
      <c r="A83" s="8">
        <f>DATE(2012,12,31)-592</f>
        <v>40682</v>
      </c>
      <c r="B83" s="8">
        <f>DATE(2012,12,31)-592</f>
        <v>40682</v>
      </c>
      <c r="C83" s="9" t="s">
        <v>270</v>
      </c>
      <c r="D83">
        <v>10021264070</v>
      </c>
      <c r="E83" t="s">
        <v>47</v>
      </c>
      <c r="F83" t="s">
        <v>152</v>
      </c>
      <c r="G83" t="s">
        <v>153</v>
      </c>
      <c r="H83" t="s">
        <v>154</v>
      </c>
      <c r="I83" t="s">
        <v>155</v>
      </c>
      <c r="J83" t="s">
        <v>271</v>
      </c>
      <c r="K83" s="3">
        <v>100930882801</v>
      </c>
      <c r="L83" s="10">
        <v>40682</v>
      </c>
      <c r="M83">
        <v>1309.53</v>
      </c>
      <c r="N83" s="11">
        <v>6</v>
      </c>
      <c r="O83" s="12">
        <v>218.08</v>
      </c>
      <c r="P83" s="12">
        <v>18.06</v>
      </c>
      <c r="Q83" s="13">
        <v>19.1799999999999</v>
      </c>
      <c r="R83" s="36" t="s">
        <v>272</v>
      </c>
      <c r="S83" s="7">
        <f t="shared" si="5"/>
        <v>0</v>
      </c>
      <c r="T83" s="15" t="str">
        <f>VLOOKUP(R83,产品分类!$C$2:$D$1278,2,0)</f>
        <v>数码电子</v>
      </c>
    </row>
    <row r="84" spans="1:20">
      <c r="A84" s="8">
        <f>DATE(2012,12,31)-592</f>
        <v>40682</v>
      </c>
      <c r="B84" s="8">
        <f>DATE(2012,12,31)-592</f>
        <v>40682</v>
      </c>
      <c r="C84" s="9" t="s">
        <v>270</v>
      </c>
      <c r="D84">
        <v>10021265152</v>
      </c>
      <c r="E84" t="s">
        <v>47</v>
      </c>
      <c r="F84" t="s">
        <v>152</v>
      </c>
      <c r="G84" t="s">
        <v>153</v>
      </c>
      <c r="H84" t="s">
        <v>154</v>
      </c>
      <c r="I84" t="s">
        <v>155</v>
      </c>
      <c r="J84" t="s">
        <v>271</v>
      </c>
      <c r="K84" s="3">
        <v>100813393182</v>
      </c>
      <c r="L84" s="10">
        <v>40684</v>
      </c>
      <c r="M84">
        <v>806.37</v>
      </c>
      <c r="N84" s="11">
        <v>48</v>
      </c>
      <c r="O84" s="12">
        <v>15.42</v>
      </c>
      <c r="P84" s="12">
        <v>10.68</v>
      </c>
      <c r="Q84" s="13">
        <v>-166.4</v>
      </c>
      <c r="R84" s="36" t="s">
        <v>165</v>
      </c>
      <c r="S84" s="7">
        <f t="shared" si="5"/>
        <v>2</v>
      </c>
      <c r="T84" s="15" t="str">
        <f>VLOOKUP(R84,产品分类!$C$2:$D$1278,2,0)</f>
        <v>办公用品</v>
      </c>
    </row>
    <row r="85" spans="1:20">
      <c r="A85" s="8">
        <f>DATE(2012,12,31)-611</f>
        <v>40663</v>
      </c>
      <c r="B85" s="8">
        <f>DATE(2012,12,31)-611</f>
        <v>40663</v>
      </c>
      <c r="C85" s="9" t="s">
        <v>273</v>
      </c>
      <c r="D85">
        <v>10021254988</v>
      </c>
      <c r="E85" t="s">
        <v>47</v>
      </c>
      <c r="F85" t="s">
        <v>66</v>
      </c>
      <c r="G85" t="s">
        <v>67</v>
      </c>
      <c r="H85" t="s">
        <v>68</v>
      </c>
      <c r="I85" t="s">
        <v>69</v>
      </c>
      <c r="J85" t="s">
        <v>271</v>
      </c>
      <c r="K85" s="3">
        <v>100123419137</v>
      </c>
      <c r="L85" s="10">
        <v>40663</v>
      </c>
      <c r="M85">
        <v>5437.92</v>
      </c>
      <c r="N85" s="11">
        <v>33</v>
      </c>
      <c r="O85" s="12">
        <v>150.89</v>
      </c>
      <c r="P85" s="12">
        <v>60.2</v>
      </c>
      <c r="Q85" s="13">
        <v>-684.57</v>
      </c>
      <c r="R85" s="36" t="s">
        <v>274</v>
      </c>
      <c r="S85" s="7">
        <f t="shared" si="5"/>
        <v>0</v>
      </c>
      <c r="T85" s="15" t="str">
        <f>VLOOKUP(R85,产品分类!$C$2:$D$1278,2,0)</f>
        <v>办公用品</v>
      </c>
    </row>
    <row r="86" spans="1:20">
      <c r="A86" s="8">
        <f>DATE(2012,12,31)-856</f>
        <v>40418</v>
      </c>
      <c r="B86" s="8">
        <f>DATE(2012,12,31)-856</f>
        <v>40418</v>
      </c>
      <c r="C86" s="9" t="s">
        <v>275</v>
      </c>
      <c r="D86">
        <v>10021250424</v>
      </c>
      <c r="E86" t="s">
        <v>47</v>
      </c>
      <c r="F86" t="s">
        <v>152</v>
      </c>
      <c r="G86" t="s">
        <v>153</v>
      </c>
      <c r="H86" t="s">
        <v>154</v>
      </c>
      <c r="I86" t="s">
        <v>155</v>
      </c>
      <c r="J86" t="s">
        <v>271</v>
      </c>
      <c r="K86" s="3">
        <v>100910386741</v>
      </c>
      <c r="L86" s="10">
        <v>40420</v>
      </c>
      <c r="M86">
        <v>394.27</v>
      </c>
      <c r="N86" s="11">
        <v>19</v>
      </c>
      <c r="O86" s="12">
        <v>21.78</v>
      </c>
      <c r="P86" s="12">
        <v>5.94</v>
      </c>
      <c r="Q86" s="13">
        <v>30.94</v>
      </c>
      <c r="R86" s="36" t="s">
        <v>276</v>
      </c>
      <c r="S86" s="7">
        <f t="shared" si="5"/>
        <v>2</v>
      </c>
      <c r="T86" s="15" t="str">
        <f>VLOOKUP(R86,产品分类!$C$2:$D$1278,2,0)</f>
        <v>办公用品</v>
      </c>
    </row>
    <row r="87" spans="1:20">
      <c r="A87" s="8">
        <f>DATE(2012,12,31)-856</f>
        <v>40418</v>
      </c>
      <c r="B87" s="8">
        <f>DATE(2012,12,31)-856</f>
        <v>40418</v>
      </c>
      <c r="C87" s="9" t="s">
        <v>275</v>
      </c>
      <c r="D87">
        <v>10021260098</v>
      </c>
      <c r="E87" t="s">
        <v>47</v>
      </c>
      <c r="F87" t="s">
        <v>277</v>
      </c>
      <c r="G87" t="s">
        <v>278</v>
      </c>
      <c r="H87" t="s">
        <v>279</v>
      </c>
      <c r="I87" t="s">
        <v>280</v>
      </c>
      <c r="J87" t="s">
        <v>271</v>
      </c>
      <c r="K87" s="3">
        <v>100128553566</v>
      </c>
      <c r="L87" s="10">
        <v>40420</v>
      </c>
      <c r="M87">
        <v>146.69</v>
      </c>
      <c r="N87" s="11">
        <v>21</v>
      </c>
      <c r="O87" s="12">
        <v>6.64</v>
      </c>
      <c r="P87" s="12">
        <v>4.95</v>
      </c>
      <c r="Q87" s="13">
        <v>4.43</v>
      </c>
      <c r="R87" s="36" t="s">
        <v>281</v>
      </c>
      <c r="S87" s="7">
        <f t="shared" si="5"/>
        <v>2</v>
      </c>
      <c r="T87" s="15" t="str">
        <f>VLOOKUP(R87,产品分类!$C$2:$D$1278,2,0)</f>
        <v>数码电子</v>
      </c>
    </row>
    <row r="88" spans="1:20">
      <c r="A88" s="8">
        <f t="shared" ref="A88:B90" si="6">DATE(2012,12,31)-1198</f>
        <v>40076</v>
      </c>
      <c r="B88" s="8">
        <f t="shared" si="6"/>
        <v>40076</v>
      </c>
      <c r="C88" s="9" t="s">
        <v>282</v>
      </c>
      <c r="D88">
        <v>10021248150</v>
      </c>
      <c r="E88" t="s">
        <v>47</v>
      </c>
      <c r="F88" t="s">
        <v>91</v>
      </c>
      <c r="G88" t="s">
        <v>92</v>
      </c>
      <c r="H88" t="s">
        <v>93</v>
      </c>
      <c r="I88" t="s">
        <v>94</v>
      </c>
      <c r="J88" t="s">
        <v>271</v>
      </c>
      <c r="K88" s="3">
        <v>1003431039</v>
      </c>
      <c r="L88" s="10">
        <v>40077</v>
      </c>
      <c r="M88">
        <v>129.49</v>
      </c>
      <c r="N88" s="11">
        <v>41</v>
      </c>
      <c r="O88" s="12">
        <v>3.08</v>
      </c>
      <c r="P88" s="12">
        <v>0.99</v>
      </c>
      <c r="Q88" s="13">
        <v>36.02</v>
      </c>
      <c r="R88" s="36" t="s">
        <v>283</v>
      </c>
      <c r="S88" s="7">
        <f t="shared" si="5"/>
        <v>1</v>
      </c>
      <c r="T88" s="15" t="str">
        <f>VLOOKUP(R88,产品分类!$C$2:$D$1278,2,0)</f>
        <v>办公用品</v>
      </c>
    </row>
    <row r="89" spans="1:20">
      <c r="A89" s="8">
        <f t="shared" si="6"/>
        <v>40076</v>
      </c>
      <c r="B89" s="8">
        <f t="shared" si="6"/>
        <v>40076</v>
      </c>
      <c r="C89" s="9" t="s">
        <v>282</v>
      </c>
      <c r="D89">
        <v>10021263882</v>
      </c>
      <c r="E89" t="s">
        <v>47</v>
      </c>
      <c r="F89" t="s">
        <v>97</v>
      </c>
      <c r="G89" t="s">
        <v>98</v>
      </c>
      <c r="H89" t="s">
        <v>99</v>
      </c>
      <c r="I89" t="s">
        <v>98</v>
      </c>
      <c r="J89" t="s">
        <v>271</v>
      </c>
      <c r="K89" s="3">
        <v>100730850095</v>
      </c>
      <c r="L89" s="10">
        <v>40077</v>
      </c>
      <c r="M89">
        <v>202.95</v>
      </c>
      <c r="N89" s="11">
        <v>29</v>
      </c>
      <c r="O89" s="12">
        <v>6.48</v>
      </c>
      <c r="P89" s="12">
        <v>5.9</v>
      </c>
      <c r="Q89" s="13">
        <v>-50.64</v>
      </c>
      <c r="R89" s="36" t="s">
        <v>284</v>
      </c>
      <c r="S89" s="7">
        <f t="shared" si="5"/>
        <v>1</v>
      </c>
      <c r="T89" s="15" t="str">
        <f>VLOOKUP(R89,产品分类!$C$2:$D$1278,2,0)</f>
        <v>家具产品</v>
      </c>
    </row>
    <row r="90" spans="1:20">
      <c r="A90" s="8">
        <f t="shared" si="6"/>
        <v>40076</v>
      </c>
      <c r="B90" s="8">
        <f t="shared" si="6"/>
        <v>40076</v>
      </c>
      <c r="C90" s="9" t="s">
        <v>282</v>
      </c>
      <c r="D90">
        <v>10021248397</v>
      </c>
      <c r="E90" t="s">
        <v>47</v>
      </c>
      <c r="F90" t="s">
        <v>167</v>
      </c>
      <c r="G90" t="s">
        <v>168</v>
      </c>
      <c r="H90" t="s">
        <v>169</v>
      </c>
      <c r="I90" t="s">
        <v>168</v>
      </c>
      <c r="J90" t="s">
        <v>271</v>
      </c>
      <c r="K90" s="3">
        <v>10011873858</v>
      </c>
      <c r="L90" s="10">
        <v>40078</v>
      </c>
      <c r="M90">
        <v>2753.1925</v>
      </c>
      <c r="N90" s="11">
        <v>26</v>
      </c>
      <c r="O90" s="12">
        <v>125.99</v>
      </c>
      <c r="P90" s="12">
        <v>4.2</v>
      </c>
      <c r="Q90" s="13">
        <v>510.489</v>
      </c>
      <c r="R90" s="36" t="s">
        <v>285</v>
      </c>
      <c r="S90" s="7">
        <f t="shared" si="5"/>
        <v>2</v>
      </c>
      <c r="T90" s="15" t="str">
        <f>VLOOKUP(R90,产品分类!$C$2:$D$1278,2,0)</f>
        <v>家具产品</v>
      </c>
    </row>
    <row r="91" spans="1:20">
      <c r="A91" s="16">
        <f t="shared" ref="A91:B93" si="7">DATE(2012,12,31)-172</f>
        <v>41102</v>
      </c>
      <c r="B91" s="16">
        <f t="shared" si="7"/>
        <v>41102</v>
      </c>
      <c r="C91" s="9" t="s">
        <v>286</v>
      </c>
      <c r="D91">
        <v>10021288693</v>
      </c>
      <c r="E91" t="s">
        <v>47</v>
      </c>
      <c r="F91" t="s">
        <v>55</v>
      </c>
      <c r="G91" t="s">
        <v>56</v>
      </c>
      <c r="H91" t="s">
        <v>57</v>
      </c>
      <c r="I91" t="s">
        <v>58</v>
      </c>
      <c r="J91" t="s">
        <v>271</v>
      </c>
      <c r="K91" s="3">
        <v>100332782369</v>
      </c>
      <c r="L91" s="10">
        <v>41103</v>
      </c>
      <c r="M91">
        <v>70.24</v>
      </c>
      <c r="N91" s="17">
        <v>13</v>
      </c>
      <c r="O91" s="5">
        <v>4.98</v>
      </c>
      <c r="P91" s="5">
        <v>7.44</v>
      </c>
      <c r="Q91" s="6">
        <v>-59.75</v>
      </c>
      <c r="R91" s="37" t="s">
        <v>287</v>
      </c>
      <c r="S91" s="7">
        <f t="shared" si="5"/>
        <v>1</v>
      </c>
      <c r="T91" s="15" t="str">
        <f>VLOOKUP(R91,产品分类!$C$2:$D$1278,2,0)</f>
        <v>办公用品</v>
      </c>
    </row>
    <row r="92" spans="1:20">
      <c r="A92" s="16">
        <f t="shared" si="7"/>
        <v>41102</v>
      </c>
      <c r="B92" s="16">
        <f t="shared" si="7"/>
        <v>41102</v>
      </c>
      <c r="C92" s="9" t="s">
        <v>286</v>
      </c>
      <c r="D92">
        <v>10021261749</v>
      </c>
      <c r="E92" t="s">
        <v>47</v>
      </c>
      <c r="F92" t="s">
        <v>132</v>
      </c>
      <c r="G92" t="s">
        <v>133</v>
      </c>
      <c r="H92" t="s">
        <v>134</v>
      </c>
      <c r="I92" t="s">
        <v>133</v>
      </c>
      <c r="J92" t="s">
        <v>271</v>
      </c>
      <c r="K92" s="3">
        <v>100929718121</v>
      </c>
      <c r="L92" s="10">
        <v>41103</v>
      </c>
      <c r="M92">
        <v>40.75</v>
      </c>
      <c r="N92" s="17">
        <v>5</v>
      </c>
      <c r="O92" s="5">
        <v>6.48</v>
      </c>
      <c r="P92" s="5">
        <v>8.74</v>
      </c>
      <c r="Q92" s="6">
        <v>-27.57</v>
      </c>
      <c r="R92" s="37" t="s">
        <v>194</v>
      </c>
      <c r="S92" s="7">
        <f t="shared" si="5"/>
        <v>1</v>
      </c>
      <c r="T92" s="15" t="str">
        <f>VLOOKUP(R92,产品分类!$C$2:$D$1278,2,0)</f>
        <v>办公用品</v>
      </c>
    </row>
    <row r="93" spans="1:20">
      <c r="A93" s="16">
        <f t="shared" si="7"/>
        <v>41102</v>
      </c>
      <c r="B93" s="16">
        <f t="shared" si="7"/>
        <v>41102</v>
      </c>
      <c r="C93" s="9" t="s">
        <v>286</v>
      </c>
      <c r="D93">
        <v>10021288800</v>
      </c>
      <c r="E93" t="s">
        <v>47</v>
      </c>
      <c r="F93" t="s">
        <v>152</v>
      </c>
      <c r="G93" t="s">
        <v>153</v>
      </c>
      <c r="H93" t="s">
        <v>154</v>
      </c>
      <c r="I93" t="s">
        <v>155</v>
      </c>
      <c r="J93" t="s">
        <v>271</v>
      </c>
      <c r="K93" s="3">
        <v>100120716888</v>
      </c>
      <c r="L93" s="10">
        <v>41102</v>
      </c>
      <c r="M93">
        <v>1150.88</v>
      </c>
      <c r="N93" s="17">
        <v>30</v>
      </c>
      <c r="O93" s="5">
        <v>38.94</v>
      </c>
      <c r="P93" s="5">
        <v>35</v>
      </c>
      <c r="Q93" s="6">
        <v>-911.56</v>
      </c>
      <c r="R93" s="37" t="s">
        <v>53</v>
      </c>
      <c r="S93" s="7">
        <f t="shared" si="5"/>
        <v>0</v>
      </c>
      <c r="T93" s="15" t="str">
        <f>VLOOKUP(R93,产品分类!$C$2:$D$1278,2,0)</f>
        <v>数码电子</v>
      </c>
    </row>
    <row r="94" spans="1:20">
      <c r="A94" s="8">
        <f>DATE(2012,12,31)-518</f>
        <v>40756</v>
      </c>
      <c r="B94" s="8">
        <f>DATE(2012,12,31)-518</f>
        <v>40756</v>
      </c>
      <c r="C94" s="9" t="s">
        <v>288</v>
      </c>
      <c r="D94">
        <v>10021276686</v>
      </c>
      <c r="E94" t="s">
        <v>47</v>
      </c>
      <c r="F94" t="s">
        <v>61</v>
      </c>
      <c r="G94" t="s">
        <v>62</v>
      </c>
      <c r="H94" t="s">
        <v>63</v>
      </c>
      <c r="I94" t="s">
        <v>64</v>
      </c>
      <c r="J94" t="s">
        <v>271</v>
      </c>
      <c r="K94" s="3">
        <v>10011713288</v>
      </c>
      <c r="L94" s="10">
        <v>40758</v>
      </c>
      <c r="M94">
        <v>283.65</v>
      </c>
      <c r="N94" s="11">
        <v>38</v>
      </c>
      <c r="O94" s="12">
        <v>6.68</v>
      </c>
      <c r="P94" s="12">
        <v>5.41</v>
      </c>
      <c r="Q94" s="13">
        <v>-29.21</v>
      </c>
      <c r="R94" s="36" t="s">
        <v>289</v>
      </c>
      <c r="S94" s="7">
        <f t="shared" si="5"/>
        <v>2</v>
      </c>
      <c r="T94" s="15" t="str">
        <f>VLOOKUP(R94,产品分类!$C$2:$D$1278,2,0)</f>
        <v>办公用品</v>
      </c>
    </row>
    <row r="95" spans="1:20">
      <c r="A95" s="16">
        <f>DATE(2012,12,31)-1070</f>
        <v>40204</v>
      </c>
      <c r="B95" s="16">
        <f>DATE(2012,12,31)-1070</f>
        <v>40204</v>
      </c>
      <c r="C95" s="9" t="s">
        <v>273</v>
      </c>
      <c r="D95">
        <v>10021278668</v>
      </c>
      <c r="E95" t="s">
        <v>47</v>
      </c>
      <c r="F95" t="s">
        <v>152</v>
      </c>
      <c r="G95" t="s">
        <v>153</v>
      </c>
      <c r="H95" t="s">
        <v>154</v>
      </c>
      <c r="I95" t="s">
        <v>155</v>
      </c>
      <c r="J95" t="s">
        <v>271</v>
      </c>
      <c r="K95" s="3">
        <v>100123923056</v>
      </c>
      <c r="L95" s="10">
        <v>40206</v>
      </c>
      <c r="M95">
        <v>840.04</v>
      </c>
      <c r="N95" s="17">
        <v>47</v>
      </c>
      <c r="O95" s="5">
        <v>17.7</v>
      </c>
      <c r="P95" s="5">
        <v>9.47</v>
      </c>
      <c r="Q95" s="6">
        <v>-131.27</v>
      </c>
      <c r="R95" s="37" t="s">
        <v>290</v>
      </c>
      <c r="S95" s="7">
        <f t="shared" si="5"/>
        <v>2</v>
      </c>
      <c r="T95" s="15" t="str">
        <f>VLOOKUP(R95,产品分类!$C$2:$D$1278,2,0)</f>
        <v>办公用品</v>
      </c>
    </row>
    <row r="96" spans="1:20">
      <c r="A96" s="8">
        <f>DATE(2012,12,31)-72</f>
        <v>41202</v>
      </c>
      <c r="B96" s="8">
        <f>DATE(2012,12,31)-72</f>
        <v>41202</v>
      </c>
      <c r="C96" s="9" t="s">
        <v>291</v>
      </c>
      <c r="D96">
        <v>10021278597</v>
      </c>
      <c r="E96" t="s">
        <v>47</v>
      </c>
      <c r="F96" t="s">
        <v>78</v>
      </c>
      <c r="G96" t="s">
        <v>79</v>
      </c>
      <c r="H96" t="s">
        <v>80</v>
      </c>
      <c r="I96" t="s">
        <v>81</v>
      </c>
      <c r="J96" t="s">
        <v>271</v>
      </c>
      <c r="K96" s="3">
        <v>100111095176</v>
      </c>
      <c r="L96" s="10">
        <v>41204</v>
      </c>
      <c r="M96">
        <v>262.87</v>
      </c>
      <c r="N96" s="11">
        <v>50</v>
      </c>
      <c r="O96" s="12">
        <v>5.28</v>
      </c>
      <c r="P96" s="12">
        <v>6.26</v>
      </c>
      <c r="Q96" s="13">
        <v>-166.29</v>
      </c>
      <c r="R96" s="36" t="s">
        <v>292</v>
      </c>
      <c r="S96" s="7">
        <f t="shared" si="5"/>
        <v>2</v>
      </c>
      <c r="T96" s="15" t="str">
        <f>VLOOKUP(R96,产品分类!$C$2:$D$1278,2,0)</f>
        <v>办公用品</v>
      </c>
    </row>
    <row r="97" spans="1:20">
      <c r="A97" s="8">
        <f>DATE(2012,12,31)-72</f>
        <v>41202</v>
      </c>
      <c r="B97" s="8">
        <f>DATE(2012,12,31)-72</f>
        <v>41202</v>
      </c>
      <c r="C97" s="9" t="s">
        <v>291</v>
      </c>
      <c r="D97">
        <v>10021253057</v>
      </c>
      <c r="E97" t="s">
        <v>47</v>
      </c>
      <c r="F97" t="s">
        <v>48</v>
      </c>
      <c r="G97" t="s">
        <v>49</v>
      </c>
      <c r="H97" t="s">
        <v>50</v>
      </c>
      <c r="I97" t="s">
        <v>51</v>
      </c>
      <c r="J97" t="s">
        <v>271</v>
      </c>
      <c r="K97" s="3">
        <v>100117539276</v>
      </c>
      <c r="L97" s="10">
        <v>41204</v>
      </c>
      <c r="M97">
        <v>2531.0875</v>
      </c>
      <c r="N97" s="11">
        <v>43</v>
      </c>
      <c r="O97" s="12">
        <v>65.99</v>
      </c>
      <c r="P97" s="12">
        <v>2.5</v>
      </c>
      <c r="Q97" s="13">
        <v>881.676</v>
      </c>
      <c r="R97" s="36" t="s">
        <v>293</v>
      </c>
      <c r="S97" s="7">
        <f t="shared" si="5"/>
        <v>2</v>
      </c>
      <c r="T97" s="15" t="str">
        <f>VLOOKUP(R97,产品分类!$C$2:$D$1278,2,0)</f>
        <v>办公用品</v>
      </c>
    </row>
    <row r="98" spans="1:20">
      <c r="A98" s="8">
        <f>DATE(2012,12,31)-563</f>
        <v>40711</v>
      </c>
      <c r="B98" s="8">
        <f>DATE(2012,12,31)-563</f>
        <v>40711</v>
      </c>
      <c r="C98" s="9" t="s">
        <v>294</v>
      </c>
      <c r="D98">
        <v>10021255284</v>
      </c>
      <c r="E98" t="s">
        <v>47</v>
      </c>
      <c r="F98" t="s">
        <v>230</v>
      </c>
      <c r="G98" t="s">
        <v>231</v>
      </c>
      <c r="H98" t="s">
        <v>232</v>
      </c>
      <c r="I98" t="s">
        <v>233</v>
      </c>
      <c r="J98" t="s">
        <v>271</v>
      </c>
      <c r="K98" s="3">
        <v>100723749375</v>
      </c>
      <c r="L98" s="10">
        <v>40711</v>
      </c>
      <c r="M98">
        <v>93.54</v>
      </c>
      <c r="N98" s="11">
        <v>12</v>
      </c>
      <c r="O98" s="12">
        <v>7.3</v>
      </c>
      <c r="P98" s="12">
        <v>7.72</v>
      </c>
      <c r="Q98" s="13">
        <v>-54.0385</v>
      </c>
      <c r="R98" s="36" t="s">
        <v>295</v>
      </c>
      <c r="S98" s="7">
        <f t="shared" si="5"/>
        <v>0</v>
      </c>
      <c r="T98" s="15" t="str">
        <f>VLOOKUP(R98,产品分类!$C$2:$D$1278,2,0)</f>
        <v>办公用品</v>
      </c>
    </row>
    <row r="99" spans="1:20">
      <c r="A99" s="8">
        <f>DATE(2012,12,31)-563</f>
        <v>40711</v>
      </c>
      <c r="B99" s="8">
        <f>DATE(2012,12,31)-563</f>
        <v>40711</v>
      </c>
      <c r="C99" s="9" t="s">
        <v>294</v>
      </c>
      <c r="D99">
        <v>10021265879</v>
      </c>
      <c r="E99" t="s">
        <v>47</v>
      </c>
      <c r="F99" t="s">
        <v>230</v>
      </c>
      <c r="G99" t="s">
        <v>231</v>
      </c>
      <c r="H99" t="s">
        <v>232</v>
      </c>
      <c r="I99" t="s">
        <v>233</v>
      </c>
      <c r="J99" t="s">
        <v>271</v>
      </c>
      <c r="K99" s="3">
        <v>100131559377</v>
      </c>
      <c r="L99" s="10">
        <v>40712</v>
      </c>
      <c r="M99">
        <v>905.08</v>
      </c>
      <c r="N99" s="11">
        <v>22</v>
      </c>
      <c r="O99" s="12">
        <v>42.76</v>
      </c>
      <c r="P99" s="12">
        <v>6.22</v>
      </c>
      <c r="Q99" s="13">
        <v>127.7</v>
      </c>
      <c r="R99" s="36" t="s">
        <v>296</v>
      </c>
      <c r="S99" s="7">
        <f t="shared" si="5"/>
        <v>1</v>
      </c>
      <c r="T99" s="15" t="str">
        <f>VLOOKUP(R99,产品分类!$C$2:$D$1278,2,0)</f>
        <v>家具产品</v>
      </c>
    </row>
    <row r="100" spans="1:20">
      <c r="A100" s="8">
        <f>DATE(2012,12,31)-31</f>
        <v>41243</v>
      </c>
      <c r="B100" s="8">
        <f>DATE(2012,12,31)-31</f>
        <v>41243</v>
      </c>
      <c r="C100" s="9" t="s">
        <v>297</v>
      </c>
      <c r="D100">
        <v>10021256317</v>
      </c>
      <c r="E100" t="s">
        <v>47</v>
      </c>
      <c r="F100" t="s">
        <v>78</v>
      </c>
      <c r="G100" t="s">
        <v>79</v>
      </c>
      <c r="H100" t="s">
        <v>80</v>
      </c>
      <c r="I100" t="s">
        <v>81</v>
      </c>
      <c r="J100" t="s">
        <v>271</v>
      </c>
      <c r="K100" s="3">
        <v>100824943882</v>
      </c>
      <c r="L100" s="10">
        <v>41245</v>
      </c>
      <c r="M100">
        <v>628.22</v>
      </c>
      <c r="N100" s="11">
        <v>41</v>
      </c>
      <c r="O100" s="12">
        <v>14.34</v>
      </c>
      <c r="P100" s="12">
        <v>5</v>
      </c>
      <c r="Q100" s="13">
        <v>163.81</v>
      </c>
      <c r="R100" s="36" t="s">
        <v>298</v>
      </c>
      <c r="S100" s="7">
        <f t="shared" si="5"/>
        <v>2</v>
      </c>
      <c r="T100" s="15" t="str">
        <f>VLOOKUP(R100,产品分类!$C$2:$D$1278,2,0)</f>
        <v>办公用品</v>
      </c>
    </row>
    <row r="101" spans="1:20">
      <c r="A101" s="8">
        <f>DATE(2012,12,31)-31</f>
        <v>41243</v>
      </c>
      <c r="B101" s="8">
        <f>DATE(2012,12,31)-31</f>
        <v>41243</v>
      </c>
      <c r="C101" s="9" t="s">
        <v>297</v>
      </c>
      <c r="D101">
        <v>10021283443</v>
      </c>
      <c r="E101" t="s">
        <v>47</v>
      </c>
      <c r="F101" t="s">
        <v>230</v>
      </c>
      <c r="G101" t="s">
        <v>231</v>
      </c>
      <c r="H101" t="s">
        <v>232</v>
      </c>
      <c r="I101" t="s">
        <v>233</v>
      </c>
      <c r="J101" t="s">
        <v>271</v>
      </c>
      <c r="K101" s="3">
        <v>10016360627</v>
      </c>
      <c r="L101" s="10">
        <v>41244</v>
      </c>
      <c r="M101">
        <v>3366.1</v>
      </c>
      <c r="N101" s="11">
        <v>24</v>
      </c>
      <c r="O101" s="12">
        <v>138.75</v>
      </c>
      <c r="P101" s="12">
        <v>52.42</v>
      </c>
      <c r="Q101" s="13">
        <v>-335.317125</v>
      </c>
      <c r="R101" s="36" t="s">
        <v>299</v>
      </c>
      <c r="S101" s="7">
        <f t="shared" si="5"/>
        <v>1</v>
      </c>
      <c r="T101" s="15" t="str">
        <f>VLOOKUP(R101,产品分类!$C$2:$D$1278,2,0)</f>
        <v>家具产品</v>
      </c>
    </row>
    <row r="102" spans="1:20">
      <c r="A102" s="8">
        <f>DATE(2012,12,31)-1074</f>
        <v>40200</v>
      </c>
      <c r="B102" s="8">
        <f>DATE(2012,12,31)-1074</f>
        <v>40200</v>
      </c>
      <c r="C102" s="9" t="s">
        <v>300</v>
      </c>
      <c r="D102">
        <v>10021267065</v>
      </c>
      <c r="E102" t="s">
        <v>47</v>
      </c>
      <c r="F102" t="s">
        <v>132</v>
      </c>
      <c r="G102" t="s">
        <v>133</v>
      </c>
      <c r="H102" t="s">
        <v>134</v>
      </c>
      <c r="I102" t="s">
        <v>133</v>
      </c>
      <c r="J102" t="s">
        <v>271</v>
      </c>
      <c r="K102" s="3">
        <v>100932075581</v>
      </c>
      <c r="L102" s="10">
        <v>40201</v>
      </c>
      <c r="M102">
        <v>4913.69</v>
      </c>
      <c r="N102" s="11">
        <v>39</v>
      </c>
      <c r="O102" s="12">
        <v>120.98</v>
      </c>
      <c r="P102" s="12">
        <v>58.64</v>
      </c>
      <c r="Q102" s="13">
        <v>-1153.9</v>
      </c>
      <c r="R102" s="36" t="s">
        <v>301</v>
      </c>
      <c r="S102" s="7">
        <f t="shared" si="5"/>
        <v>1</v>
      </c>
      <c r="T102" s="15" t="str">
        <f>VLOOKUP(R102,产品分类!$C$2:$D$1278,2,0)</f>
        <v>数码电子</v>
      </c>
    </row>
    <row r="103" spans="1:20">
      <c r="A103" s="8">
        <f>DATE(2012,12,31)-1074</f>
        <v>40200</v>
      </c>
      <c r="B103" s="8">
        <f>DATE(2012,12,31)-1074</f>
        <v>40200</v>
      </c>
      <c r="C103" s="9" t="s">
        <v>300</v>
      </c>
      <c r="D103">
        <v>10021259593</v>
      </c>
      <c r="E103" t="s">
        <v>47</v>
      </c>
      <c r="F103" t="s">
        <v>132</v>
      </c>
      <c r="G103" t="s">
        <v>133</v>
      </c>
      <c r="H103" t="s">
        <v>134</v>
      </c>
      <c r="I103" t="s">
        <v>133</v>
      </c>
      <c r="J103" t="s">
        <v>271</v>
      </c>
      <c r="K103" s="3">
        <v>100927994801</v>
      </c>
      <c r="L103" s="10">
        <v>40201</v>
      </c>
      <c r="M103">
        <v>464.77</v>
      </c>
      <c r="N103" s="11">
        <v>24</v>
      </c>
      <c r="O103" s="12">
        <v>18.97</v>
      </c>
      <c r="P103" s="12">
        <v>9.54</v>
      </c>
      <c r="Q103" s="13">
        <v>29.42</v>
      </c>
      <c r="R103" s="36" t="s">
        <v>302</v>
      </c>
      <c r="S103" s="7">
        <f t="shared" si="5"/>
        <v>1</v>
      </c>
      <c r="T103" s="15" t="str">
        <f>VLOOKUP(R103,产品分类!$C$2:$D$1278,2,0)</f>
        <v>家具产品</v>
      </c>
    </row>
    <row r="104" spans="1:20">
      <c r="A104" s="8">
        <f>DATE(2012,12,31)-648</f>
        <v>40626</v>
      </c>
      <c r="B104" s="8">
        <f>DATE(2012,12,31)-648</f>
        <v>40626</v>
      </c>
      <c r="C104" s="9" t="s">
        <v>303</v>
      </c>
      <c r="D104">
        <v>10021258389</v>
      </c>
      <c r="E104" t="s">
        <v>47</v>
      </c>
      <c r="F104" t="s">
        <v>304</v>
      </c>
      <c r="G104" t="s">
        <v>305</v>
      </c>
      <c r="H104" t="s">
        <v>306</v>
      </c>
      <c r="I104" t="s">
        <v>307</v>
      </c>
      <c r="J104" t="s">
        <v>271</v>
      </c>
      <c r="K104" s="3">
        <v>100826972662</v>
      </c>
      <c r="L104" s="10">
        <v>40627</v>
      </c>
      <c r="M104">
        <v>2781.82</v>
      </c>
      <c r="N104" s="11">
        <v>21</v>
      </c>
      <c r="O104" s="12">
        <v>138.14</v>
      </c>
      <c r="P104" s="12">
        <v>35</v>
      </c>
      <c r="Q104" s="13">
        <v>-695.26</v>
      </c>
      <c r="R104" s="36" t="s">
        <v>308</v>
      </c>
      <c r="S104" s="7">
        <f t="shared" si="5"/>
        <v>1</v>
      </c>
      <c r="T104" s="15" t="str">
        <f>VLOOKUP(R104,产品分类!$C$2:$D$1278,2,0)</f>
        <v>家具产品</v>
      </c>
    </row>
    <row r="105" spans="1:20">
      <c r="A105" s="8">
        <f>DATE(2012,12,31)-245</f>
        <v>41029</v>
      </c>
      <c r="B105" s="8">
        <f>DATE(2012,12,31)-245</f>
        <v>41029</v>
      </c>
      <c r="C105" s="9" t="s">
        <v>309</v>
      </c>
      <c r="D105">
        <v>10021256129</v>
      </c>
      <c r="E105" t="s">
        <v>47</v>
      </c>
      <c r="F105" t="s">
        <v>102</v>
      </c>
      <c r="G105" t="s">
        <v>103</v>
      </c>
      <c r="H105" t="s">
        <v>104</v>
      </c>
      <c r="I105" t="s">
        <v>105</v>
      </c>
      <c r="J105" t="s">
        <v>271</v>
      </c>
      <c r="K105" s="3">
        <v>10043511703</v>
      </c>
      <c r="L105" s="10">
        <v>41030</v>
      </c>
      <c r="M105">
        <v>1679.58</v>
      </c>
      <c r="N105" s="11">
        <v>5</v>
      </c>
      <c r="O105" s="12">
        <v>320.98</v>
      </c>
      <c r="P105" s="12">
        <v>58.95</v>
      </c>
      <c r="Q105" s="13">
        <v>-171.92</v>
      </c>
      <c r="R105" s="36" t="s">
        <v>310</v>
      </c>
      <c r="S105" s="7">
        <f t="shared" si="5"/>
        <v>1</v>
      </c>
      <c r="T105" s="15" t="str">
        <f>VLOOKUP(R105,产品分类!$C$2:$D$1278,2,0)</f>
        <v>办公用品</v>
      </c>
    </row>
    <row r="106" spans="1:20">
      <c r="A106" s="16">
        <f>DATE(2012,12,31)-1125</f>
        <v>40149</v>
      </c>
      <c r="B106" s="16">
        <f>DATE(2012,12,31)-1125</f>
        <v>40149</v>
      </c>
      <c r="C106" s="9" t="s">
        <v>311</v>
      </c>
      <c r="D106">
        <v>10021281819</v>
      </c>
      <c r="E106" t="s">
        <v>47</v>
      </c>
      <c r="F106" t="s">
        <v>171</v>
      </c>
      <c r="G106" t="s">
        <v>172</v>
      </c>
      <c r="H106" t="s">
        <v>173</v>
      </c>
      <c r="I106" t="s">
        <v>174</v>
      </c>
      <c r="J106" t="s">
        <v>271</v>
      </c>
      <c r="K106" s="3">
        <v>100923700351</v>
      </c>
      <c r="L106" s="10">
        <v>40151</v>
      </c>
      <c r="M106">
        <v>557.85</v>
      </c>
      <c r="N106" s="17">
        <v>42</v>
      </c>
      <c r="O106" s="5">
        <v>12.95</v>
      </c>
      <c r="P106" s="5">
        <v>4.98</v>
      </c>
      <c r="Q106" s="6">
        <v>89.4455</v>
      </c>
      <c r="R106" s="37" t="s">
        <v>312</v>
      </c>
      <c r="S106" s="7">
        <f t="shared" si="5"/>
        <v>2</v>
      </c>
      <c r="T106" s="15" t="str">
        <f>VLOOKUP(R106,产品分类!$C$2:$D$1278,2,0)</f>
        <v>数码电子</v>
      </c>
    </row>
    <row r="107" spans="1:20">
      <c r="A107" s="8">
        <f>DATE(2012,12,31)-1136</f>
        <v>40138</v>
      </c>
      <c r="B107" s="8">
        <f>DATE(2012,12,31)-1136</f>
        <v>40138</v>
      </c>
      <c r="C107" s="9" t="s">
        <v>313</v>
      </c>
      <c r="D107">
        <v>10021253639</v>
      </c>
      <c r="E107" t="s">
        <v>47</v>
      </c>
      <c r="F107" t="s">
        <v>171</v>
      </c>
      <c r="G107" t="s">
        <v>172</v>
      </c>
      <c r="H107" t="s">
        <v>173</v>
      </c>
      <c r="I107" t="s">
        <v>174</v>
      </c>
      <c r="J107" t="s">
        <v>271</v>
      </c>
      <c r="K107" s="3">
        <v>100420204903</v>
      </c>
      <c r="L107" s="10">
        <v>40139</v>
      </c>
      <c r="M107">
        <v>173.2</v>
      </c>
      <c r="N107" s="11">
        <v>18</v>
      </c>
      <c r="O107" s="12">
        <v>9.31</v>
      </c>
      <c r="P107" s="12">
        <v>3.98</v>
      </c>
      <c r="Q107" s="13">
        <v>-10.9</v>
      </c>
      <c r="R107" s="36" t="s">
        <v>314</v>
      </c>
      <c r="S107" s="7">
        <f t="shared" si="5"/>
        <v>1</v>
      </c>
      <c r="T107" s="15" t="str">
        <f>VLOOKUP(R107,产品分类!$C$2:$D$1278,2,0)</f>
        <v>家具产品</v>
      </c>
    </row>
    <row r="108" spans="1:20">
      <c r="A108" s="8">
        <f>DATE(2012,12,31)-1039</f>
        <v>40235</v>
      </c>
      <c r="B108" s="8">
        <f>DATE(2012,12,31)-1039</f>
        <v>40235</v>
      </c>
      <c r="C108" s="9" t="s">
        <v>315</v>
      </c>
      <c r="D108">
        <v>10021250616</v>
      </c>
      <c r="E108" t="s">
        <v>47</v>
      </c>
      <c r="F108" t="s">
        <v>177</v>
      </c>
      <c r="G108" t="s">
        <v>178</v>
      </c>
      <c r="H108" t="s">
        <v>179</v>
      </c>
      <c r="I108" t="s">
        <v>180</v>
      </c>
      <c r="J108" t="s">
        <v>271</v>
      </c>
      <c r="K108" s="3">
        <v>100914048931</v>
      </c>
      <c r="L108" s="10">
        <v>40235</v>
      </c>
      <c r="M108">
        <v>228.41</v>
      </c>
      <c r="N108" s="11">
        <v>44</v>
      </c>
      <c r="O108" s="12">
        <v>4.98</v>
      </c>
      <c r="P108" s="12">
        <v>8.33</v>
      </c>
      <c r="Q108" s="13">
        <v>-226.36</v>
      </c>
      <c r="R108" s="36" t="s">
        <v>316</v>
      </c>
      <c r="S108" s="7">
        <f t="shared" si="5"/>
        <v>0</v>
      </c>
      <c r="T108" s="15" t="str">
        <f>VLOOKUP(R108,产品分类!$C$2:$D$1278,2,0)</f>
        <v>家具产品</v>
      </c>
    </row>
    <row r="109" spans="1:20">
      <c r="A109" s="8">
        <f>DATE(2012,12,31)-480</f>
        <v>40794</v>
      </c>
      <c r="B109" s="8">
        <f>DATE(2012,12,31)-480</f>
        <v>40794</v>
      </c>
      <c r="C109" s="9" t="s">
        <v>317</v>
      </c>
      <c r="D109">
        <v>10021253033</v>
      </c>
      <c r="E109" t="s">
        <v>47</v>
      </c>
      <c r="F109" t="s">
        <v>61</v>
      </c>
      <c r="G109" t="s">
        <v>62</v>
      </c>
      <c r="H109" t="s">
        <v>63</v>
      </c>
      <c r="I109" t="s">
        <v>64</v>
      </c>
      <c r="J109" t="s">
        <v>271</v>
      </c>
      <c r="K109" s="3">
        <v>100317512699</v>
      </c>
      <c r="L109" s="10">
        <v>40796</v>
      </c>
      <c r="M109">
        <v>75.14</v>
      </c>
      <c r="N109" s="11">
        <v>42</v>
      </c>
      <c r="O109" s="12">
        <v>1.76</v>
      </c>
      <c r="P109" s="12">
        <v>0.7</v>
      </c>
      <c r="Q109" s="13">
        <v>0.82</v>
      </c>
      <c r="R109" s="36" t="s">
        <v>318</v>
      </c>
      <c r="S109" s="7">
        <f t="shared" si="5"/>
        <v>2</v>
      </c>
      <c r="T109" s="15" t="str">
        <f>VLOOKUP(R109,产品分类!$C$2:$D$1278,2,0)</f>
        <v>办公用品</v>
      </c>
    </row>
    <row r="110" spans="1:20">
      <c r="A110" s="8">
        <f t="shared" ref="A110:B112" si="8">DATE(2012,12,31)-1095</f>
        <v>40179</v>
      </c>
      <c r="B110" s="8">
        <f t="shared" si="8"/>
        <v>40179</v>
      </c>
      <c r="C110" s="9" t="s">
        <v>319</v>
      </c>
      <c r="D110">
        <v>10021280785</v>
      </c>
      <c r="E110" t="s">
        <v>47</v>
      </c>
      <c r="F110" t="s">
        <v>55</v>
      </c>
      <c r="G110" t="s">
        <v>56</v>
      </c>
      <c r="H110" t="s">
        <v>57</v>
      </c>
      <c r="I110" t="s">
        <v>58</v>
      </c>
      <c r="J110" t="s">
        <v>271</v>
      </c>
      <c r="K110" s="3">
        <v>100916792951</v>
      </c>
      <c r="L110" s="10">
        <v>40183</v>
      </c>
      <c r="M110">
        <v>161.77</v>
      </c>
      <c r="N110" s="11">
        <v>42</v>
      </c>
      <c r="O110" s="12">
        <v>3.58</v>
      </c>
      <c r="P110" s="12">
        <v>5.47</v>
      </c>
      <c r="Q110" s="13">
        <v>-150.374</v>
      </c>
      <c r="R110" s="36" t="s">
        <v>320</v>
      </c>
      <c r="S110" s="7">
        <f t="shared" si="5"/>
        <v>4</v>
      </c>
      <c r="T110" s="15" t="str">
        <f>VLOOKUP(R110,产品分类!$C$2:$D$1278,2,0)</f>
        <v>办公用品</v>
      </c>
    </row>
    <row r="111" spans="1:20">
      <c r="A111" s="8">
        <f t="shared" si="8"/>
        <v>40179</v>
      </c>
      <c r="B111" s="8">
        <f t="shared" si="8"/>
        <v>40179</v>
      </c>
      <c r="C111" s="9" t="s">
        <v>319</v>
      </c>
      <c r="D111">
        <v>10021262401</v>
      </c>
      <c r="E111" t="s">
        <v>47</v>
      </c>
      <c r="F111" t="s">
        <v>55</v>
      </c>
      <c r="G111" t="s">
        <v>56</v>
      </c>
      <c r="H111" t="s">
        <v>57</v>
      </c>
      <c r="I111" t="s">
        <v>58</v>
      </c>
      <c r="J111" t="s">
        <v>271</v>
      </c>
      <c r="K111" s="3">
        <v>100130068337</v>
      </c>
      <c r="L111" s="10">
        <v>40181</v>
      </c>
      <c r="M111">
        <v>447.09</v>
      </c>
      <c r="N111" s="11">
        <v>11</v>
      </c>
      <c r="O111" s="12">
        <v>41.32</v>
      </c>
      <c r="P111" s="12">
        <v>8.66</v>
      </c>
      <c r="Q111" s="13">
        <v>89.03</v>
      </c>
      <c r="R111" s="36" t="s">
        <v>321</v>
      </c>
      <c r="S111" s="7">
        <f t="shared" si="5"/>
        <v>2</v>
      </c>
      <c r="T111" s="15" t="str">
        <f>VLOOKUP(R111,产品分类!$C$2:$D$1278,2,0)</f>
        <v>数码电子</v>
      </c>
    </row>
    <row r="112" spans="1:20">
      <c r="A112" s="8">
        <f t="shared" si="8"/>
        <v>40179</v>
      </c>
      <c r="B112" s="8">
        <f t="shared" si="8"/>
        <v>40179</v>
      </c>
      <c r="C112" s="9" t="s">
        <v>319</v>
      </c>
      <c r="D112">
        <v>10021264823</v>
      </c>
      <c r="E112" t="s">
        <v>47</v>
      </c>
      <c r="F112" t="s">
        <v>304</v>
      </c>
      <c r="G112" t="s">
        <v>305</v>
      </c>
      <c r="H112" t="s">
        <v>306</v>
      </c>
      <c r="I112" t="s">
        <v>307</v>
      </c>
      <c r="J112" t="s">
        <v>271</v>
      </c>
      <c r="K112" s="3">
        <v>100431229544</v>
      </c>
      <c r="L112" s="10">
        <v>40183</v>
      </c>
      <c r="M112">
        <v>4192.88</v>
      </c>
      <c r="N112" s="11">
        <v>29</v>
      </c>
      <c r="O112" s="12">
        <v>145.45</v>
      </c>
      <c r="P112" s="12">
        <v>17.85</v>
      </c>
      <c r="Q112" s="13">
        <v>731.32</v>
      </c>
      <c r="R112" s="36" t="s">
        <v>322</v>
      </c>
      <c r="S112" s="7">
        <f t="shared" si="5"/>
        <v>4</v>
      </c>
      <c r="T112" s="15" t="str">
        <f>VLOOKUP(R112,产品分类!$C$2:$D$1278,2,0)</f>
        <v>家具产品</v>
      </c>
    </row>
    <row r="113" spans="1:20">
      <c r="A113" s="8">
        <f>DATE(2012,12,31)-1036</f>
        <v>40238</v>
      </c>
      <c r="B113" s="8">
        <f>DATE(2012,12,31)-1036</f>
        <v>40238</v>
      </c>
      <c r="C113" s="9" t="s">
        <v>323</v>
      </c>
      <c r="D113">
        <v>10021274224</v>
      </c>
      <c r="E113" t="s">
        <v>47</v>
      </c>
      <c r="F113" t="s">
        <v>114</v>
      </c>
      <c r="G113" t="s">
        <v>115</v>
      </c>
      <c r="H113" t="s">
        <v>116</v>
      </c>
      <c r="I113" t="s">
        <v>117</v>
      </c>
      <c r="J113" t="s">
        <v>271</v>
      </c>
      <c r="K113" s="3">
        <v>100131146906</v>
      </c>
      <c r="L113" s="10">
        <v>40240</v>
      </c>
      <c r="M113">
        <v>560.51</v>
      </c>
      <c r="N113" s="11">
        <v>7</v>
      </c>
      <c r="O113" s="12">
        <v>80.98</v>
      </c>
      <c r="P113" s="12">
        <v>4.5</v>
      </c>
      <c r="Q113" s="13">
        <v>32.6</v>
      </c>
      <c r="R113" s="36" t="s">
        <v>324</v>
      </c>
      <c r="S113" s="7">
        <f t="shared" si="5"/>
        <v>2</v>
      </c>
      <c r="T113" s="15" t="str">
        <f>VLOOKUP(R113,产品分类!$C$2:$D$1278,2,0)</f>
        <v>办公用品</v>
      </c>
    </row>
    <row r="114" spans="1:20">
      <c r="A114" s="8">
        <f>DATE(2012,12,31)-1036</f>
        <v>40238</v>
      </c>
      <c r="B114" s="8">
        <f>DATE(2012,12,31)-1036</f>
        <v>40238</v>
      </c>
      <c r="C114" s="9" t="s">
        <v>323</v>
      </c>
      <c r="D114">
        <v>10021278347</v>
      </c>
      <c r="E114" t="s">
        <v>47</v>
      </c>
      <c r="F114" t="s">
        <v>91</v>
      </c>
      <c r="G114" t="s">
        <v>92</v>
      </c>
      <c r="H114" t="s">
        <v>93</v>
      </c>
      <c r="I114" t="s">
        <v>94</v>
      </c>
      <c r="J114" t="s">
        <v>271</v>
      </c>
      <c r="K114" s="3">
        <v>100422956033</v>
      </c>
      <c r="L114" s="10">
        <v>40239</v>
      </c>
      <c r="M114">
        <v>189.95</v>
      </c>
      <c r="N114" s="11">
        <v>31</v>
      </c>
      <c r="O114" s="12">
        <v>6.48</v>
      </c>
      <c r="P114" s="12">
        <v>5.14</v>
      </c>
      <c r="Q114" s="13">
        <v>-56.68</v>
      </c>
      <c r="R114" s="36" t="s">
        <v>325</v>
      </c>
      <c r="S114" s="7">
        <f t="shared" si="5"/>
        <v>1</v>
      </c>
      <c r="T114" s="15" t="str">
        <f>VLOOKUP(R114,产品分类!$C$2:$D$1278,2,0)</f>
        <v>数码电子</v>
      </c>
    </row>
    <row r="115" spans="1:20">
      <c r="A115" s="8">
        <f>DATE(2012,12,31)-535</f>
        <v>40739</v>
      </c>
      <c r="B115" s="8">
        <f>DATE(2012,12,31)-535</f>
        <v>40739</v>
      </c>
      <c r="C115" s="9" t="s">
        <v>326</v>
      </c>
      <c r="D115">
        <v>10021276180</v>
      </c>
      <c r="E115" t="s">
        <v>47</v>
      </c>
      <c r="F115" t="s">
        <v>304</v>
      </c>
      <c r="G115" t="s">
        <v>305</v>
      </c>
      <c r="H115" t="s">
        <v>306</v>
      </c>
      <c r="I115" t="s">
        <v>307</v>
      </c>
      <c r="J115" t="s">
        <v>271</v>
      </c>
      <c r="K115" s="3">
        <v>100411589204</v>
      </c>
      <c r="L115" s="10">
        <v>40739</v>
      </c>
      <c r="M115">
        <v>28.01</v>
      </c>
      <c r="N115" s="11">
        <v>6</v>
      </c>
      <c r="O115" s="12">
        <v>4.98</v>
      </c>
      <c r="P115" s="12">
        <v>0.49</v>
      </c>
      <c r="Q115" s="13">
        <v>3.46</v>
      </c>
      <c r="R115" s="36" t="s">
        <v>327</v>
      </c>
      <c r="S115" s="7">
        <f t="shared" si="5"/>
        <v>0</v>
      </c>
      <c r="T115" s="15" t="str">
        <f>VLOOKUP(R115,产品分类!$C$2:$D$1278,2,0)</f>
        <v>家具产品</v>
      </c>
    </row>
    <row r="116" spans="1:20">
      <c r="A116" s="8">
        <f>DATE(2012,12,31)-944</f>
        <v>40330</v>
      </c>
      <c r="B116" s="8">
        <f>DATE(2012,12,31)-944</f>
        <v>40330</v>
      </c>
      <c r="C116" s="9" t="s">
        <v>328</v>
      </c>
      <c r="D116">
        <v>10021248458</v>
      </c>
      <c r="E116" t="s">
        <v>47</v>
      </c>
      <c r="F116" t="s">
        <v>66</v>
      </c>
      <c r="G116" t="s">
        <v>67</v>
      </c>
      <c r="H116" t="s">
        <v>68</v>
      </c>
      <c r="I116" t="s">
        <v>69</v>
      </c>
      <c r="J116" t="s">
        <v>271</v>
      </c>
      <c r="K116" s="3">
        <v>10012162036</v>
      </c>
      <c r="L116" s="10">
        <v>40331</v>
      </c>
      <c r="M116">
        <v>4261.94</v>
      </c>
      <c r="N116" s="11">
        <v>37</v>
      </c>
      <c r="O116" s="12">
        <v>115.99</v>
      </c>
      <c r="P116" s="12">
        <v>56.14</v>
      </c>
      <c r="Q116" s="13">
        <v>4.15000000000001</v>
      </c>
      <c r="R116" s="36" t="s">
        <v>329</v>
      </c>
      <c r="S116" s="7">
        <f t="shared" si="5"/>
        <v>1</v>
      </c>
      <c r="T116" s="15" t="str">
        <f>VLOOKUP(R116,产品分类!$C$2:$D$1278,2,0)</f>
        <v>办公用品</v>
      </c>
    </row>
    <row r="117" spans="1:20">
      <c r="A117" s="8">
        <f>DATE(2012,12,31)-564</f>
        <v>40710</v>
      </c>
      <c r="B117" s="8">
        <f>DATE(2012,12,31)-564</f>
        <v>40710</v>
      </c>
      <c r="C117" s="9" t="s">
        <v>330</v>
      </c>
      <c r="D117">
        <v>10021268589</v>
      </c>
      <c r="E117" t="s">
        <v>47</v>
      </c>
      <c r="F117" t="s">
        <v>48</v>
      </c>
      <c r="G117" t="s">
        <v>49</v>
      </c>
      <c r="H117" t="s">
        <v>50</v>
      </c>
      <c r="I117" t="s">
        <v>51</v>
      </c>
      <c r="J117" t="s">
        <v>271</v>
      </c>
      <c r="K117" s="3">
        <v>100732403765</v>
      </c>
      <c r="L117" s="10">
        <v>40711</v>
      </c>
      <c r="M117">
        <v>88.84</v>
      </c>
      <c r="N117" s="11">
        <v>18</v>
      </c>
      <c r="O117" s="12">
        <v>4.98</v>
      </c>
      <c r="P117" s="12">
        <v>4.72</v>
      </c>
      <c r="Q117" s="13">
        <v>-38.35</v>
      </c>
      <c r="R117" s="36" t="s">
        <v>331</v>
      </c>
      <c r="S117" s="7">
        <f t="shared" si="5"/>
        <v>1</v>
      </c>
      <c r="T117" s="15" t="str">
        <f>VLOOKUP(R117,产品分类!$C$2:$D$1278,2,0)</f>
        <v>数码电子</v>
      </c>
    </row>
    <row r="118" spans="1:20">
      <c r="A118" s="8">
        <f>DATE(2012,12,31)-990</f>
        <v>40284</v>
      </c>
      <c r="B118" s="8">
        <f>DATE(2012,12,31)-990</f>
        <v>40284</v>
      </c>
      <c r="C118" s="9" t="s">
        <v>332</v>
      </c>
      <c r="D118">
        <v>10021269564</v>
      </c>
      <c r="E118" t="s">
        <v>47</v>
      </c>
      <c r="F118" t="s">
        <v>72</v>
      </c>
      <c r="G118" t="s">
        <v>73</v>
      </c>
      <c r="H118" t="s">
        <v>74</v>
      </c>
      <c r="I118" t="s">
        <v>75</v>
      </c>
      <c r="J118" t="s">
        <v>271</v>
      </c>
      <c r="K118" s="3">
        <v>100132449837</v>
      </c>
      <c r="L118" s="10">
        <v>40286</v>
      </c>
      <c r="M118">
        <v>589.24</v>
      </c>
      <c r="N118" s="11">
        <v>35</v>
      </c>
      <c r="O118" s="12">
        <v>17.52</v>
      </c>
      <c r="P118" s="12">
        <v>8.17</v>
      </c>
      <c r="Q118" s="13">
        <v>-38.35</v>
      </c>
      <c r="R118" s="36" t="s">
        <v>333</v>
      </c>
      <c r="S118" s="7">
        <f t="shared" si="5"/>
        <v>2</v>
      </c>
      <c r="T118" s="15" t="str">
        <f>VLOOKUP(R118,产品分类!$C$2:$D$1278,2,0)</f>
        <v>家具产品</v>
      </c>
    </row>
    <row r="119" spans="1:20">
      <c r="A119" s="8">
        <f>DATE(2012,12,31)-990</f>
        <v>40284</v>
      </c>
      <c r="B119" s="8">
        <f>DATE(2012,12,31)-990</f>
        <v>40284</v>
      </c>
      <c r="C119" s="9" t="s">
        <v>332</v>
      </c>
      <c r="D119">
        <v>10021248919</v>
      </c>
      <c r="E119" t="s">
        <v>47</v>
      </c>
      <c r="F119" t="s">
        <v>114</v>
      </c>
      <c r="G119" t="s">
        <v>115</v>
      </c>
      <c r="H119" t="s">
        <v>116</v>
      </c>
      <c r="I119" t="s">
        <v>117</v>
      </c>
      <c r="J119" t="s">
        <v>271</v>
      </c>
      <c r="K119" s="3">
        <v>10084876122</v>
      </c>
      <c r="L119" s="10">
        <v>40286</v>
      </c>
      <c r="M119">
        <v>233.05</v>
      </c>
      <c r="N119" s="11">
        <v>25</v>
      </c>
      <c r="O119" s="12">
        <v>9.9</v>
      </c>
      <c r="P119" s="12">
        <v>1.39</v>
      </c>
      <c r="Q119" s="13">
        <v>86.93</v>
      </c>
      <c r="R119" s="36" t="s">
        <v>203</v>
      </c>
      <c r="S119" s="7">
        <f t="shared" si="5"/>
        <v>2</v>
      </c>
      <c r="T119" s="15" t="str">
        <f>VLOOKUP(R119,产品分类!$C$2:$D$1278,2,0)</f>
        <v>办公用品</v>
      </c>
    </row>
    <row r="120" spans="1:20">
      <c r="A120" s="8">
        <f>DATE(2012,12,31)-828</f>
        <v>40446</v>
      </c>
      <c r="B120" s="8">
        <f>DATE(2012,12,31)-828</f>
        <v>40446</v>
      </c>
      <c r="C120" s="9" t="s">
        <v>334</v>
      </c>
      <c r="D120">
        <v>10021254786</v>
      </c>
      <c r="E120" t="s">
        <v>47</v>
      </c>
      <c r="F120" t="s">
        <v>122</v>
      </c>
      <c r="G120" t="s">
        <v>123</v>
      </c>
      <c r="H120" t="s">
        <v>124</v>
      </c>
      <c r="I120" t="s">
        <v>125</v>
      </c>
      <c r="J120" t="s">
        <v>271</v>
      </c>
      <c r="K120" s="3">
        <v>100923056681</v>
      </c>
      <c r="L120" s="10">
        <v>40447</v>
      </c>
      <c r="M120">
        <v>2071.3395</v>
      </c>
      <c r="N120" s="11">
        <v>38</v>
      </c>
      <c r="O120" s="12">
        <v>65.99</v>
      </c>
      <c r="P120" s="12">
        <v>8.99</v>
      </c>
      <c r="Q120" s="13">
        <v>324.927</v>
      </c>
      <c r="R120" s="36" t="s">
        <v>335</v>
      </c>
      <c r="S120" s="7">
        <f t="shared" si="5"/>
        <v>1</v>
      </c>
      <c r="T120" s="15" t="str">
        <f>VLOOKUP(R120,产品分类!$C$2:$D$1278,2,0)</f>
        <v>办公用品</v>
      </c>
    </row>
    <row r="121" spans="1:20">
      <c r="A121" s="8">
        <f>DATE(2012,12,31)-394</f>
        <v>40880</v>
      </c>
      <c r="B121" s="8">
        <f>DATE(2012,12,31)-394</f>
        <v>40880</v>
      </c>
      <c r="C121" s="9" t="s">
        <v>336</v>
      </c>
      <c r="D121">
        <v>10021266337</v>
      </c>
      <c r="E121" t="s">
        <v>47</v>
      </c>
      <c r="F121" t="s">
        <v>132</v>
      </c>
      <c r="G121" t="s">
        <v>133</v>
      </c>
      <c r="H121" t="s">
        <v>134</v>
      </c>
      <c r="I121" t="s">
        <v>133</v>
      </c>
      <c r="J121" t="s">
        <v>271</v>
      </c>
      <c r="K121" s="3">
        <v>100431773063</v>
      </c>
      <c r="L121" s="10">
        <v>40882</v>
      </c>
      <c r="M121">
        <v>126.57</v>
      </c>
      <c r="N121" s="11">
        <v>17</v>
      </c>
      <c r="O121" s="12">
        <v>4.48</v>
      </c>
      <c r="P121" s="12">
        <v>49</v>
      </c>
      <c r="Q121" s="13">
        <v>-752.13</v>
      </c>
      <c r="R121" s="36" t="s">
        <v>337</v>
      </c>
      <c r="S121" s="7">
        <f t="shared" si="5"/>
        <v>2</v>
      </c>
      <c r="T121" s="15" t="str">
        <f>VLOOKUP(R121,产品分类!$C$2:$D$1278,2,0)</f>
        <v>数码电子</v>
      </c>
    </row>
    <row r="122" spans="1:20">
      <c r="A122" s="8">
        <f>DATE(2012,12,31)-655</f>
        <v>40619</v>
      </c>
      <c r="B122" s="8">
        <f>DATE(2012,12,31)-655</f>
        <v>40619</v>
      </c>
      <c r="C122" s="9" t="s">
        <v>338</v>
      </c>
      <c r="D122">
        <v>10021261719</v>
      </c>
      <c r="E122" t="s">
        <v>47</v>
      </c>
      <c r="F122" t="s">
        <v>137</v>
      </c>
      <c r="G122" t="s">
        <v>138</v>
      </c>
      <c r="H122" t="s">
        <v>139</v>
      </c>
      <c r="I122" t="s">
        <v>140</v>
      </c>
      <c r="J122" t="s">
        <v>271</v>
      </c>
      <c r="K122" s="3">
        <v>100929712631</v>
      </c>
      <c r="L122" s="10">
        <v>40620</v>
      </c>
      <c r="M122">
        <v>43.57</v>
      </c>
      <c r="N122" s="11">
        <v>35</v>
      </c>
      <c r="O122" s="12">
        <v>1.26</v>
      </c>
      <c r="P122" s="12">
        <v>0.7</v>
      </c>
      <c r="Q122" s="13">
        <v>-19.17</v>
      </c>
      <c r="R122" s="36" t="s">
        <v>339</v>
      </c>
      <c r="S122" s="7">
        <f t="shared" si="5"/>
        <v>1</v>
      </c>
      <c r="T122" s="15" t="str">
        <f>VLOOKUP(R122,产品分类!$C$2:$D$1278,2,0)</f>
        <v>数码电子</v>
      </c>
    </row>
    <row r="123" spans="1:20">
      <c r="A123" s="8">
        <f>DATE(2012,12,31)-655</f>
        <v>40619</v>
      </c>
      <c r="B123" s="8">
        <f>DATE(2012,12,31)-655</f>
        <v>40619</v>
      </c>
      <c r="C123" s="9" t="s">
        <v>338</v>
      </c>
      <c r="D123">
        <v>10021266961</v>
      </c>
      <c r="E123" t="s">
        <v>47</v>
      </c>
      <c r="F123" t="s">
        <v>127</v>
      </c>
      <c r="G123" t="s">
        <v>128</v>
      </c>
      <c r="H123" t="s">
        <v>129</v>
      </c>
      <c r="I123" t="s">
        <v>130</v>
      </c>
      <c r="J123" t="s">
        <v>271</v>
      </c>
      <c r="K123" s="3">
        <v>100332066319</v>
      </c>
      <c r="L123" s="10">
        <v>40621</v>
      </c>
      <c r="M123">
        <v>31.87</v>
      </c>
      <c r="N123" s="11">
        <v>8</v>
      </c>
      <c r="O123" s="12">
        <v>4.26</v>
      </c>
      <c r="P123" s="12">
        <v>1.2</v>
      </c>
      <c r="Q123" s="13">
        <v>-1.25</v>
      </c>
      <c r="R123" s="36" t="s">
        <v>340</v>
      </c>
      <c r="S123" s="7">
        <f t="shared" si="5"/>
        <v>2</v>
      </c>
      <c r="T123" s="15" t="str">
        <f>VLOOKUP(R123,产品分类!$C$2:$D$1278,2,0)</f>
        <v>办公用品</v>
      </c>
    </row>
    <row r="124" spans="1:20">
      <c r="A124" s="8">
        <f>DATE(2012,12,31)-318</f>
        <v>40956</v>
      </c>
      <c r="B124" s="8">
        <f>DATE(2012,12,31)-318</f>
        <v>40956</v>
      </c>
      <c r="C124" s="9" t="s">
        <v>341</v>
      </c>
      <c r="D124">
        <v>10021267464</v>
      </c>
      <c r="E124" t="s">
        <v>47</v>
      </c>
      <c r="F124" t="s">
        <v>342</v>
      </c>
      <c r="G124" t="s">
        <v>343</v>
      </c>
      <c r="H124" t="s">
        <v>344</v>
      </c>
      <c r="I124" t="s">
        <v>345</v>
      </c>
      <c r="J124" t="s">
        <v>271</v>
      </c>
      <c r="K124" s="3">
        <v>100132092806</v>
      </c>
      <c r="L124" s="10">
        <v>40959</v>
      </c>
      <c r="M124">
        <v>59.85</v>
      </c>
      <c r="N124" s="11">
        <v>20</v>
      </c>
      <c r="O124" s="12">
        <v>2.74</v>
      </c>
      <c r="P124" s="12">
        <v>3.5</v>
      </c>
      <c r="Q124" s="13">
        <v>-47.41</v>
      </c>
      <c r="R124" s="36" t="s">
        <v>346</v>
      </c>
      <c r="S124" s="7">
        <f t="shared" si="5"/>
        <v>3</v>
      </c>
      <c r="T124" s="15" t="str">
        <f>VLOOKUP(R124,产品分类!$C$2:$D$1278,2,0)</f>
        <v>数码电子</v>
      </c>
    </row>
    <row r="125" spans="1:20">
      <c r="A125" s="16">
        <f>DATE(2012,12,31)-727</f>
        <v>40547</v>
      </c>
      <c r="B125" s="16">
        <f>DATE(2012,12,31)-727</f>
        <v>40547</v>
      </c>
      <c r="C125" s="9" t="s">
        <v>347</v>
      </c>
      <c r="D125">
        <v>10021275681</v>
      </c>
      <c r="E125" t="s">
        <v>47</v>
      </c>
      <c r="F125" t="s">
        <v>55</v>
      </c>
      <c r="G125" t="s">
        <v>56</v>
      </c>
      <c r="H125" t="s">
        <v>57</v>
      </c>
      <c r="I125" t="s">
        <v>58</v>
      </c>
      <c r="J125" t="s">
        <v>271</v>
      </c>
      <c r="K125" s="3">
        <v>100832773602</v>
      </c>
      <c r="L125" s="10">
        <v>40549</v>
      </c>
      <c r="M125">
        <v>378.6</v>
      </c>
      <c r="N125" s="17">
        <v>33</v>
      </c>
      <c r="O125" s="5">
        <v>11.7</v>
      </c>
      <c r="P125" s="5">
        <v>5.63</v>
      </c>
      <c r="Q125" s="6">
        <v>12.7245</v>
      </c>
      <c r="R125" s="37" t="s">
        <v>348</v>
      </c>
      <c r="S125" s="7">
        <f t="shared" si="5"/>
        <v>2</v>
      </c>
      <c r="T125" s="15" t="str">
        <f>VLOOKUP(R125,产品分类!$C$2:$D$1278,2,0)</f>
        <v>办公用品</v>
      </c>
    </row>
    <row r="126" spans="1:20">
      <c r="A126" s="8">
        <f>DATE(2012,12,31)-727</f>
        <v>40547</v>
      </c>
      <c r="B126" s="8">
        <f>DATE(2012,12,31)-727</f>
        <v>40547</v>
      </c>
      <c r="C126" s="9" t="s">
        <v>347</v>
      </c>
      <c r="D126">
        <v>10021292406</v>
      </c>
      <c r="E126" t="s">
        <v>47</v>
      </c>
      <c r="F126" t="s">
        <v>122</v>
      </c>
      <c r="G126" t="s">
        <v>123</v>
      </c>
      <c r="H126" t="s">
        <v>124</v>
      </c>
      <c r="I126" t="s">
        <v>125</v>
      </c>
      <c r="J126" t="s">
        <v>271</v>
      </c>
      <c r="K126" s="3">
        <v>100429821954</v>
      </c>
      <c r="L126" s="10">
        <v>40547</v>
      </c>
      <c r="M126">
        <v>38.5</v>
      </c>
      <c r="N126" s="11">
        <v>2</v>
      </c>
      <c r="O126" s="12">
        <v>15.99</v>
      </c>
      <c r="P126" s="12">
        <v>9.4</v>
      </c>
      <c r="Q126" s="13">
        <v>-52.1391</v>
      </c>
      <c r="R126" s="36" t="s">
        <v>349</v>
      </c>
      <c r="S126" s="7">
        <f t="shared" si="5"/>
        <v>0</v>
      </c>
      <c r="T126" s="15" t="str">
        <f>VLOOKUP(R126,产品分类!$C$2:$D$1278,2,0)</f>
        <v>数码电子</v>
      </c>
    </row>
    <row r="127" spans="1:20">
      <c r="A127" s="8">
        <f>DATE(2012,12,31)-546</f>
        <v>40728</v>
      </c>
      <c r="B127" s="8">
        <f>DATE(2012,12,31)-546</f>
        <v>40728</v>
      </c>
      <c r="C127" s="9" t="s">
        <v>350</v>
      </c>
      <c r="D127">
        <v>10021262528</v>
      </c>
      <c r="E127" t="s">
        <v>47</v>
      </c>
      <c r="F127" t="s">
        <v>152</v>
      </c>
      <c r="G127" t="s">
        <v>153</v>
      </c>
      <c r="H127" t="s">
        <v>154</v>
      </c>
      <c r="I127" t="s">
        <v>155</v>
      </c>
      <c r="J127" t="s">
        <v>271</v>
      </c>
      <c r="K127" s="3">
        <v>100130086157</v>
      </c>
      <c r="L127" s="10">
        <v>40730</v>
      </c>
      <c r="M127">
        <v>197.56</v>
      </c>
      <c r="N127" s="11">
        <v>39</v>
      </c>
      <c r="O127" s="12">
        <v>4.97</v>
      </c>
      <c r="P127" s="12">
        <v>5.71</v>
      </c>
      <c r="Q127" s="13">
        <v>-119.86</v>
      </c>
      <c r="R127" s="36" t="s">
        <v>351</v>
      </c>
      <c r="S127" s="7">
        <f t="shared" si="5"/>
        <v>2</v>
      </c>
      <c r="T127" s="15" t="str">
        <f>VLOOKUP(R127,产品分类!$C$2:$D$1278,2,0)</f>
        <v>办公用品</v>
      </c>
    </row>
    <row r="128" spans="1:20">
      <c r="A128" s="8">
        <f>DATE(2012,12,31)-769</f>
        <v>40505</v>
      </c>
      <c r="B128" s="8">
        <f>DATE(2012,12,31)-769</f>
        <v>40505</v>
      </c>
      <c r="C128" s="9" t="s">
        <v>352</v>
      </c>
      <c r="D128">
        <v>10021265830</v>
      </c>
      <c r="E128" t="s">
        <v>47</v>
      </c>
      <c r="F128" t="s">
        <v>208</v>
      </c>
      <c r="G128" t="s">
        <v>209</v>
      </c>
      <c r="H128" t="s">
        <v>210</v>
      </c>
      <c r="I128" t="s">
        <v>211</v>
      </c>
      <c r="J128" t="s">
        <v>271</v>
      </c>
      <c r="K128" s="3">
        <v>100831549792</v>
      </c>
      <c r="L128" s="10">
        <v>40506</v>
      </c>
      <c r="M128">
        <v>196.85</v>
      </c>
      <c r="N128" s="11">
        <v>45</v>
      </c>
      <c r="O128" s="12">
        <v>4.28</v>
      </c>
      <c r="P128" s="12">
        <v>6.18</v>
      </c>
      <c r="Q128" s="13">
        <v>-166.85</v>
      </c>
      <c r="R128" s="36" t="s">
        <v>353</v>
      </c>
      <c r="S128" s="7">
        <f t="shared" si="5"/>
        <v>1</v>
      </c>
      <c r="T128" s="15" t="str">
        <f>VLOOKUP(R128,产品分类!$C$2:$D$1278,2,0)</f>
        <v>办公用品</v>
      </c>
    </row>
    <row r="129" spans="1:20">
      <c r="A129" s="8">
        <f>DATE(2012,12,31)-769</f>
        <v>40505</v>
      </c>
      <c r="B129" s="8">
        <f>DATE(2012,12,31)-769</f>
        <v>40505</v>
      </c>
      <c r="C129" s="9" t="s">
        <v>352</v>
      </c>
      <c r="D129">
        <v>10021271593</v>
      </c>
      <c r="E129" t="s">
        <v>47</v>
      </c>
      <c r="F129" t="s">
        <v>61</v>
      </c>
      <c r="G129" t="s">
        <v>62</v>
      </c>
      <c r="H129" t="s">
        <v>63</v>
      </c>
      <c r="I129" t="s">
        <v>64</v>
      </c>
      <c r="J129" t="s">
        <v>271</v>
      </c>
      <c r="K129" s="3">
        <v>100132759518</v>
      </c>
      <c r="L129" s="10">
        <v>40506</v>
      </c>
      <c r="M129">
        <v>124.56</v>
      </c>
      <c r="N129" s="11">
        <v>32</v>
      </c>
      <c r="O129" s="12">
        <v>3.95</v>
      </c>
      <c r="P129" s="12">
        <v>2</v>
      </c>
      <c r="Q129" s="13">
        <v>-14.33</v>
      </c>
      <c r="R129" s="36" t="s">
        <v>354</v>
      </c>
      <c r="S129" s="7">
        <f t="shared" si="5"/>
        <v>1</v>
      </c>
      <c r="T129" s="15" t="str">
        <f>VLOOKUP(R129,产品分类!$C$2:$D$1278,2,0)</f>
        <v>办公用品</v>
      </c>
    </row>
    <row r="130" spans="1:20">
      <c r="A130" s="8">
        <f>DATE(2012,12,31)-257</f>
        <v>41017</v>
      </c>
      <c r="B130" s="8">
        <f>DATE(2012,12,31)-257</f>
        <v>41017</v>
      </c>
      <c r="C130" s="9" t="s">
        <v>355</v>
      </c>
      <c r="D130">
        <v>10021304412</v>
      </c>
      <c r="E130" t="s">
        <v>47</v>
      </c>
      <c r="F130" t="s">
        <v>61</v>
      </c>
      <c r="G130" t="s">
        <v>62</v>
      </c>
      <c r="H130" t="s">
        <v>63</v>
      </c>
      <c r="I130" t="s">
        <v>64</v>
      </c>
      <c r="J130" t="s">
        <v>271</v>
      </c>
      <c r="K130" s="3">
        <v>100130598528</v>
      </c>
      <c r="L130" s="10">
        <v>41021</v>
      </c>
      <c r="M130">
        <v>53.46</v>
      </c>
      <c r="N130" s="11">
        <v>7</v>
      </c>
      <c r="O130" s="12">
        <v>6.48</v>
      </c>
      <c r="P130" s="12">
        <v>5.9</v>
      </c>
      <c r="Q130" s="13">
        <v>-17.58</v>
      </c>
      <c r="R130" s="36" t="s">
        <v>284</v>
      </c>
      <c r="S130" s="7">
        <f t="shared" si="5"/>
        <v>4</v>
      </c>
      <c r="T130" s="15" t="str">
        <f>VLOOKUP(R130,产品分类!$C$2:$D$1278,2,0)</f>
        <v>家具产品</v>
      </c>
    </row>
    <row r="131" spans="1:20">
      <c r="A131" s="8">
        <f>DATE(2012,12,31)-1418</f>
        <v>39856</v>
      </c>
      <c r="B131" s="8">
        <f>DATE(2012,12,31)-1418</f>
        <v>39856</v>
      </c>
      <c r="C131" s="9" t="s">
        <v>356</v>
      </c>
      <c r="D131">
        <v>10021248111</v>
      </c>
      <c r="E131" t="s">
        <v>47</v>
      </c>
      <c r="F131" t="s">
        <v>97</v>
      </c>
      <c r="G131" t="s">
        <v>98</v>
      </c>
      <c r="H131" t="s">
        <v>99</v>
      </c>
      <c r="I131" t="s">
        <v>98</v>
      </c>
      <c r="J131" t="s">
        <v>271</v>
      </c>
      <c r="K131" s="3">
        <v>100933941</v>
      </c>
      <c r="L131" s="10">
        <v>39857</v>
      </c>
      <c r="M131">
        <v>19.32</v>
      </c>
      <c r="N131" s="11">
        <v>1</v>
      </c>
      <c r="O131" s="12">
        <v>12.53</v>
      </c>
      <c r="P131" s="12">
        <v>7.17</v>
      </c>
      <c r="Q131" s="13">
        <v>-20.3205</v>
      </c>
      <c r="R131" s="36" t="s">
        <v>357</v>
      </c>
      <c r="S131" s="7">
        <f t="shared" ref="S131:S194" si="9">+L131-B131</f>
        <v>1</v>
      </c>
      <c r="T131" s="15" t="str">
        <f>VLOOKUP(R131,产品分类!$C$2:$D$1278,2,0)</f>
        <v>办公用品</v>
      </c>
    </row>
    <row r="132" spans="1:20">
      <c r="A132" s="8">
        <f>DATE(2012,12,31)-1319</f>
        <v>39955</v>
      </c>
      <c r="B132" s="8">
        <f>DATE(2012,12,31)-1319</f>
        <v>39955</v>
      </c>
      <c r="C132" s="9" t="s">
        <v>358</v>
      </c>
      <c r="D132">
        <v>10021300781</v>
      </c>
      <c r="E132" t="s">
        <v>47</v>
      </c>
      <c r="F132" t="s">
        <v>152</v>
      </c>
      <c r="G132" t="s">
        <v>153</v>
      </c>
      <c r="H132" t="s">
        <v>154</v>
      </c>
      <c r="I132" t="s">
        <v>155</v>
      </c>
      <c r="J132" t="s">
        <v>271</v>
      </c>
      <c r="K132" s="3">
        <v>100127414048</v>
      </c>
      <c r="L132" s="10">
        <v>39956</v>
      </c>
      <c r="M132">
        <v>1813.04</v>
      </c>
      <c r="N132" s="11">
        <v>15</v>
      </c>
      <c r="O132" s="12">
        <v>115.99</v>
      </c>
      <c r="P132" s="12">
        <v>56.14</v>
      </c>
      <c r="Q132" s="13">
        <v>-164.3952</v>
      </c>
      <c r="R132" s="36" t="s">
        <v>329</v>
      </c>
      <c r="S132" s="7">
        <f t="shared" si="9"/>
        <v>1</v>
      </c>
      <c r="T132" s="15" t="str">
        <f>VLOOKUP(R132,产品分类!$C$2:$D$1278,2,0)</f>
        <v>办公用品</v>
      </c>
    </row>
    <row r="133" spans="1:20">
      <c r="A133" s="8">
        <f>DATE(2012,12,31)-451</f>
        <v>40823</v>
      </c>
      <c r="B133" s="8">
        <f>DATE(2012,12,31)-451</f>
        <v>40823</v>
      </c>
      <c r="C133" s="9" t="s">
        <v>313</v>
      </c>
      <c r="D133">
        <v>10021255047</v>
      </c>
      <c r="E133" t="s">
        <v>47</v>
      </c>
      <c r="F133" t="s">
        <v>66</v>
      </c>
      <c r="G133" t="s">
        <v>67</v>
      </c>
      <c r="H133" t="s">
        <v>68</v>
      </c>
      <c r="I133" t="s">
        <v>69</v>
      </c>
      <c r="J133" t="s">
        <v>271</v>
      </c>
      <c r="K133" s="3">
        <v>100923682081</v>
      </c>
      <c r="L133" s="10">
        <v>40824</v>
      </c>
      <c r="M133">
        <v>125.16</v>
      </c>
      <c r="N133" s="11">
        <v>18</v>
      </c>
      <c r="O133" s="12">
        <v>6.48</v>
      </c>
      <c r="P133" s="12">
        <v>5.14</v>
      </c>
      <c r="Q133" s="13">
        <v>-23.48</v>
      </c>
      <c r="R133" s="36" t="s">
        <v>325</v>
      </c>
      <c r="S133" s="7">
        <f t="shared" si="9"/>
        <v>1</v>
      </c>
      <c r="T133" s="15" t="str">
        <f>VLOOKUP(R133,产品分类!$C$2:$D$1278,2,0)</f>
        <v>数码电子</v>
      </c>
    </row>
    <row r="134" spans="1:20">
      <c r="A134" s="8">
        <f>DATE(2012,12,31)-1296</f>
        <v>39978</v>
      </c>
      <c r="B134" s="8">
        <f>DATE(2012,12,31)-1296</f>
        <v>39978</v>
      </c>
      <c r="C134" s="9" t="s">
        <v>359</v>
      </c>
      <c r="D134">
        <v>10021253508</v>
      </c>
      <c r="E134" t="s">
        <v>47</v>
      </c>
      <c r="F134" t="s">
        <v>230</v>
      </c>
      <c r="G134" t="s">
        <v>231</v>
      </c>
      <c r="H134" t="s">
        <v>232</v>
      </c>
      <c r="I134" t="s">
        <v>233</v>
      </c>
      <c r="J134" t="s">
        <v>271</v>
      </c>
      <c r="K134" s="3">
        <v>100419302384</v>
      </c>
      <c r="L134" s="10">
        <v>39980</v>
      </c>
      <c r="M134">
        <v>65.7</v>
      </c>
      <c r="N134" s="11">
        <v>11</v>
      </c>
      <c r="O134" s="12">
        <v>5.84</v>
      </c>
      <c r="P134" s="12">
        <v>0.83</v>
      </c>
      <c r="Q134" s="13">
        <v>13.41</v>
      </c>
      <c r="R134" s="36" t="s">
        <v>360</v>
      </c>
      <c r="S134" s="7">
        <f t="shared" si="9"/>
        <v>2</v>
      </c>
      <c r="T134" s="15" t="str">
        <f>VLOOKUP(R134,产品分类!$C$2:$D$1278,2,0)</f>
        <v>家具产品</v>
      </c>
    </row>
    <row r="135" spans="1:20">
      <c r="A135" s="8">
        <f>DATE(2012,12,31)-206</f>
        <v>41068</v>
      </c>
      <c r="B135" s="8">
        <f>DATE(2012,12,31)-206</f>
        <v>41068</v>
      </c>
      <c r="C135" s="9" t="s">
        <v>361</v>
      </c>
      <c r="D135">
        <v>10021249308</v>
      </c>
      <c r="E135" t="s">
        <v>47</v>
      </c>
      <c r="F135" t="s">
        <v>114</v>
      </c>
      <c r="G135" t="s">
        <v>115</v>
      </c>
      <c r="H135" t="s">
        <v>362</v>
      </c>
      <c r="I135" t="s">
        <v>363</v>
      </c>
      <c r="J135" t="s">
        <v>271</v>
      </c>
      <c r="K135" s="3">
        <v>10075235195</v>
      </c>
      <c r="L135" s="10">
        <v>41069</v>
      </c>
      <c r="M135">
        <v>716.84</v>
      </c>
      <c r="N135" s="11">
        <v>32</v>
      </c>
      <c r="O135" s="12">
        <v>21.78</v>
      </c>
      <c r="P135" s="12">
        <v>5.94</v>
      </c>
      <c r="Q135" s="13">
        <v>134.72</v>
      </c>
      <c r="R135" s="36" t="s">
        <v>276</v>
      </c>
      <c r="S135" s="7">
        <f t="shared" si="9"/>
        <v>1</v>
      </c>
      <c r="T135" s="15" t="str">
        <f>VLOOKUP(R135,产品分类!$C$2:$D$1278,2,0)</f>
        <v>办公用品</v>
      </c>
    </row>
    <row r="136" spans="1:20">
      <c r="A136" s="8">
        <f>DATE(2012,12,31)-206</f>
        <v>41068</v>
      </c>
      <c r="B136" s="8">
        <f>DATE(2012,12,31)-206</f>
        <v>41068</v>
      </c>
      <c r="C136" s="9" t="s">
        <v>361</v>
      </c>
      <c r="D136">
        <v>10021265430</v>
      </c>
      <c r="E136" t="s">
        <v>47</v>
      </c>
      <c r="F136" t="s">
        <v>55</v>
      </c>
      <c r="G136" t="s">
        <v>56</v>
      </c>
      <c r="H136" t="s">
        <v>57</v>
      </c>
      <c r="I136" t="s">
        <v>58</v>
      </c>
      <c r="J136" t="s">
        <v>271</v>
      </c>
      <c r="K136" s="3">
        <v>100731500975</v>
      </c>
      <c r="L136" s="10">
        <v>41070</v>
      </c>
      <c r="M136">
        <v>1474.33</v>
      </c>
      <c r="N136" s="11">
        <v>31</v>
      </c>
      <c r="O136" s="12">
        <v>47.98</v>
      </c>
      <c r="P136" s="12">
        <v>3.61</v>
      </c>
      <c r="Q136" s="13">
        <v>114.46</v>
      </c>
      <c r="R136" s="36" t="s">
        <v>364</v>
      </c>
      <c r="S136" s="7">
        <f t="shared" si="9"/>
        <v>2</v>
      </c>
      <c r="T136" s="15" t="str">
        <f>VLOOKUP(R136,产品分类!$C$2:$D$1278,2,0)</f>
        <v>数码电子</v>
      </c>
    </row>
    <row r="137" spans="1:20">
      <c r="A137" s="8">
        <f>DATE(2012,12,31)-926</f>
        <v>40348</v>
      </c>
      <c r="B137" s="8">
        <f>DATE(2012,12,31)-926</f>
        <v>40348</v>
      </c>
      <c r="C137" s="9" t="s">
        <v>268</v>
      </c>
      <c r="D137">
        <v>10021281863</v>
      </c>
      <c r="E137" t="s">
        <v>47</v>
      </c>
      <c r="F137" t="s">
        <v>55</v>
      </c>
      <c r="G137" t="s">
        <v>56</v>
      </c>
      <c r="H137" t="s">
        <v>57</v>
      </c>
      <c r="I137" t="s">
        <v>58</v>
      </c>
      <c r="J137" t="s">
        <v>271</v>
      </c>
      <c r="K137" s="3">
        <v>100923748691</v>
      </c>
      <c r="L137" s="10">
        <v>40348</v>
      </c>
      <c r="M137">
        <v>1661.04</v>
      </c>
      <c r="N137" s="11">
        <v>23</v>
      </c>
      <c r="O137" s="12">
        <v>70.97</v>
      </c>
      <c r="P137" s="12">
        <v>3.5</v>
      </c>
      <c r="Q137" s="13">
        <v>475.54</v>
      </c>
      <c r="R137" s="36" t="s">
        <v>365</v>
      </c>
      <c r="S137" s="7">
        <f t="shared" si="9"/>
        <v>0</v>
      </c>
      <c r="T137" s="15" t="str">
        <f>VLOOKUP(R137,产品分类!$C$2:$D$1278,2,0)</f>
        <v>数码电子</v>
      </c>
    </row>
    <row r="138" spans="1:20">
      <c r="A138" s="8">
        <f>DATE(2012,12,31)-413</f>
        <v>40861</v>
      </c>
      <c r="B138" s="8">
        <f>DATE(2012,12,31)-413</f>
        <v>40861</v>
      </c>
      <c r="C138" s="9" t="s">
        <v>366</v>
      </c>
      <c r="D138">
        <v>10021258330</v>
      </c>
      <c r="E138" t="s">
        <v>47</v>
      </c>
      <c r="F138" t="s">
        <v>91</v>
      </c>
      <c r="G138" t="s">
        <v>92</v>
      </c>
      <c r="H138" t="s">
        <v>93</v>
      </c>
      <c r="I138" t="s">
        <v>94</v>
      </c>
      <c r="J138" t="s">
        <v>367</v>
      </c>
      <c r="K138" s="3">
        <v>100326962069</v>
      </c>
      <c r="L138" s="10">
        <v>40861</v>
      </c>
      <c r="M138">
        <v>104.94</v>
      </c>
      <c r="N138" s="11">
        <v>17</v>
      </c>
      <c r="O138" s="12">
        <v>6.24</v>
      </c>
      <c r="P138" s="12">
        <v>5.22</v>
      </c>
      <c r="Q138" s="13">
        <v>-34.97</v>
      </c>
      <c r="R138" s="36" t="s">
        <v>368</v>
      </c>
      <c r="S138" s="7">
        <f t="shared" si="9"/>
        <v>0</v>
      </c>
      <c r="T138" s="15" t="str">
        <f>VLOOKUP(R138,产品分类!$C$2:$D$1278,2,0)</f>
        <v>办公用品</v>
      </c>
    </row>
    <row r="139" spans="1:20">
      <c r="A139" s="8">
        <f>DATE(2012,12,31)-1029</f>
        <v>40245</v>
      </c>
      <c r="B139" s="8">
        <f>DATE(2012,12,31)-1029</f>
        <v>40245</v>
      </c>
      <c r="C139" s="9" t="s">
        <v>369</v>
      </c>
      <c r="D139">
        <v>10021294744</v>
      </c>
      <c r="E139" t="s">
        <v>47</v>
      </c>
      <c r="F139" t="s">
        <v>91</v>
      </c>
      <c r="G139" t="s">
        <v>92</v>
      </c>
      <c r="H139" t="s">
        <v>93</v>
      </c>
      <c r="I139" t="s">
        <v>94</v>
      </c>
      <c r="J139" t="s">
        <v>367</v>
      </c>
      <c r="K139" s="3">
        <v>10047944844</v>
      </c>
      <c r="L139" s="10">
        <v>40245</v>
      </c>
      <c r="M139">
        <v>1246.52</v>
      </c>
      <c r="N139" s="11">
        <v>50</v>
      </c>
      <c r="O139" s="12">
        <v>24.92</v>
      </c>
      <c r="P139" s="12">
        <v>12.98</v>
      </c>
      <c r="Q139" s="13">
        <v>52.479</v>
      </c>
      <c r="R139" s="36" t="s">
        <v>187</v>
      </c>
      <c r="S139" s="7">
        <f t="shared" si="9"/>
        <v>0</v>
      </c>
      <c r="T139" s="15" t="str">
        <f>VLOOKUP(R139,产品分类!$C$2:$D$1278,2,0)</f>
        <v>数码电子</v>
      </c>
    </row>
    <row r="140" spans="1:20">
      <c r="A140" s="8">
        <f>DATE(2012,12,31)-943</f>
        <v>40331</v>
      </c>
      <c r="B140" s="8">
        <f>DATE(2012,12,31)-943</f>
        <v>40331</v>
      </c>
      <c r="C140" s="9" t="s">
        <v>370</v>
      </c>
      <c r="D140">
        <v>10021265935</v>
      </c>
      <c r="E140" t="s">
        <v>47</v>
      </c>
      <c r="F140" t="s">
        <v>91</v>
      </c>
      <c r="G140" t="s">
        <v>92</v>
      </c>
      <c r="H140" t="s">
        <v>93</v>
      </c>
      <c r="I140" t="s">
        <v>94</v>
      </c>
      <c r="J140" t="s">
        <v>367</v>
      </c>
      <c r="K140" s="3">
        <v>100931564101</v>
      </c>
      <c r="L140" s="10">
        <v>40333</v>
      </c>
      <c r="M140">
        <v>676.13</v>
      </c>
      <c r="N140" s="11">
        <v>40</v>
      </c>
      <c r="O140" s="12">
        <v>15.98</v>
      </c>
      <c r="P140" s="12">
        <v>6.5</v>
      </c>
      <c r="Q140" s="13">
        <v>45.39</v>
      </c>
      <c r="R140" s="36" t="s">
        <v>371</v>
      </c>
      <c r="S140" s="7">
        <f t="shared" si="9"/>
        <v>2</v>
      </c>
      <c r="T140" s="15" t="str">
        <f>VLOOKUP(R140,产品分类!$C$2:$D$1278,2,0)</f>
        <v>办公用品</v>
      </c>
    </row>
    <row r="141" spans="1:20">
      <c r="A141" s="8">
        <f>DATE(2012,12,31)-943</f>
        <v>40331</v>
      </c>
      <c r="B141" s="8">
        <f>DATE(2012,12,31)-943</f>
        <v>40331</v>
      </c>
      <c r="C141" s="9" t="s">
        <v>370</v>
      </c>
      <c r="D141">
        <v>10021250351</v>
      </c>
      <c r="E141" t="s">
        <v>47</v>
      </c>
      <c r="F141" t="s">
        <v>66</v>
      </c>
      <c r="G141" t="s">
        <v>67</v>
      </c>
      <c r="H141" t="s">
        <v>68</v>
      </c>
      <c r="I141" t="s">
        <v>69</v>
      </c>
      <c r="J141" t="s">
        <v>367</v>
      </c>
      <c r="K141" s="3">
        <v>100810127162</v>
      </c>
      <c r="L141" s="10">
        <v>40331</v>
      </c>
      <c r="M141">
        <v>7668.55</v>
      </c>
      <c r="N141" s="11">
        <v>26</v>
      </c>
      <c r="O141" s="12">
        <v>296.18</v>
      </c>
      <c r="P141" s="12">
        <v>54.12</v>
      </c>
      <c r="Q141" s="13">
        <v>-715.778206</v>
      </c>
      <c r="R141" s="36" t="s">
        <v>372</v>
      </c>
      <c r="S141" s="7">
        <f t="shared" si="9"/>
        <v>0</v>
      </c>
      <c r="T141" s="15" t="str">
        <f>VLOOKUP(R141,产品分类!$C$2:$D$1278,2,0)</f>
        <v>办公用品</v>
      </c>
    </row>
    <row r="142" spans="1:20">
      <c r="A142" s="8">
        <f>DATE(2012,12,31)-1188</f>
        <v>40086</v>
      </c>
      <c r="B142" s="8">
        <f>DATE(2012,12,31)-1188</f>
        <v>40086</v>
      </c>
      <c r="C142" s="9" t="s">
        <v>373</v>
      </c>
      <c r="D142">
        <v>10021254219</v>
      </c>
      <c r="E142" t="s">
        <v>47</v>
      </c>
      <c r="F142" t="s">
        <v>102</v>
      </c>
      <c r="G142" t="s">
        <v>103</v>
      </c>
      <c r="H142" t="s">
        <v>104</v>
      </c>
      <c r="I142" t="s">
        <v>105</v>
      </c>
      <c r="J142" t="s">
        <v>367</v>
      </c>
      <c r="K142" s="3">
        <v>100721317475</v>
      </c>
      <c r="L142" s="10">
        <v>40087</v>
      </c>
      <c r="M142">
        <v>1193.65</v>
      </c>
      <c r="N142" s="11">
        <v>29</v>
      </c>
      <c r="O142" s="12">
        <v>40.98</v>
      </c>
      <c r="P142" s="12">
        <v>2.99</v>
      </c>
      <c r="Q142" s="13">
        <v>507.5775</v>
      </c>
      <c r="R142" s="36" t="s">
        <v>374</v>
      </c>
      <c r="S142" s="7">
        <f t="shared" si="9"/>
        <v>1</v>
      </c>
      <c r="T142" s="15" t="str">
        <f>VLOOKUP(R142,产品分类!$C$2:$D$1278,2,0)</f>
        <v>办公用品</v>
      </c>
    </row>
    <row r="143" spans="1:20">
      <c r="A143" s="8">
        <f>DATE(2012,12,31)-1254</f>
        <v>40020</v>
      </c>
      <c r="B143" s="8">
        <f>DATE(2012,12,31)-1254</f>
        <v>40020</v>
      </c>
      <c r="C143" s="9" t="s">
        <v>375</v>
      </c>
      <c r="D143">
        <v>10021252977</v>
      </c>
      <c r="E143" t="s">
        <v>47</v>
      </c>
      <c r="F143" t="s">
        <v>171</v>
      </c>
      <c r="G143" t="s">
        <v>172</v>
      </c>
      <c r="H143" t="s">
        <v>173</v>
      </c>
      <c r="I143" t="s">
        <v>174</v>
      </c>
      <c r="J143" t="s">
        <v>367</v>
      </c>
      <c r="K143" s="3">
        <v>100816039092</v>
      </c>
      <c r="L143" s="10">
        <v>40023</v>
      </c>
      <c r="M143">
        <v>1925.83</v>
      </c>
      <c r="N143" s="11">
        <v>10</v>
      </c>
      <c r="O143" s="12">
        <v>207.48</v>
      </c>
      <c r="P143" s="12">
        <v>0.99</v>
      </c>
      <c r="Q143" s="13">
        <v>359.83</v>
      </c>
      <c r="R143" s="36" t="s">
        <v>376</v>
      </c>
      <c r="S143" s="7">
        <f t="shared" si="9"/>
        <v>3</v>
      </c>
      <c r="T143" s="15" t="str">
        <f>VLOOKUP(R143,产品分类!$C$2:$D$1278,2,0)</f>
        <v>办公用品</v>
      </c>
    </row>
    <row r="144" spans="1:20">
      <c r="A144" s="8">
        <f>DATE(2012,12,31)-671</f>
        <v>40603</v>
      </c>
      <c r="B144" s="8">
        <f>DATE(2012,12,31)-671</f>
        <v>40603</v>
      </c>
      <c r="C144" s="9" t="s">
        <v>377</v>
      </c>
      <c r="D144">
        <v>10021286159</v>
      </c>
      <c r="E144" t="s">
        <v>47</v>
      </c>
      <c r="F144" t="s">
        <v>171</v>
      </c>
      <c r="G144" t="s">
        <v>172</v>
      </c>
      <c r="H144" t="s">
        <v>173</v>
      </c>
      <c r="I144" t="s">
        <v>174</v>
      </c>
      <c r="J144" t="s">
        <v>367</v>
      </c>
      <c r="K144" s="3">
        <v>100130563427</v>
      </c>
      <c r="L144" s="10">
        <v>40608</v>
      </c>
      <c r="M144">
        <v>1222.68</v>
      </c>
      <c r="N144" s="11">
        <v>21</v>
      </c>
      <c r="O144" s="12">
        <v>59.98</v>
      </c>
      <c r="P144" s="12">
        <v>3.99</v>
      </c>
      <c r="Q144" s="13">
        <v>300.97</v>
      </c>
      <c r="R144" s="36" t="s">
        <v>378</v>
      </c>
      <c r="S144" s="7">
        <f t="shared" si="9"/>
        <v>5</v>
      </c>
      <c r="T144" s="15" t="str">
        <f>VLOOKUP(R144,产品分类!$C$2:$D$1278,2,0)</f>
        <v>数码电子</v>
      </c>
    </row>
    <row r="145" spans="1:20">
      <c r="A145" s="8">
        <f>DATE(2012,12,31)-671</f>
        <v>40603</v>
      </c>
      <c r="B145" s="8">
        <f>DATE(2012,12,31)-671</f>
        <v>40603</v>
      </c>
      <c r="C145" s="9" t="s">
        <v>377</v>
      </c>
      <c r="D145">
        <v>10021293935</v>
      </c>
      <c r="E145" t="s">
        <v>47</v>
      </c>
      <c r="F145" t="s">
        <v>177</v>
      </c>
      <c r="G145" t="s">
        <v>178</v>
      </c>
      <c r="H145" t="s">
        <v>179</v>
      </c>
      <c r="I145" t="s">
        <v>180</v>
      </c>
      <c r="J145" t="s">
        <v>367</v>
      </c>
      <c r="K145" s="3">
        <v>100910169111</v>
      </c>
      <c r="L145" s="10">
        <v>40605</v>
      </c>
      <c r="M145">
        <v>390.2</v>
      </c>
      <c r="N145" s="11">
        <v>26</v>
      </c>
      <c r="O145" s="12">
        <v>14.58</v>
      </c>
      <c r="P145" s="12">
        <v>7.4</v>
      </c>
      <c r="Q145" s="13">
        <v>45</v>
      </c>
      <c r="R145" s="36" t="s">
        <v>379</v>
      </c>
      <c r="S145" s="7">
        <f t="shared" si="9"/>
        <v>2</v>
      </c>
      <c r="T145" s="15" t="str">
        <f>VLOOKUP(R145,产品分类!$C$2:$D$1278,2,0)</f>
        <v>数码电子</v>
      </c>
    </row>
    <row r="146" spans="1:20">
      <c r="A146" s="8">
        <f>DATE(2012,12,31)-91</f>
        <v>41183</v>
      </c>
      <c r="B146" s="8">
        <f>DATE(2012,12,31)-91</f>
        <v>41183</v>
      </c>
      <c r="C146" s="9" t="s">
        <v>380</v>
      </c>
      <c r="D146">
        <v>10021269220</v>
      </c>
      <c r="E146" t="s">
        <v>47</v>
      </c>
      <c r="F146" t="s">
        <v>61</v>
      </c>
      <c r="G146" t="s">
        <v>62</v>
      </c>
      <c r="H146" t="s">
        <v>63</v>
      </c>
      <c r="I146" t="s">
        <v>64</v>
      </c>
      <c r="J146" t="s">
        <v>367</v>
      </c>
      <c r="K146" s="3">
        <v>100732434365</v>
      </c>
      <c r="L146" s="10">
        <v>41186</v>
      </c>
      <c r="M146">
        <v>227.66</v>
      </c>
      <c r="N146" s="11">
        <v>21</v>
      </c>
      <c r="O146" s="12">
        <v>10.97</v>
      </c>
      <c r="P146" s="12">
        <v>6.5</v>
      </c>
      <c r="Q146" s="13">
        <v>-100.16</v>
      </c>
      <c r="R146" s="36" t="s">
        <v>381</v>
      </c>
      <c r="S146" s="7">
        <f t="shared" si="9"/>
        <v>3</v>
      </c>
      <c r="T146" s="15" t="str">
        <f>VLOOKUP(R146,产品分类!$C$2:$D$1278,2,0)</f>
        <v>数码电子</v>
      </c>
    </row>
    <row r="147" spans="1:20">
      <c r="A147" s="8">
        <f>DATE(2012,12,31)-91</f>
        <v>41183</v>
      </c>
      <c r="B147" s="8">
        <f>DATE(2012,12,31)-91</f>
        <v>41183</v>
      </c>
      <c r="C147" s="9" t="s">
        <v>380</v>
      </c>
      <c r="D147">
        <v>10021285963</v>
      </c>
      <c r="E147" t="s">
        <v>47</v>
      </c>
      <c r="F147" t="s">
        <v>61</v>
      </c>
      <c r="G147" t="s">
        <v>62</v>
      </c>
      <c r="H147" t="s">
        <v>63</v>
      </c>
      <c r="I147" t="s">
        <v>64</v>
      </c>
      <c r="J147" t="s">
        <v>367</v>
      </c>
      <c r="K147" s="3">
        <v>100130398386</v>
      </c>
      <c r="L147" s="10">
        <v>41185</v>
      </c>
      <c r="M147">
        <v>84.33</v>
      </c>
      <c r="N147" s="11">
        <v>39</v>
      </c>
      <c r="O147" s="12">
        <v>2.08</v>
      </c>
      <c r="P147" s="12">
        <v>2.56</v>
      </c>
      <c r="Q147" s="13">
        <v>-64.29</v>
      </c>
      <c r="R147" s="36" t="s">
        <v>59</v>
      </c>
      <c r="S147" s="7">
        <f t="shared" si="9"/>
        <v>2</v>
      </c>
      <c r="T147" s="15" t="str">
        <f>VLOOKUP(R147,产品分类!$C$2:$D$1278,2,0)</f>
        <v>数码电子</v>
      </c>
    </row>
    <row r="148" spans="1:20">
      <c r="A148" s="8">
        <f>DATE(2012,12,31)-1111</f>
        <v>40163</v>
      </c>
      <c r="B148" s="8">
        <f>DATE(2012,12,31)-1111</f>
        <v>40163</v>
      </c>
      <c r="C148" s="9" t="s">
        <v>382</v>
      </c>
      <c r="D148">
        <v>10021294267</v>
      </c>
      <c r="E148" t="s">
        <v>47</v>
      </c>
      <c r="F148" t="s">
        <v>61</v>
      </c>
      <c r="G148" t="s">
        <v>62</v>
      </c>
      <c r="H148" t="s">
        <v>63</v>
      </c>
      <c r="I148" t="s">
        <v>64</v>
      </c>
      <c r="J148" t="s">
        <v>367</v>
      </c>
      <c r="K148" s="3">
        <v>100413029573</v>
      </c>
      <c r="L148" s="10">
        <v>40164</v>
      </c>
      <c r="M148">
        <v>922.39</v>
      </c>
      <c r="N148" s="11">
        <v>22</v>
      </c>
      <c r="O148" s="12">
        <v>41.32</v>
      </c>
      <c r="P148" s="12">
        <v>58.66</v>
      </c>
      <c r="Q148" s="13">
        <v>-41.64</v>
      </c>
      <c r="R148" s="36" t="s">
        <v>321</v>
      </c>
      <c r="S148" s="7">
        <f t="shared" si="9"/>
        <v>1</v>
      </c>
      <c r="T148" s="15" t="str">
        <f>VLOOKUP(R148,产品分类!$C$2:$D$1278,2,0)</f>
        <v>数码电子</v>
      </c>
    </row>
    <row r="149" spans="1:20">
      <c r="A149" s="16">
        <f>DATE(2012,12,31)-1111</f>
        <v>40163</v>
      </c>
      <c r="B149" s="16">
        <f>DATE(2012,12,31)-1111</f>
        <v>40163</v>
      </c>
      <c r="C149" s="9" t="s">
        <v>382</v>
      </c>
      <c r="D149">
        <v>10021295841</v>
      </c>
      <c r="E149" t="s">
        <v>47</v>
      </c>
      <c r="F149" t="s">
        <v>61</v>
      </c>
      <c r="G149" t="s">
        <v>62</v>
      </c>
      <c r="H149" t="s">
        <v>63</v>
      </c>
      <c r="I149" t="s">
        <v>64</v>
      </c>
      <c r="J149" t="s">
        <v>367</v>
      </c>
      <c r="K149" s="3">
        <v>100718860935</v>
      </c>
      <c r="L149" s="10">
        <v>40163</v>
      </c>
      <c r="M149">
        <v>79.19</v>
      </c>
      <c r="N149" s="17">
        <v>11</v>
      </c>
      <c r="O149" s="5">
        <v>6.88</v>
      </c>
      <c r="P149" s="5">
        <v>2</v>
      </c>
      <c r="Q149" s="6">
        <v>13.91</v>
      </c>
      <c r="R149" s="37" t="s">
        <v>383</v>
      </c>
      <c r="S149" s="7">
        <f t="shared" si="9"/>
        <v>0</v>
      </c>
      <c r="T149" s="15" t="str">
        <f>VLOOKUP(R149,产品分类!$C$2:$D$1278,2,0)</f>
        <v>办公用品</v>
      </c>
    </row>
    <row r="150" spans="1:20">
      <c r="A150" s="8">
        <f>DATE(2012,12,31)-149</f>
        <v>41125</v>
      </c>
      <c r="B150" s="8">
        <f>DATE(2012,12,31)-149</f>
        <v>41125</v>
      </c>
      <c r="C150" s="9" t="s">
        <v>384</v>
      </c>
      <c r="D150">
        <v>10021313536</v>
      </c>
      <c r="E150" t="s">
        <v>47</v>
      </c>
      <c r="F150" t="s">
        <v>91</v>
      </c>
      <c r="G150" t="s">
        <v>92</v>
      </c>
      <c r="H150" t="s">
        <v>93</v>
      </c>
      <c r="I150" t="s">
        <v>94</v>
      </c>
      <c r="J150" t="s">
        <v>367</v>
      </c>
      <c r="K150" s="3">
        <v>100330301689</v>
      </c>
      <c r="L150" s="10">
        <v>41125</v>
      </c>
      <c r="M150">
        <v>80.61</v>
      </c>
      <c r="N150" s="11">
        <v>15</v>
      </c>
      <c r="O150" s="12">
        <v>5.28</v>
      </c>
      <c r="P150" s="12">
        <v>2.99</v>
      </c>
      <c r="Q150" s="13">
        <v>-4.715</v>
      </c>
      <c r="R150" s="36" t="s">
        <v>385</v>
      </c>
      <c r="S150" s="7">
        <f t="shared" si="9"/>
        <v>0</v>
      </c>
      <c r="T150" s="15" t="str">
        <f>VLOOKUP(R150,产品分类!$C$2:$D$1278,2,0)</f>
        <v>数码电子</v>
      </c>
    </row>
    <row r="151" spans="1:20">
      <c r="A151" s="8">
        <f>DATE(2012,12,31)-1198</f>
        <v>40076</v>
      </c>
      <c r="B151" s="8">
        <f>DATE(2012,12,31)-1198</f>
        <v>40076</v>
      </c>
      <c r="C151" s="9" t="s">
        <v>386</v>
      </c>
      <c r="D151">
        <v>10021310565</v>
      </c>
      <c r="E151" t="s">
        <v>47</v>
      </c>
      <c r="F151" t="s">
        <v>91</v>
      </c>
      <c r="G151" t="s">
        <v>92</v>
      </c>
      <c r="H151" t="s">
        <v>93</v>
      </c>
      <c r="I151" t="s">
        <v>94</v>
      </c>
      <c r="J151" t="s">
        <v>367</v>
      </c>
      <c r="K151" s="3">
        <v>100132653047</v>
      </c>
      <c r="L151" s="10">
        <v>40077</v>
      </c>
      <c r="M151">
        <v>605.97</v>
      </c>
      <c r="N151" s="11">
        <v>46</v>
      </c>
      <c r="O151" s="12">
        <v>13.73</v>
      </c>
      <c r="P151" s="12">
        <v>6.85</v>
      </c>
      <c r="Q151" s="13">
        <v>-22.72</v>
      </c>
      <c r="R151" s="36" t="s">
        <v>387</v>
      </c>
      <c r="S151" s="7">
        <f t="shared" si="9"/>
        <v>1</v>
      </c>
      <c r="T151" s="15" t="str">
        <f>VLOOKUP(R151,产品分类!$C$2:$D$1278,2,0)</f>
        <v>家具产品</v>
      </c>
    </row>
    <row r="152" spans="1:20">
      <c r="A152" s="8">
        <f>DATE(2012,12,31)-1336</f>
        <v>39938</v>
      </c>
      <c r="B152" s="8">
        <f>DATE(2012,12,31)-1336</f>
        <v>39938</v>
      </c>
      <c r="C152" s="9" t="s">
        <v>388</v>
      </c>
      <c r="D152">
        <v>10021296313</v>
      </c>
      <c r="E152" t="s">
        <v>47</v>
      </c>
      <c r="F152" t="s">
        <v>48</v>
      </c>
      <c r="G152" t="s">
        <v>49</v>
      </c>
      <c r="H152" t="s">
        <v>50</v>
      </c>
      <c r="I152" t="s">
        <v>51</v>
      </c>
      <c r="J152" t="s">
        <v>367</v>
      </c>
      <c r="K152" s="3">
        <v>100821396982</v>
      </c>
      <c r="L152" s="10">
        <v>39940</v>
      </c>
      <c r="M152">
        <v>4064.05</v>
      </c>
      <c r="N152" s="11">
        <v>33</v>
      </c>
      <c r="O152" s="12">
        <v>122.99</v>
      </c>
      <c r="P152" s="12">
        <v>19.99</v>
      </c>
      <c r="Q152" s="13">
        <v>1408.1865</v>
      </c>
      <c r="R152" s="36" t="s">
        <v>389</v>
      </c>
      <c r="S152" s="7">
        <f t="shared" si="9"/>
        <v>2</v>
      </c>
      <c r="T152" s="15" t="str">
        <f>VLOOKUP(R152,产品分类!$C$2:$D$1278,2,0)</f>
        <v>家具产品</v>
      </c>
    </row>
    <row r="153" spans="1:20">
      <c r="A153" s="8">
        <f>DATE(2012,12,31)-1336</f>
        <v>39938</v>
      </c>
      <c r="B153" s="8">
        <f>DATE(2012,12,31)-1336</f>
        <v>39938</v>
      </c>
      <c r="C153" s="9" t="s">
        <v>388</v>
      </c>
      <c r="D153">
        <v>10021294196</v>
      </c>
      <c r="E153" t="s">
        <v>47</v>
      </c>
      <c r="F153" t="s">
        <v>66</v>
      </c>
      <c r="G153" t="s">
        <v>67</v>
      </c>
      <c r="H153" t="s">
        <v>68</v>
      </c>
      <c r="I153" t="s">
        <v>69</v>
      </c>
      <c r="J153" t="s">
        <v>367</v>
      </c>
      <c r="K153" s="3">
        <v>100111327817</v>
      </c>
      <c r="L153" s="10">
        <v>39940</v>
      </c>
      <c r="M153">
        <v>3213.87</v>
      </c>
      <c r="N153" s="11">
        <v>47</v>
      </c>
      <c r="O153" s="12">
        <v>68.81</v>
      </c>
      <c r="P153" s="12">
        <v>60</v>
      </c>
      <c r="Q153" s="13">
        <v>-1069.72</v>
      </c>
      <c r="R153" s="36" t="s">
        <v>390</v>
      </c>
      <c r="S153" s="7">
        <f t="shared" si="9"/>
        <v>2</v>
      </c>
      <c r="T153" s="15" t="str">
        <f>VLOOKUP(R153,产品分类!$C$2:$D$1278,2,0)</f>
        <v>办公用品</v>
      </c>
    </row>
    <row r="154" spans="1:20">
      <c r="A154" s="8">
        <f>DATE(2012,12,31)-592</f>
        <v>40682</v>
      </c>
      <c r="B154" s="8">
        <f>DATE(2012,12,31)-592</f>
        <v>40682</v>
      </c>
      <c r="C154" s="9" t="s">
        <v>391</v>
      </c>
      <c r="D154">
        <v>10021255875</v>
      </c>
      <c r="E154" t="s">
        <v>47</v>
      </c>
      <c r="F154" t="s">
        <v>66</v>
      </c>
      <c r="G154" t="s">
        <v>67</v>
      </c>
      <c r="H154" t="s">
        <v>68</v>
      </c>
      <c r="I154" t="s">
        <v>69</v>
      </c>
      <c r="J154" t="s">
        <v>367</v>
      </c>
      <c r="K154" s="3">
        <v>100124656656</v>
      </c>
      <c r="L154" s="10">
        <v>40684</v>
      </c>
      <c r="M154">
        <v>315.02</v>
      </c>
      <c r="N154" s="11">
        <v>50</v>
      </c>
      <c r="O154" s="12">
        <v>5.98</v>
      </c>
      <c r="P154" s="12">
        <v>1.49</v>
      </c>
      <c r="Q154" s="13">
        <v>95.1575</v>
      </c>
      <c r="R154" s="36" t="s">
        <v>392</v>
      </c>
      <c r="S154" s="7">
        <f t="shared" si="9"/>
        <v>2</v>
      </c>
      <c r="T154" s="15" t="str">
        <f>VLOOKUP(R154,产品分类!$C$2:$D$1278,2,0)</f>
        <v>办公用品</v>
      </c>
    </row>
    <row r="155" spans="1:20">
      <c r="A155" s="8">
        <f>DATE(2012,12,31)-592</f>
        <v>40682</v>
      </c>
      <c r="B155" s="8">
        <f>DATE(2012,12,31)-592</f>
        <v>40682</v>
      </c>
      <c r="C155" s="9" t="s">
        <v>391</v>
      </c>
      <c r="D155">
        <v>10021261633</v>
      </c>
      <c r="E155" t="s">
        <v>47</v>
      </c>
      <c r="F155" t="s">
        <v>72</v>
      </c>
      <c r="G155" t="s">
        <v>73</v>
      </c>
      <c r="H155" t="s">
        <v>74</v>
      </c>
      <c r="I155" t="s">
        <v>75</v>
      </c>
      <c r="J155" t="s">
        <v>367</v>
      </c>
      <c r="K155" s="3">
        <v>100129497117</v>
      </c>
      <c r="L155" s="10">
        <v>40684</v>
      </c>
      <c r="M155">
        <v>40.02</v>
      </c>
      <c r="N155" s="11">
        <v>4</v>
      </c>
      <c r="O155" s="12">
        <v>9.93</v>
      </c>
      <c r="P155" s="12">
        <v>1.09</v>
      </c>
      <c r="Q155" s="13">
        <v>-1.28</v>
      </c>
      <c r="R155" s="36" t="s">
        <v>393</v>
      </c>
      <c r="S155" s="7">
        <f t="shared" si="9"/>
        <v>2</v>
      </c>
      <c r="T155" s="15" t="str">
        <f>VLOOKUP(R155,产品分类!$C$2:$D$1278,2,0)</f>
        <v>数码电子</v>
      </c>
    </row>
    <row r="156" spans="1:20">
      <c r="A156" s="8">
        <f>DATE(2012,12,31)-597</f>
        <v>40677</v>
      </c>
      <c r="B156" s="8">
        <f>DATE(2012,12,31)-597</f>
        <v>40677</v>
      </c>
      <c r="C156" s="9" t="s">
        <v>394</v>
      </c>
      <c r="D156">
        <v>10021261025</v>
      </c>
      <c r="E156" t="s">
        <v>47</v>
      </c>
      <c r="F156" t="s">
        <v>72</v>
      </c>
      <c r="G156" t="s">
        <v>73</v>
      </c>
      <c r="H156" t="s">
        <v>74</v>
      </c>
      <c r="I156" t="s">
        <v>75</v>
      </c>
      <c r="J156" t="s">
        <v>367</v>
      </c>
      <c r="K156" s="3">
        <v>100129109577</v>
      </c>
      <c r="L156" s="10">
        <v>40684</v>
      </c>
      <c r="M156">
        <v>11230.25</v>
      </c>
      <c r="N156" s="11">
        <v>42</v>
      </c>
      <c r="O156" s="12">
        <v>280.98</v>
      </c>
      <c r="P156" s="12">
        <v>35.67</v>
      </c>
      <c r="Q156" s="13">
        <v>-679.044366</v>
      </c>
      <c r="R156" s="36" t="s">
        <v>395</v>
      </c>
      <c r="S156" s="7">
        <f t="shared" si="9"/>
        <v>7</v>
      </c>
      <c r="T156" s="15" t="str">
        <f>VLOOKUP(R156,产品分类!$C$2:$D$1278,2,0)</f>
        <v>数码电子</v>
      </c>
    </row>
    <row r="157" spans="1:20">
      <c r="A157" s="8">
        <f t="shared" ref="A157:B159" si="10">DATE(2012,12,31)-194</f>
        <v>41080</v>
      </c>
      <c r="B157" s="8">
        <f t="shared" si="10"/>
        <v>41080</v>
      </c>
      <c r="C157" s="9" t="s">
        <v>396</v>
      </c>
      <c r="D157">
        <v>10021304176</v>
      </c>
      <c r="E157" t="s">
        <v>47</v>
      </c>
      <c r="F157" t="s">
        <v>91</v>
      </c>
      <c r="G157" t="s">
        <v>92</v>
      </c>
      <c r="H157" t="s">
        <v>93</v>
      </c>
      <c r="I157" t="s">
        <v>94</v>
      </c>
      <c r="J157" t="s">
        <v>367</v>
      </c>
      <c r="K157" s="3">
        <v>100132459557</v>
      </c>
      <c r="L157" s="10">
        <v>41082</v>
      </c>
      <c r="M157">
        <v>90.56</v>
      </c>
      <c r="N157" s="11">
        <v>6</v>
      </c>
      <c r="O157" s="12">
        <v>13.99</v>
      </c>
      <c r="P157" s="12">
        <v>7.51</v>
      </c>
      <c r="Q157" s="13">
        <v>-37.584</v>
      </c>
      <c r="R157" s="36" t="s">
        <v>397</v>
      </c>
      <c r="S157" s="7">
        <f t="shared" si="9"/>
        <v>2</v>
      </c>
      <c r="T157" s="15" t="str">
        <f>VLOOKUP(R157,产品分类!$C$2:$D$1278,2,0)</f>
        <v>办公用品</v>
      </c>
    </row>
    <row r="158" spans="1:20">
      <c r="A158" s="8">
        <f t="shared" si="10"/>
        <v>41080</v>
      </c>
      <c r="B158" s="8">
        <f t="shared" si="10"/>
        <v>41080</v>
      </c>
      <c r="C158" s="9" t="s">
        <v>396</v>
      </c>
      <c r="D158">
        <v>10021248239</v>
      </c>
      <c r="E158" t="s">
        <v>47</v>
      </c>
      <c r="F158" t="s">
        <v>91</v>
      </c>
      <c r="G158" t="s">
        <v>92</v>
      </c>
      <c r="H158" t="s">
        <v>93</v>
      </c>
      <c r="I158" t="s">
        <v>94</v>
      </c>
      <c r="J158" t="s">
        <v>367</v>
      </c>
      <c r="K158" s="3">
        <v>1001905178</v>
      </c>
      <c r="L158" s="10">
        <v>41081</v>
      </c>
      <c r="M158">
        <v>1634.9</v>
      </c>
      <c r="N158" s="11">
        <v>42</v>
      </c>
      <c r="O158" s="12">
        <v>37.74</v>
      </c>
      <c r="P158" s="12">
        <v>2.9</v>
      </c>
      <c r="Q158" s="13">
        <v>502.42</v>
      </c>
      <c r="R158" s="36" t="s">
        <v>398</v>
      </c>
      <c r="S158" s="7">
        <f t="shared" si="9"/>
        <v>1</v>
      </c>
      <c r="T158" s="15" t="str">
        <f>VLOOKUP(R158,产品分类!$C$2:$D$1278,2,0)</f>
        <v>办公用品</v>
      </c>
    </row>
    <row r="159" spans="1:20">
      <c r="A159" s="8">
        <f t="shared" si="10"/>
        <v>41080</v>
      </c>
      <c r="B159" s="8">
        <f t="shared" si="10"/>
        <v>41080</v>
      </c>
      <c r="C159" s="9" t="s">
        <v>396</v>
      </c>
      <c r="D159">
        <v>10021250947</v>
      </c>
      <c r="E159" t="s">
        <v>47</v>
      </c>
      <c r="F159" t="s">
        <v>83</v>
      </c>
      <c r="G159" t="s">
        <v>84</v>
      </c>
      <c r="H159" t="s">
        <v>85</v>
      </c>
      <c r="I159" t="s">
        <v>86</v>
      </c>
      <c r="J159" t="s">
        <v>367</v>
      </c>
      <c r="K159" s="3">
        <v>100716342275</v>
      </c>
      <c r="L159" s="10">
        <v>41083</v>
      </c>
      <c r="M159">
        <v>11278.18</v>
      </c>
      <c r="N159" s="11">
        <v>48</v>
      </c>
      <c r="O159" s="12">
        <v>227.55</v>
      </c>
      <c r="P159" s="12">
        <v>32.48</v>
      </c>
      <c r="Q159" s="13">
        <v>1836.81</v>
      </c>
      <c r="R159" s="36" t="s">
        <v>399</v>
      </c>
      <c r="S159" s="7">
        <f t="shared" si="9"/>
        <v>3</v>
      </c>
      <c r="T159" s="15" t="str">
        <f>VLOOKUP(R159,产品分类!$C$2:$D$1278,2,0)</f>
        <v>办公用品</v>
      </c>
    </row>
    <row r="160" spans="1:20">
      <c r="A160" s="8">
        <f>DATE(2012,12,31)-1352</f>
        <v>39922</v>
      </c>
      <c r="B160" s="8">
        <f>DATE(2012,12,31)-1352</f>
        <v>39922</v>
      </c>
      <c r="C160" s="9" t="s">
        <v>400</v>
      </c>
      <c r="D160">
        <v>10021253234</v>
      </c>
      <c r="E160" t="s">
        <v>47</v>
      </c>
      <c r="F160" t="s">
        <v>122</v>
      </c>
      <c r="G160" t="s">
        <v>123</v>
      </c>
      <c r="H160" t="s">
        <v>124</v>
      </c>
      <c r="I160" t="s">
        <v>125</v>
      </c>
      <c r="J160" t="s">
        <v>367</v>
      </c>
      <c r="K160" s="3">
        <v>100916174911</v>
      </c>
      <c r="L160" s="10">
        <v>39926</v>
      </c>
      <c r="M160">
        <v>132.07</v>
      </c>
      <c r="N160" s="11">
        <v>38</v>
      </c>
      <c r="O160" s="12">
        <v>3.58</v>
      </c>
      <c r="P160" s="12">
        <v>1.63</v>
      </c>
      <c r="Q160" s="13">
        <v>14</v>
      </c>
      <c r="R160" s="36" t="s">
        <v>401</v>
      </c>
      <c r="S160" s="7">
        <f t="shared" si="9"/>
        <v>4</v>
      </c>
      <c r="T160" s="15" t="str">
        <f>VLOOKUP(R160,产品分类!$C$2:$D$1278,2,0)</f>
        <v>办公用品</v>
      </c>
    </row>
    <row r="161" spans="1:20">
      <c r="A161" s="8">
        <f>DATE(2012,12,31)-581</f>
        <v>40693</v>
      </c>
      <c r="B161" s="8">
        <f>DATE(2012,12,31)-581</f>
        <v>40693</v>
      </c>
      <c r="C161" s="9" t="s">
        <v>352</v>
      </c>
      <c r="D161">
        <v>10021249916</v>
      </c>
      <c r="E161" t="s">
        <v>47</v>
      </c>
      <c r="F161" t="s">
        <v>122</v>
      </c>
      <c r="G161" t="s">
        <v>123</v>
      </c>
      <c r="H161" t="s">
        <v>124</v>
      </c>
      <c r="I161" t="s">
        <v>125</v>
      </c>
      <c r="J161" t="s">
        <v>367</v>
      </c>
      <c r="K161" s="3">
        <v>100411716383</v>
      </c>
      <c r="L161" s="10">
        <v>40694</v>
      </c>
      <c r="M161">
        <v>1815.49</v>
      </c>
      <c r="N161" s="11">
        <v>46</v>
      </c>
      <c r="O161" s="12">
        <v>39.89</v>
      </c>
      <c r="P161" s="12">
        <v>3.04</v>
      </c>
      <c r="Q161" s="13">
        <v>782.91</v>
      </c>
      <c r="R161" s="36" t="s">
        <v>402</v>
      </c>
      <c r="S161" s="7">
        <f t="shared" si="9"/>
        <v>1</v>
      </c>
      <c r="T161" s="15" t="str">
        <f>VLOOKUP(R161,产品分类!$C$2:$D$1278,2,0)</f>
        <v>办公用品</v>
      </c>
    </row>
    <row r="162" spans="1:20">
      <c r="A162" s="8">
        <f>DATE(2012,12,31)-1132</f>
        <v>40142</v>
      </c>
      <c r="B162" s="8">
        <f>DATE(2012,12,31)-1132</f>
        <v>40142</v>
      </c>
      <c r="C162" s="9" t="s">
        <v>403</v>
      </c>
      <c r="D162">
        <v>10021300609</v>
      </c>
      <c r="E162" t="s">
        <v>47</v>
      </c>
      <c r="F162" t="s">
        <v>91</v>
      </c>
      <c r="G162" t="s">
        <v>92</v>
      </c>
      <c r="H162" t="s">
        <v>93</v>
      </c>
      <c r="I162" t="s">
        <v>94</v>
      </c>
      <c r="J162" t="s">
        <v>367</v>
      </c>
      <c r="K162" s="3">
        <v>100929640181</v>
      </c>
      <c r="L162" s="10">
        <v>40143</v>
      </c>
      <c r="M162">
        <v>248.26</v>
      </c>
      <c r="N162" s="11">
        <v>16</v>
      </c>
      <c r="O162" s="12">
        <v>15.74</v>
      </c>
      <c r="P162" s="12">
        <v>1.39</v>
      </c>
      <c r="Q162" s="13">
        <v>93.8</v>
      </c>
      <c r="R162" s="36" t="s">
        <v>404</v>
      </c>
      <c r="S162" s="7">
        <f t="shared" si="9"/>
        <v>1</v>
      </c>
      <c r="T162" s="15" t="str">
        <f>VLOOKUP(R162,产品分类!$C$2:$D$1278,2,0)</f>
        <v>办公用品</v>
      </c>
    </row>
    <row r="163" spans="1:20">
      <c r="A163" s="16">
        <f>DATE(2012,12,31)-849</f>
        <v>40425</v>
      </c>
      <c r="B163" s="16">
        <f>DATE(2012,12,31)-849</f>
        <v>40425</v>
      </c>
      <c r="C163" s="9" t="s">
        <v>405</v>
      </c>
      <c r="D163">
        <v>10021249869</v>
      </c>
      <c r="E163" t="s">
        <v>47</v>
      </c>
      <c r="F163" t="s">
        <v>208</v>
      </c>
      <c r="G163" t="s">
        <v>209</v>
      </c>
      <c r="H163" t="s">
        <v>210</v>
      </c>
      <c r="I163" t="s">
        <v>211</v>
      </c>
      <c r="J163" t="s">
        <v>367</v>
      </c>
      <c r="K163" s="3">
        <v>100310113329</v>
      </c>
      <c r="L163" s="10">
        <v>40432</v>
      </c>
      <c r="M163">
        <v>583.64</v>
      </c>
      <c r="N163" s="17">
        <v>6</v>
      </c>
      <c r="O163" s="5">
        <v>95.43</v>
      </c>
      <c r="P163" s="5">
        <v>19.99</v>
      </c>
      <c r="Q163" s="6">
        <v>-179.5</v>
      </c>
      <c r="R163" s="37" t="s">
        <v>406</v>
      </c>
      <c r="S163" s="7">
        <f t="shared" si="9"/>
        <v>7</v>
      </c>
      <c r="T163" s="15" t="str">
        <f>VLOOKUP(R163,产品分类!$C$2:$D$1278,2,0)</f>
        <v>办公用品</v>
      </c>
    </row>
    <row r="164" spans="1:20">
      <c r="A164" s="8">
        <f>DATE(2012,12,31)-212</f>
        <v>41062</v>
      </c>
      <c r="B164" s="8">
        <f>DATE(2012,12,31)-212</f>
        <v>41062</v>
      </c>
      <c r="C164" s="9" t="s">
        <v>407</v>
      </c>
      <c r="D164">
        <v>10021269570</v>
      </c>
      <c r="E164" t="s">
        <v>47</v>
      </c>
      <c r="F164" t="s">
        <v>171</v>
      </c>
      <c r="G164" t="s">
        <v>172</v>
      </c>
      <c r="H164" t="s">
        <v>173</v>
      </c>
      <c r="I164" t="s">
        <v>174</v>
      </c>
      <c r="J164" t="s">
        <v>367</v>
      </c>
      <c r="K164" s="3">
        <v>100932450321</v>
      </c>
      <c r="L164" s="10">
        <v>41064</v>
      </c>
      <c r="M164">
        <v>1406.15</v>
      </c>
      <c r="N164" s="11">
        <v>19</v>
      </c>
      <c r="O164" s="12">
        <v>70.98</v>
      </c>
      <c r="P164" s="12">
        <v>46.74</v>
      </c>
      <c r="Q164" s="13">
        <v>-379.1</v>
      </c>
      <c r="R164" s="36" t="s">
        <v>408</v>
      </c>
      <c r="S164" s="7">
        <f t="shared" si="9"/>
        <v>2</v>
      </c>
      <c r="T164" s="15" t="str">
        <f>VLOOKUP(R164,产品分类!$C$2:$D$1278,2,0)</f>
        <v>家具产品</v>
      </c>
    </row>
    <row r="165" spans="1:20">
      <c r="A165" s="8">
        <f>DATE(2012,12,31)-1456</f>
        <v>39818</v>
      </c>
      <c r="B165" s="8">
        <f>DATE(2012,12,31)-1456</f>
        <v>39818</v>
      </c>
      <c r="C165" s="9" t="s">
        <v>259</v>
      </c>
      <c r="D165">
        <v>10021257846</v>
      </c>
      <c r="E165" t="s">
        <v>47</v>
      </c>
      <c r="F165" t="s">
        <v>177</v>
      </c>
      <c r="G165" t="s">
        <v>178</v>
      </c>
      <c r="H165" t="s">
        <v>179</v>
      </c>
      <c r="I165" t="s">
        <v>180</v>
      </c>
      <c r="J165" t="s">
        <v>367</v>
      </c>
      <c r="K165" s="3">
        <v>100926715711</v>
      </c>
      <c r="L165" s="10">
        <v>39819</v>
      </c>
      <c r="M165">
        <v>165.75</v>
      </c>
      <c r="N165" s="11">
        <v>6</v>
      </c>
      <c r="O165" s="12">
        <v>28.48</v>
      </c>
      <c r="P165" s="12">
        <v>1.99</v>
      </c>
      <c r="Q165" s="13">
        <v>-28.46</v>
      </c>
      <c r="R165" s="36" t="s">
        <v>409</v>
      </c>
      <c r="S165" s="7">
        <f t="shared" si="9"/>
        <v>1</v>
      </c>
      <c r="T165" s="15" t="str">
        <f>VLOOKUP(R165,产品分类!$C$2:$D$1278,2,0)</f>
        <v>办公用品</v>
      </c>
    </row>
    <row r="166" spans="1:20">
      <c r="A166" s="8">
        <f>DATE(2012,12,31)-1456</f>
        <v>39818</v>
      </c>
      <c r="B166" s="8">
        <f>DATE(2012,12,31)-1456</f>
        <v>39818</v>
      </c>
      <c r="C166" s="9" t="s">
        <v>259</v>
      </c>
      <c r="D166">
        <v>10021260383</v>
      </c>
      <c r="E166" t="s">
        <v>47</v>
      </c>
      <c r="F166" t="s">
        <v>167</v>
      </c>
      <c r="G166" t="s">
        <v>168</v>
      </c>
      <c r="H166" t="s">
        <v>169</v>
      </c>
      <c r="I166" t="s">
        <v>168</v>
      </c>
      <c r="J166" t="s">
        <v>367</v>
      </c>
      <c r="K166" s="3">
        <v>100928597451</v>
      </c>
      <c r="L166" s="10">
        <v>39820</v>
      </c>
      <c r="M166">
        <v>2021.147</v>
      </c>
      <c r="N166" s="11">
        <v>11</v>
      </c>
      <c r="O166" s="12">
        <v>205.99</v>
      </c>
      <c r="P166" s="12">
        <v>5.99</v>
      </c>
      <c r="Q166" s="13">
        <v>-60.39</v>
      </c>
      <c r="R166" s="36" t="s">
        <v>110</v>
      </c>
      <c r="S166" s="7">
        <f t="shared" si="9"/>
        <v>2</v>
      </c>
      <c r="T166" s="15" t="str">
        <f>VLOOKUP(R166,产品分类!$C$2:$D$1278,2,0)</f>
        <v>数码电子</v>
      </c>
    </row>
    <row r="167" spans="1:20">
      <c r="A167" s="8">
        <f>DATE(2012,12,31)-1218</f>
        <v>40056</v>
      </c>
      <c r="B167" s="8">
        <f>DATE(2012,12,31)-1218</f>
        <v>40056</v>
      </c>
      <c r="C167" s="9" t="s">
        <v>370</v>
      </c>
      <c r="D167">
        <v>10021286665</v>
      </c>
      <c r="E167" t="s">
        <v>47</v>
      </c>
      <c r="F167" t="s">
        <v>342</v>
      </c>
      <c r="G167" t="s">
        <v>343</v>
      </c>
      <c r="H167" t="s">
        <v>344</v>
      </c>
      <c r="I167" t="s">
        <v>345</v>
      </c>
      <c r="J167" t="s">
        <v>367</v>
      </c>
      <c r="K167" s="3">
        <v>100329690419</v>
      </c>
      <c r="L167" s="10">
        <v>40058</v>
      </c>
      <c r="M167">
        <v>226.1</v>
      </c>
      <c r="N167" s="11">
        <v>34</v>
      </c>
      <c r="O167" s="12">
        <v>6.37</v>
      </c>
      <c r="P167" s="12">
        <v>5.19</v>
      </c>
      <c r="Q167" s="13">
        <v>-52.21</v>
      </c>
      <c r="R167" s="36" t="s">
        <v>410</v>
      </c>
      <c r="S167" s="7">
        <f t="shared" si="9"/>
        <v>2</v>
      </c>
      <c r="T167" s="15" t="str">
        <f>VLOOKUP(R167,产品分类!$C$2:$D$1278,2,0)</f>
        <v>数码电子</v>
      </c>
    </row>
    <row r="168" spans="1:20">
      <c r="A168" s="8">
        <f>DATE(2012,12,31)-316</f>
        <v>40958</v>
      </c>
      <c r="B168" s="8">
        <f>DATE(2012,12,31)-316</f>
        <v>40958</v>
      </c>
      <c r="C168" s="9" t="s">
        <v>411</v>
      </c>
      <c r="D168">
        <v>10021267602</v>
      </c>
      <c r="E168" t="s">
        <v>47</v>
      </c>
      <c r="F168" t="s">
        <v>61</v>
      </c>
      <c r="G168" t="s">
        <v>62</v>
      </c>
      <c r="H168" t="s">
        <v>63</v>
      </c>
      <c r="I168" t="s">
        <v>64</v>
      </c>
      <c r="J168" t="s">
        <v>367</v>
      </c>
      <c r="K168" s="3">
        <v>100132101076</v>
      </c>
      <c r="L168" s="10">
        <v>40960</v>
      </c>
      <c r="M168">
        <v>341.36</v>
      </c>
      <c r="N168" s="11">
        <v>41</v>
      </c>
      <c r="O168" s="12">
        <v>8.46</v>
      </c>
      <c r="P168" s="12">
        <v>3.62</v>
      </c>
      <c r="Q168" s="13">
        <v>-52.48</v>
      </c>
      <c r="R168" s="36" t="s">
        <v>412</v>
      </c>
      <c r="S168" s="7">
        <f t="shared" si="9"/>
        <v>2</v>
      </c>
      <c r="T168" s="15" t="str">
        <f>VLOOKUP(R168,产品分类!$C$2:$D$1278,2,0)</f>
        <v>数码电子</v>
      </c>
    </row>
    <row r="169" spans="1:20">
      <c r="A169" s="8">
        <f>DATE(2012,12,31)-981</f>
        <v>40293</v>
      </c>
      <c r="B169" s="8">
        <f>DATE(2012,12,31)-981</f>
        <v>40293</v>
      </c>
      <c r="C169" s="9" t="s">
        <v>413</v>
      </c>
      <c r="D169">
        <v>10021254766</v>
      </c>
      <c r="E169" t="s">
        <v>47</v>
      </c>
      <c r="F169" t="s">
        <v>253</v>
      </c>
      <c r="G169" t="s">
        <v>254</v>
      </c>
      <c r="H169" t="s">
        <v>255</v>
      </c>
      <c r="I169" t="s">
        <v>256</v>
      </c>
      <c r="J169" t="s">
        <v>367</v>
      </c>
      <c r="K169" s="3">
        <v>100423005163</v>
      </c>
      <c r="L169" s="10">
        <v>40294</v>
      </c>
      <c r="M169">
        <v>469.438</v>
      </c>
      <c r="N169" s="11">
        <v>3</v>
      </c>
      <c r="O169" s="12">
        <v>195.99</v>
      </c>
      <c r="P169" s="12">
        <v>8.99</v>
      </c>
      <c r="Q169" s="13">
        <v>-888.162</v>
      </c>
      <c r="R169" s="36" t="s">
        <v>414</v>
      </c>
      <c r="S169" s="7">
        <f t="shared" si="9"/>
        <v>1</v>
      </c>
      <c r="T169" s="15" t="str">
        <f>VLOOKUP(R169,产品分类!$C$2:$D$1278,2,0)</f>
        <v>数码电子</v>
      </c>
    </row>
    <row r="170" spans="1:20">
      <c r="A170" s="8">
        <f>DATE(2012,12,31)-1404</f>
        <v>39870</v>
      </c>
      <c r="B170" s="8">
        <f>DATE(2012,12,31)-1404</f>
        <v>39870</v>
      </c>
      <c r="C170" s="9" t="s">
        <v>359</v>
      </c>
      <c r="D170">
        <v>10021252550</v>
      </c>
      <c r="E170" t="s">
        <v>47</v>
      </c>
      <c r="F170" t="s">
        <v>61</v>
      </c>
      <c r="G170" t="s">
        <v>62</v>
      </c>
      <c r="H170" t="s">
        <v>63</v>
      </c>
      <c r="I170" t="s">
        <v>64</v>
      </c>
      <c r="J170" t="s">
        <v>367</v>
      </c>
      <c r="K170" s="3">
        <v>100111938387</v>
      </c>
      <c r="L170" s="10">
        <v>39872</v>
      </c>
      <c r="M170">
        <v>127.33</v>
      </c>
      <c r="N170" s="11">
        <v>22</v>
      </c>
      <c r="O170" s="12">
        <v>5.34</v>
      </c>
      <c r="P170" s="12">
        <v>2.99</v>
      </c>
      <c r="Q170" s="13">
        <v>5.2955</v>
      </c>
      <c r="R170" s="36" t="s">
        <v>415</v>
      </c>
      <c r="S170" s="7">
        <f t="shared" si="9"/>
        <v>2</v>
      </c>
      <c r="T170" s="15" t="str">
        <f>VLOOKUP(R170,产品分类!$C$2:$D$1278,2,0)</f>
        <v>办公用品</v>
      </c>
    </row>
    <row r="171" spans="1:20">
      <c r="A171" s="8">
        <f>DATE(2012,12,31)-1404</f>
        <v>39870</v>
      </c>
      <c r="B171" s="8">
        <f>DATE(2012,12,31)-1404</f>
        <v>39870</v>
      </c>
      <c r="C171" s="9" t="s">
        <v>359</v>
      </c>
      <c r="D171">
        <v>10021304297</v>
      </c>
      <c r="E171" t="s">
        <v>47</v>
      </c>
      <c r="F171" t="s">
        <v>83</v>
      </c>
      <c r="G171" t="s">
        <v>84</v>
      </c>
      <c r="H171" t="s">
        <v>85</v>
      </c>
      <c r="I171" t="s">
        <v>86</v>
      </c>
      <c r="J171" t="s">
        <v>367</v>
      </c>
      <c r="K171" s="3">
        <v>100132561067</v>
      </c>
      <c r="L171" s="10">
        <v>39871</v>
      </c>
      <c r="M171">
        <v>990.1</v>
      </c>
      <c r="N171" s="11">
        <v>24</v>
      </c>
      <c r="O171" s="12">
        <v>40.98</v>
      </c>
      <c r="P171" s="12">
        <v>7.47</v>
      </c>
      <c r="Q171" s="13">
        <v>310.216</v>
      </c>
      <c r="R171" s="36" t="s">
        <v>416</v>
      </c>
      <c r="S171" s="7">
        <f t="shared" si="9"/>
        <v>1</v>
      </c>
      <c r="T171" s="15" t="str">
        <f>VLOOKUP(R171,产品分类!$C$2:$D$1278,2,0)</f>
        <v>家具产品</v>
      </c>
    </row>
    <row r="172" spans="1:20">
      <c r="A172" s="8">
        <f>DATE(2012,12,31)-1045</f>
        <v>40229</v>
      </c>
      <c r="B172" s="8">
        <f>DATE(2012,12,31)-1045</f>
        <v>40229</v>
      </c>
      <c r="C172" s="9" t="s">
        <v>417</v>
      </c>
      <c r="D172">
        <v>10021309782</v>
      </c>
      <c r="E172" t="s">
        <v>47</v>
      </c>
      <c r="F172" t="s">
        <v>72</v>
      </c>
      <c r="G172" t="s">
        <v>73</v>
      </c>
      <c r="H172" t="s">
        <v>74</v>
      </c>
      <c r="I172" t="s">
        <v>75</v>
      </c>
      <c r="J172" t="s">
        <v>367</v>
      </c>
      <c r="K172" s="3">
        <v>100932810601</v>
      </c>
      <c r="L172" s="10">
        <v>40231</v>
      </c>
      <c r="M172">
        <v>1187.55</v>
      </c>
      <c r="N172" s="11">
        <v>30</v>
      </c>
      <c r="O172" s="12">
        <v>37.7</v>
      </c>
      <c r="P172" s="12">
        <v>2.99</v>
      </c>
      <c r="Q172" s="13">
        <v>532.61</v>
      </c>
      <c r="R172" s="36" t="s">
        <v>418</v>
      </c>
      <c r="S172" s="7">
        <f t="shared" si="9"/>
        <v>2</v>
      </c>
      <c r="T172" s="15" t="str">
        <f>VLOOKUP(R172,产品分类!$C$2:$D$1278,2,0)</f>
        <v>数码电子</v>
      </c>
    </row>
    <row r="173" spans="1:20">
      <c r="A173" s="8">
        <f>DATE(2012,12,31)-225</f>
        <v>41049</v>
      </c>
      <c r="B173" s="8">
        <f>DATE(2012,12,31)-225</f>
        <v>41049</v>
      </c>
      <c r="C173" s="9" t="s">
        <v>419</v>
      </c>
      <c r="D173">
        <v>10021271092</v>
      </c>
      <c r="E173" t="s">
        <v>47</v>
      </c>
      <c r="F173" t="s">
        <v>132</v>
      </c>
      <c r="G173" t="s">
        <v>133</v>
      </c>
      <c r="H173" t="s">
        <v>134</v>
      </c>
      <c r="I173" t="s">
        <v>133</v>
      </c>
      <c r="J173" t="s">
        <v>367</v>
      </c>
      <c r="K173" s="3">
        <v>100132758348</v>
      </c>
      <c r="L173" s="10">
        <v>41056</v>
      </c>
      <c r="M173">
        <v>269.02</v>
      </c>
      <c r="N173" s="11">
        <v>13</v>
      </c>
      <c r="O173" s="12">
        <v>20.97</v>
      </c>
      <c r="P173" s="12">
        <v>6.5</v>
      </c>
      <c r="Q173" s="13">
        <v>-112</v>
      </c>
      <c r="R173" s="36" t="s">
        <v>420</v>
      </c>
      <c r="S173" s="7">
        <f t="shared" si="9"/>
        <v>7</v>
      </c>
      <c r="T173" s="15" t="str">
        <f>VLOOKUP(R173,产品分类!$C$2:$D$1278,2,0)</f>
        <v>数码电子</v>
      </c>
    </row>
    <row r="174" spans="1:20">
      <c r="A174" s="8">
        <f>DATE(2012,12,31)-498</f>
        <v>40776</v>
      </c>
      <c r="B174" s="8">
        <f>DATE(2012,12,31)-498</f>
        <v>40776</v>
      </c>
      <c r="C174" s="9" t="s">
        <v>421</v>
      </c>
      <c r="D174">
        <v>10021309664</v>
      </c>
      <c r="E174" t="s">
        <v>47</v>
      </c>
      <c r="F174" t="s">
        <v>55</v>
      </c>
      <c r="G174" t="s">
        <v>56</v>
      </c>
      <c r="H174" t="s">
        <v>57</v>
      </c>
      <c r="I174" t="s">
        <v>58</v>
      </c>
      <c r="J174" t="s">
        <v>367</v>
      </c>
      <c r="K174" s="3">
        <v>100132810268</v>
      </c>
      <c r="L174" s="10">
        <v>40778</v>
      </c>
      <c r="M174">
        <v>142.18</v>
      </c>
      <c r="N174" s="11">
        <v>28</v>
      </c>
      <c r="O174" s="12">
        <v>4.98</v>
      </c>
      <c r="P174" s="12">
        <v>4.72</v>
      </c>
      <c r="Q174" s="13">
        <v>-50.14</v>
      </c>
      <c r="R174" s="36" t="s">
        <v>331</v>
      </c>
      <c r="S174" s="7">
        <f t="shared" si="9"/>
        <v>2</v>
      </c>
      <c r="T174" s="15" t="str">
        <f>VLOOKUP(R174,产品分类!$C$2:$D$1278,2,0)</f>
        <v>数码电子</v>
      </c>
    </row>
    <row r="175" spans="1:20">
      <c r="A175" s="8">
        <f>DATE(2012,12,31)-470</f>
        <v>40804</v>
      </c>
      <c r="B175" s="8">
        <f>DATE(2012,12,31)-470</f>
        <v>40804</v>
      </c>
      <c r="C175" s="9" t="s">
        <v>245</v>
      </c>
      <c r="D175">
        <v>10021305096</v>
      </c>
      <c r="E175" t="s">
        <v>47</v>
      </c>
      <c r="F175" t="s">
        <v>66</v>
      </c>
      <c r="G175" t="s">
        <v>67</v>
      </c>
      <c r="H175" t="s">
        <v>68</v>
      </c>
      <c r="I175" t="s">
        <v>69</v>
      </c>
      <c r="J175" t="s">
        <v>367</v>
      </c>
      <c r="K175" s="3">
        <v>100132795068</v>
      </c>
      <c r="L175" s="10">
        <v>40805</v>
      </c>
      <c r="M175">
        <v>5340.5</v>
      </c>
      <c r="N175" s="11">
        <v>48</v>
      </c>
      <c r="O175" s="12">
        <v>110.98</v>
      </c>
      <c r="P175" s="12">
        <v>13.99</v>
      </c>
      <c r="Q175" s="13">
        <v>1215.28</v>
      </c>
      <c r="R175" s="36" t="s">
        <v>422</v>
      </c>
      <c r="S175" s="7">
        <f t="shared" si="9"/>
        <v>1</v>
      </c>
      <c r="T175" s="15" t="str">
        <f>VLOOKUP(R175,产品分类!$C$2:$D$1278,2,0)</f>
        <v>数码电子</v>
      </c>
    </row>
    <row r="176" spans="1:20">
      <c r="A176" s="8">
        <f t="shared" ref="A176:B179" si="11">DATE(2012,12,31)-321</f>
        <v>40953</v>
      </c>
      <c r="B176" s="8">
        <f t="shared" si="11"/>
        <v>40953</v>
      </c>
      <c r="C176" s="9" t="s">
        <v>423</v>
      </c>
      <c r="D176">
        <v>10021290336</v>
      </c>
      <c r="E176" t="s">
        <v>47</v>
      </c>
      <c r="F176" t="s">
        <v>55</v>
      </c>
      <c r="G176" t="s">
        <v>56</v>
      </c>
      <c r="H176" t="s">
        <v>57</v>
      </c>
      <c r="I176" t="s">
        <v>58</v>
      </c>
      <c r="J176" t="s">
        <v>367</v>
      </c>
      <c r="K176" s="3">
        <v>100130781506</v>
      </c>
      <c r="L176" s="10">
        <v>40955</v>
      </c>
      <c r="M176">
        <v>4462.23</v>
      </c>
      <c r="N176" s="11">
        <v>44</v>
      </c>
      <c r="O176" s="12">
        <v>100.98</v>
      </c>
      <c r="P176" s="12">
        <v>26.22</v>
      </c>
      <c r="Q176" s="13">
        <v>440.72</v>
      </c>
      <c r="R176" s="36" t="s">
        <v>424</v>
      </c>
      <c r="S176" s="7">
        <f t="shared" si="9"/>
        <v>2</v>
      </c>
      <c r="T176" s="15" t="str">
        <f>VLOOKUP(R176,产品分类!$C$2:$D$1278,2,0)</f>
        <v>数码电子</v>
      </c>
    </row>
    <row r="177" spans="1:20">
      <c r="A177" s="8">
        <f t="shared" si="11"/>
        <v>40953</v>
      </c>
      <c r="B177" s="8">
        <f t="shared" si="11"/>
        <v>40953</v>
      </c>
      <c r="C177" s="9" t="s">
        <v>425</v>
      </c>
      <c r="D177">
        <v>10021290541</v>
      </c>
      <c r="E177" t="s">
        <v>47</v>
      </c>
      <c r="F177" t="s">
        <v>91</v>
      </c>
      <c r="G177" t="s">
        <v>92</v>
      </c>
      <c r="H177" t="s">
        <v>93</v>
      </c>
      <c r="I177" t="s">
        <v>94</v>
      </c>
      <c r="J177" t="s">
        <v>367</v>
      </c>
      <c r="K177" s="3">
        <v>100919317711</v>
      </c>
      <c r="L177" s="10">
        <v>40955</v>
      </c>
      <c r="M177">
        <v>663.784</v>
      </c>
      <c r="N177" s="11">
        <v>11</v>
      </c>
      <c r="O177" s="12">
        <v>71.37</v>
      </c>
      <c r="P177" s="12">
        <v>69</v>
      </c>
      <c r="Q177" s="13">
        <v>-481.041</v>
      </c>
      <c r="R177" s="36" t="s">
        <v>426</v>
      </c>
      <c r="S177" s="7">
        <f t="shared" si="9"/>
        <v>2</v>
      </c>
      <c r="T177" s="15" t="str">
        <f>VLOOKUP(R177,产品分类!$C$2:$D$1278,2,0)</f>
        <v>家具产品</v>
      </c>
    </row>
    <row r="178" spans="1:20">
      <c r="A178" s="8">
        <f t="shared" si="11"/>
        <v>40953</v>
      </c>
      <c r="B178" s="8">
        <f t="shared" si="11"/>
        <v>40953</v>
      </c>
      <c r="C178" s="9" t="s">
        <v>425</v>
      </c>
      <c r="D178">
        <v>10021271867</v>
      </c>
      <c r="E178" t="s">
        <v>47</v>
      </c>
      <c r="F178" t="s">
        <v>132</v>
      </c>
      <c r="G178" t="s">
        <v>133</v>
      </c>
      <c r="H178" t="s">
        <v>134</v>
      </c>
      <c r="I178" t="s">
        <v>133</v>
      </c>
      <c r="J178" t="s">
        <v>367</v>
      </c>
      <c r="K178" s="3">
        <v>100921599771</v>
      </c>
      <c r="L178" s="10">
        <v>40955</v>
      </c>
      <c r="M178">
        <v>115.1</v>
      </c>
      <c r="N178" s="11">
        <v>23</v>
      </c>
      <c r="O178" s="12">
        <v>4.91</v>
      </c>
      <c r="P178" s="12">
        <v>0.5</v>
      </c>
      <c r="Q178" s="13">
        <v>53.13</v>
      </c>
      <c r="R178" s="36" t="s">
        <v>427</v>
      </c>
      <c r="S178" s="7">
        <f t="shared" si="9"/>
        <v>2</v>
      </c>
      <c r="T178" s="15" t="str">
        <f>VLOOKUP(R178,产品分类!$C$2:$D$1278,2,0)</f>
        <v>数码电子</v>
      </c>
    </row>
    <row r="179" spans="1:20">
      <c r="A179" s="16">
        <f t="shared" si="11"/>
        <v>40953</v>
      </c>
      <c r="B179" s="16">
        <f t="shared" si="11"/>
        <v>40953</v>
      </c>
      <c r="C179" s="9" t="s">
        <v>423</v>
      </c>
      <c r="D179">
        <v>10021272005</v>
      </c>
      <c r="E179" t="s">
        <v>47</v>
      </c>
      <c r="F179" t="s">
        <v>342</v>
      </c>
      <c r="G179" t="s">
        <v>343</v>
      </c>
      <c r="H179" t="s">
        <v>344</v>
      </c>
      <c r="I179" t="s">
        <v>345</v>
      </c>
      <c r="J179" t="s">
        <v>367</v>
      </c>
      <c r="K179" s="3">
        <v>100929393771</v>
      </c>
      <c r="L179" s="10">
        <v>40954</v>
      </c>
      <c r="M179">
        <v>516.65</v>
      </c>
      <c r="N179" s="17">
        <v>7</v>
      </c>
      <c r="O179" s="5">
        <v>70.97</v>
      </c>
      <c r="P179" s="5">
        <v>3.5</v>
      </c>
      <c r="Q179" s="6">
        <v>57.1</v>
      </c>
      <c r="R179" s="37" t="s">
        <v>365</v>
      </c>
      <c r="S179" s="7">
        <f t="shared" si="9"/>
        <v>1</v>
      </c>
      <c r="T179" s="15" t="str">
        <f>VLOOKUP(R179,产品分类!$C$2:$D$1278,2,0)</f>
        <v>数码电子</v>
      </c>
    </row>
    <row r="180" spans="1:20">
      <c r="A180" s="16">
        <f>DATE(2012,12,31)-130</f>
        <v>41144</v>
      </c>
      <c r="B180" s="16">
        <f>DATE(2012,12,31)-130</f>
        <v>41144</v>
      </c>
      <c r="C180" s="9" t="s">
        <v>428</v>
      </c>
      <c r="D180">
        <v>10021256410</v>
      </c>
      <c r="E180" t="s">
        <v>47</v>
      </c>
      <c r="F180" t="s">
        <v>152</v>
      </c>
      <c r="G180" t="s">
        <v>153</v>
      </c>
      <c r="H180" t="s">
        <v>154</v>
      </c>
      <c r="I180" t="s">
        <v>155</v>
      </c>
      <c r="J180" t="s">
        <v>367</v>
      </c>
      <c r="K180" s="3">
        <v>100424988423</v>
      </c>
      <c r="L180" s="10">
        <v>41148</v>
      </c>
      <c r="M180">
        <v>374.78</v>
      </c>
      <c r="N180" s="17">
        <v>7</v>
      </c>
      <c r="O180" s="5">
        <v>55.48</v>
      </c>
      <c r="P180" s="5">
        <v>14.3</v>
      </c>
      <c r="Q180" s="6">
        <v>20.03</v>
      </c>
      <c r="R180" s="37" t="s">
        <v>429</v>
      </c>
      <c r="S180" s="7">
        <f t="shared" si="9"/>
        <v>4</v>
      </c>
      <c r="T180" s="15" t="str">
        <f>VLOOKUP(R180,产品分类!$C$2:$D$1278,2,0)</f>
        <v>办公用品</v>
      </c>
    </row>
    <row r="181" spans="1:20">
      <c r="A181" s="8">
        <f>DATE(2012,12,31)-42</f>
        <v>41232</v>
      </c>
      <c r="B181" s="8">
        <f>DATE(2012,12,31)-42</f>
        <v>41232</v>
      </c>
      <c r="C181" s="9" t="s">
        <v>430</v>
      </c>
      <c r="D181">
        <v>10021298611</v>
      </c>
      <c r="E181" t="s">
        <v>47</v>
      </c>
      <c r="F181" t="s">
        <v>152</v>
      </c>
      <c r="G181" t="s">
        <v>153</v>
      </c>
      <c r="H181" t="s">
        <v>154</v>
      </c>
      <c r="I181" t="s">
        <v>155</v>
      </c>
      <c r="J181" t="s">
        <v>367</v>
      </c>
      <c r="K181" s="3">
        <v>100426960133</v>
      </c>
      <c r="L181" s="10">
        <v>41233</v>
      </c>
      <c r="M181">
        <v>222.91</v>
      </c>
      <c r="N181" s="11">
        <v>14</v>
      </c>
      <c r="O181" s="12">
        <v>15.98</v>
      </c>
      <c r="P181" s="12">
        <v>4</v>
      </c>
      <c r="Q181" s="13">
        <v>20.21</v>
      </c>
      <c r="R181" s="36" t="s">
        <v>371</v>
      </c>
      <c r="S181" s="7">
        <f t="shared" si="9"/>
        <v>1</v>
      </c>
      <c r="T181" s="15" t="str">
        <f>VLOOKUP(R181,产品分类!$C$2:$D$1278,2,0)</f>
        <v>办公用品</v>
      </c>
    </row>
    <row r="182" spans="1:20">
      <c r="A182" s="8">
        <f>DATE(2012,12,31)-1363</f>
        <v>39911</v>
      </c>
      <c r="B182" s="8">
        <f>DATE(2012,12,31)-1363</f>
        <v>39911</v>
      </c>
      <c r="C182" s="9" t="s">
        <v>431</v>
      </c>
      <c r="D182">
        <v>10021294933</v>
      </c>
      <c r="E182" t="s">
        <v>47</v>
      </c>
      <c r="F182" t="s">
        <v>72</v>
      </c>
      <c r="G182" t="s">
        <v>73</v>
      </c>
      <c r="H182" t="s">
        <v>74</v>
      </c>
      <c r="I182" t="s">
        <v>75</v>
      </c>
      <c r="J182" t="s">
        <v>367</v>
      </c>
      <c r="K182" s="3">
        <v>100411947693</v>
      </c>
      <c r="L182" s="10">
        <v>39912</v>
      </c>
      <c r="M182">
        <v>129.1</v>
      </c>
      <c r="N182" s="11">
        <v>27</v>
      </c>
      <c r="O182" s="12">
        <v>4.42</v>
      </c>
      <c r="P182" s="12">
        <v>4.99</v>
      </c>
      <c r="Q182" s="13">
        <v>-59.82</v>
      </c>
      <c r="R182" s="36" t="s">
        <v>432</v>
      </c>
      <c r="S182" s="7">
        <f t="shared" si="9"/>
        <v>1</v>
      </c>
      <c r="T182" s="15" t="str">
        <f>VLOOKUP(R182,产品分类!$C$2:$D$1278,2,0)</f>
        <v>数码电子</v>
      </c>
    </row>
    <row r="183" spans="1:20">
      <c r="A183" s="8">
        <f>DATE(2012,12,31)-421</f>
        <v>40853</v>
      </c>
      <c r="B183" s="8">
        <f>DATE(2012,12,31)-421</f>
        <v>40853</v>
      </c>
      <c r="C183" s="9" t="s">
        <v>433</v>
      </c>
      <c r="D183">
        <v>10021267944</v>
      </c>
      <c r="E183" t="s">
        <v>47</v>
      </c>
      <c r="F183" t="s">
        <v>434</v>
      </c>
      <c r="G183" t="s">
        <v>435</v>
      </c>
      <c r="H183" t="s">
        <v>436</v>
      </c>
      <c r="I183" t="s">
        <v>437</v>
      </c>
      <c r="J183" t="s">
        <v>367</v>
      </c>
      <c r="K183" s="3">
        <v>100132123298</v>
      </c>
      <c r="L183" s="10">
        <v>40854</v>
      </c>
      <c r="M183">
        <v>3532.96</v>
      </c>
      <c r="N183" s="11">
        <v>35</v>
      </c>
      <c r="O183" s="12">
        <v>100.8</v>
      </c>
      <c r="P183" s="12">
        <v>60</v>
      </c>
      <c r="Q183" s="13">
        <v>-243.60336</v>
      </c>
      <c r="R183" s="36" t="s">
        <v>438</v>
      </c>
      <c r="S183" s="7">
        <f t="shared" si="9"/>
        <v>1</v>
      </c>
      <c r="T183" s="15" t="str">
        <f>VLOOKUP(R183,产品分类!$C$2:$D$1278,2,0)</f>
        <v>办公用品</v>
      </c>
    </row>
    <row r="184" spans="1:20">
      <c r="A184" s="8">
        <f>DATE(2012,12,31)-250</f>
        <v>41024</v>
      </c>
      <c r="B184" s="8">
        <f>DATE(2012,12,31)-250</f>
        <v>41024</v>
      </c>
      <c r="C184" s="9" t="s">
        <v>439</v>
      </c>
      <c r="D184">
        <v>10021259530</v>
      </c>
      <c r="E184" t="s">
        <v>47</v>
      </c>
      <c r="F184" t="s">
        <v>122</v>
      </c>
      <c r="G184" t="s">
        <v>123</v>
      </c>
      <c r="H184" t="s">
        <v>124</v>
      </c>
      <c r="I184" t="s">
        <v>125</v>
      </c>
      <c r="J184" t="s">
        <v>367</v>
      </c>
      <c r="K184" s="3">
        <v>100927966631</v>
      </c>
      <c r="L184" s="10">
        <v>41025</v>
      </c>
      <c r="M184">
        <v>662.16</v>
      </c>
      <c r="N184" s="11">
        <v>25</v>
      </c>
      <c r="O184" s="12">
        <v>28.48</v>
      </c>
      <c r="P184" s="12">
        <v>1.99</v>
      </c>
      <c r="Q184" s="13">
        <v>185.21</v>
      </c>
      <c r="R184" s="36" t="s">
        <v>409</v>
      </c>
      <c r="S184" s="7">
        <f t="shared" si="9"/>
        <v>1</v>
      </c>
      <c r="T184" s="15" t="str">
        <f>VLOOKUP(R184,产品分类!$C$2:$D$1278,2,0)</f>
        <v>办公用品</v>
      </c>
    </row>
    <row r="185" spans="1:20">
      <c r="A185" s="16">
        <f>DATE(2012,12,31)-1291</f>
        <v>39983</v>
      </c>
      <c r="B185" s="16">
        <f>DATE(2012,12,31)-1291</f>
        <v>39983</v>
      </c>
      <c r="C185" s="9" t="s">
        <v>440</v>
      </c>
      <c r="D185">
        <v>10021266398</v>
      </c>
      <c r="E185" t="s">
        <v>47</v>
      </c>
      <c r="F185" t="s">
        <v>122</v>
      </c>
      <c r="G185" t="s">
        <v>123</v>
      </c>
      <c r="H185" t="s">
        <v>124</v>
      </c>
      <c r="I185" t="s">
        <v>125</v>
      </c>
      <c r="J185" t="s">
        <v>367</v>
      </c>
      <c r="K185" s="3">
        <v>100931781181</v>
      </c>
      <c r="L185" s="10">
        <v>39986</v>
      </c>
      <c r="M185">
        <v>46.46</v>
      </c>
      <c r="N185" s="17">
        <v>3</v>
      </c>
      <c r="O185" s="5">
        <v>14.42</v>
      </c>
      <c r="P185" s="5">
        <v>6.75</v>
      </c>
      <c r="Q185" s="6">
        <v>-25.13</v>
      </c>
      <c r="R185" s="37" t="s">
        <v>441</v>
      </c>
      <c r="S185" s="7">
        <f t="shared" si="9"/>
        <v>3</v>
      </c>
      <c r="T185" s="15" t="str">
        <f>VLOOKUP(R185,产品分类!$C$2:$D$1278,2,0)</f>
        <v>办公用品</v>
      </c>
    </row>
    <row r="186" spans="1:20">
      <c r="A186" s="8">
        <f t="shared" ref="A186:B188" si="12">DATE(2012,12,31)-257</f>
        <v>41017</v>
      </c>
      <c r="B186" s="8">
        <f t="shared" si="12"/>
        <v>41017</v>
      </c>
      <c r="C186" s="9" t="s">
        <v>442</v>
      </c>
      <c r="D186">
        <v>10021249986</v>
      </c>
      <c r="E186" t="s">
        <v>47</v>
      </c>
      <c r="F186" t="s">
        <v>83</v>
      </c>
      <c r="G186" t="s">
        <v>84</v>
      </c>
      <c r="H186" t="s">
        <v>85</v>
      </c>
      <c r="I186" t="s">
        <v>86</v>
      </c>
      <c r="J186" t="s">
        <v>367</v>
      </c>
      <c r="K186" s="3">
        <v>100413059084</v>
      </c>
      <c r="L186" s="10">
        <v>41017</v>
      </c>
      <c r="M186">
        <v>14.68</v>
      </c>
      <c r="N186" s="11">
        <v>1</v>
      </c>
      <c r="O186" s="12">
        <v>8.6</v>
      </c>
      <c r="P186" s="12">
        <v>6.19</v>
      </c>
      <c r="Q186" s="13">
        <v>-13.777</v>
      </c>
      <c r="R186" s="36" t="s">
        <v>443</v>
      </c>
      <c r="S186" s="7">
        <f t="shared" si="9"/>
        <v>0</v>
      </c>
      <c r="T186" s="15" t="str">
        <f>VLOOKUP(R186,产品分类!$C$2:$D$1278,2,0)</f>
        <v>办公用品</v>
      </c>
    </row>
    <row r="187" spans="1:20">
      <c r="A187" s="8">
        <f t="shared" si="12"/>
        <v>41017</v>
      </c>
      <c r="B187" s="8">
        <f t="shared" si="12"/>
        <v>41017</v>
      </c>
      <c r="C187" s="9" t="s">
        <v>442</v>
      </c>
      <c r="D187">
        <v>10021248768</v>
      </c>
      <c r="E187" t="s">
        <v>47</v>
      </c>
      <c r="F187" t="s">
        <v>91</v>
      </c>
      <c r="G187" t="s">
        <v>92</v>
      </c>
      <c r="H187" t="s">
        <v>93</v>
      </c>
      <c r="I187" t="s">
        <v>94</v>
      </c>
      <c r="J187" t="s">
        <v>367</v>
      </c>
      <c r="K187" s="3">
        <v>10034041759</v>
      </c>
      <c r="L187" s="10">
        <v>41019</v>
      </c>
      <c r="M187">
        <v>10145.14</v>
      </c>
      <c r="N187" s="11">
        <v>11</v>
      </c>
      <c r="O187" s="12">
        <v>896.99</v>
      </c>
      <c r="P187" s="12">
        <v>19.99</v>
      </c>
      <c r="Q187" s="13">
        <v>3724.5725</v>
      </c>
      <c r="R187" s="36" t="s">
        <v>444</v>
      </c>
      <c r="S187" s="7">
        <f t="shared" si="9"/>
        <v>2</v>
      </c>
      <c r="T187" s="15" t="str">
        <f>VLOOKUP(R187,产品分类!$C$2:$D$1278,2,0)</f>
        <v>办公用品</v>
      </c>
    </row>
    <row r="188" spans="1:20">
      <c r="A188" s="8">
        <f t="shared" si="12"/>
        <v>41017</v>
      </c>
      <c r="B188" s="8">
        <f t="shared" si="12"/>
        <v>41017</v>
      </c>
      <c r="C188" s="9" t="s">
        <v>442</v>
      </c>
      <c r="D188">
        <v>10021262999</v>
      </c>
      <c r="E188" t="s">
        <v>47</v>
      </c>
      <c r="F188" t="s">
        <v>83</v>
      </c>
      <c r="G188" t="s">
        <v>84</v>
      </c>
      <c r="H188" t="s">
        <v>85</v>
      </c>
      <c r="I188" t="s">
        <v>86</v>
      </c>
      <c r="J188" t="s">
        <v>367</v>
      </c>
      <c r="K188" s="3">
        <v>100430448173</v>
      </c>
      <c r="L188" s="10">
        <v>41019</v>
      </c>
      <c r="M188">
        <v>68.45</v>
      </c>
      <c r="N188" s="11">
        <v>16</v>
      </c>
      <c r="O188" s="12">
        <v>4.24</v>
      </c>
      <c r="P188" s="12">
        <v>5.41</v>
      </c>
      <c r="Q188" s="13">
        <v>-57.8795</v>
      </c>
      <c r="R188" s="36" t="s">
        <v>445</v>
      </c>
      <c r="S188" s="7">
        <f t="shared" si="9"/>
        <v>2</v>
      </c>
      <c r="T188" s="15" t="str">
        <f>VLOOKUP(R188,产品分类!$C$2:$D$1278,2,0)</f>
        <v>数码电子</v>
      </c>
    </row>
    <row r="189" spans="1:20">
      <c r="A189" s="8">
        <f>DATE(2012,12,31)-1061</f>
        <v>40213</v>
      </c>
      <c r="B189" s="8">
        <f>DATE(2012,12,31)-1061</f>
        <v>40213</v>
      </c>
      <c r="C189" s="9" t="s">
        <v>446</v>
      </c>
      <c r="D189">
        <v>10021253521</v>
      </c>
      <c r="E189" t="s">
        <v>47</v>
      </c>
      <c r="F189" t="s">
        <v>91</v>
      </c>
      <c r="G189" t="s">
        <v>92</v>
      </c>
      <c r="H189" t="s">
        <v>93</v>
      </c>
      <c r="I189" t="s">
        <v>94</v>
      </c>
      <c r="J189" t="s">
        <v>367</v>
      </c>
      <c r="K189" s="3">
        <v>100919317711</v>
      </c>
      <c r="L189" s="10">
        <v>40213</v>
      </c>
      <c r="M189">
        <v>257.39</v>
      </c>
      <c r="N189" s="11">
        <v>48</v>
      </c>
      <c r="O189" s="12">
        <v>5.28</v>
      </c>
      <c r="P189" s="12">
        <v>5.57</v>
      </c>
      <c r="Q189" s="13">
        <v>-121.91</v>
      </c>
      <c r="R189" s="36" t="s">
        <v>447</v>
      </c>
      <c r="S189" s="7">
        <f t="shared" si="9"/>
        <v>0</v>
      </c>
      <c r="T189" s="15" t="str">
        <f>VLOOKUP(R189,产品分类!$C$2:$D$1278,2,0)</f>
        <v>数码电子</v>
      </c>
    </row>
    <row r="190" spans="1:20">
      <c r="A190" s="8">
        <f>DATE(2012,12,31)-1071</f>
        <v>40203</v>
      </c>
      <c r="B190" s="8">
        <f>DATE(2012,12,31)-1071</f>
        <v>40203</v>
      </c>
      <c r="C190" s="9" t="s">
        <v>448</v>
      </c>
      <c r="D190">
        <v>10021294135</v>
      </c>
      <c r="E190" t="s">
        <v>47</v>
      </c>
      <c r="F190" t="s">
        <v>102</v>
      </c>
      <c r="G190" t="s">
        <v>103</v>
      </c>
      <c r="H190" t="s">
        <v>104</v>
      </c>
      <c r="I190" t="s">
        <v>105</v>
      </c>
      <c r="J190" t="s">
        <v>367</v>
      </c>
      <c r="K190" s="3">
        <v>100911121301</v>
      </c>
      <c r="L190" s="10">
        <v>40203</v>
      </c>
      <c r="M190">
        <v>494.34</v>
      </c>
      <c r="N190" s="11">
        <v>15</v>
      </c>
      <c r="O190" s="12">
        <v>31.98</v>
      </c>
      <c r="P190" s="12">
        <v>6.72</v>
      </c>
      <c r="Q190" s="13">
        <v>-30.19</v>
      </c>
      <c r="R190" s="36" t="s">
        <v>449</v>
      </c>
      <c r="S190" s="7">
        <f t="shared" si="9"/>
        <v>0</v>
      </c>
      <c r="T190" s="15" t="str">
        <f>VLOOKUP(R190,产品分类!$C$2:$D$1278,2,0)</f>
        <v>家具产品</v>
      </c>
    </row>
    <row r="191" spans="1:20">
      <c r="A191" s="8">
        <f>DATE(2012,12,31)-1086</f>
        <v>40188</v>
      </c>
      <c r="B191" s="8">
        <f>DATE(2012,12,31)-1086</f>
        <v>40188</v>
      </c>
      <c r="C191" s="9" t="s">
        <v>417</v>
      </c>
      <c r="D191">
        <v>10021292954</v>
      </c>
      <c r="E191" t="s">
        <v>47</v>
      </c>
      <c r="F191" t="s">
        <v>91</v>
      </c>
      <c r="G191" t="s">
        <v>92</v>
      </c>
      <c r="H191" t="s">
        <v>93</v>
      </c>
      <c r="I191" t="s">
        <v>94</v>
      </c>
      <c r="J191" t="s">
        <v>367</v>
      </c>
      <c r="K191" s="3">
        <v>10043380484</v>
      </c>
      <c r="L191" s="10">
        <v>40188</v>
      </c>
      <c r="M191">
        <v>827.27</v>
      </c>
      <c r="N191" s="11">
        <v>40</v>
      </c>
      <c r="O191" s="12">
        <v>20.97</v>
      </c>
      <c r="P191" s="12">
        <v>6.5</v>
      </c>
      <c r="Q191" s="13">
        <v>-170.87</v>
      </c>
      <c r="R191" s="36" t="s">
        <v>420</v>
      </c>
      <c r="S191" s="7">
        <f t="shared" si="9"/>
        <v>0</v>
      </c>
      <c r="T191" s="15" t="str">
        <f>VLOOKUP(R191,产品分类!$C$2:$D$1278,2,0)</f>
        <v>数码电子</v>
      </c>
    </row>
    <row r="192" spans="1:20">
      <c r="A192" s="8">
        <f>DATE(2012,12,31)-308</f>
        <v>40966</v>
      </c>
      <c r="B192" s="8">
        <f>DATE(2012,12,31)-308</f>
        <v>40966</v>
      </c>
      <c r="C192" s="9" t="s">
        <v>450</v>
      </c>
      <c r="D192">
        <v>10021253052</v>
      </c>
      <c r="E192" t="s">
        <v>47</v>
      </c>
      <c r="F192" t="s">
        <v>171</v>
      </c>
      <c r="G192" t="s">
        <v>172</v>
      </c>
      <c r="H192" t="s">
        <v>173</v>
      </c>
      <c r="I192" t="s">
        <v>174</v>
      </c>
      <c r="J192" t="s">
        <v>367</v>
      </c>
      <c r="K192" s="3">
        <v>100917535541</v>
      </c>
      <c r="L192" s="10">
        <v>40968</v>
      </c>
      <c r="M192">
        <v>892.38</v>
      </c>
      <c r="N192" s="11">
        <v>26</v>
      </c>
      <c r="O192" s="12">
        <v>31.78</v>
      </c>
      <c r="P192" s="12">
        <v>1.99</v>
      </c>
      <c r="Q192" s="13">
        <v>366.48</v>
      </c>
      <c r="R192" s="36" t="s">
        <v>451</v>
      </c>
      <c r="S192" s="7">
        <f t="shared" si="9"/>
        <v>2</v>
      </c>
      <c r="T192" s="15" t="str">
        <f>VLOOKUP(R192,产品分类!$C$2:$D$1278,2,0)</f>
        <v>家具产品</v>
      </c>
    </row>
    <row r="193" spans="1:20">
      <c r="A193" s="8">
        <f>DATE(2012,12,31)-308</f>
        <v>40966</v>
      </c>
      <c r="B193" s="8">
        <f>DATE(2012,12,31)-308</f>
        <v>40966</v>
      </c>
      <c r="C193" s="9" t="s">
        <v>450</v>
      </c>
      <c r="D193">
        <v>10021262984</v>
      </c>
      <c r="E193" t="s">
        <v>47</v>
      </c>
      <c r="F193" t="s">
        <v>171</v>
      </c>
      <c r="G193" t="s">
        <v>172</v>
      </c>
      <c r="H193" t="s">
        <v>173</v>
      </c>
      <c r="I193" t="s">
        <v>174</v>
      </c>
      <c r="J193" t="s">
        <v>367</v>
      </c>
      <c r="K193" s="3">
        <v>100130446706</v>
      </c>
      <c r="L193" s="10">
        <v>40968</v>
      </c>
      <c r="M193">
        <v>29.41</v>
      </c>
      <c r="N193" s="11">
        <v>10</v>
      </c>
      <c r="O193" s="12">
        <v>2.78</v>
      </c>
      <c r="P193" s="12">
        <v>1.34</v>
      </c>
      <c r="Q193" s="13">
        <v>-2.06</v>
      </c>
      <c r="R193" s="36" t="s">
        <v>452</v>
      </c>
      <c r="S193" s="7">
        <f t="shared" si="9"/>
        <v>2</v>
      </c>
      <c r="T193" s="15" t="str">
        <f>VLOOKUP(R193,产品分类!$C$2:$D$1278,2,0)</f>
        <v>家具产品</v>
      </c>
    </row>
    <row r="194" spans="1:20">
      <c r="A194" s="8">
        <f>DATE(2012,12,31)-214</f>
        <v>41060</v>
      </c>
      <c r="B194" s="8">
        <f>DATE(2012,12,31)-214</f>
        <v>41060</v>
      </c>
      <c r="C194" s="9" t="s">
        <v>453</v>
      </c>
      <c r="D194">
        <v>10021294927</v>
      </c>
      <c r="E194" t="s">
        <v>47</v>
      </c>
      <c r="F194" t="s">
        <v>61</v>
      </c>
      <c r="G194" t="s">
        <v>62</v>
      </c>
      <c r="H194" t="s">
        <v>63</v>
      </c>
      <c r="I194" t="s">
        <v>64</v>
      </c>
      <c r="J194" t="s">
        <v>367</v>
      </c>
      <c r="K194" s="3">
        <v>100311939269</v>
      </c>
      <c r="L194" s="10">
        <v>41060</v>
      </c>
      <c r="M194">
        <v>3874.12</v>
      </c>
      <c r="N194" s="11">
        <v>27</v>
      </c>
      <c r="O194" s="12">
        <v>130.98</v>
      </c>
      <c r="P194" s="12">
        <v>54.74</v>
      </c>
      <c r="Q194" s="13">
        <v>-305.98</v>
      </c>
      <c r="R194" s="36" t="s">
        <v>142</v>
      </c>
      <c r="S194" s="7">
        <f t="shared" si="9"/>
        <v>0</v>
      </c>
      <c r="T194" s="15" t="str">
        <f>VLOOKUP(R194,产品分类!$C$2:$D$1278,2,0)</f>
        <v>数码电子</v>
      </c>
    </row>
    <row r="195" spans="1:20">
      <c r="A195" s="8">
        <f>DATE(2012,12,31)-214</f>
        <v>41060</v>
      </c>
      <c r="B195" s="8">
        <f>DATE(2012,12,31)-214</f>
        <v>41060</v>
      </c>
      <c r="C195" s="9" t="s">
        <v>453</v>
      </c>
      <c r="D195">
        <v>10021251384</v>
      </c>
      <c r="E195" t="s">
        <v>47</v>
      </c>
      <c r="F195" t="s">
        <v>61</v>
      </c>
      <c r="G195" t="s">
        <v>62</v>
      </c>
      <c r="H195" t="s">
        <v>454</v>
      </c>
      <c r="I195" t="s">
        <v>455</v>
      </c>
      <c r="J195" t="s">
        <v>367</v>
      </c>
      <c r="K195" s="3">
        <v>10037479869</v>
      </c>
      <c r="L195" s="10">
        <v>41061</v>
      </c>
      <c r="M195">
        <v>1452.216</v>
      </c>
      <c r="N195" s="11">
        <v>8</v>
      </c>
      <c r="O195" s="12">
        <v>218.75</v>
      </c>
      <c r="P195" s="12">
        <v>69.64</v>
      </c>
      <c r="Q195" s="13">
        <v>-277.29</v>
      </c>
      <c r="R195" s="36" t="s">
        <v>456</v>
      </c>
      <c r="S195" s="7">
        <f t="shared" ref="S195:S258" si="13">+L195-B195</f>
        <v>1</v>
      </c>
      <c r="T195" s="15" t="str">
        <f>VLOOKUP(R195,产品分类!$C$2:$D$1278,2,0)</f>
        <v>办公用品</v>
      </c>
    </row>
    <row r="196" spans="1:20">
      <c r="A196" s="16">
        <f>DATE(2012,12,31)-963</f>
        <v>40311</v>
      </c>
      <c r="B196" s="16">
        <f>DATE(2012,12,31)-963</f>
        <v>40311</v>
      </c>
      <c r="C196" s="9" t="s">
        <v>457</v>
      </c>
      <c r="D196">
        <v>10021293878</v>
      </c>
      <c r="E196" t="s">
        <v>47</v>
      </c>
      <c r="F196" t="s">
        <v>61</v>
      </c>
      <c r="G196" t="s">
        <v>62</v>
      </c>
      <c r="H196" t="s">
        <v>454</v>
      </c>
      <c r="I196" t="s">
        <v>455</v>
      </c>
      <c r="J196" t="s">
        <v>367</v>
      </c>
      <c r="K196" s="3">
        <v>10099070681</v>
      </c>
      <c r="L196" s="10">
        <v>40312</v>
      </c>
      <c r="M196">
        <v>234.37</v>
      </c>
      <c r="N196" s="17">
        <v>46</v>
      </c>
      <c r="O196" s="5">
        <v>5.18</v>
      </c>
      <c r="P196" s="5">
        <v>5.74</v>
      </c>
      <c r="Q196" s="6">
        <v>-144.6815</v>
      </c>
      <c r="R196" s="37" t="s">
        <v>458</v>
      </c>
      <c r="S196" s="7">
        <f t="shared" si="13"/>
        <v>1</v>
      </c>
      <c r="T196" s="15" t="str">
        <f>VLOOKUP(R196,产品分类!$C$2:$D$1278,2,0)</f>
        <v>家具产品</v>
      </c>
    </row>
    <row r="197" spans="1:20">
      <c r="A197" s="8">
        <f>DATE(2012,12,31)-963</f>
        <v>40311</v>
      </c>
      <c r="B197" s="8">
        <f>DATE(2012,12,31)-963</f>
        <v>40311</v>
      </c>
      <c r="C197" s="9" t="s">
        <v>457</v>
      </c>
      <c r="D197">
        <v>10021250634</v>
      </c>
      <c r="E197" t="s">
        <v>47</v>
      </c>
      <c r="F197" t="s">
        <v>253</v>
      </c>
      <c r="G197" t="s">
        <v>254</v>
      </c>
      <c r="H197" t="s">
        <v>255</v>
      </c>
      <c r="I197" t="s">
        <v>256</v>
      </c>
      <c r="J197" t="s">
        <v>367</v>
      </c>
      <c r="K197" s="3">
        <v>100414164013</v>
      </c>
      <c r="L197" s="10">
        <v>40313</v>
      </c>
      <c r="M197">
        <v>1000.3565</v>
      </c>
      <c r="N197" s="11">
        <v>14</v>
      </c>
      <c r="O197" s="12">
        <v>85.99</v>
      </c>
      <c r="P197" s="12">
        <v>3.3</v>
      </c>
      <c r="Q197" s="13">
        <v>229.779</v>
      </c>
      <c r="R197" s="36" t="s">
        <v>459</v>
      </c>
      <c r="S197" s="7">
        <f t="shared" si="13"/>
        <v>2</v>
      </c>
      <c r="T197" s="15" t="str">
        <f>VLOOKUP(R197,产品分类!$C$2:$D$1278,2,0)</f>
        <v>办公用品</v>
      </c>
    </row>
    <row r="198" spans="1:20">
      <c r="A198" s="8">
        <f>DATE(2012,12,31)-1276</f>
        <v>39998</v>
      </c>
      <c r="B198" s="8">
        <f>DATE(2012,12,31)-1276</f>
        <v>39998</v>
      </c>
      <c r="C198" s="9" t="s">
        <v>460</v>
      </c>
      <c r="D198">
        <v>10021262827</v>
      </c>
      <c r="E198" t="s">
        <v>47</v>
      </c>
      <c r="F198" t="s">
        <v>83</v>
      </c>
      <c r="G198" t="s">
        <v>84</v>
      </c>
      <c r="H198" t="s">
        <v>85</v>
      </c>
      <c r="I198" t="s">
        <v>86</v>
      </c>
      <c r="J198" t="s">
        <v>367</v>
      </c>
      <c r="K198" s="3">
        <v>100430356094</v>
      </c>
      <c r="L198" s="10">
        <v>40000</v>
      </c>
      <c r="M198">
        <v>3908.65</v>
      </c>
      <c r="N198" s="11">
        <v>39</v>
      </c>
      <c r="O198" s="12">
        <v>105.29</v>
      </c>
      <c r="P198" s="12">
        <v>10.12</v>
      </c>
      <c r="Q198" s="13">
        <v>480.57</v>
      </c>
      <c r="R198" s="36" t="s">
        <v>461</v>
      </c>
      <c r="S198" s="7">
        <f t="shared" si="13"/>
        <v>2</v>
      </c>
      <c r="T198" s="15" t="str">
        <f>VLOOKUP(R198,产品分类!$C$2:$D$1278,2,0)</f>
        <v>数码电子</v>
      </c>
    </row>
    <row r="199" spans="1:20">
      <c r="A199" s="8">
        <f>DATE(2012,12,31)-1206</f>
        <v>40068</v>
      </c>
      <c r="B199" s="8">
        <f>DATE(2012,12,31)-1206</f>
        <v>40068</v>
      </c>
      <c r="C199" s="9" t="s">
        <v>462</v>
      </c>
      <c r="D199">
        <v>10021289010</v>
      </c>
      <c r="E199" t="s">
        <v>47</v>
      </c>
      <c r="F199" t="s">
        <v>48</v>
      </c>
      <c r="G199" t="s">
        <v>49</v>
      </c>
      <c r="H199" t="s">
        <v>50</v>
      </c>
      <c r="I199" t="s">
        <v>51</v>
      </c>
      <c r="J199" t="s">
        <v>367</v>
      </c>
      <c r="K199" s="3">
        <v>10019958838</v>
      </c>
      <c r="L199" s="10">
        <v>40070</v>
      </c>
      <c r="M199">
        <v>840.07</v>
      </c>
      <c r="N199" s="11">
        <v>34</v>
      </c>
      <c r="O199" s="12">
        <v>22.84</v>
      </c>
      <c r="P199" s="12">
        <v>16.92</v>
      </c>
      <c r="Q199" s="13">
        <v>-83.75</v>
      </c>
      <c r="R199" s="36" t="s">
        <v>463</v>
      </c>
      <c r="S199" s="7">
        <f t="shared" si="13"/>
        <v>2</v>
      </c>
      <c r="T199" s="15" t="str">
        <f>VLOOKUP(R199,产品分类!$C$2:$D$1278,2,0)</f>
        <v>家具产品</v>
      </c>
    </row>
    <row r="200" spans="1:20">
      <c r="A200" s="8">
        <f>DATE(2012,12,31)-1329</f>
        <v>39945</v>
      </c>
      <c r="B200" s="8">
        <f>DATE(2012,12,31)-1329</f>
        <v>39945</v>
      </c>
      <c r="C200" s="9" t="s">
        <v>464</v>
      </c>
      <c r="D200">
        <v>10021276218</v>
      </c>
      <c r="E200" t="s">
        <v>47</v>
      </c>
      <c r="F200" t="s">
        <v>171</v>
      </c>
      <c r="G200" t="s">
        <v>172</v>
      </c>
      <c r="H200" t="s">
        <v>173</v>
      </c>
      <c r="I200" t="s">
        <v>174</v>
      </c>
      <c r="J200" t="s">
        <v>367</v>
      </c>
      <c r="K200" s="3">
        <v>100927378751</v>
      </c>
      <c r="L200" s="10">
        <v>39947</v>
      </c>
      <c r="M200">
        <v>42.58</v>
      </c>
      <c r="N200" s="11">
        <v>4</v>
      </c>
      <c r="O200" s="12">
        <v>9.27</v>
      </c>
      <c r="P200" s="12">
        <v>4.39</v>
      </c>
      <c r="Q200" s="13">
        <v>-7.61</v>
      </c>
      <c r="R200" s="36" t="s">
        <v>465</v>
      </c>
      <c r="S200" s="7">
        <f t="shared" si="13"/>
        <v>2</v>
      </c>
      <c r="T200" s="15" t="str">
        <f>VLOOKUP(R200,产品分类!$C$2:$D$1278,2,0)</f>
        <v>办公用品</v>
      </c>
    </row>
    <row r="201" spans="1:20">
      <c r="A201" s="8">
        <f t="shared" ref="A201:B203" si="14">DATE(2012,12,31)-593</f>
        <v>40681</v>
      </c>
      <c r="B201" s="8">
        <f t="shared" si="14"/>
        <v>40681</v>
      </c>
      <c r="C201" s="9" t="s">
        <v>466</v>
      </c>
      <c r="D201">
        <v>10021278965</v>
      </c>
      <c r="E201" t="s">
        <v>47</v>
      </c>
      <c r="F201" t="s">
        <v>177</v>
      </c>
      <c r="G201" t="s">
        <v>178</v>
      </c>
      <c r="H201" t="s">
        <v>179</v>
      </c>
      <c r="I201" t="s">
        <v>180</v>
      </c>
      <c r="J201" t="s">
        <v>367</v>
      </c>
      <c r="K201" s="3">
        <v>100116358377</v>
      </c>
      <c r="L201" s="10">
        <v>40683</v>
      </c>
      <c r="M201">
        <v>523.42</v>
      </c>
      <c r="N201" s="11">
        <v>44</v>
      </c>
      <c r="O201" s="12">
        <v>11.7</v>
      </c>
      <c r="P201" s="12">
        <v>5.63</v>
      </c>
      <c r="Q201" s="13">
        <v>39.423</v>
      </c>
      <c r="R201" s="36" t="s">
        <v>348</v>
      </c>
      <c r="S201" s="7">
        <f t="shared" si="13"/>
        <v>2</v>
      </c>
      <c r="T201" s="15" t="str">
        <f>VLOOKUP(R201,产品分类!$C$2:$D$1278,2,0)</f>
        <v>办公用品</v>
      </c>
    </row>
    <row r="202" spans="1:20">
      <c r="A202" s="8">
        <f t="shared" si="14"/>
        <v>40681</v>
      </c>
      <c r="B202" s="8">
        <f t="shared" si="14"/>
        <v>40681</v>
      </c>
      <c r="C202" s="9" t="s">
        <v>466</v>
      </c>
      <c r="D202">
        <v>10021271985</v>
      </c>
      <c r="E202" t="s">
        <v>47</v>
      </c>
      <c r="F202" t="s">
        <v>127</v>
      </c>
      <c r="G202" t="s">
        <v>128</v>
      </c>
      <c r="H202" t="s">
        <v>129</v>
      </c>
      <c r="I202" t="s">
        <v>130</v>
      </c>
      <c r="J202" t="s">
        <v>367</v>
      </c>
      <c r="K202" s="3">
        <v>100330453159</v>
      </c>
      <c r="L202" s="10">
        <v>40682</v>
      </c>
      <c r="M202">
        <v>192.54</v>
      </c>
      <c r="N202" s="11">
        <v>40</v>
      </c>
      <c r="O202" s="12">
        <v>4.98</v>
      </c>
      <c r="P202" s="12">
        <v>7.44</v>
      </c>
      <c r="Q202" s="13">
        <v>-186.73</v>
      </c>
      <c r="R202" s="36" t="s">
        <v>287</v>
      </c>
      <c r="S202" s="7">
        <f t="shared" si="13"/>
        <v>1</v>
      </c>
      <c r="T202" s="15" t="str">
        <f>VLOOKUP(R202,产品分类!$C$2:$D$1278,2,0)</f>
        <v>办公用品</v>
      </c>
    </row>
    <row r="203" spans="1:20">
      <c r="A203" s="8">
        <f t="shared" si="14"/>
        <v>40681</v>
      </c>
      <c r="B203" s="8">
        <f t="shared" si="14"/>
        <v>40681</v>
      </c>
      <c r="C203" s="9" t="s">
        <v>466</v>
      </c>
      <c r="D203">
        <v>10021271839</v>
      </c>
      <c r="E203" t="s">
        <v>47</v>
      </c>
      <c r="F203" t="s">
        <v>127</v>
      </c>
      <c r="G203" t="s">
        <v>128</v>
      </c>
      <c r="H203" t="s">
        <v>129</v>
      </c>
      <c r="I203" t="s">
        <v>130</v>
      </c>
      <c r="J203" t="s">
        <v>367</v>
      </c>
      <c r="K203" s="3">
        <v>100930945621</v>
      </c>
      <c r="L203" s="10">
        <v>40683</v>
      </c>
      <c r="M203">
        <v>156.7</v>
      </c>
      <c r="N203" s="11">
        <v>29</v>
      </c>
      <c r="O203" s="12">
        <v>5.28</v>
      </c>
      <c r="P203" s="12">
        <v>5.57</v>
      </c>
      <c r="Q203" s="13">
        <v>-76.64</v>
      </c>
      <c r="R203" s="36" t="s">
        <v>447</v>
      </c>
      <c r="S203" s="7">
        <f t="shared" si="13"/>
        <v>2</v>
      </c>
      <c r="T203" s="15" t="str">
        <f>VLOOKUP(R203,产品分类!$C$2:$D$1278,2,0)</f>
        <v>数码电子</v>
      </c>
    </row>
    <row r="204" spans="1:20">
      <c r="A204" s="8">
        <f>DATE(2012,12,31)-260</f>
        <v>41014</v>
      </c>
      <c r="B204" s="8">
        <f>DATE(2012,12,31)-260</f>
        <v>41014</v>
      </c>
      <c r="C204" s="9" t="s">
        <v>467</v>
      </c>
      <c r="D204">
        <v>10021281231</v>
      </c>
      <c r="E204" t="s">
        <v>47</v>
      </c>
      <c r="F204" t="s">
        <v>152</v>
      </c>
      <c r="G204" t="s">
        <v>153</v>
      </c>
      <c r="H204" t="s">
        <v>154</v>
      </c>
      <c r="I204" t="s">
        <v>155</v>
      </c>
      <c r="J204" t="s">
        <v>367</v>
      </c>
      <c r="K204" s="3">
        <v>100120856847</v>
      </c>
      <c r="L204" s="10">
        <v>41021</v>
      </c>
      <c r="M204">
        <v>834.904</v>
      </c>
      <c r="N204" s="11">
        <v>15</v>
      </c>
      <c r="O204" s="12">
        <v>65.99</v>
      </c>
      <c r="P204" s="12">
        <v>5.26</v>
      </c>
      <c r="Q204" s="13">
        <v>-11.682</v>
      </c>
      <c r="R204" s="36" t="s">
        <v>468</v>
      </c>
      <c r="S204" s="7">
        <f t="shared" si="13"/>
        <v>7</v>
      </c>
      <c r="T204" s="15" t="str">
        <f>VLOOKUP(R204,产品分类!$C$2:$D$1278,2,0)</f>
        <v>数码电子</v>
      </c>
    </row>
    <row r="205" spans="1:20">
      <c r="A205" s="8">
        <f>DATE(2012,12,31)-260</f>
        <v>41014</v>
      </c>
      <c r="B205" s="8">
        <f>DATE(2012,12,31)-260</f>
        <v>41014</v>
      </c>
      <c r="C205" s="9" t="s">
        <v>467</v>
      </c>
      <c r="D205">
        <v>10021260083</v>
      </c>
      <c r="E205" t="s">
        <v>47</v>
      </c>
      <c r="F205" t="s">
        <v>72</v>
      </c>
      <c r="G205" t="s">
        <v>73</v>
      </c>
      <c r="H205" t="s">
        <v>74</v>
      </c>
      <c r="I205" t="s">
        <v>75</v>
      </c>
      <c r="J205" t="s">
        <v>367</v>
      </c>
      <c r="K205" s="3">
        <v>100128551757</v>
      </c>
      <c r="L205" s="10">
        <v>41018</v>
      </c>
      <c r="M205">
        <v>2480.9205</v>
      </c>
      <c r="N205" s="11">
        <v>18</v>
      </c>
      <c r="O205" s="12">
        <v>155.99</v>
      </c>
      <c r="P205" s="12">
        <v>8.99</v>
      </c>
      <c r="Q205" s="13">
        <v>313.578</v>
      </c>
      <c r="R205" s="36" t="s">
        <v>469</v>
      </c>
      <c r="S205" s="7">
        <f t="shared" si="13"/>
        <v>4</v>
      </c>
      <c r="T205" s="15" t="str">
        <f>VLOOKUP(R205,产品分类!$C$2:$D$1278,2,0)</f>
        <v>办公用品</v>
      </c>
    </row>
    <row r="206" spans="1:20">
      <c r="A206" s="8">
        <f>DATE(2012,12,31)-65</f>
        <v>41209</v>
      </c>
      <c r="B206" s="8">
        <f>DATE(2012,12,31)-65</f>
        <v>41209</v>
      </c>
      <c r="C206" s="9" t="s">
        <v>470</v>
      </c>
      <c r="D206">
        <v>10021252407</v>
      </c>
      <c r="E206" t="s">
        <v>47</v>
      </c>
      <c r="F206" t="s">
        <v>72</v>
      </c>
      <c r="G206" t="s">
        <v>73</v>
      </c>
      <c r="H206" t="s">
        <v>74</v>
      </c>
      <c r="I206" t="s">
        <v>75</v>
      </c>
      <c r="J206" t="s">
        <v>367</v>
      </c>
      <c r="K206" s="3">
        <v>100111308458</v>
      </c>
      <c r="L206" s="10">
        <v>41213</v>
      </c>
      <c r="M206">
        <v>2443.85</v>
      </c>
      <c r="N206" s="11">
        <v>24</v>
      </c>
      <c r="O206" s="12">
        <v>100.98</v>
      </c>
      <c r="P206" s="12">
        <v>35.84</v>
      </c>
      <c r="Q206" s="13">
        <v>-120.85</v>
      </c>
      <c r="R206" s="36" t="s">
        <v>471</v>
      </c>
      <c r="S206" s="7">
        <f t="shared" si="13"/>
        <v>4</v>
      </c>
      <c r="T206" s="15" t="str">
        <f>VLOOKUP(R206,产品分类!$C$2:$D$1278,2,0)</f>
        <v>办公用品</v>
      </c>
    </row>
    <row r="207" spans="1:20">
      <c r="A207" s="8">
        <f>DATE(2012,12,31)-197</f>
        <v>41077</v>
      </c>
      <c r="B207" s="8">
        <f>DATE(2012,12,31)-197</f>
        <v>41077</v>
      </c>
      <c r="C207" s="9" t="s">
        <v>472</v>
      </c>
      <c r="D207">
        <v>10021249298</v>
      </c>
      <c r="E207" t="s">
        <v>47</v>
      </c>
      <c r="F207" t="s">
        <v>473</v>
      </c>
      <c r="G207" t="s">
        <v>474</v>
      </c>
      <c r="H207" t="s">
        <v>475</v>
      </c>
      <c r="I207" t="s">
        <v>476</v>
      </c>
      <c r="J207" t="s">
        <v>367</v>
      </c>
      <c r="K207" s="3">
        <v>10095227941</v>
      </c>
      <c r="L207" s="10">
        <v>41079</v>
      </c>
      <c r="M207">
        <v>4789.89</v>
      </c>
      <c r="N207" s="11">
        <v>48</v>
      </c>
      <c r="O207" s="12">
        <v>100.98</v>
      </c>
      <c r="P207" s="12">
        <v>26.22</v>
      </c>
      <c r="Q207" s="13">
        <v>421.15</v>
      </c>
      <c r="R207" s="36" t="s">
        <v>424</v>
      </c>
      <c r="S207" s="7">
        <f t="shared" si="13"/>
        <v>2</v>
      </c>
      <c r="T207" s="15" t="str">
        <f>VLOOKUP(R207,产品分类!$C$2:$D$1278,2,0)</f>
        <v>数码电子</v>
      </c>
    </row>
    <row r="208" spans="1:20">
      <c r="A208" s="8">
        <f t="shared" ref="A208:B210" si="15">DATE(2012,12,31)-868</f>
        <v>40406</v>
      </c>
      <c r="B208" s="8">
        <f t="shared" si="15"/>
        <v>40406</v>
      </c>
      <c r="C208" s="9" t="s">
        <v>477</v>
      </c>
      <c r="D208">
        <v>10021269502</v>
      </c>
      <c r="E208" t="s">
        <v>47</v>
      </c>
      <c r="F208" t="s">
        <v>122</v>
      </c>
      <c r="G208" t="s">
        <v>123</v>
      </c>
      <c r="H208" t="s">
        <v>124</v>
      </c>
      <c r="I208" t="s">
        <v>125</v>
      </c>
      <c r="J208" t="s">
        <v>367</v>
      </c>
      <c r="K208" s="3">
        <v>100432446993</v>
      </c>
      <c r="L208" s="10">
        <v>40410</v>
      </c>
      <c r="M208">
        <v>89.335</v>
      </c>
      <c r="N208" s="11">
        <v>5</v>
      </c>
      <c r="O208" s="12">
        <v>20.99</v>
      </c>
      <c r="P208" s="12">
        <v>2.5</v>
      </c>
      <c r="Q208" s="13">
        <v>-107.096</v>
      </c>
      <c r="R208" s="36" t="s">
        <v>478</v>
      </c>
      <c r="S208" s="7">
        <f t="shared" si="13"/>
        <v>4</v>
      </c>
      <c r="T208" s="15" t="str">
        <f>VLOOKUP(R208,产品分类!$C$2:$D$1278,2,0)</f>
        <v>办公用品</v>
      </c>
    </row>
    <row r="209" spans="1:20">
      <c r="A209" s="16">
        <f t="shared" si="15"/>
        <v>40406</v>
      </c>
      <c r="B209" s="16">
        <f t="shared" si="15"/>
        <v>40406</v>
      </c>
      <c r="C209" s="9" t="s">
        <v>477</v>
      </c>
      <c r="D209">
        <v>10021254260</v>
      </c>
      <c r="E209" t="s">
        <v>47</v>
      </c>
      <c r="F209" t="s">
        <v>132</v>
      </c>
      <c r="G209" t="s">
        <v>133</v>
      </c>
      <c r="H209" t="s">
        <v>134</v>
      </c>
      <c r="I209" t="s">
        <v>133</v>
      </c>
      <c r="J209" t="s">
        <v>367</v>
      </c>
      <c r="K209" s="3">
        <v>100421558784</v>
      </c>
      <c r="L209" s="10">
        <v>40413</v>
      </c>
      <c r="M209">
        <v>158.46</v>
      </c>
      <c r="N209" s="17">
        <v>39</v>
      </c>
      <c r="O209" s="5">
        <v>3.98</v>
      </c>
      <c r="P209" s="5">
        <v>5.26</v>
      </c>
      <c r="Q209" s="6">
        <v>-130.663</v>
      </c>
      <c r="R209" s="37" t="s">
        <v>479</v>
      </c>
      <c r="S209" s="7">
        <f t="shared" si="13"/>
        <v>7</v>
      </c>
      <c r="T209" s="15" t="str">
        <f>VLOOKUP(R209,产品分类!$C$2:$D$1278,2,0)</f>
        <v>办公用品</v>
      </c>
    </row>
    <row r="210" spans="1:20">
      <c r="A210" s="8">
        <f t="shared" si="15"/>
        <v>40406</v>
      </c>
      <c r="B210" s="8">
        <f t="shared" si="15"/>
        <v>40406</v>
      </c>
      <c r="C210" s="9" t="s">
        <v>477</v>
      </c>
      <c r="D210">
        <v>10021265026</v>
      </c>
      <c r="E210" t="s">
        <v>47</v>
      </c>
      <c r="F210" t="s">
        <v>208</v>
      </c>
      <c r="G210" t="s">
        <v>209</v>
      </c>
      <c r="H210" t="s">
        <v>210</v>
      </c>
      <c r="I210" t="s">
        <v>211</v>
      </c>
      <c r="J210" t="s">
        <v>367</v>
      </c>
      <c r="K210" s="3">
        <v>100731257075</v>
      </c>
      <c r="L210" s="10">
        <v>40413</v>
      </c>
      <c r="M210">
        <v>7180.83</v>
      </c>
      <c r="N210" s="11">
        <v>31</v>
      </c>
      <c r="O210" s="12">
        <v>220.98</v>
      </c>
      <c r="P210" s="12">
        <v>64.66</v>
      </c>
      <c r="Q210" s="13">
        <v>487.17</v>
      </c>
      <c r="R210" s="36" t="s">
        <v>480</v>
      </c>
      <c r="S210" s="7">
        <f t="shared" si="13"/>
        <v>7</v>
      </c>
      <c r="T210" s="15" t="str">
        <f>VLOOKUP(R210,产品分类!$C$2:$D$1278,2,0)</f>
        <v>办公用品</v>
      </c>
    </row>
    <row r="211" spans="1:20">
      <c r="A211" s="8">
        <f>DATE(2012,12,31)-980</f>
        <v>40294</v>
      </c>
      <c r="B211" s="8">
        <f>DATE(2012,12,31)-980</f>
        <v>40294</v>
      </c>
      <c r="C211" s="9" t="s">
        <v>481</v>
      </c>
      <c r="D211">
        <v>10021258418</v>
      </c>
      <c r="E211" t="s">
        <v>47</v>
      </c>
      <c r="F211" t="s">
        <v>171</v>
      </c>
      <c r="G211" t="s">
        <v>172</v>
      </c>
      <c r="H211" t="s">
        <v>173</v>
      </c>
      <c r="I211" t="s">
        <v>174</v>
      </c>
      <c r="J211" t="s">
        <v>367</v>
      </c>
      <c r="K211" s="3">
        <v>100926977441</v>
      </c>
      <c r="L211" s="10">
        <v>40295</v>
      </c>
      <c r="M211">
        <v>17129.97</v>
      </c>
      <c r="N211" s="11">
        <v>43</v>
      </c>
      <c r="O211" s="12">
        <v>415.88</v>
      </c>
      <c r="P211" s="12">
        <v>11.37</v>
      </c>
      <c r="Q211" s="13">
        <v>5616.08</v>
      </c>
      <c r="R211" s="36" t="s">
        <v>482</v>
      </c>
      <c r="S211" s="7">
        <f t="shared" si="13"/>
        <v>1</v>
      </c>
      <c r="T211" s="15" t="str">
        <f>VLOOKUP(R211,产品分类!$C$2:$D$1278,2,0)</f>
        <v>家具产品</v>
      </c>
    </row>
    <row r="212" spans="1:20">
      <c r="A212" s="8">
        <f>DATE(2012,12,31)-1107</f>
        <v>40167</v>
      </c>
      <c r="B212" s="8">
        <f>DATE(2012,12,31)-1107</f>
        <v>40167</v>
      </c>
      <c r="C212" s="9" t="s">
        <v>483</v>
      </c>
      <c r="D212">
        <v>10021287338</v>
      </c>
      <c r="E212" t="s">
        <v>47</v>
      </c>
      <c r="F212" t="s">
        <v>61</v>
      </c>
      <c r="G212" t="s">
        <v>62</v>
      </c>
      <c r="H212" t="s">
        <v>454</v>
      </c>
      <c r="I212" t="s">
        <v>455</v>
      </c>
      <c r="J212" t="s">
        <v>367</v>
      </c>
      <c r="K212" s="3">
        <v>100931619911</v>
      </c>
      <c r="L212" s="10">
        <v>40168</v>
      </c>
      <c r="M212">
        <v>5748.2</v>
      </c>
      <c r="N212" s="11">
        <v>39</v>
      </c>
      <c r="O212" s="12">
        <v>160.98</v>
      </c>
      <c r="P212" s="12">
        <v>35.02</v>
      </c>
      <c r="Q212" s="13">
        <v>-459.86</v>
      </c>
      <c r="R212" s="36" t="s">
        <v>484</v>
      </c>
      <c r="S212" s="7">
        <f t="shared" si="13"/>
        <v>1</v>
      </c>
      <c r="T212" s="15" t="str">
        <f>VLOOKUP(R212,产品分类!$C$2:$D$1278,2,0)</f>
        <v>数码电子</v>
      </c>
    </row>
    <row r="213" spans="1:20">
      <c r="A213" s="8">
        <f>DATE(2012,12,31)-1107</f>
        <v>40167</v>
      </c>
      <c r="B213" s="8">
        <f>DATE(2012,12,31)-1107</f>
        <v>40167</v>
      </c>
      <c r="C213" s="9" t="s">
        <v>483</v>
      </c>
      <c r="D213">
        <v>10021280839</v>
      </c>
      <c r="E213" t="s">
        <v>47</v>
      </c>
      <c r="F213" t="s">
        <v>61</v>
      </c>
      <c r="G213" t="s">
        <v>62</v>
      </c>
      <c r="H213" t="s">
        <v>454</v>
      </c>
      <c r="I213" t="s">
        <v>455</v>
      </c>
      <c r="J213" t="s">
        <v>367</v>
      </c>
      <c r="K213" s="3">
        <v>100417406084</v>
      </c>
      <c r="L213" s="10">
        <v>40169</v>
      </c>
      <c r="M213">
        <v>6717.9325</v>
      </c>
      <c r="N213" s="11">
        <v>47</v>
      </c>
      <c r="O213" s="12">
        <v>175.99</v>
      </c>
      <c r="P213" s="12">
        <v>4.99</v>
      </c>
      <c r="Q213" s="13">
        <v>1717.893</v>
      </c>
      <c r="R213" s="36" t="s">
        <v>485</v>
      </c>
      <c r="S213" s="7">
        <f t="shared" si="13"/>
        <v>2</v>
      </c>
      <c r="T213" s="15" t="str">
        <f>VLOOKUP(R213,产品分类!$C$2:$D$1278,2,0)</f>
        <v>数码电子</v>
      </c>
    </row>
    <row r="214" spans="1:20">
      <c r="A214" s="8">
        <f>DATE(2012,12,31)-1025</f>
        <v>40249</v>
      </c>
      <c r="B214" s="8">
        <f>DATE(2012,12,31)-1025</f>
        <v>40249</v>
      </c>
      <c r="C214" s="9" t="s">
        <v>275</v>
      </c>
      <c r="D214">
        <v>10021276728</v>
      </c>
      <c r="E214" t="s">
        <v>47</v>
      </c>
      <c r="F214" t="s">
        <v>97</v>
      </c>
      <c r="G214" t="s">
        <v>98</v>
      </c>
      <c r="H214" t="s">
        <v>99</v>
      </c>
      <c r="I214" t="s">
        <v>98</v>
      </c>
      <c r="J214" t="s">
        <v>367</v>
      </c>
      <c r="K214" s="3">
        <v>100332776249</v>
      </c>
      <c r="L214" s="10">
        <v>40251</v>
      </c>
      <c r="M214">
        <v>59.03</v>
      </c>
      <c r="N214" s="11">
        <v>13</v>
      </c>
      <c r="O214" s="12">
        <v>3.69</v>
      </c>
      <c r="P214" s="12">
        <v>0.5</v>
      </c>
      <c r="Q214" s="13">
        <v>26.92</v>
      </c>
      <c r="R214" s="36" t="s">
        <v>486</v>
      </c>
      <c r="S214" s="7">
        <f t="shared" si="13"/>
        <v>2</v>
      </c>
      <c r="T214" s="15" t="str">
        <f>VLOOKUP(R214,产品分类!$C$2:$D$1278,2,0)</f>
        <v>数码电子</v>
      </c>
    </row>
    <row r="215" spans="1:20">
      <c r="A215" s="8">
        <f>DATE(2012,12,31)-1025</f>
        <v>40249</v>
      </c>
      <c r="B215" s="8">
        <f>DATE(2012,12,31)-1025</f>
        <v>40249</v>
      </c>
      <c r="C215" s="9" t="s">
        <v>275</v>
      </c>
      <c r="D215">
        <v>10021292557</v>
      </c>
      <c r="E215" t="s">
        <v>47</v>
      </c>
      <c r="F215" t="s">
        <v>122</v>
      </c>
      <c r="G215" t="s">
        <v>123</v>
      </c>
      <c r="H215" t="s">
        <v>124</v>
      </c>
      <c r="I215" t="s">
        <v>125</v>
      </c>
      <c r="J215" t="s">
        <v>367</v>
      </c>
      <c r="K215" s="3">
        <v>100432792863</v>
      </c>
      <c r="L215" s="10">
        <v>40251</v>
      </c>
      <c r="M215">
        <v>97.48</v>
      </c>
      <c r="N215" s="11">
        <v>21</v>
      </c>
      <c r="O215" s="12">
        <v>4.71</v>
      </c>
      <c r="P215" s="12">
        <v>0.7</v>
      </c>
      <c r="Q215" s="13">
        <v>-5.77</v>
      </c>
      <c r="R215" s="36" t="s">
        <v>487</v>
      </c>
      <c r="S215" s="7">
        <f t="shared" si="13"/>
        <v>2</v>
      </c>
      <c r="T215" s="15" t="str">
        <f>VLOOKUP(R215,产品分类!$C$2:$D$1278,2,0)</f>
        <v>家具产品</v>
      </c>
    </row>
    <row r="216" spans="1:20">
      <c r="A216" s="8">
        <f>DATE(2012,12,31)-504</f>
        <v>40770</v>
      </c>
      <c r="B216" s="8">
        <f>DATE(2012,12,31)-504</f>
        <v>40770</v>
      </c>
      <c r="C216" s="9" t="s">
        <v>488</v>
      </c>
      <c r="D216">
        <v>10021318064</v>
      </c>
      <c r="E216" t="s">
        <v>47</v>
      </c>
      <c r="F216" t="s">
        <v>91</v>
      </c>
      <c r="G216" t="s">
        <v>92</v>
      </c>
      <c r="H216" t="s">
        <v>93</v>
      </c>
      <c r="I216" t="s">
        <v>94</v>
      </c>
      <c r="J216" t="s">
        <v>367</v>
      </c>
      <c r="K216" s="3">
        <v>100932829231</v>
      </c>
      <c r="L216" s="10">
        <v>40770</v>
      </c>
      <c r="M216">
        <v>4530.96</v>
      </c>
      <c r="N216" s="11">
        <v>44</v>
      </c>
      <c r="O216" s="12">
        <v>105.49</v>
      </c>
      <c r="P216" s="12">
        <v>41.64</v>
      </c>
      <c r="Q216" s="13">
        <v>-993.35</v>
      </c>
      <c r="R216" s="36" t="s">
        <v>489</v>
      </c>
      <c r="S216" s="7">
        <f t="shared" si="13"/>
        <v>0</v>
      </c>
      <c r="T216" s="15" t="str">
        <f>VLOOKUP(R216,产品分类!$C$2:$D$1278,2,0)</f>
        <v>办公用品</v>
      </c>
    </row>
    <row r="217" spans="1:20">
      <c r="A217" s="8">
        <f>DATE(2012,12,31)-510</f>
        <v>40764</v>
      </c>
      <c r="B217" s="8">
        <f>DATE(2012,12,31)-510</f>
        <v>40764</v>
      </c>
      <c r="C217" s="9" t="s">
        <v>490</v>
      </c>
      <c r="D217">
        <v>10021329034</v>
      </c>
      <c r="E217" t="s">
        <v>47</v>
      </c>
      <c r="F217" t="s">
        <v>78</v>
      </c>
      <c r="G217" t="s">
        <v>79</v>
      </c>
      <c r="H217" t="s">
        <v>80</v>
      </c>
      <c r="I217" t="s">
        <v>81</v>
      </c>
      <c r="J217" t="s">
        <v>367</v>
      </c>
      <c r="K217" s="3">
        <v>100411330903</v>
      </c>
      <c r="L217" s="10">
        <v>40766</v>
      </c>
      <c r="M217">
        <v>726.22</v>
      </c>
      <c r="N217" s="11">
        <v>41</v>
      </c>
      <c r="O217" s="12">
        <v>17.67</v>
      </c>
      <c r="P217" s="12">
        <v>8.99</v>
      </c>
      <c r="Q217" s="13">
        <v>52.47</v>
      </c>
      <c r="R217" s="36" t="s">
        <v>491</v>
      </c>
      <c r="S217" s="7">
        <f t="shared" si="13"/>
        <v>2</v>
      </c>
      <c r="T217" s="15" t="str">
        <f>VLOOKUP(R217,产品分类!$C$2:$D$1278,2,0)</f>
        <v>办公用品</v>
      </c>
    </row>
    <row r="218" spans="1:20">
      <c r="A218" s="8">
        <f t="shared" ref="A218:B222" si="16">DATE(2012,12,31)-1122</f>
        <v>40152</v>
      </c>
      <c r="B218" s="8">
        <f t="shared" si="16"/>
        <v>40152</v>
      </c>
      <c r="C218" s="9" t="s">
        <v>492</v>
      </c>
      <c r="D218">
        <v>10021309003</v>
      </c>
      <c r="E218" t="s">
        <v>47</v>
      </c>
      <c r="F218" t="s">
        <v>61</v>
      </c>
      <c r="G218" t="s">
        <v>62</v>
      </c>
      <c r="H218" t="s">
        <v>454</v>
      </c>
      <c r="I218" t="s">
        <v>455</v>
      </c>
      <c r="J218" t="s">
        <v>367</v>
      </c>
      <c r="K218" s="3">
        <v>100831196802</v>
      </c>
      <c r="L218" s="10">
        <v>40154</v>
      </c>
      <c r="M218">
        <v>21717.36</v>
      </c>
      <c r="N218" s="11">
        <v>32</v>
      </c>
      <c r="O218" s="12">
        <v>699.99</v>
      </c>
      <c r="P218" s="12">
        <v>24.49</v>
      </c>
      <c r="Q218" s="13">
        <v>8249.86</v>
      </c>
      <c r="R218" s="36" t="s">
        <v>493</v>
      </c>
      <c r="S218" s="7">
        <f t="shared" si="13"/>
        <v>2</v>
      </c>
      <c r="T218" s="15" t="str">
        <f>VLOOKUP(R218,产品分类!$C$2:$D$1278,2,0)</f>
        <v>办公用品</v>
      </c>
    </row>
    <row r="219" spans="1:20">
      <c r="A219" s="8">
        <f t="shared" si="16"/>
        <v>40152</v>
      </c>
      <c r="B219" s="8">
        <f t="shared" si="16"/>
        <v>40152</v>
      </c>
      <c r="C219" s="9" t="s">
        <v>492</v>
      </c>
      <c r="D219">
        <v>10021278165</v>
      </c>
      <c r="E219" t="s">
        <v>47</v>
      </c>
      <c r="F219" t="s">
        <v>97</v>
      </c>
      <c r="G219" t="s">
        <v>98</v>
      </c>
      <c r="H219" t="s">
        <v>99</v>
      </c>
      <c r="I219" t="s">
        <v>98</v>
      </c>
      <c r="J219" t="s">
        <v>367</v>
      </c>
      <c r="K219" s="3">
        <v>100131674748</v>
      </c>
      <c r="L219" s="10">
        <v>40155</v>
      </c>
      <c r="M219">
        <v>15823.27</v>
      </c>
      <c r="N219" s="11">
        <v>13</v>
      </c>
      <c r="O219" s="12">
        <v>1360.14</v>
      </c>
      <c r="P219" s="12">
        <v>14.7</v>
      </c>
      <c r="Q219" s="13">
        <v>1759.34</v>
      </c>
      <c r="R219" s="36" t="s">
        <v>494</v>
      </c>
      <c r="S219" s="7">
        <f t="shared" si="13"/>
        <v>3</v>
      </c>
      <c r="T219" s="15" t="str">
        <f>VLOOKUP(R219,产品分类!$C$2:$D$1278,2,0)</f>
        <v>数码电子</v>
      </c>
    </row>
    <row r="220" spans="1:20">
      <c r="A220" s="16">
        <f t="shared" si="16"/>
        <v>40152</v>
      </c>
      <c r="B220" s="16">
        <f t="shared" si="16"/>
        <v>40152</v>
      </c>
      <c r="C220" s="9" t="s">
        <v>492</v>
      </c>
      <c r="D220">
        <v>10021248742</v>
      </c>
      <c r="E220" t="s">
        <v>47</v>
      </c>
      <c r="F220" t="s">
        <v>152</v>
      </c>
      <c r="G220" t="s">
        <v>153</v>
      </c>
      <c r="H220" t="s">
        <v>154</v>
      </c>
      <c r="I220" t="s">
        <v>155</v>
      </c>
      <c r="J220" t="s">
        <v>367</v>
      </c>
      <c r="K220" s="3">
        <v>10043942453</v>
      </c>
      <c r="L220" s="10">
        <v>40154</v>
      </c>
      <c r="M220">
        <v>21.44</v>
      </c>
      <c r="N220" s="17">
        <v>2</v>
      </c>
      <c r="O220" s="5">
        <v>6.48</v>
      </c>
      <c r="P220" s="5">
        <v>8.74</v>
      </c>
      <c r="Q220" s="6">
        <v>-13.67</v>
      </c>
      <c r="R220" s="37" t="s">
        <v>194</v>
      </c>
      <c r="S220" s="7">
        <f t="shared" si="13"/>
        <v>2</v>
      </c>
      <c r="T220" s="15" t="str">
        <f>VLOOKUP(R220,产品分类!$C$2:$D$1278,2,0)</f>
        <v>办公用品</v>
      </c>
    </row>
    <row r="221" spans="1:20">
      <c r="A221" s="16">
        <f t="shared" si="16"/>
        <v>40152</v>
      </c>
      <c r="B221" s="16">
        <f t="shared" si="16"/>
        <v>40152</v>
      </c>
      <c r="C221" s="9" t="s">
        <v>492</v>
      </c>
      <c r="D221">
        <v>10021262494</v>
      </c>
      <c r="E221" t="s">
        <v>47</v>
      </c>
      <c r="F221" t="s">
        <v>66</v>
      </c>
      <c r="G221" t="s">
        <v>67</v>
      </c>
      <c r="H221" t="s">
        <v>68</v>
      </c>
      <c r="I221" t="s">
        <v>69</v>
      </c>
      <c r="J221" t="s">
        <v>367</v>
      </c>
      <c r="K221" s="3">
        <v>100830082962</v>
      </c>
      <c r="L221" s="10">
        <v>40154</v>
      </c>
      <c r="M221">
        <v>416.4</v>
      </c>
      <c r="N221" s="17">
        <v>24</v>
      </c>
      <c r="O221" s="5">
        <v>17.15</v>
      </c>
      <c r="P221" s="5">
        <v>4.96</v>
      </c>
      <c r="Q221" s="6">
        <v>24.33</v>
      </c>
      <c r="R221" s="37" t="s">
        <v>495</v>
      </c>
      <c r="S221" s="7">
        <f t="shared" si="13"/>
        <v>2</v>
      </c>
      <c r="T221" s="15" t="str">
        <f>VLOOKUP(R221,产品分类!$C$2:$D$1278,2,0)</f>
        <v>办公用品</v>
      </c>
    </row>
    <row r="222" spans="1:20">
      <c r="A222" s="8">
        <f t="shared" si="16"/>
        <v>40152</v>
      </c>
      <c r="B222" s="8">
        <f t="shared" si="16"/>
        <v>40152</v>
      </c>
      <c r="C222" s="9" t="s">
        <v>492</v>
      </c>
      <c r="D222">
        <v>10021255685</v>
      </c>
      <c r="E222" t="s">
        <v>47</v>
      </c>
      <c r="F222" t="s">
        <v>152</v>
      </c>
      <c r="G222" t="s">
        <v>153</v>
      </c>
      <c r="H222" t="s">
        <v>154</v>
      </c>
      <c r="I222" t="s">
        <v>155</v>
      </c>
      <c r="J222" t="s">
        <v>367</v>
      </c>
      <c r="K222" s="3">
        <v>100324367909</v>
      </c>
      <c r="L222" s="10">
        <v>40153</v>
      </c>
      <c r="M222">
        <v>772.24</v>
      </c>
      <c r="N222" s="11">
        <v>25</v>
      </c>
      <c r="O222" s="12">
        <v>30.98</v>
      </c>
      <c r="P222" s="12">
        <v>8.74</v>
      </c>
      <c r="Q222" s="13">
        <v>181.98</v>
      </c>
      <c r="R222" s="36" t="s">
        <v>496</v>
      </c>
      <c r="S222" s="7">
        <f t="shared" si="13"/>
        <v>1</v>
      </c>
      <c r="T222" s="15" t="str">
        <f>VLOOKUP(R222,产品分类!$C$2:$D$1278,2,0)</f>
        <v>办公用品</v>
      </c>
    </row>
    <row r="223" spans="1:20">
      <c r="A223" s="8">
        <f>DATE(2012,12,31)-722</f>
        <v>40552</v>
      </c>
      <c r="B223" s="8">
        <f>DATE(2012,12,31)-722</f>
        <v>40552</v>
      </c>
      <c r="C223" s="9" t="s">
        <v>497</v>
      </c>
      <c r="D223">
        <v>10021264261</v>
      </c>
      <c r="E223" t="s">
        <v>47</v>
      </c>
      <c r="F223" t="s">
        <v>152</v>
      </c>
      <c r="G223" t="s">
        <v>153</v>
      </c>
      <c r="H223" t="s">
        <v>154</v>
      </c>
      <c r="I223" t="s">
        <v>155</v>
      </c>
      <c r="J223" t="s">
        <v>367</v>
      </c>
      <c r="K223" s="3">
        <v>100330896059</v>
      </c>
      <c r="L223" s="10">
        <v>40555</v>
      </c>
      <c r="M223">
        <v>1326.09</v>
      </c>
      <c r="N223" s="11">
        <v>3</v>
      </c>
      <c r="O223" s="12">
        <v>420.98</v>
      </c>
      <c r="P223" s="12">
        <v>19.99</v>
      </c>
      <c r="Q223" s="13">
        <v>-20.5505</v>
      </c>
      <c r="R223" s="36" t="s">
        <v>498</v>
      </c>
      <c r="S223" s="7">
        <f t="shared" si="13"/>
        <v>3</v>
      </c>
      <c r="T223" s="15" t="str">
        <f>VLOOKUP(R223,产品分类!$C$2:$D$1278,2,0)</f>
        <v>家具产品</v>
      </c>
    </row>
    <row r="224" spans="1:20">
      <c r="A224" s="8">
        <f>DATE(2012,12,31)-722</f>
        <v>40552</v>
      </c>
      <c r="B224" s="8">
        <f>DATE(2012,12,31)-722</f>
        <v>40552</v>
      </c>
      <c r="C224" s="9" t="s">
        <v>497</v>
      </c>
      <c r="D224">
        <v>10021293505</v>
      </c>
      <c r="E224" t="s">
        <v>47</v>
      </c>
      <c r="F224" t="s">
        <v>66</v>
      </c>
      <c r="G224" t="s">
        <v>67</v>
      </c>
      <c r="H224" t="s">
        <v>68</v>
      </c>
      <c r="I224" t="s">
        <v>69</v>
      </c>
      <c r="J224" t="s">
        <v>367</v>
      </c>
      <c r="K224" s="3">
        <v>10079791545</v>
      </c>
      <c r="L224" s="10">
        <v>40554</v>
      </c>
      <c r="M224">
        <v>339.49</v>
      </c>
      <c r="N224" s="11">
        <v>30</v>
      </c>
      <c r="O224" s="12">
        <v>11.97</v>
      </c>
      <c r="P224" s="12">
        <v>5.81</v>
      </c>
      <c r="Q224" s="13">
        <v>-74.21</v>
      </c>
      <c r="R224" s="36" t="s">
        <v>499</v>
      </c>
      <c r="S224" s="7">
        <f t="shared" si="13"/>
        <v>2</v>
      </c>
      <c r="T224" s="15" t="str">
        <f>VLOOKUP(R224,产品分类!$C$2:$D$1278,2,0)</f>
        <v>办公用品</v>
      </c>
    </row>
    <row r="225" spans="1:20">
      <c r="A225" s="8">
        <f>DATE(2012,12,31)-78</f>
        <v>41196</v>
      </c>
      <c r="B225" s="8">
        <f>DATE(2012,12,31)-78</f>
        <v>41196</v>
      </c>
      <c r="C225" s="9" t="s">
        <v>500</v>
      </c>
      <c r="D225">
        <v>10021248959</v>
      </c>
      <c r="E225" t="s">
        <v>47</v>
      </c>
      <c r="F225" t="s">
        <v>78</v>
      </c>
      <c r="G225" t="s">
        <v>79</v>
      </c>
      <c r="H225" t="s">
        <v>80</v>
      </c>
      <c r="I225" t="s">
        <v>81</v>
      </c>
      <c r="J225" t="s">
        <v>367</v>
      </c>
      <c r="K225" s="3">
        <v>10046452904</v>
      </c>
      <c r="L225" s="10">
        <v>41199</v>
      </c>
      <c r="M225">
        <v>2135.9735</v>
      </c>
      <c r="N225" s="11">
        <v>40</v>
      </c>
      <c r="O225" s="12">
        <v>65.99</v>
      </c>
      <c r="P225" s="12">
        <v>8.99</v>
      </c>
      <c r="Q225" s="13">
        <v>239.4</v>
      </c>
      <c r="R225" s="36" t="s">
        <v>501</v>
      </c>
      <c r="S225" s="7">
        <f t="shared" si="13"/>
        <v>3</v>
      </c>
      <c r="T225" s="15" t="str">
        <f>VLOOKUP(R225,产品分类!$C$2:$D$1278,2,0)</f>
        <v>家具产品</v>
      </c>
    </row>
    <row r="226" spans="1:20">
      <c r="A226" s="8">
        <f>DATE(2012,12,31)-126</f>
        <v>41148</v>
      </c>
      <c r="B226" s="8">
        <f>DATE(2012,12,31)-126</f>
        <v>41148</v>
      </c>
      <c r="C226" s="9" t="s">
        <v>502</v>
      </c>
      <c r="D226">
        <v>10021302491</v>
      </c>
      <c r="E226" t="s">
        <v>47</v>
      </c>
      <c r="F226" t="s">
        <v>72</v>
      </c>
      <c r="G226" t="s">
        <v>73</v>
      </c>
      <c r="H226" t="s">
        <v>74</v>
      </c>
      <c r="I226" t="s">
        <v>75</v>
      </c>
      <c r="J226" t="s">
        <v>367</v>
      </c>
      <c r="K226" s="3">
        <v>100431214784</v>
      </c>
      <c r="L226" s="10">
        <v>41149</v>
      </c>
      <c r="M226">
        <v>293.18</v>
      </c>
      <c r="N226" s="11">
        <v>31</v>
      </c>
      <c r="O226" s="12">
        <v>10.01</v>
      </c>
      <c r="P226" s="12">
        <v>1.99</v>
      </c>
      <c r="Q226" s="13">
        <v>64.22</v>
      </c>
      <c r="R226" s="36" t="s">
        <v>503</v>
      </c>
      <c r="S226" s="7">
        <f t="shared" si="13"/>
        <v>1</v>
      </c>
      <c r="T226" s="15" t="str">
        <f>VLOOKUP(R226,产品分类!$C$2:$D$1278,2,0)</f>
        <v>数码电子</v>
      </c>
    </row>
    <row r="227" spans="1:20">
      <c r="A227" s="8">
        <f>DATE(2012,12,31)-810</f>
        <v>40464</v>
      </c>
      <c r="B227" s="8">
        <f>DATE(2012,12,31)-810</f>
        <v>40464</v>
      </c>
      <c r="C227" s="9" t="s">
        <v>504</v>
      </c>
      <c r="D227">
        <v>10021253821</v>
      </c>
      <c r="E227" t="s">
        <v>47</v>
      </c>
      <c r="F227" t="s">
        <v>78</v>
      </c>
      <c r="G227" t="s">
        <v>79</v>
      </c>
      <c r="H227" t="s">
        <v>80</v>
      </c>
      <c r="I227" t="s">
        <v>81</v>
      </c>
      <c r="J227" t="s">
        <v>367</v>
      </c>
      <c r="K227" s="3">
        <v>100920593561</v>
      </c>
      <c r="L227" s="10">
        <v>40466</v>
      </c>
      <c r="M227">
        <v>4345.86</v>
      </c>
      <c r="N227" s="11">
        <v>29</v>
      </c>
      <c r="O227" s="12">
        <v>152.48</v>
      </c>
      <c r="P227" s="12">
        <v>4</v>
      </c>
      <c r="Q227" s="13">
        <v>126.62</v>
      </c>
      <c r="R227" s="36" t="s">
        <v>505</v>
      </c>
      <c r="S227" s="7">
        <f t="shared" si="13"/>
        <v>2</v>
      </c>
      <c r="T227" s="15" t="str">
        <f>VLOOKUP(R227,产品分类!$C$2:$D$1278,2,0)</f>
        <v>家具产品</v>
      </c>
    </row>
    <row r="228" spans="1:20">
      <c r="A228" s="8">
        <f>DATE(2012,12,31)-321</f>
        <v>40953</v>
      </c>
      <c r="B228" s="8">
        <f>DATE(2012,12,31)-321</f>
        <v>40953</v>
      </c>
      <c r="C228" s="9" t="s">
        <v>506</v>
      </c>
      <c r="D228">
        <v>10021255215</v>
      </c>
      <c r="E228" t="s">
        <v>47</v>
      </c>
      <c r="F228" t="s">
        <v>122</v>
      </c>
      <c r="G228" t="s">
        <v>123</v>
      </c>
      <c r="H228" t="s">
        <v>124</v>
      </c>
      <c r="I228" t="s">
        <v>125</v>
      </c>
      <c r="J228" t="s">
        <v>367</v>
      </c>
      <c r="K228" s="3">
        <v>100423360853</v>
      </c>
      <c r="L228" s="10">
        <v>40953</v>
      </c>
      <c r="M228">
        <v>16.6</v>
      </c>
      <c r="N228" s="11">
        <v>5</v>
      </c>
      <c r="O228" s="12">
        <v>2.16</v>
      </c>
      <c r="P228" s="12">
        <v>6.05</v>
      </c>
      <c r="Q228" s="13">
        <v>-20.2975</v>
      </c>
      <c r="R228" s="36" t="s">
        <v>507</v>
      </c>
      <c r="S228" s="7">
        <f t="shared" si="13"/>
        <v>0</v>
      </c>
      <c r="T228" s="15" t="str">
        <f>VLOOKUP(R228,产品分类!$C$2:$D$1278,2,0)</f>
        <v>家具产品</v>
      </c>
    </row>
    <row r="229" spans="1:20">
      <c r="A229" s="8">
        <f>DATE(2012,12,31)-563</f>
        <v>40711</v>
      </c>
      <c r="B229" s="8">
        <f>DATE(2012,12,31)-563</f>
        <v>40711</v>
      </c>
      <c r="C229" s="9" t="s">
        <v>508</v>
      </c>
      <c r="D229">
        <v>10021252129</v>
      </c>
      <c r="E229" t="s">
        <v>47</v>
      </c>
      <c r="F229" t="s">
        <v>55</v>
      </c>
      <c r="G229" t="s">
        <v>56</v>
      </c>
      <c r="H229" t="s">
        <v>57</v>
      </c>
      <c r="I229" t="s">
        <v>58</v>
      </c>
      <c r="J229" t="s">
        <v>367</v>
      </c>
      <c r="K229" s="3">
        <v>10032204859</v>
      </c>
      <c r="L229" s="10">
        <v>40712</v>
      </c>
      <c r="M229">
        <v>1297.304</v>
      </c>
      <c r="N229" s="11">
        <v>15</v>
      </c>
      <c r="O229" s="12">
        <v>95.99</v>
      </c>
      <c r="P229" s="12">
        <v>4.9</v>
      </c>
      <c r="Q229" s="13">
        <v>149.823</v>
      </c>
      <c r="R229" s="36" t="s">
        <v>509</v>
      </c>
      <c r="S229" s="7">
        <f t="shared" si="13"/>
        <v>1</v>
      </c>
      <c r="T229" s="15" t="str">
        <f>VLOOKUP(R229,产品分类!$C$2:$D$1278,2,0)</f>
        <v>数码电子</v>
      </c>
    </row>
    <row r="230" spans="1:20">
      <c r="A230" s="8">
        <f>DATE(2012,12,31)-663</f>
        <v>40611</v>
      </c>
      <c r="B230" s="8">
        <f>DATE(2012,12,31)-663</f>
        <v>40611</v>
      </c>
      <c r="C230" s="9" t="s">
        <v>510</v>
      </c>
      <c r="D230">
        <v>10021287555</v>
      </c>
      <c r="E230" t="s">
        <v>47</v>
      </c>
      <c r="F230" t="s">
        <v>55</v>
      </c>
      <c r="G230" t="s">
        <v>56</v>
      </c>
      <c r="H230" t="s">
        <v>57</v>
      </c>
      <c r="I230" t="s">
        <v>58</v>
      </c>
      <c r="J230" t="s">
        <v>367</v>
      </c>
      <c r="K230" s="3">
        <v>100131963486</v>
      </c>
      <c r="L230" s="10">
        <v>40613</v>
      </c>
      <c r="M230">
        <v>511.83</v>
      </c>
      <c r="N230" s="11">
        <v>33</v>
      </c>
      <c r="O230" s="12">
        <v>15.99</v>
      </c>
      <c r="P230" s="12">
        <v>13.18</v>
      </c>
      <c r="Q230" s="13">
        <v>-172.8795</v>
      </c>
      <c r="R230" s="36" t="s">
        <v>511</v>
      </c>
      <c r="S230" s="7">
        <f t="shared" si="13"/>
        <v>2</v>
      </c>
      <c r="T230" s="15" t="str">
        <f>VLOOKUP(R230,产品分类!$C$2:$D$1278,2,0)</f>
        <v>数码电子</v>
      </c>
    </row>
    <row r="231" spans="1:20">
      <c r="A231" s="8">
        <f>DATE(2012,12,31)-663</f>
        <v>40611</v>
      </c>
      <c r="B231" s="8">
        <f>DATE(2012,12,31)-663</f>
        <v>40611</v>
      </c>
      <c r="C231" s="9" t="s">
        <v>510</v>
      </c>
      <c r="D231">
        <v>10021301601</v>
      </c>
      <c r="E231" t="s">
        <v>47</v>
      </c>
      <c r="F231" t="s">
        <v>91</v>
      </c>
      <c r="G231" t="s">
        <v>92</v>
      </c>
      <c r="H231" t="s">
        <v>93</v>
      </c>
      <c r="I231" t="s">
        <v>94</v>
      </c>
      <c r="J231" t="s">
        <v>367</v>
      </c>
      <c r="K231" s="3">
        <v>100430511523</v>
      </c>
      <c r="L231" s="10">
        <v>40616</v>
      </c>
      <c r="M231">
        <v>184.99</v>
      </c>
      <c r="N231" s="11">
        <v>38</v>
      </c>
      <c r="O231" s="12">
        <v>4.89</v>
      </c>
      <c r="P231" s="12">
        <v>4.93</v>
      </c>
      <c r="Q231" s="13">
        <v>-144.55</v>
      </c>
      <c r="R231" s="36" t="s">
        <v>512</v>
      </c>
      <c r="S231" s="7">
        <f t="shared" si="13"/>
        <v>5</v>
      </c>
      <c r="T231" s="15" t="str">
        <f>VLOOKUP(R231,产品分类!$C$2:$D$1278,2,0)</f>
        <v>办公用品</v>
      </c>
    </row>
    <row r="232" spans="1:20">
      <c r="A232" s="8">
        <f>DATE(2012,12,31)-149</f>
        <v>41125</v>
      </c>
      <c r="B232" s="8">
        <f>DATE(2012,12,31)-149</f>
        <v>41125</v>
      </c>
      <c r="C232" s="9" t="s">
        <v>513</v>
      </c>
      <c r="D232">
        <v>10021251184</v>
      </c>
      <c r="E232" t="s">
        <v>47</v>
      </c>
      <c r="F232" t="s">
        <v>91</v>
      </c>
      <c r="G232" t="s">
        <v>92</v>
      </c>
      <c r="H232" t="s">
        <v>93</v>
      </c>
      <c r="I232" t="s">
        <v>94</v>
      </c>
      <c r="J232" t="s">
        <v>367</v>
      </c>
      <c r="K232" s="3">
        <v>10096424211</v>
      </c>
      <c r="L232" s="10">
        <v>41127</v>
      </c>
      <c r="M232">
        <v>80.9</v>
      </c>
      <c r="N232" s="11">
        <v>30</v>
      </c>
      <c r="O232" s="12">
        <v>2.88</v>
      </c>
      <c r="P232" s="12">
        <v>0.7</v>
      </c>
      <c r="Q232" s="13">
        <v>5.76</v>
      </c>
      <c r="R232" s="36" t="s">
        <v>514</v>
      </c>
      <c r="S232" s="7">
        <f t="shared" si="13"/>
        <v>2</v>
      </c>
      <c r="T232" s="15" t="str">
        <f>VLOOKUP(R232,产品分类!$C$2:$D$1278,2,0)</f>
        <v>办公用品</v>
      </c>
    </row>
    <row r="233" spans="1:20">
      <c r="A233" s="8">
        <f>DATE(2012,12,31)-839</f>
        <v>40435</v>
      </c>
      <c r="B233" s="8">
        <f>DATE(2012,12,31)-839</f>
        <v>40435</v>
      </c>
      <c r="C233" s="9" t="s">
        <v>515</v>
      </c>
      <c r="D233">
        <v>10021250272</v>
      </c>
      <c r="E233" t="s">
        <v>47</v>
      </c>
      <c r="F233" t="s">
        <v>55</v>
      </c>
      <c r="G233" t="s">
        <v>56</v>
      </c>
      <c r="H233" t="s">
        <v>57</v>
      </c>
      <c r="I233" t="s">
        <v>58</v>
      </c>
      <c r="J233" t="s">
        <v>367</v>
      </c>
      <c r="K233" s="3">
        <v>10046204224</v>
      </c>
      <c r="L233" s="10">
        <v>40437</v>
      </c>
      <c r="M233">
        <v>2150.25</v>
      </c>
      <c r="N233" s="11">
        <v>47</v>
      </c>
      <c r="O233" s="12">
        <v>48.58</v>
      </c>
      <c r="P233" s="12">
        <v>3.99</v>
      </c>
      <c r="Q233" s="13">
        <v>586.93</v>
      </c>
      <c r="R233" s="36" t="s">
        <v>516</v>
      </c>
      <c r="S233" s="7">
        <f t="shared" si="13"/>
        <v>2</v>
      </c>
      <c r="T233" s="15" t="str">
        <f>VLOOKUP(R233,产品分类!$C$2:$D$1278,2,0)</f>
        <v>数码电子</v>
      </c>
    </row>
    <row r="234" spans="1:20">
      <c r="A234" s="8">
        <f>DATE(2012,12,31)-839</f>
        <v>40435</v>
      </c>
      <c r="B234" s="8">
        <f>DATE(2012,12,31)-839</f>
        <v>40435</v>
      </c>
      <c r="C234" s="9" t="s">
        <v>515</v>
      </c>
      <c r="D234">
        <v>10021270430</v>
      </c>
      <c r="E234" t="s">
        <v>47</v>
      </c>
      <c r="F234" t="s">
        <v>122</v>
      </c>
      <c r="G234" t="s">
        <v>123</v>
      </c>
      <c r="H234" t="s">
        <v>124</v>
      </c>
      <c r="I234" t="s">
        <v>125</v>
      </c>
      <c r="J234" t="s">
        <v>367</v>
      </c>
      <c r="K234" s="3">
        <v>100920928711</v>
      </c>
      <c r="L234" s="10">
        <v>40437</v>
      </c>
      <c r="M234">
        <v>448</v>
      </c>
      <c r="N234" s="11">
        <v>13</v>
      </c>
      <c r="O234" s="12">
        <v>35.51</v>
      </c>
      <c r="P234" s="12">
        <v>6.31</v>
      </c>
      <c r="Q234" s="13">
        <v>27.2</v>
      </c>
      <c r="R234" s="36" t="s">
        <v>517</v>
      </c>
      <c r="S234" s="7">
        <f t="shared" si="13"/>
        <v>2</v>
      </c>
      <c r="T234" s="15" t="str">
        <f>VLOOKUP(R234,产品分类!$C$2:$D$1278,2,0)</f>
        <v>办公用品</v>
      </c>
    </row>
    <row r="235" spans="1:20">
      <c r="A235" s="8">
        <f>DATE(2012,12,31)-4</f>
        <v>41270</v>
      </c>
      <c r="B235" s="8">
        <f>DATE(2012,12,31)-4</f>
        <v>41270</v>
      </c>
      <c r="C235" s="9" t="s">
        <v>518</v>
      </c>
      <c r="D235">
        <v>10021251260</v>
      </c>
      <c r="E235" t="s">
        <v>47</v>
      </c>
      <c r="F235" t="s">
        <v>91</v>
      </c>
      <c r="G235" t="s">
        <v>92</v>
      </c>
      <c r="H235" t="s">
        <v>93</v>
      </c>
      <c r="I235" t="s">
        <v>94</v>
      </c>
      <c r="J235" t="s">
        <v>367</v>
      </c>
      <c r="K235" s="3">
        <v>10016956356</v>
      </c>
      <c r="L235" s="10">
        <v>41272</v>
      </c>
      <c r="M235">
        <v>759.94</v>
      </c>
      <c r="N235" s="11">
        <v>13</v>
      </c>
      <c r="O235" s="12">
        <v>60.89</v>
      </c>
      <c r="P235" s="12">
        <v>32.41</v>
      </c>
      <c r="Q235" s="13">
        <v>-226.45</v>
      </c>
      <c r="R235" s="36" t="s">
        <v>519</v>
      </c>
      <c r="S235" s="7">
        <f t="shared" si="13"/>
        <v>2</v>
      </c>
      <c r="T235" s="15" t="str">
        <f>VLOOKUP(R235,产品分类!$C$2:$D$1278,2,0)</f>
        <v>家具产品</v>
      </c>
    </row>
    <row r="236" spans="1:20">
      <c r="A236" s="8">
        <f>DATE(2012,12,31)-476</f>
        <v>40798</v>
      </c>
      <c r="B236" s="8">
        <f>DATE(2012,12,31)-476</f>
        <v>40798</v>
      </c>
      <c r="C236" s="9" t="s">
        <v>520</v>
      </c>
      <c r="D236">
        <v>10021263603</v>
      </c>
      <c r="E236" t="s">
        <v>47</v>
      </c>
      <c r="F236" t="s">
        <v>91</v>
      </c>
      <c r="G236" t="s">
        <v>92</v>
      </c>
      <c r="H236" t="s">
        <v>93</v>
      </c>
      <c r="I236" t="s">
        <v>94</v>
      </c>
      <c r="J236" t="s">
        <v>367</v>
      </c>
      <c r="K236" s="3">
        <v>100930817191</v>
      </c>
      <c r="L236" s="10">
        <v>40800</v>
      </c>
      <c r="M236">
        <v>133.65</v>
      </c>
      <c r="N236" s="11">
        <v>26</v>
      </c>
      <c r="O236" s="12">
        <v>4.98</v>
      </c>
      <c r="P236" s="12">
        <v>0.8</v>
      </c>
      <c r="Q236" s="13">
        <v>56.28</v>
      </c>
      <c r="R236" s="36" t="s">
        <v>521</v>
      </c>
      <c r="S236" s="7">
        <f t="shared" si="13"/>
        <v>2</v>
      </c>
      <c r="T236" s="15" t="str">
        <f>VLOOKUP(R236,产品分类!$C$2:$D$1278,2,0)</f>
        <v>家具产品</v>
      </c>
    </row>
    <row r="237" spans="1:20">
      <c r="A237" s="8">
        <f>DATE(2012,12,31)-476</f>
        <v>40798</v>
      </c>
      <c r="B237" s="8">
        <f>DATE(2012,12,31)-476</f>
        <v>40798</v>
      </c>
      <c r="C237" s="9" t="s">
        <v>520</v>
      </c>
      <c r="D237">
        <v>10021293851</v>
      </c>
      <c r="E237" t="s">
        <v>47</v>
      </c>
      <c r="F237" t="s">
        <v>122</v>
      </c>
      <c r="G237" t="s">
        <v>123</v>
      </c>
      <c r="H237" t="s">
        <v>124</v>
      </c>
      <c r="I237" t="s">
        <v>125</v>
      </c>
      <c r="J237" t="s">
        <v>367</v>
      </c>
      <c r="K237" s="3">
        <v>10017449718</v>
      </c>
      <c r="L237" s="10">
        <v>40800</v>
      </c>
      <c r="M237">
        <v>525.674</v>
      </c>
      <c r="N237" s="11">
        <v>10</v>
      </c>
      <c r="O237" s="12">
        <v>65.99</v>
      </c>
      <c r="P237" s="12">
        <v>5.26</v>
      </c>
      <c r="Q237" s="13">
        <v>-147.015</v>
      </c>
      <c r="R237" s="36" t="s">
        <v>522</v>
      </c>
      <c r="S237" s="7">
        <f t="shared" si="13"/>
        <v>2</v>
      </c>
      <c r="T237" s="15" t="str">
        <f>VLOOKUP(R237,产品分类!$C$2:$D$1278,2,0)</f>
        <v>家具产品</v>
      </c>
    </row>
    <row r="238" spans="1:20">
      <c r="A238" s="8">
        <f>DATE(2012,12,31)-1035</f>
        <v>40239</v>
      </c>
      <c r="B238" s="8">
        <f>DATE(2012,12,31)-1035</f>
        <v>40239</v>
      </c>
      <c r="C238" s="9" t="s">
        <v>523</v>
      </c>
      <c r="D238">
        <v>10021250064</v>
      </c>
      <c r="E238" t="s">
        <v>47</v>
      </c>
      <c r="F238" t="s">
        <v>97</v>
      </c>
      <c r="G238" t="s">
        <v>98</v>
      </c>
      <c r="H238" t="s">
        <v>99</v>
      </c>
      <c r="I238" t="s">
        <v>98</v>
      </c>
      <c r="J238" t="s">
        <v>367</v>
      </c>
      <c r="K238" s="3">
        <v>100113470997</v>
      </c>
      <c r="L238" s="10">
        <v>40241</v>
      </c>
      <c r="M238">
        <v>303.59</v>
      </c>
      <c r="N238" s="11">
        <v>32</v>
      </c>
      <c r="O238" s="12">
        <v>9.65</v>
      </c>
      <c r="P238" s="12">
        <v>6.22</v>
      </c>
      <c r="Q238" s="13">
        <v>-45.99</v>
      </c>
      <c r="R238" s="36" t="s">
        <v>524</v>
      </c>
      <c r="S238" s="7">
        <f t="shared" si="13"/>
        <v>2</v>
      </c>
      <c r="T238" s="15" t="str">
        <f>VLOOKUP(R238,产品分类!$C$2:$D$1278,2,0)</f>
        <v>数码电子</v>
      </c>
    </row>
    <row r="239" spans="1:20">
      <c r="A239" s="16">
        <f>DATE(2012,12,31)-1035</f>
        <v>40239</v>
      </c>
      <c r="B239" s="16">
        <f>DATE(2012,12,31)-1035</f>
        <v>40239</v>
      </c>
      <c r="C239" s="9" t="s">
        <v>523</v>
      </c>
      <c r="D239">
        <v>10021281525</v>
      </c>
      <c r="E239" t="s">
        <v>47</v>
      </c>
      <c r="F239" t="s">
        <v>304</v>
      </c>
      <c r="G239" t="s">
        <v>305</v>
      </c>
      <c r="H239" t="s">
        <v>306</v>
      </c>
      <c r="I239" t="s">
        <v>307</v>
      </c>
      <c r="J239" t="s">
        <v>367</v>
      </c>
      <c r="K239" s="3">
        <v>100921981621</v>
      </c>
      <c r="L239" s="10">
        <v>40240</v>
      </c>
      <c r="M239">
        <v>191.6</v>
      </c>
      <c r="N239" s="17">
        <v>36</v>
      </c>
      <c r="O239" s="5">
        <v>4.98</v>
      </c>
      <c r="P239" s="5">
        <v>7.44</v>
      </c>
      <c r="Q239" s="6">
        <v>-150.74</v>
      </c>
      <c r="R239" s="37" t="s">
        <v>287</v>
      </c>
      <c r="S239" s="7">
        <f t="shared" si="13"/>
        <v>1</v>
      </c>
      <c r="T239" s="15" t="str">
        <f>VLOOKUP(R239,产品分类!$C$2:$D$1278,2,0)</f>
        <v>办公用品</v>
      </c>
    </row>
    <row r="240" spans="1:20">
      <c r="A240" s="8">
        <f>DATE(2012,12,31)-899</f>
        <v>40375</v>
      </c>
      <c r="B240" s="8">
        <f>DATE(2012,12,31)-899</f>
        <v>40375</v>
      </c>
      <c r="C240" s="9" t="s">
        <v>525</v>
      </c>
      <c r="D240">
        <v>10021320144</v>
      </c>
      <c r="E240" t="s">
        <v>47</v>
      </c>
      <c r="F240" t="s">
        <v>171</v>
      </c>
      <c r="G240" t="s">
        <v>172</v>
      </c>
      <c r="H240" t="s">
        <v>173</v>
      </c>
      <c r="I240" t="s">
        <v>174</v>
      </c>
      <c r="J240" t="s">
        <v>367</v>
      </c>
      <c r="K240" s="3">
        <v>100917380461</v>
      </c>
      <c r="L240" s="10">
        <v>40375</v>
      </c>
      <c r="M240">
        <v>622.82</v>
      </c>
      <c r="N240" s="11">
        <v>47</v>
      </c>
      <c r="O240" s="12">
        <v>12.64</v>
      </c>
      <c r="P240" s="12">
        <v>4.98</v>
      </c>
      <c r="Q240" s="13">
        <v>128.88</v>
      </c>
      <c r="R240" s="36" t="s">
        <v>181</v>
      </c>
      <c r="S240" s="7">
        <f t="shared" si="13"/>
        <v>0</v>
      </c>
      <c r="T240" s="15" t="str">
        <f>VLOOKUP(R240,产品分类!$C$2:$D$1278,2,0)</f>
        <v>数码电子</v>
      </c>
    </row>
    <row r="241" spans="1:20">
      <c r="A241" s="8">
        <f t="shared" ref="A241:B243" si="17">DATE(2012,12,31)-693</f>
        <v>40581</v>
      </c>
      <c r="B241" s="8">
        <f t="shared" si="17"/>
        <v>40581</v>
      </c>
      <c r="C241" s="9" t="s">
        <v>526</v>
      </c>
      <c r="D241">
        <v>10021269210</v>
      </c>
      <c r="E241" t="s">
        <v>47</v>
      </c>
      <c r="F241" t="s">
        <v>527</v>
      </c>
      <c r="G241" t="s">
        <v>528</v>
      </c>
      <c r="H241" t="s">
        <v>529</v>
      </c>
      <c r="I241" t="s">
        <v>530</v>
      </c>
      <c r="J241" t="s">
        <v>367</v>
      </c>
      <c r="K241" s="3">
        <v>100332434059</v>
      </c>
      <c r="L241" s="10">
        <v>40581</v>
      </c>
      <c r="M241">
        <v>1225.52</v>
      </c>
      <c r="N241" s="11">
        <v>36</v>
      </c>
      <c r="O241" s="12">
        <v>35.48</v>
      </c>
      <c r="P241" s="12">
        <v>35</v>
      </c>
      <c r="Q241" s="13">
        <v>-1191.13</v>
      </c>
      <c r="R241" s="36" t="s">
        <v>531</v>
      </c>
      <c r="S241" s="7">
        <f t="shared" si="13"/>
        <v>0</v>
      </c>
      <c r="T241" s="15" t="str">
        <f>VLOOKUP(R241,产品分类!$C$2:$D$1278,2,0)</f>
        <v>数码电子</v>
      </c>
    </row>
    <row r="242" spans="1:20">
      <c r="A242" s="8">
        <f t="shared" si="17"/>
        <v>40581</v>
      </c>
      <c r="B242" s="8">
        <f t="shared" si="17"/>
        <v>40581</v>
      </c>
      <c r="C242" s="9" t="s">
        <v>526</v>
      </c>
      <c r="D242">
        <v>10021258209</v>
      </c>
      <c r="E242" t="s">
        <v>47</v>
      </c>
      <c r="F242" t="s">
        <v>61</v>
      </c>
      <c r="G242" t="s">
        <v>62</v>
      </c>
      <c r="H242" t="s">
        <v>454</v>
      </c>
      <c r="I242" t="s">
        <v>455</v>
      </c>
      <c r="J242" t="s">
        <v>367</v>
      </c>
      <c r="K242" s="3">
        <v>100415945574</v>
      </c>
      <c r="L242" s="10">
        <v>40581</v>
      </c>
      <c r="M242">
        <v>1024.29</v>
      </c>
      <c r="N242" s="11">
        <v>10</v>
      </c>
      <c r="O242" s="12">
        <v>99.99</v>
      </c>
      <c r="P242" s="12">
        <v>19.99</v>
      </c>
      <c r="Q242" s="13">
        <v>-95.52</v>
      </c>
      <c r="R242" s="36" t="s">
        <v>532</v>
      </c>
      <c r="S242" s="7">
        <f t="shared" si="13"/>
        <v>0</v>
      </c>
      <c r="T242" s="15" t="str">
        <f>VLOOKUP(R242,产品分类!$C$2:$D$1278,2,0)</f>
        <v>办公用品</v>
      </c>
    </row>
    <row r="243" spans="1:20">
      <c r="A243" s="8">
        <f t="shared" si="17"/>
        <v>40581</v>
      </c>
      <c r="B243" s="8">
        <f t="shared" si="17"/>
        <v>40581</v>
      </c>
      <c r="C243" s="9" t="s">
        <v>526</v>
      </c>
      <c r="D243">
        <v>10021269366</v>
      </c>
      <c r="E243" t="s">
        <v>47</v>
      </c>
      <c r="F243" t="s">
        <v>61</v>
      </c>
      <c r="G243" t="s">
        <v>62</v>
      </c>
      <c r="H243" t="s">
        <v>454</v>
      </c>
      <c r="I243" t="s">
        <v>455</v>
      </c>
      <c r="J243" t="s">
        <v>367</v>
      </c>
      <c r="K243" s="3">
        <v>100132442726</v>
      </c>
      <c r="L243" s="10">
        <v>40583</v>
      </c>
      <c r="M243">
        <v>1348.57</v>
      </c>
      <c r="N243" s="11">
        <v>47</v>
      </c>
      <c r="O243" s="12">
        <v>30.98</v>
      </c>
      <c r="P243" s="12">
        <v>8.99</v>
      </c>
      <c r="Q243" s="13">
        <v>19.57</v>
      </c>
      <c r="R243" s="36" t="s">
        <v>533</v>
      </c>
      <c r="S243" s="7">
        <f t="shared" si="13"/>
        <v>2</v>
      </c>
      <c r="T243" s="15" t="str">
        <f>VLOOKUP(R243,产品分类!$C$2:$D$1278,2,0)</f>
        <v>办公用品</v>
      </c>
    </row>
    <row r="244" spans="1:20">
      <c r="A244" s="8">
        <f>DATE(2012,12,31)-500</f>
        <v>40774</v>
      </c>
      <c r="B244" s="8">
        <f>DATE(2012,12,31)-500</f>
        <v>40774</v>
      </c>
      <c r="C244" s="9" t="s">
        <v>534</v>
      </c>
      <c r="D244">
        <v>10021294841</v>
      </c>
      <c r="E244" t="s">
        <v>47</v>
      </c>
      <c r="F244" t="s">
        <v>61</v>
      </c>
      <c r="G244" t="s">
        <v>62</v>
      </c>
      <c r="H244" t="s">
        <v>454</v>
      </c>
      <c r="I244" t="s">
        <v>455</v>
      </c>
      <c r="J244" t="s">
        <v>367</v>
      </c>
      <c r="K244" s="3">
        <v>100410223444</v>
      </c>
      <c r="L244" s="10">
        <v>40775</v>
      </c>
      <c r="M244">
        <v>163.14</v>
      </c>
      <c r="N244" s="11">
        <v>24</v>
      </c>
      <c r="O244" s="12">
        <v>6.78</v>
      </c>
      <c r="P244" s="12">
        <v>6.18</v>
      </c>
      <c r="Q244" s="13">
        <v>-62.2</v>
      </c>
      <c r="R244" s="36" t="s">
        <v>535</v>
      </c>
      <c r="S244" s="7">
        <f t="shared" si="13"/>
        <v>1</v>
      </c>
      <c r="T244" s="15" t="str">
        <f>VLOOKUP(R244,产品分类!$C$2:$D$1278,2,0)</f>
        <v>办公用品</v>
      </c>
    </row>
    <row r="245" spans="1:20">
      <c r="A245" s="8">
        <f>DATE(2012,12,31)-1334</f>
        <v>39940</v>
      </c>
      <c r="B245" s="8">
        <f>DATE(2012,12,31)-1334</f>
        <v>39940</v>
      </c>
      <c r="C245" s="9" t="s">
        <v>536</v>
      </c>
      <c r="D245">
        <v>10021251541</v>
      </c>
      <c r="E245" t="s">
        <v>47</v>
      </c>
      <c r="F245" t="s">
        <v>61</v>
      </c>
      <c r="G245" t="s">
        <v>62</v>
      </c>
      <c r="H245" t="s">
        <v>454</v>
      </c>
      <c r="I245" t="s">
        <v>455</v>
      </c>
      <c r="J245" t="s">
        <v>367</v>
      </c>
      <c r="K245" s="3">
        <v>100810877782</v>
      </c>
      <c r="L245" s="10">
        <v>39942</v>
      </c>
      <c r="M245">
        <v>755.6075</v>
      </c>
      <c r="N245" s="11">
        <v>26</v>
      </c>
      <c r="O245" s="12">
        <v>35.99</v>
      </c>
      <c r="P245" s="12">
        <v>1.1</v>
      </c>
      <c r="Q245" s="13">
        <v>149.166</v>
      </c>
      <c r="R245" s="36" t="s">
        <v>537</v>
      </c>
      <c r="S245" s="7">
        <f t="shared" si="13"/>
        <v>2</v>
      </c>
      <c r="T245" s="15" t="str">
        <f>VLOOKUP(R245,产品分类!$C$2:$D$1278,2,0)</f>
        <v>办公用品</v>
      </c>
    </row>
    <row r="246" spans="1:20">
      <c r="A246" s="16">
        <f>DATE(2012,12,31)-441</f>
        <v>40833</v>
      </c>
      <c r="B246" s="16">
        <f>DATE(2012,12,31)-441</f>
        <v>40833</v>
      </c>
      <c r="C246" s="9" t="s">
        <v>538</v>
      </c>
      <c r="D246">
        <v>10021261609</v>
      </c>
      <c r="E246" t="s">
        <v>47</v>
      </c>
      <c r="F246" t="s">
        <v>152</v>
      </c>
      <c r="G246" t="s">
        <v>153</v>
      </c>
      <c r="H246" t="s">
        <v>154</v>
      </c>
      <c r="I246" t="s">
        <v>155</v>
      </c>
      <c r="J246" t="s">
        <v>367</v>
      </c>
      <c r="K246" s="3">
        <v>100829474392</v>
      </c>
      <c r="L246" s="10">
        <v>40835</v>
      </c>
      <c r="M246">
        <v>5642.18</v>
      </c>
      <c r="N246" s="17">
        <v>19</v>
      </c>
      <c r="O246" s="5">
        <v>315.98</v>
      </c>
      <c r="P246" s="5">
        <v>19.99</v>
      </c>
      <c r="Q246" s="6">
        <v>1996.6755</v>
      </c>
      <c r="R246" s="37" t="s">
        <v>539</v>
      </c>
      <c r="S246" s="7">
        <f t="shared" si="13"/>
        <v>2</v>
      </c>
      <c r="T246" s="15" t="str">
        <f>VLOOKUP(R246,产品分类!$C$2:$D$1278,2,0)</f>
        <v>家具产品</v>
      </c>
    </row>
    <row r="247" spans="1:20">
      <c r="A247" s="8">
        <f>DATE(2012,12,31)-227</f>
        <v>41047</v>
      </c>
      <c r="B247" s="8">
        <f>DATE(2012,12,31)-227</f>
        <v>41047</v>
      </c>
      <c r="C247" s="9" t="s">
        <v>540</v>
      </c>
      <c r="D247">
        <v>10021290644</v>
      </c>
      <c r="E247" t="s">
        <v>47</v>
      </c>
      <c r="F247" t="s">
        <v>127</v>
      </c>
      <c r="G247" t="s">
        <v>128</v>
      </c>
      <c r="H247" t="s">
        <v>129</v>
      </c>
      <c r="I247" t="s">
        <v>130</v>
      </c>
      <c r="J247" t="s">
        <v>367</v>
      </c>
      <c r="K247" s="3">
        <v>100831596592</v>
      </c>
      <c r="L247" s="10">
        <v>41049</v>
      </c>
      <c r="M247">
        <v>2047.58</v>
      </c>
      <c r="N247" s="11">
        <v>49</v>
      </c>
      <c r="O247" s="12">
        <v>40.98</v>
      </c>
      <c r="P247" s="12">
        <v>1.99</v>
      </c>
      <c r="Q247" s="13">
        <v>902.62</v>
      </c>
      <c r="R247" s="36" t="s">
        <v>541</v>
      </c>
      <c r="S247" s="7">
        <f t="shared" si="13"/>
        <v>2</v>
      </c>
      <c r="T247" s="15" t="str">
        <f>VLOOKUP(R247,产品分类!$C$2:$D$1278,2,0)</f>
        <v>办公用品</v>
      </c>
    </row>
    <row r="248" spans="1:20">
      <c r="A248" s="8">
        <f>DATE(2012,12,31)-227</f>
        <v>41047</v>
      </c>
      <c r="B248" s="8">
        <f>DATE(2012,12,31)-227</f>
        <v>41047</v>
      </c>
      <c r="C248" s="9" t="s">
        <v>540</v>
      </c>
      <c r="D248">
        <v>10021291733</v>
      </c>
      <c r="E248" t="s">
        <v>47</v>
      </c>
      <c r="F248" t="s">
        <v>91</v>
      </c>
      <c r="G248" t="s">
        <v>92</v>
      </c>
      <c r="H248" t="s">
        <v>93</v>
      </c>
      <c r="I248" t="s">
        <v>94</v>
      </c>
      <c r="J248" t="s">
        <v>367</v>
      </c>
      <c r="K248" s="3">
        <v>100132765548</v>
      </c>
      <c r="L248" s="10">
        <v>41049</v>
      </c>
      <c r="M248">
        <v>56.61</v>
      </c>
      <c r="N248" s="11">
        <v>1</v>
      </c>
      <c r="O248" s="12">
        <v>40.97</v>
      </c>
      <c r="P248" s="12">
        <v>14.45</v>
      </c>
      <c r="Q248" s="13">
        <v>-22.16</v>
      </c>
      <c r="R248" s="36" t="s">
        <v>542</v>
      </c>
      <c r="S248" s="7">
        <f t="shared" si="13"/>
        <v>2</v>
      </c>
      <c r="T248" s="15" t="str">
        <f>VLOOKUP(R248,产品分类!$C$2:$D$1278,2,0)</f>
        <v>办公用品</v>
      </c>
    </row>
    <row r="249" spans="1:20">
      <c r="A249" s="8">
        <f>DATE(2012,12,31)-605</f>
        <v>40669</v>
      </c>
      <c r="B249" s="8">
        <f>DATE(2012,12,31)-605</f>
        <v>40669</v>
      </c>
      <c r="C249" s="9" t="s">
        <v>543</v>
      </c>
      <c r="D249">
        <v>10021270498</v>
      </c>
      <c r="E249" t="s">
        <v>47</v>
      </c>
      <c r="F249" t="s">
        <v>66</v>
      </c>
      <c r="G249" t="s">
        <v>67</v>
      </c>
      <c r="H249" t="s">
        <v>68</v>
      </c>
      <c r="I249" t="s">
        <v>69</v>
      </c>
      <c r="J249" t="s">
        <v>367</v>
      </c>
      <c r="K249" s="3">
        <v>100432475504</v>
      </c>
      <c r="L249" s="10">
        <v>40670</v>
      </c>
      <c r="M249">
        <v>67.24</v>
      </c>
      <c r="N249" s="11">
        <v>23</v>
      </c>
      <c r="O249" s="12">
        <v>2.84</v>
      </c>
      <c r="P249" s="12">
        <v>0.93</v>
      </c>
      <c r="Q249" s="13">
        <v>4.9</v>
      </c>
      <c r="R249" s="36" t="s">
        <v>544</v>
      </c>
      <c r="S249" s="7">
        <f t="shared" si="13"/>
        <v>1</v>
      </c>
      <c r="T249" s="15" t="str">
        <f>VLOOKUP(R249,产品分类!$C$2:$D$1278,2,0)</f>
        <v>办公用品</v>
      </c>
    </row>
    <row r="250" spans="1:20">
      <c r="A250" s="8">
        <f>DATE(2012,12,31)-739</f>
        <v>40535</v>
      </c>
      <c r="B250" s="8">
        <f>DATE(2012,12,31)-739</f>
        <v>40535</v>
      </c>
      <c r="C250" s="9" t="s">
        <v>510</v>
      </c>
      <c r="D250">
        <v>10021293532</v>
      </c>
      <c r="E250" t="s">
        <v>47</v>
      </c>
      <c r="F250" t="s">
        <v>66</v>
      </c>
      <c r="G250" t="s">
        <v>67</v>
      </c>
      <c r="H250" t="s">
        <v>68</v>
      </c>
      <c r="I250" t="s">
        <v>69</v>
      </c>
      <c r="J250" t="s">
        <v>367</v>
      </c>
      <c r="K250" s="3">
        <v>10049934654</v>
      </c>
      <c r="L250" s="10">
        <v>40537</v>
      </c>
      <c r="M250">
        <v>12028.23</v>
      </c>
      <c r="N250" s="11">
        <v>25</v>
      </c>
      <c r="O250" s="12">
        <v>449.99</v>
      </c>
      <c r="P250" s="12">
        <v>49</v>
      </c>
      <c r="Q250" s="13">
        <v>-547.61</v>
      </c>
      <c r="R250" s="36" t="s">
        <v>545</v>
      </c>
      <c r="S250" s="7">
        <f t="shared" si="13"/>
        <v>2</v>
      </c>
      <c r="T250" s="15" t="str">
        <f>VLOOKUP(R250,产品分类!$C$2:$D$1278,2,0)</f>
        <v>办公用品</v>
      </c>
    </row>
    <row r="251" spans="1:20">
      <c r="A251" s="8">
        <f t="shared" ref="A251:B253" si="18">DATE(2012,12,31)-1230</f>
        <v>40044</v>
      </c>
      <c r="B251" s="8">
        <f t="shared" si="18"/>
        <v>40044</v>
      </c>
      <c r="C251" s="9" t="s">
        <v>546</v>
      </c>
      <c r="D251">
        <v>10021296928</v>
      </c>
      <c r="E251" t="s">
        <v>47</v>
      </c>
      <c r="F251" t="s">
        <v>230</v>
      </c>
      <c r="G251" t="s">
        <v>231</v>
      </c>
      <c r="H251" t="s">
        <v>232</v>
      </c>
      <c r="I251" t="s">
        <v>233</v>
      </c>
      <c r="J251" t="s">
        <v>367</v>
      </c>
      <c r="K251" s="3">
        <v>100423190834</v>
      </c>
      <c r="L251" s="10">
        <v>40046</v>
      </c>
      <c r="M251">
        <v>857.11</v>
      </c>
      <c r="N251" s="11">
        <v>29</v>
      </c>
      <c r="O251" s="12">
        <v>31.78</v>
      </c>
      <c r="P251" s="12">
        <v>1.99</v>
      </c>
      <c r="Q251" s="13">
        <v>285.2</v>
      </c>
      <c r="R251" s="36" t="s">
        <v>451</v>
      </c>
      <c r="S251" s="7">
        <f t="shared" si="13"/>
        <v>2</v>
      </c>
      <c r="T251" s="15" t="str">
        <f>VLOOKUP(R251,产品分类!$C$2:$D$1278,2,0)</f>
        <v>家具产品</v>
      </c>
    </row>
    <row r="252" spans="1:20">
      <c r="A252" s="8">
        <f t="shared" si="18"/>
        <v>40044</v>
      </c>
      <c r="B252" s="8">
        <f t="shared" si="18"/>
        <v>40044</v>
      </c>
      <c r="C252" s="9" t="s">
        <v>546</v>
      </c>
      <c r="D252">
        <v>10021294824</v>
      </c>
      <c r="E252" t="s">
        <v>47</v>
      </c>
      <c r="F252" t="s">
        <v>473</v>
      </c>
      <c r="G252" t="s">
        <v>474</v>
      </c>
      <c r="H252" t="s">
        <v>475</v>
      </c>
      <c r="I252" t="s">
        <v>476</v>
      </c>
      <c r="J252" t="s">
        <v>367</v>
      </c>
      <c r="K252" s="3">
        <v>10018748418</v>
      </c>
      <c r="L252" s="10">
        <v>40045</v>
      </c>
      <c r="M252">
        <v>69.6</v>
      </c>
      <c r="N252" s="11">
        <v>11</v>
      </c>
      <c r="O252" s="12">
        <v>5.98</v>
      </c>
      <c r="P252" s="12">
        <v>2.5</v>
      </c>
      <c r="Q252" s="13">
        <v>6.46</v>
      </c>
      <c r="R252" s="36" t="s">
        <v>547</v>
      </c>
      <c r="S252" s="7">
        <f t="shared" si="13"/>
        <v>1</v>
      </c>
      <c r="T252" s="15" t="str">
        <f>VLOOKUP(R252,产品分类!$C$2:$D$1278,2,0)</f>
        <v>数码电子</v>
      </c>
    </row>
    <row r="253" spans="1:20">
      <c r="A253" s="8">
        <f t="shared" si="18"/>
        <v>40044</v>
      </c>
      <c r="B253" s="8">
        <f t="shared" si="18"/>
        <v>40044</v>
      </c>
      <c r="C253" s="9" t="s">
        <v>546</v>
      </c>
      <c r="D253">
        <v>10021287550</v>
      </c>
      <c r="E253" t="s">
        <v>47</v>
      </c>
      <c r="F253" t="s">
        <v>97</v>
      </c>
      <c r="G253" t="s">
        <v>98</v>
      </c>
      <c r="H253" t="s">
        <v>99</v>
      </c>
      <c r="I253" t="s">
        <v>98</v>
      </c>
      <c r="J253" t="s">
        <v>367</v>
      </c>
      <c r="K253" s="3">
        <v>100931941841</v>
      </c>
      <c r="L253" s="10">
        <v>40045</v>
      </c>
      <c r="M253">
        <v>1279.505</v>
      </c>
      <c r="N253" s="11">
        <v>43</v>
      </c>
      <c r="O253" s="12">
        <v>35.99</v>
      </c>
      <c r="P253" s="12">
        <v>1.1</v>
      </c>
      <c r="Q253" s="13">
        <v>384.201</v>
      </c>
      <c r="R253" s="36" t="s">
        <v>537</v>
      </c>
      <c r="S253" s="7">
        <f t="shared" si="13"/>
        <v>1</v>
      </c>
      <c r="T253" s="15" t="str">
        <f>VLOOKUP(R253,产品分类!$C$2:$D$1278,2,0)</f>
        <v>办公用品</v>
      </c>
    </row>
    <row r="254" spans="1:20">
      <c r="A254" s="8">
        <f>DATE(2012,12,31)-282</f>
        <v>40992</v>
      </c>
      <c r="B254" s="8">
        <f>DATE(2012,12,31)-282</f>
        <v>40992</v>
      </c>
      <c r="C254" s="9" t="s">
        <v>407</v>
      </c>
      <c r="D254">
        <v>10021253795</v>
      </c>
      <c r="E254" t="s">
        <v>47</v>
      </c>
      <c r="F254" t="s">
        <v>304</v>
      </c>
      <c r="G254" t="s">
        <v>305</v>
      </c>
      <c r="H254" t="s">
        <v>306</v>
      </c>
      <c r="I254" t="s">
        <v>307</v>
      </c>
      <c r="J254" t="s">
        <v>367</v>
      </c>
      <c r="K254" s="3">
        <v>100420526393</v>
      </c>
      <c r="L254" s="10">
        <v>40995</v>
      </c>
      <c r="M254">
        <v>59.99</v>
      </c>
      <c r="N254" s="11">
        <v>7</v>
      </c>
      <c r="O254" s="12">
        <v>8.34</v>
      </c>
      <c r="P254" s="12">
        <v>4.82</v>
      </c>
      <c r="Q254" s="13">
        <v>-13.78</v>
      </c>
      <c r="R254" s="36" t="s">
        <v>548</v>
      </c>
      <c r="S254" s="7">
        <f t="shared" si="13"/>
        <v>3</v>
      </c>
      <c r="T254" s="15" t="str">
        <f>VLOOKUP(R254,产品分类!$C$2:$D$1278,2,0)</f>
        <v>办公用品</v>
      </c>
    </row>
    <row r="255" spans="1:20">
      <c r="A255" s="8">
        <f>DATE(2012,12,31)-659</f>
        <v>40615</v>
      </c>
      <c r="B255" s="8">
        <f>DATE(2012,12,31)-659</f>
        <v>40615</v>
      </c>
      <c r="C255" s="9" t="s">
        <v>549</v>
      </c>
      <c r="D255">
        <v>10021293701</v>
      </c>
      <c r="E255" t="s">
        <v>47</v>
      </c>
      <c r="F255" t="s">
        <v>208</v>
      </c>
      <c r="G255" t="s">
        <v>209</v>
      </c>
      <c r="H255" t="s">
        <v>210</v>
      </c>
      <c r="I255" t="s">
        <v>211</v>
      </c>
      <c r="J255" t="s">
        <v>367</v>
      </c>
      <c r="K255" s="3">
        <v>10096372931</v>
      </c>
      <c r="L255" s="10">
        <v>40617</v>
      </c>
      <c r="M255">
        <v>46.34</v>
      </c>
      <c r="N255" s="11">
        <v>10</v>
      </c>
      <c r="O255" s="12">
        <v>4.71</v>
      </c>
      <c r="P255" s="12">
        <v>0.7</v>
      </c>
      <c r="Q255" s="13">
        <v>-7.76</v>
      </c>
      <c r="R255" s="36" t="s">
        <v>487</v>
      </c>
      <c r="S255" s="7">
        <f t="shared" si="13"/>
        <v>2</v>
      </c>
      <c r="T255" s="15" t="str">
        <f>VLOOKUP(R255,产品分类!$C$2:$D$1278,2,0)</f>
        <v>家具产品</v>
      </c>
    </row>
    <row r="256" spans="1:20">
      <c r="A256" s="8">
        <f>DATE(2012,12,31)-784</f>
        <v>40490</v>
      </c>
      <c r="B256" s="8">
        <f>DATE(2012,12,31)-784</f>
        <v>40490</v>
      </c>
      <c r="C256" s="9" t="s">
        <v>275</v>
      </c>
      <c r="D256">
        <v>10021261902</v>
      </c>
      <c r="E256" t="s">
        <v>47</v>
      </c>
      <c r="F256" t="s">
        <v>102</v>
      </c>
      <c r="G256" t="s">
        <v>103</v>
      </c>
      <c r="H256" t="s">
        <v>104</v>
      </c>
      <c r="I256" t="s">
        <v>105</v>
      </c>
      <c r="J256" t="s">
        <v>367</v>
      </c>
      <c r="K256" s="3">
        <v>100429743393</v>
      </c>
      <c r="L256" s="10">
        <v>40495</v>
      </c>
      <c r="M256">
        <v>370.48</v>
      </c>
      <c r="N256" s="11">
        <v>28</v>
      </c>
      <c r="O256" s="12">
        <v>13.48</v>
      </c>
      <c r="P256" s="12">
        <v>4.51</v>
      </c>
      <c r="Q256" s="13">
        <v>-5.45</v>
      </c>
      <c r="R256" s="36" t="s">
        <v>550</v>
      </c>
      <c r="S256" s="7">
        <f t="shared" si="13"/>
        <v>5</v>
      </c>
      <c r="T256" s="15" t="str">
        <f>VLOOKUP(R256,产品分类!$C$2:$D$1278,2,0)</f>
        <v>办公用品</v>
      </c>
    </row>
    <row r="257" spans="1:20">
      <c r="A257" s="8">
        <f>DATE(2012,12,31)-173</f>
        <v>41101</v>
      </c>
      <c r="B257" s="8">
        <f>DATE(2012,12,31)-173</f>
        <v>41101</v>
      </c>
      <c r="C257" s="9" t="s">
        <v>551</v>
      </c>
      <c r="D257">
        <v>10021293506</v>
      </c>
      <c r="E257" t="s">
        <v>47</v>
      </c>
      <c r="F257" t="s">
        <v>171</v>
      </c>
      <c r="G257" t="s">
        <v>172</v>
      </c>
      <c r="H257" t="s">
        <v>173</v>
      </c>
      <c r="I257" t="s">
        <v>174</v>
      </c>
      <c r="J257" t="s">
        <v>367</v>
      </c>
      <c r="K257" s="3">
        <v>10019797486</v>
      </c>
      <c r="L257" s="10">
        <v>41101</v>
      </c>
      <c r="M257">
        <v>233.43</v>
      </c>
      <c r="N257" s="11">
        <v>36</v>
      </c>
      <c r="O257" s="12">
        <v>6.28</v>
      </c>
      <c r="P257" s="12">
        <v>5.36</v>
      </c>
      <c r="Q257" s="13">
        <v>-71.898</v>
      </c>
      <c r="R257" s="36" t="s">
        <v>552</v>
      </c>
      <c r="S257" s="7">
        <f t="shared" si="13"/>
        <v>0</v>
      </c>
      <c r="T257" s="15" t="str">
        <f>VLOOKUP(R257,产品分类!$C$2:$D$1278,2,0)</f>
        <v>家具产品</v>
      </c>
    </row>
    <row r="258" spans="1:20">
      <c r="A258" s="16">
        <f>DATE(2012,12,31)-41</f>
        <v>41233</v>
      </c>
      <c r="B258" s="16">
        <f>DATE(2012,12,31)-41</f>
        <v>41233</v>
      </c>
      <c r="C258" s="9" t="s">
        <v>553</v>
      </c>
      <c r="D258">
        <v>10021301396</v>
      </c>
      <c r="E258" t="s">
        <v>47</v>
      </c>
      <c r="F258" t="s">
        <v>171</v>
      </c>
      <c r="G258" t="s">
        <v>172</v>
      </c>
      <c r="H258" t="s">
        <v>173</v>
      </c>
      <c r="I258" t="s">
        <v>174</v>
      </c>
      <c r="J258" t="s">
        <v>367</v>
      </c>
      <c r="K258" s="3">
        <v>100430356823</v>
      </c>
      <c r="L258" s="10">
        <v>41233</v>
      </c>
      <c r="M258">
        <v>183.41</v>
      </c>
      <c r="N258" s="17">
        <v>43</v>
      </c>
      <c r="O258" s="5">
        <v>4.13</v>
      </c>
      <c r="P258" s="5">
        <v>5.04</v>
      </c>
      <c r="Q258" s="6">
        <v>-125.4075</v>
      </c>
      <c r="R258" s="37" t="s">
        <v>554</v>
      </c>
      <c r="S258" s="7">
        <f t="shared" si="13"/>
        <v>0</v>
      </c>
      <c r="T258" s="15" t="str">
        <f>VLOOKUP(R258,产品分类!$C$2:$D$1278,2,0)</f>
        <v>办公用品</v>
      </c>
    </row>
    <row r="259" spans="1:20">
      <c r="A259" s="8">
        <f>DATE(2012,12,31)-1396</f>
        <v>39878</v>
      </c>
      <c r="B259" s="8">
        <f>DATE(2012,12,31)-1396</f>
        <v>39878</v>
      </c>
      <c r="C259" s="9" t="s">
        <v>555</v>
      </c>
      <c r="D259">
        <v>10021300635</v>
      </c>
      <c r="E259" t="s">
        <v>47</v>
      </c>
      <c r="F259" t="s">
        <v>61</v>
      </c>
      <c r="G259" t="s">
        <v>62</v>
      </c>
      <c r="H259" t="s">
        <v>454</v>
      </c>
      <c r="I259" t="s">
        <v>455</v>
      </c>
      <c r="J259" t="s">
        <v>367</v>
      </c>
      <c r="K259" s="3">
        <v>10042820594</v>
      </c>
      <c r="L259" s="10">
        <v>39880</v>
      </c>
      <c r="M259">
        <v>1187.12</v>
      </c>
      <c r="N259" s="11">
        <v>10</v>
      </c>
      <c r="O259" s="12">
        <v>113.98</v>
      </c>
      <c r="P259" s="12">
        <v>30</v>
      </c>
      <c r="Q259" s="13">
        <v>-127.3</v>
      </c>
      <c r="R259" s="36" t="s">
        <v>556</v>
      </c>
      <c r="S259" s="7">
        <f t="shared" ref="S259:S322" si="19">+L259-B259</f>
        <v>2</v>
      </c>
      <c r="T259" s="15" t="str">
        <f>VLOOKUP(R259,产品分类!$C$2:$D$1278,2,0)</f>
        <v>办公用品</v>
      </c>
    </row>
    <row r="260" spans="1:20">
      <c r="A260" s="8">
        <f>DATE(2012,12,31)-1396</f>
        <v>39878</v>
      </c>
      <c r="B260" s="8">
        <f>DATE(2012,12,31)-1396</f>
        <v>39878</v>
      </c>
      <c r="C260" s="9" t="s">
        <v>555</v>
      </c>
      <c r="D260">
        <v>10021311035</v>
      </c>
      <c r="E260" t="s">
        <v>47</v>
      </c>
      <c r="F260" t="s">
        <v>61</v>
      </c>
      <c r="G260" t="s">
        <v>62</v>
      </c>
      <c r="H260" t="s">
        <v>454</v>
      </c>
      <c r="I260" t="s">
        <v>455</v>
      </c>
      <c r="J260" t="s">
        <v>367</v>
      </c>
      <c r="K260" s="3">
        <v>100111262387</v>
      </c>
      <c r="L260" s="10">
        <v>39880</v>
      </c>
      <c r="M260">
        <v>108.31</v>
      </c>
      <c r="N260" s="11">
        <v>16</v>
      </c>
      <c r="O260" s="12">
        <v>6.48</v>
      </c>
      <c r="P260" s="12">
        <v>6.86</v>
      </c>
      <c r="Q260" s="13">
        <v>-52.77</v>
      </c>
      <c r="R260" s="36" t="s">
        <v>557</v>
      </c>
      <c r="S260" s="7">
        <f t="shared" si="19"/>
        <v>2</v>
      </c>
      <c r="T260" s="15" t="str">
        <f>VLOOKUP(R260,产品分类!$C$2:$D$1278,2,0)</f>
        <v>家具产品</v>
      </c>
    </row>
    <row r="261" spans="1:20">
      <c r="A261" s="8">
        <f>DATE(2012,12,31)-1337</f>
        <v>39937</v>
      </c>
      <c r="B261" s="8">
        <f>DATE(2012,12,31)-1337</f>
        <v>39937</v>
      </c>
      <c r="C261" s="9" t="s">
        <v>558</v>
      </c>
      <c r="D261">
        <v>10021297460</v>
      </c>
      <c r="E261" t="s">
        <v>47</v>
      </c>
      <c r="F261" t="s">
        <v>61</v>
      </c>
      <c r="G261" t="s">
        <v>62</v>
      </c>
      <c r="H261" t="s">
        <v>454</v>
      </c>
      <c r="I261" t="s">
        <v>455</v>
      </c>
      <c r="J261" t="s">
        <v>367</v>
      </c>
      <c r="K261" s="3">
        <v>100824865582</v>
      </c>
      <c r="L261" s="10">
        <v>39938</v>
      </c>
      <c r="M261">
        <v>10656.26</v>
      </c>
      <c r="N261" s="11">
        <v>39</v>
      </c>
      <c r="O261" s="12">
        <v>276.2</v>
      </c>
      <c r="P261" s="12">
        <v>24.49</v>
      </c>
      <c r="Q261" s="13">
        <v>3116.54</v>
      </c>
      <c r="R261" s="36" t="s">
        <v>559</v>
      </c>
      <c r="S261" s="7">
        <f t="shared" si="19"/>
        <v>1</v>
      </c>
      <c r="T261" s="15" t="str">
        <f>VLOOKUP(R261,产品分类!$C$2:$D$1278,2,0)</f>
        <v>家具产品</v>
      </c>
    </row>
    <row r="262" spans="1:20">
      <c r="A262" s="8">
        <f>DATE(2012,12,31)-1337</f>
        <v>39937</v>
      </c>
      <c r="B262" s="8">
        <f>DATE(2012,12,31)-1337</f>
        <v>39937</v>
      </c>
      <c r="C262" s="9" t="s">
        <v>558</v>
      </c>
      <c r="D262">
        <v>10021250469</v>
      </c>
      <c r="E262" t="s">
        <v>47</v>
      </c>
      <c r="F262" t="s">
        <v>61</v>
      </c>
      <c r="G262" t="s">
        <v>62</v>
      </c>
      <c r="H262" t="s">
        <v>454</v>
      </c>
      <c r="I262" t="s">
        <v>455</v>
      </c>
      <c r="J262" t="s">
        <v>367</v>
      </c>
      <c r="K262" s="3">
        <v>100410743393</v>
      </c>
      <c r="L262" s="10">
        <v>39937</v>
      </c>
      <c r="M262">
        <v>17.06</v>
      </c>
      <c r="N262" s="11">
        <v>2</v>
      </c>
      <c r="O262" s="12">
        <v>6.28</v>
      </c>
      <c r="P262" s="12">
        <v>5.29</v>
      </c>
      <c r="Q262" s="13">
        <v>-5.2</v>
      </c>
      <c r="R262" s="36" t="s">
        <v>560</v>
      </c>
      <c r="S262" s="7">
        <f t="shared" si="19"/>
        <v>0</v>
      </c>
      <c r="T262" s="15" t="str">
        <f>VLOOKUP(R262,产品分类!$C$2:$D$1278,2,0)</f>
        <v>数码电子</v>
      </c>
    </row>
    <row r="263" spans="1:20">
      <c r="A263" s="8">
        <f>DATE(2012,12,31)-758</f>
        <v>40516</v>
      </c>
      <c r="B263" s="8">
        <f>DATE(2012,12,31)-758</f>
        <v>40516</v>
      </c>
      <c r="C263" s="9" t="s">
        <v>431</v>
      </c>
      <c r="D263">
        <v>10021278248</v>
      </c>
      <c r="E263" t="s">
        <v>47</v>
      </c>
      <c r="F263" t="s">
        <v>208</v>
      </c>
      <c r="G263" t="s">
        <v>209</v>
      </c>
      <c r="H263" t="s">
        <v>210</v>
      </c>
      <c r="I263" t="s">
        <v>211</v>
      </c>
      <c r="J263" t="s">
        <v>367</v>
      </c>
      <c r="K263" s="3">
        <v>100332778319</v>
      </c>
      <c r="L263" s="10">
        <v>40518</v>
      </c>
      <c r="M263">
        <v>38.26</v>
      </c>
      <c r="N263" s="11">
        <v>22</v>
      </c>
      <c r="O263" s="12">
        <v>1.76</v>
      </c>
      <c r="P263" s="12">
        <v>0.7</v>
      </c>
      <c r="Q263" s="13">
        <v>-2.34</v>
      </c>
      <c r="R263" s="36" t="s">
        <v>561</v>
      </c>
      <c r="S263" s="7">
        <f t="shared" si="19"/>
        <v>2</v>
      </c>
      <c r="T263" s="15" t="str">
        <f>VLOOKUP(R263,产品分类!$C$2:$D$1278,2,0)</f>
        <v>数码电子</v>
      </c>
    </row>
    <row r="264" spans="1:20">
      <c r="A264" s="8">
        <f>DATE(2012,12,31)-260</f>
        <v>41014</v>
      </c>
      <c r="B264" s="8">
        <f>DATE(2012,12,31)-260</f>
        <v>41014</v>
      </c>
      <c r="C264" s="9" t="s">
        <v>562</v>
      </c>
      <c r="D264">
        <v>10021326361</v>
      </c>
      <c r="E264" t="s">
        <v>47</v>
      </c>
      <c r="F264" t="s">
        <v>342</v>
      </c>
      <c r="G264" t="s">
        <v>343</v>
      </c>
      <c r="H264" t="s">
        <v>344</v>
      </c>
      <c r="I264" t="s">
        <v>345</v>
      </c>
      <c r="J264" t="s">
        <v>367</v>
      </c>
      <c r="K264" s="3">
        <v>100832846412</v>
      </c>
      <c r="L264" s="10">
        <v>41015</v>
      </c>
      <c r="M264">
        <v>28.32</v>
      </c>
      <c r="N264" s="11">
        <v>5</v>
      </c>
      <c r="O264" s="12">
        <v>4.98</v>
      </c>
      <c r="P264" s="12">
        <v>4.75</v>
      </c>
      <c r="Q264" s="13">
        <v>-14.35</v>
      </c>
      <c r="R264" s="36" t="s">
        <v>563</v>
      </c>
      <c r="S264" s="7">
        <f t="shared" si="19"/>
        <v>1</v>
      </c>
      <c r="T264" s="15" t="str">
        <f>VLOOKUP(R264,产品分类!$C$2:$D$1278,2,0)</f>
        <v>家具产品</v>
      </c>
    </row>
    <row r="265" spans="1:20">
      <c r="A265" s="16">
        <f>DATE(2012,12,31)-1334</f>
        <v>39940</v>
      </c>
      <c r="B265" s="16">
        <f>DATE(2012,12,31)-1334</f>
        <v>39940</v>
      </c>
      <c r="C265" s="9" t="s">
        <v>564</v>
      </c>
      <c r="D265">
        <v>10021271139</v>
      </c>
      <c r="E265" t="s">
        <v>47</v>
      </c>
      <c r="F265" t="s">
        <v>48</v>
      </c>
      <c r="G265" t="s">
        <v>49</v>
      </c>
      <c r="H265" t="s">
        <v>50</v>
      </c>
      <c r="I265" t="s">
        <v>51</v>
      </c>
      <c r="J265" t="s">
        <v>367</v>
      </c>
      <c r="K265" s="3">
        <v>100732758375</v>
      </c>
      <c r="L265" s="10">
        <v>39941</v>
      </c>
      <c r="M265">
        <v>133.04</v>
      </c>
      <c r="N265" s="17">
        <v>48</v>
      </c>
      <c r="O265" s="5">
        <v>2.78</v>
      </c>
      <c r="P265" s="5">
        <v>1.49</v>
      </c>
      <c r="Q265" s="6">
        <v>6.732</v>
      </c>
      <c r="R265" s="37" t="s">
        <v>565</v>
      </c>
      <c r="S265" s="7">
        <f t="shared" si="19"/>
        <v>1</v>
      </c>
      <c r="T265" s="15" t="str">
        <f>VLOOKUP(R265,产品分类!$C$2:$D$1278,2,0)</f>
        <v>办公用品</v>
      </c>
    </row>
    <row r="266" spans="1:20">
      <c r="A266" s="16">
        <f>DATE(2012,12,31)-761</f>
        <v>40513</v>
      </c>
      <c r="B266" s="16">
        <f>DATE(2012,12,31)-761</f>
        <v>40513</v>
      </c>
      <c r="C266" s="9" t="s">
        <v>286</v>
      </c>
      <c r="D266">
        <v>10021325061</v>
      </c>
      <c r="E266" t="s">
        <v>47</v>
      </c>
      <c r="F266" t="s">
        <v>72</v>
      </c>
      <c r="G266" t="s">
        <v>73</v>
      </c>
      <c r="H266" t="s">
        <v>74</v>
      </c>
      <c r="I266" t="s">
        <v>75</v>
      </c>
      <c r="J266" t="s">
        <v>367</v>
      </c>
      <c r="K266" s="3">
        <v>100432843244</v>
      </c>
      <c r="L266" s="10">
        <v>40514</v>
      </c>
      <c r="M266">
        <v>12586.19</v>
      </c>
      <c r="N266" s="17">
        <v>33</v>
      </c>
      <c r="O266" s="5">
        <v>370.98</v>
      </c>
      <c r="P266" s="5">
        <v>99</v>
      </c>
      <c r="Q266" s="6">
        <v>619.71</v>
      </c>
      <c r="R266" s="37" t="s">
        <v>566</v>
      </c>
      <c r="S266" s="7">
        <f t="shared" si="19"/>
        <v>1</v>
      </c>
      <c r="T266" s="15" t="str">
        <f>VLOOKUP(R266,产品分类!$C$2:$D$1278,2,0)</f>
        <v>办公用品</v>
      </c>
    </row>
    <row r="267" spans="1:20">
      <c r="A267" s="8">
        <f t="shared" ref="A267:B269" si="20">DATE(2012,12,31)-287</f>
        <v>40987</v>
      </c>
      <c r="B267" s="8">
        <f t="shared" si="20"/>
        <v>40987</v>
      </c>
      <c r="C267" s="9" t="s">
        <v>567</v>
      </c>
      <c r="D267">
        <v>10021306008</v>
      </c>
      <c r="E267" t="s">
        <v>47</v>
      </c>
      <c r="F267" t="s">
        <v>253</v>
      </c>
      <c r="G267" t="s">
        <v>254</v>
      </c>
      <c r="H267" t="s">
        <v>255</v>
      </c>
      <c r="I267" t="s">
        <v>256</v>
      </c>
      <c r="J267" t="s">
        <v>367</v>
      </c>
      <c r="K267" s="3">
        <v>100132798867</v>
      </c>
      <c r="L267" s="10">
        <v>40989</v>
      </c>
      <c r="M267">
        <v>1449.3</v>
      </c>
      <c r="N267" s="11">
        <v>24</v>
      </c>
      <c r="O267" s="12">
        <v>60.98</v>
      </c>
      <c r="P267" s="12">
        <v>49</v>
      </c>
      <c r="Q267" s="13">
        <v>-712.14</v>
      </c>
      <c r="R267" s="36" t="s">
        <v>568</v>
      </c>
      <c r="S267" s="7">
        <f t="shared" si="19"/>
        <v>2</v>
      </c>
      <c r="T267" s="15" t="str">
        <f>VLOOKUP(R267,产品分类!$C$2:$D$1278,2,0)</f>
        <v>家具产品</v>
      </c>
    </row>
    <row r="268" spans="1:20">
      <c r="A268" s="8">
        <f t="shared" si="20"/>
        <v>40987</v>
      </c>
      <c r="B268" s="8">
        <f t="shared" si="20"/>
        <v>40987</v>
      </c>
      <c r="C268" s="9" t="s">
        <v>567</v>
      </c>
      <c r="D268">
        <v>10021321356</v>
      </c>
      <c r="E268" t="s">
        <v>47</v>
      </c>
      <c r="F268" t="s">
        <v>97</v>
      </c>
      <c r="G268" t="s">
        <v>98</v>
      </c>
      <c r="H268" t="s">
        <v>99</v>
      </c>
      <c r="I268" t="s">
        <v>98</v>
      </c>
      <c r="J268" t="s">
        <v>367</v>
      </c>
      <c r="K268" s="3">
        <v>100932831201</v>
      </c>
      <c r="L268" s="10">
        <v>40988</v>
      </c>
      <c r="M268">
        <v>4374.6865</v>
      </c>
      <c r="N268" s="11">
        <v>43</v>
      </c>
      <c r="O268" s="12">
        <v>125.99</v>
      </c>
      <c r="P268" s="12">
        <v>8.08</v>
      </c>
      <c r="Q268" s="13">
        <v>973.161</v>
      </c>
      <c r="R268" s="36" t="s">
        <v>569</v>
      </c>
      <c r="S268" s="7">
        <f t="shared" si="19"/>
        <v>1</v>
      </c>
      <c r="T268" s="15" t="str">
        <f>VLOOKUP(R268,产品分类!$C$2:$D$1278,2,0)</f>
        <v>家具产品</v>
      </c>
    </row>
    <row r="269" spans="1:20">
      <c r="A269" s="8">
        <f t="shared" si="20"/>
        <v>40987</v>
      </c>
      <c r="B269" s="8">
        <f t="shared" si="20"/>
        <v>40987</v>
      </c>
      <c r="C269" s="9" t="s">
        <v>567</v>
      </c>
      <c r="D269">
        <v>10021348485</v>
      </c>
      <c r="E269" t="s">
        <v>47</v>
      </c>
      <c r="F269" t="s">
        <v>72</v>
      </c>
      <c r="G269" t="s">
        <v>73</v>
      </c>
      <c r="H269" t="s">
        <v>74</v>
      </c>
      <c r="I269" t="s">
        <v>75</v>
      </c>
      <c r="J269" t="s">
        <v>367</v>
      </c>
      <c r="K269" s="3">
        <v>100931582011</v>
      </c>
      <c r="L269" s="10">
        <v>40988</v>
      </c>
      <c r="M269">
        <v>4283.235</v>
      </c>
      <c r="N269" s="11">
        <v>44</v>
      </c>
      <c r="O269" s="12">
        <v>125.99</v>
      </c>
      <c r="P269" s="12">
        <v>8.8</v>
      </c>
      <c r="Q269" s="13">
        <v>676.125</v>
      </c>
      <c r="R269" s="36" t="s">
        <v>570</v>
      </c>
      <c r="S269" s="7">
        <f t="shared" si="19"/>
        <v>1</v>
      </c>
      <c r="T269" s="15" t="str">
        <f>VLOOKUP(R269,产品分类!$C$2:$D$1278,2,0)</f>
        <v>办公用品</v>
      </c>
    </row>
    <row r="270" spans="1:20">
      <c r="A270" s="8">
        <f>DATE(2012,12,31)-1084</f>
        <v>40190</v>
      </c>
      <c r="B270" s="8">
        <f>DATE(2012,12,31)-1084</f>
        <v>40190</v>
      </c>
      <c r="C270" s="9" t="s">
        <v>571</v>
      </c>
      <c r="D270">
        <v>10021267499</v>
      </c>
      <c r="E270" t="s">
        <v>47</v>
      </c>
      <c r="F270" t="s">
        <v>97</v>
      </c>
      <c r="G270" t="s">
        <v>98</v>
      </c>
      <c r="H270" t="s">
        <v>99</v>
      </c>
      <c r="I270" t="s">
        <v>98</v>
      </c>
      <c r="J270" t="s">
        <v>367</v>
      </c>
      <c r="K270" s="3">
        <v>100132096488</v>
      </c>
      <c r="L270" s="10">
        <v>40191</v>
      </c>
      <c r="M270">
        <v>199.76</v>
      </c>
      <c r="N270" s="11">
        <v>37</v>
      </c>
      <c r="O270" s="12">
        <v>5.58</v>
      </c>
      <c r="P270" s="12">
        <v>1.99</v>
      </c>
      <c r="Q270" s="13">
        <v>20</v>
      </c>
      <c r="R270" s="36" t="s">
        <v>572</v>
      </c>
      <c r="S270" s="7">
        <f t="shared" si="19"/>
        <v>1</v>
      </c>
      <c r="T270" s="15" t="str">
        <f>VLOOKUP(R270,产品分类!$C$2:$D$1278,2,0)</f>
        <v>数码电子</v>
      </c>
    </row>
    <row r="271" spans="1:20">
      <c r="A271" s="8">
        <f>DATE(2012,12,31)-831</f>
        <v>40443</v>
      </c>
      <c r="B271" s="8">
        <f>DATE(2012,12,31)-831</f>
        <v>40443</v>
      </c>
      <c r="C271" s="9" t="s">
        <v>573</v>
      </c>
      <c r="D271">
        <v>10021330988</v>
      </c>
      <c r="E271" t="s">
        <v>47</v>
      </c>
      <c r="F271" t="s">
        <v>66</v>
      </c>
      <c r="G271" t="s">
        <v>67</v>
      </c>
      <c r="H271" t="s">
        <v>68</v>
      </c>
      <c r="I271" t="s">
        <v>69</v>
      </c>
      <c r="J271" t="s">
        <v>367</v>
      </c>
      <c r="K271" s="3">
        <v>100110194087</v>
      </c>
      <c r="L271" s="10">
        <v>40444</v>
      </c>
      <c r="M271">
        <v>2415.38</v>
      </c>
      <c r="N271" s="11">
        <v>26</v>
      </c>
      <c r="O271" s="12">
        <v>95.95</v>
      </c>
      <c r="P271" s="12">
        <v>74.35</v>
      </c>
      <c r="Q271" s="13">
        <v>-1131.6</v>
      </c>
      <c r="R271" s="36" t="s">
        <v>574</v>
      </c>
      <c r="S271" s="7">
        <f t="shared" si="19"/>
        <v>1</v>
      </c>
      <c r="T271" s="15" t="str">
        <f>VLOOKUP(R271,产品分类!$C$2:$D$1278,2,0)</f>
        <v>办公用品</v>
      </c>
    </row>
    <row r="272" spans="1:20">
      <c r="A272" s="8">
        <f>DATE(2012,12,31)-793</f>
        <v>40481</v>
      </c>
      <c r="B272" s="8">
        <f>DATE(2012,12,31)-793</f>
        <v>40481</v>
      </c>
      <c r="C272" s="9" t="s">
        <v>575</v>
      </c>
      <c r="D272">
        <v>10021327791</v>
      </c>
      <c r="E272" t="s">
        <v>47</v>
      </c>
      <c r="F272" t="s">
        <v>527</v>
      </c>
      <c r="G272" t="s">
        <v>528</v>
      </c>
      <c r="H272" t="s">
        <v>529</v>
      </c>
      <c r="I272" t="s">
        <v>530</v>
      </c>
      <c r="J272" t="s">
        <v>367</v>
      </c>
      <c r="K272" s="3">
        <v>100931800071</v>
      </c>
      <c r="L272" s="10">
        <v>40481</v>
      </c>
      <c r="M272">
        <v>1264.46</v>
      </c>
      <c r="N272" s="11">
        <v>38</v>
      </c>
      <c r="O272" s="12">
        <v>31.76</v>
      </c>
      <c r="P272" s="12">
        <v>45.51</v>
      </c>
      <c r="Q272" s="13">
        <v>-1249.39</v>
      </c>
      <c r="R272" s="36" t="s">
        <v>576</v>
      </c>
      <c r="S272" s="7">
        <f t="shared" si="19"/>
        <v>0</v>
      </c>
      <c r="T272" s="15" t="str">
        <f>VLOOKUP(R272,产品分类!$C$2:$D$1278,2,0)</f>
        <v>办公用品</v>
      </c>
    </row>
    <row r="273" spans="1:20">
      <c r="A273" s="8">
        <f>DATE(2012,12,31)-793</f>
        <v>40481</v>
      </c>
      <c r="B273" s="8">
        <f>DATE(2012,12,31)-793</f>
        <v>40481</v>
      </c>
      <c r="C273" s="9" t="s">
        <v>575</v>
      </c>
      <c r="D273">
        <v>10021327917</v>
      </c>
      <c r="E273" t="s">
        <v>47</v>
      </c>
      <c r="F273" t="s">
        <v>171</v>
      </c>
      <c r="G273" t="s">
        <v>172</v>
      </c>
      <c r="H273" t="s">
        <v>173</v>
      </c>
      <c r="I273" t="s">
        <v>174</v>
      </c>
      <c r="J273" t="s">
        <v>367</v>
      </c>
      <c r="K273" s="3">
        <v>100930211931</v>
      </c>
      <c r="L273" s="10">
        <v>40482</v>
      </c>
      <c r="M273">
        <v>158.25</v>
      </c>
      <c r="N273" s="11">
        <v>35</v>
      </c>
      <c r="O273" s="12">
        <v>4.57</v>
      </c>
      <c r="P273" s="12">
        <v>5.42</v>
      </c>
      <c r="Q273" s="13">
        <v>-114.7355</v>
      </c>
      <c r="R273" s="36" t="s">
        <v>577</v>
      </c>
      <c r="S273" s="7">
        <f t="shared" si="19"/>
        <v>1</v>
      </c>
      <c r="T273" s="15" t="str">
        <f>VLOOKUP(R273,产品分类!$C$2:$D$1278,2,0)</f>
        <v>办公用品</v>
      </c>
    </row>
    <row r="274" spans="1:20">
      <c r="A274" s="8">
        <f>DATE(2012,12,31)-1113</f>
        <v>40161</v>
      </c>
      <c r="B274" s="8">
        <f>DATE(2012,12,31)-1113</f>
        <v>40161</v>
      </c>
      <c r="C274" s="9" t="s">
        <v>578</v>
      </c>
      <c r="D274">
        <v>10021333133</v>
      </c>
      <c r="E274" t="s">
        <v>47</v>
      </c>
      <c r="F274" t="s">
        <v>66</v>
      </c>
      <c r="G274" t="s">
        <v>67</v>
      </c>
      <c r="H274" t="s">
        <v>68</v>
      </c>
      <c r="I274" t="s">
        <v>69</v>
      </c>
      <c r="J274" t="s">
        <v>367</v>
      </c>
      <c r="K274" s="3">
        <v>10015989117</v>
      </c>
      <c r="L274" s="10">
        <v>40163</v>
      </c>
      <c r="M274">
        <v>302.36</v>
      </c>
      <c r="N274" s="11">
        <v>3</v>
      </c>
      <c r="O274" s="12">
        <v>107.53</v>
      </c>
      <c r="P274" s="12">
        <v>5.81</v>
      </c>
      <c r="Q274" s="13">
        <v>290.31</v>
      </c>
      <c r="R274" s="36" t="s">
        <v>65</v>
      </c>
      <c r="S274" s="7">
        <f t="shared" si="19"/>
        <v>2</v>
      </c>
      <c r="T274" s="15" t="str">
        <f>VLOOKUP(R274,产品分类!$C$2:$D$1278,2,0)</f>
        <v>家具产品</v>
      </c>
    </row>
    <row r="275" spans="1:20">
      <c r="A275" s="16">
        <f>DATE(2012,12,31)-1377</f>
        <v>39897</v>
      </c>
      <c r="B275" s="16">
        <f>DATE(2012,12,31)-1377</f>
        <v>39897</v>
      </c>
      <c r="C275" s="9" t="s">
        <v>579</v>
      </c>
      <c r="D275">
        <v>10021253748</v>
      </c>
      <c r="E275" t="s">
        <v>47</v>
      </c>
      <c r="F275" t="s">
        <v>48</v>
      </c>
      <c r="G275" t="s">
        <v>49</v>
      </c>
      <c r="H275" t="s">
        <v>50</v>
      </c>
      <c r="I275" t="s">
        <v>51</v>
      </c>
      <c r="J275" t="s">
        <v>367</v>
      </c>
      <c r="K275" s="3">
        <v>100120412227</v>
      </c>
      <c r="L275" s="10">
        <v>39901</v>
      </c>
      <c r="M275">
        <v>193.63</v>
      </c>
      <c r="N275" s="17">
        <v>47</v>
      </c>
      <c r="O275" s="5">
        <v>3.98</v>
      </c>
      <c r="P275" s="5">
        <v>5.26</v>
      </c>
      <c r="Q275" s="6">
        <v>-152.5245</v>
      </c>
      <c r="R275" s="37" t="s">
        <v>479</v>
      </c>
      <c r="S275" s="7">
        <f t="shared" si="19"/>
        <v>4</v>
      </c>
      <c r="T275" s="15" t="str">
        <f>VLOOKUP(R275,产品分类!$C$2:$D$1278,2,0)</f>
        <v>办公用品</v>
      </c>
    </row>
    <row r="276" spans="1:20">
      <c r="A276" s="16">
        <f>DATE(2012,12,31)-1377</f>
        <v>39897</v>
      </c>
      <c r="B276" s="16">
        <f>DATE(2012,12,31)-1377</f>
        <v>39897</v>
      </c>
      <c r="C276" s="9" t="s">
        <v>579</v>
      </c>
      <c r="D276">
        <v>10021346069</v>
      </c>
      <c r="E276" t="s">
        <v>47</v>
      </c>
      <c r="F276" t="s">
        <v>152</v>
      </c>
      <c r="G276" t="s">
        <v>153</v>
      </c>
      <c r="H276" t="s">
        <v>154</v>
      </c>
      <c r="I276" t="s">
        <v>155</v>
      </c>
      <c r="J276" t="s">
        <v>367</v>
      </c>
      <c r="K276" s="3">
        <v>100130541296</v>
      </c>
      <c r="L276" s="10">
        <v>39897</v>
      </c>
      <c r="M276">
        <v>64.29</v>
      </c>
      <c r="N276" s="17">
        <v>9</v>
      </c>
      <c r="O276" s="5">
        <v>6.48</v>
      </c>
      <c r="P276" s="5">
        <v>5.4</v>
      </c>
      <c r="Q276" s="6">
        <v>-18.85</v>
      </c>
      <c r="R276" s="37" t="s">
        <v>580</v>
      </c>
      <c r="S276" s="7">
        <f t="shared" si="19"/>
        <v>0</v>
      </c>
      <c r="T276" s="15" t="str">
        <f>VLOOKUP(R276,产品分类!$C$2:$D$1278,2,0)</f>
        <v>家具产品</v>
      </c>
    </row>
    <row r="277" spans="1:20">
      <c r="A277" s="8">
        <f>DATE(2012,12,31)-1312</f>
        <v>39962</v>
      </c>
      <c r="B277" s="8">
        <f>DATE(2012,12,31)-1312</f>
        <v>39962</v>
      </c>
      <c r="C277" s="9" t="s">
        <v>460</v>
      </c>
      <c r="D277">
        <v>10021350855</v>
      </c>
      <c r="E277" t="s">
        <v>47</v>
      </c>
      <c r="F277" t="s">
        <v>152</v>
      </c>
      <c r="G277" t="s">
        <v>153</v>
      </c>
      <c r="H277" t="s">
        <v>154</v>
      </c>
      <c r="I277" t="s">
        <v>155</v>
      </c>
      <c r="J277" t="s">
        <v>367</v>
      </c>
      <c r="K277" s="3">
        <v>100932187261</v>
      </c>
      <c r="L277" s="10">
        <v>39964</v>
      </c>
      <c r="M277">
        <v>41.25</v>
      </c>
      <c r="N277" s="11">
        <v>5</v>
      </c>
      <c r="O277" s="12">
        <v>6.48</v>
      </c>
      <c r="P277" s="12">
        <v>7.91</v>
      </c>
      <c r="Q277" s="13">
        <v>-23.25</v>
      </c>
      <c r="R277" s="36" t="s">
        <v>581</v>
      </c>
      <c r="S277" s="7">
        <f t="shared" si="19"/>
        <v>2</v>
      </c>
      <c r="T277" s="15" t="str">
        <f>VLOOKUP(R277,产品分类!$C$2:$D$1278,2,0)</f>
        <v>办公用品</v>
      </c>
    </row>
    <row r="278" spans="1:20">
      <c r="A278" s="8">
        <f>DATE(2012,12,31)-1444</f>
        <v>39830</v>
      </c>
      <c r="B278" s="8">
        <f>DATE(2012,12,31)-1444</f>
        <v>39830</v>
      </c>
      <c r="C278" s="9" t="s">
        <v>582</v>
      </c>
      <c r="D278">
        <v>10021294943</v>
      </c>
      <c r="E278" t="s">
        <v>47</v>
      </c>
      <c r="F278" t="s">
        <v>66</v>
      </c>
      <c r="G278" t="s">
        <v>67</v>
      </c>
      <c r="H278" t="s">
        <v>68</v>
      </c>
      <c r="I278" t="s">
        <v>69</v>
      </c>
      <c r="J278" t="s">
        <v>367</v>
      </c>
      <c r="K278" s="3">
        <v>100111969806</v>
      </c>
      <c r="L278" s="10">
        <v>39832</v>
      </c>
      <c r="M278">
        <v>7871.91</v>
      </c>
      <c r="N278" s="11">
        <v>24</v>
      </c>
      <c r="O278" s="12">
        <v>328.14</v>
      </c>
      <c r="P278" s="12">
        <v>91.05</v>
      </c>
      <c r="Q278" s="13">
        <v>541.47</v>
      </c>
      <c r="R278" s="36" t="s">
        <v>583</v>
      </c>
      <c r="S278" s="7">
        <f t="shared" si="19"/>
        <v>2</v>
      </c>
      <c r="T278" s="15" t="str">
        <f>VLOOKUP(R278,产品分类!$C$2:$D$1278,2,0)</f>
        <v>家具产品</v>
      </c>
    </row>
    <row r="279" spans="1:20">
      <c r="A279" s="8">
        <f>DATE(2012,12,31)-302</f>
        <v>40972</v>
      </c>
      <c r="B279" s="8">
        <f>DATE(2012,12,31)-302</f>
        <v>40972</v>
      </c>
      <c r="C279" s="9" t="s">
        <v>584</v>
      </c>
      <c r="D279">
        <v>10021250342</v>
      </c>
      <c r="E279" t="s">
        <v>47</v>
      </c>
      <c r="F279" t="s">
        <v>78</v>
      </c>
      <c r="G279" t="s">
        <v>79</v>
      </c>
      <c r="H279" t="s">
        <v>80</v>
      </c>
      <c r="I279" t="s">
        <v>81</v>
      </c>
      <c r="J279" t="s">
        <v>367</v>
      </c>
      <c r="K279" s="3">
        <v>10079819625</v>
      </c>
      <c r="L279" s="10">
        <v>40974</v>
      </c>
      <c r="M279">
        <v>909.82</v>
      </c>
      <c r="N279" s="11">
        <v>40</v>
      </c>
      <c r="O279" s="12">
        <v>22.98</v>
      </c>
      <c r="P279" s="12">
        <v>1.99</v>
      </c>
      <c r="Q279" s="13">
        <v>292.49</v>
      </c>
      <c r="R279" s="36" t="s">
        <v>585</v>
      </c>
      <c r="S279" s="7">
        <f t="shared" si="19"/>
        <v>2</v>
      </c>
      <c r="T279" s="15" t="str">
        <f>VLOOKUP(R279,产品分类!$C$2:$D$1278,2,0)</f>
        <v>家具产品</v>
      </c>
    </row>
    <row r="280" spans="1:20">
      <c r="A280" s="8">
        <f>DATE(2012,12,31)-302</f>
        <v>40972</v>
      </c>
      <c r="B280" s="8">
        <f>DATE(2012,12,31)-302</f>
        <v>40972</v>
      </c>
      <c r="C280" s="9" t="s">
        <v>584</v>
      </c>
      <c r="D280">
        <v>10021303683</v>
      </c>
      <c r="E280" t="s">
        <v>47</v>
      </c>
      <c r="F280" t="s">
        <v>72</v>
      </c>
      <c r="G280" t="s">
        <v>73</v>
      </c>
      <c r="H280" t="s">
        <v>74</v>
      </c>
      <c r="I280" t="s">
        <v>75</v>
      </c>
      <c r="J280" t="s">
        <v>367</v>
      </c>
      <c r="K280" s="3">
        <v>100730020825</v>
      </c>
      <c r="L280" s="10">
        <v>40973</v>
      </c>
      <c r="M280">
        <v>1874.37</v>
      </c>
      <c r="N280" s="11">
        <v>7</v>
      </c>
      <c r="O280" s="12">
        <v>276.2</v>
      </c>
      <c r="P280" s="12">
        <v>24.49</v>
      </c>
      <c r="Q280" s="13">
        <v>67.84</v>
      </c>
      <c r="R280" s="36" t="s">
        <v>559</v>
      </c>
      <c r="S280" s="7">
        <f t="shared" si="19"/>
        <v>1</v>
      </c>
      <c r="T280" s="15" t="str">
        <f>VLOOKUP(R280,产品分类!$C$2:$D$1278,2,0)</f>
        <v>家具产品</v>
      </c>
    </row>
    <row r="281" spans="1:20">
      <c r="A281" s="8">
        <f>DATE(2012,12,31)-1387</f>
        <v>39887</v>
      </c>
      <c r="B281" s="8">
        <f>DATE(2012,12,31)-1387</f>
        <v>39887</v>
      </c>
      <c r="C281" s="9" t="s">
        <v>586</v>
      </c>
      <c r="D281">
        <v>10021318979</v>
      </c>
      <c r="E281" t="s">
        <v>47</v>
      </c>
      <c r="F281" t="s">
        <v>78</v>
      </c>
      <c r="G281" t="s">
        <v>79</v>
      </c>
      <c r="H281" t="s">
        <v>80</v>
      </c>
      <c r="I281" t="s">
        <v>81</v>
      </c>
      <c r="J281" t="s">
        <v>367</v>
      </c>
      <c r="K281" s="3">
        <v>10078001795</v>
      </c>
      <c r="L281" s="10">
        <v>39887</v>
      </c>
      <c r="M281">
        <v>7287.55</v>
      </c>
      <c r="N281" s="11">
        <v>24</v>
      </c>
      <c r="O281" s="12">
        <v>296.18</v>
      </c>
      <c r="P281" s="12">
        <v>54.12</v>
      </c>
      <c r="Q281" s="13">
        <v>-715.778206</v>
      </c>
      <c r="R281" s="36" t="s">
        <v>372</v>
      </c>
      <c r="S281" s="7">
        <f t="shared" si="19"/>
        <v>0</v>
      </c>
      <c r="T281" s="15" t="str">
        <f>VLOOKUP(R281,产品分类!$C$2:$D$1278,2,0)</f>
        <v>办公用品</v>
      </c>
    </row>
    <row r="282" spans="1:20">
      <c r="A282" s="16">
        <f>DATE(2012,12,31)-763</f>
        <v>40511</v>
      </c>
      <c r="B282" s="16">
        <f>DATE(2012,12,31)-763</f>
        <v>40511</v>
      </c>
      <c r="C282" s="9" t="s">
        <v>587</v>
      </c>
      <c r="D282">
        <v>10021253936</v>
      </c>
      <c r="E282" t="s">
        <v>47</v>
      </c>
      <c r="F282" t="s">
        <v>230</v>
      </c>
      <c r="G282" t="s">
        <v>231</v>
      </c>
      <c r="H282" t="s">
        <v>232</v>
      </c>
      <c r="I282" t="s">
        <v>233</v>
      </c>
      <c r="J282" t="s">
        <v>367</v>
      </c>
      <c r="K282" s="3">
        <v>100120933247</v>
      </c>
      <c r="L282" s="10">
        <v>40511</v>
      </c>
      <c r="M282">
        <v>137.64</v>
      </c>
      <c r="N282" s="17">
        <v>13</v>
      </c>
      <c r="O282" s="5">
        <v>10.91</v>
      </c>
      <c r="P282" s="5">
        <v>2.99</v>
      </c>
      <c r="Q282" s="6">
        <v>19.5925</v>
      </c>
      <c r="R282" s="37" t="s">
        <v>588</v>
      </c>
      <c r="S282" s="7">
        <f t="shared" si="19"/>
        <v>0</v>
      </c>
      <c r="T282" s="15" t="str">
        <f>VLOOKUP(R282,产品分类!$C$2:$D$1278,2,0)</f>
        <v>家具产品</v>
      </c>
    </row>
    <row r="283" spans="1:20">
      <c r="A283" s="8">
        <f>DATE(2012,12,31)-1217</f>
        <v>40057</v>
      </c>
      <c r="B283" s="8">
        <f>DATE(2012,12,31)-1217</f>
        <v>40057</v>
      </c>
      <c r="C283" s="9" t="s">
        <v>589</v>
      </c>
      <c r="D283">
        <v>10021331030</v>
      </c>
      <c r="E283" t="s">
        <v>47</v>
      </c>
      <c r="F283" t="s">
        <v>91</v>
      </c>
      <c r="G283" t="s">
        <v>92</v>
      </c>
      <c r="H283" t="s">
        <v>93</v>
      </c>
      <c r="I283" t="s">
        <v>94</v>
      </c>
      <c r="J283" t="s">
        <v>367</v>
      </c>
      <c r="K283" s="3">
        <v>1001448518</v>
      </c>
      <c r="L283" s="10">
        <v>40059</v>
      </c>
      <c r="M283">
        <v>15464.01</v>
      </c>
      <c r="N283" s="11">
        <v>33</v>
      </c>
      <c r="O283" s="12">
        <v>535.64</v>
      </c>
      <c r="P283" s="12">
        <v>14.7</v>
      </c>
      <c r="Q283" s="13">
        <v>4407.44</v>
      </c>
      <c r="R283" s="36" t="s">
        <v>590</v>
      </c>
      <c r="S283" s="7">
        <f t="shared" si="19"/>
        <v>2</v>
      </c>
      <c r="T283" s="15" t="str">
        <f>VLOOKUP(R283,产品分类!$C$2:$D$1278,2,0)</f>
        <v>办公用品</v>
      </c>
    </row>
    <row r="284" spans="1:20">
      <c r="A284" s="16">
        <f>DATE(2012,12,31)-1217</f>
        <v>40057</v>
      </c>
      <c r="B284" s="16">
        <f>DATE(2012,12,31)-1217</f>
        <v>40057</v>
      </c>
      <c r="C284" s="9" t="s">
        <v>589</v>
      </c>
      <c r="D284">
        <v>10021331249</v>
      </c>
      <c r="E284" t="s">
        <v>47</v>
      </c>
      <c r="F284" t="s">
        <v>91</v>
      </c>
      <c r="G284" t="s">
        <v>92</v>
      </c>
      <c r="H284" t="s">
        <v>93</v>
      </c>
      <c r="I284" t="s">
        <v>94</v>
      </c>
      <c r="J284" t="s">
        <v>367</v>
      </c>
      <c r="K284" s="3">
        <v>10081953552</v>
      </c>
      <c r="L284" s="10">
        <v>40059</v>
      </c>
      <c r="M284">
        <v>11.35</v>
      </c>
      <c r="N284" s="17">
        <v>1</v>
      </c>
      <c r="O284" s="5">
        <v>5.78</v>
      </c>
      <c r="P284" s="5">
        <v>5.67</v>
      </c>
      <c r="Q284" s="6">
        <v>-7.96</v>
      </c>
      <c r="R284" s="37" t="s">
        <v>591</v>
      </c>
      <c r="S284" s="7">
        <f t="shared" si="19"/>
        <v>2</v>
      </c>
      <c r="T284" s="15" t="str">
        <f>VLOOKUP(R284,产品分类!$C$2:$D$1278,2,0)</f>
        <v>家具产品</v>
      </c>
    </row>
    <row r="285" spans="1:20">
      <c r="A285" s="16">
        <f>DATE(2012,12,31)-453</f>
        <v>40821</v>
      </c>
      <c r="B285" s="16">
        <f>DATE(2012,12,31)-453</f>
        <v>40821</v>
      </c>
      <c r="C285" s="9" t="s">
        <v>592</v>
      </c>
      <c r="D285">
        <v>10021333337</v>
      </c>
      <c r="E285" t="s">
        <v>47</v>
      </c>
      <c r="F285" t="s">
        <v>122</v>
      </c>
      <c r="G285" t="s">
        <v>123</v>
      </c>
      <c r="H285" t="s">
        <v>124</v>
      </c>
      <c r="I285" t="s">
        <v>125</v>
      </c>
      <c r="J285" t="s">
        <v>367</v>
      </c>
      <c r="K285" s="3">
        <v>100710169805</v>
      </c>
      <c r="L285" s="10">
        <v>40823</v>
      </c>
      <c r="M285">
        <v>122.14</v>
      </c>
      <c r="N285" s="17">
        <v>9</v>
      </c>
      <c r="O285" s="5">
        <v>13.48</v>
      </c>
      <c r="P285" s="5">
        <v>4.51</v>
      </c>
      <c r="Q285" s="6">
        <v>-16.99</v>
      </c>
      <c r="R285" s="37" t="s">
        <v>550</v>
      </c>
      <c r="S285" s="7">
        <f t="shared" si="19"/>
        <v>2</v>
      </c>
      <c r="T285" s="15" t="str">
        <f>VLOOKUP(R285,产品分类!$C$2:$D$1278,2,0)</f>
        <v>办公用品</v>
      </c>
    </row>
    <row r="286" spans="1:20">
      <c r="A286" s="8">
        <f>DATE(2012,12,31)-116</f>
        <v>41158</v>
      </c>
      <c r="B286" s="8">
        <f>DATE(2012,12,31)-116</f>
        <v>41158</v>
      </c>
      <c r="C286" s="9" t="s">
        <v>593</v>
      </c>
      <c r="D286">
        <v>10021296763</v>
      </c>
      <c r="E286" t="s">
        <v>47</v>
      </c>
      <c r="F286" t="s">
        <v>97</v>
      </c>
      <c r="G286" t="s">
        <v>98</v>
      </c>
      <c r="H286" t="s">
        <v>99</v>
      </c>
      <c r="I286" t="s">
        <v>98</v>
      </c>
      <c r="J286" t="s">
        <v>367</v>
      </c>
      <c r="K286" s="3">
        <v>100822652832</v>
      </c>
      <c r="L286" s="10">
        <v>41158</v>
      </c>
      <c r="M286">
        <v>3491.06</v>
      </c>
      <c r="N286" s="11">
        <v>27</v>
      </c>
      <c r="O286" s="12">
        <v>136.98</v>
      </c>
      <c r="P286" s="12">
        <v>24.49</v>
      </c>
      <c r="Q286" s="13">
        <v>921.7</v>
      </c>
      <c r="R286" s="36" t="s">
        <v>594</v>
      </c>
      <c r="S286" s="7">
        <f t="shared" si="19"/>
        <v>0</v>
      </c>
      <c r="T286" s="15" t="str">
        <f>VLOOKUP(R286,产品分类!$C$2:$D$1278,2,0)</f>
        <v>数码电子</v>
      </c>
    </row>
    <row r="287" spans="1:20">
      <c r="A287" s="8">
        <f>DATE(2012,12,31)-116</f>
        <v>41158</v>
      </c>
      <c r="B287" s="8">
        <f>DATE(2012,12,31)-116</f>
        <v>41158</v>
      </c>
      <c r="C287" s="9" t="s">
        <v>593</v>
      </c>
      <c r="D287">
        <v>10021259618</v>
      </c>
      <c r="E287" t="s">
        <v>47</v>
      </c>
      <c r="F287" t="s">
        <v>97</v>
      </c>
      <c r="G287" t="s">
        <v>98</v>
      </c>
      <c r="H287" t="s">
        <v>99</v>
      </c>
      <c r="I287" t="s">
        <v>98</v>
      </c>
      <c r="J287" t="s">
        <v>367</v>
      </c>
      <c r="K287" s="3">
        <v>100327998159</v>
      </c>
      <c r="L287" s="10">
        <v>41159</v>
      </c>
      <c r="M287">
        <v>14383.83</v>
      </c>
      <c r="N287" s="11">
        <v>37</v>
      </c>
      <c r="O287" s="12">
        <v>399.98</v>
      </c>
      <c r="P287" s="12">
        <v>12.06</v>
      </c>
      <c r="Q287" s="13">
        <v>5050.1</v>
      </c>
      <c r="R287" s="36" t="s">
        <v>595</v>
      </c>
      <c r="S287" s="7">
        <f t="shared" si="19"/>
        <v>1</v>
      </c>
      <c r="T287" s="15" t="str">
        <f>VLOOKUP(R287,产品分类!$C$2:$D$1278,2,0)</f>
        <v>办公用品</v>
      </c>
    </row>
    <row r="288" spans="1:20">
      <c r="A288" s="8">
        <f>DATE(2012,12,31)-925</f>
        <v>40349</v>
      </c>
      <c r="B288" s="8">
        <f>DATE(2012,12,31)-925</f>
        <v>40349</v>
      </c>
      <c r="C288" s="9" t="s">
        <v>596</v>
      </c>
      <c r="D288">
        <v>10021334797</v>
      </c>
      <c r="E288" t="s">
        <v>47</v>
      </c>
      <c r="F288" t="s">
        <v>132</v>
      </c>
      <c r="G288" t="s">
        <v>133</v>
      </c>
      <c r="H288" t="s">
        <v>134</v>
      </c>
      <c r="I288" t="s">
        <v>133</v>
      </c>
      <c r="J288" t="s">
        <v>367</v>
      </c>
      <c r="K288" s="3">
        <v>100416658563</v>
      </c>
      <c r="L288" s="10">
        <v>40351</v>
      </c>
      <c r="M288">
        <v>213.75</v>
      </c>
      <c r="N288" s="11">
        <v>42</v>
      </c>
      <c r="O288" s="12">
        <v>5.02</v>
      </c>
      <c r="P288" s="12">
        <v>5.14</v>
      </c>
      <c r="Q288" s="13">
        <v>-188.77</v>
      </c>
      <c r="R288" s="36" t="s">
        <v>597</v>
      </c>
      <c r="S288" s="7">
        <f t="shared" si="19"/>
        <v>2</v>
      </c>
      <c r="T288" s="15" t="str">
        <f>VLOOKUP(R288,产品分类!$C$2:$D$1278,2,0)</f>
        <v>办公用品</v>
      </c>
    </row>
    <row r="289" spans="1:20">
      <c r="A289" s="8">
        <f>DATE(2012,12,31)-292</f>
        <v>40982</v>
      </c>
      <c r="B289" s="8">
        <f>DATE(2012,12,31)-292</f>
        <v>40982</v>
      </c>
      <c r="C289" s="9" t="s">
        <v>598</v>
      </c>
      <c r="D289">
        <v>10021342842</v>
      </c>
      <c r="E289" t="s">
        <v>47</v>
      </c>
      <c r="F289" t="s">
        <v>97</v>
      </c>
      <c r="G289" t="s">
        <v>98</v>
      </c>
      <c r="H289" t="s">
        <v>99</v>
      </c>
      <c r="I289" t="s">
        <v>98</v>
      </c>
      <c r="J289" t="s">
        <v>367</v>
      </c>
      <c r="K289" s="3">
        <v>100928279931</v>
      </c>
      <c r="L289" s="10">
        <v>40983</v>
      </c>
      <c r="M289">
        <v>186.44</v>
      </c>
      <c r="N289" s="11">
        <v>45</v>
      </c>
      <c r="O289" s="12">
        <v>3.95</v>
      </c>
      <c r="P289" s="12">
        <v>5.13</v>
      </c>
      <c r="Q289" s="13">
        <v>-157.18</v>
      </c>
      <c r="R289" s="36" t="s">
        <v>599</v>
      </c>
      <c r="S289" s="7">
        <f t="shared" si="19"/>
        <v>1</v>
      </c>
      <c r="T289" s="15" t="str">
        <f>VLOOKUP(R289,产品分类!$C$2:$D$1278,2,0)</f>
        <v>办公用品</v>
      </c>
    </row>
    <row r="290" spans="1:20">
      <c r="A290" s="8">
        <f>DATE(2012,12,31)-240</f>
        <v>41034</v>
      </c>
      <c r="B290" s="8">
        <f>DATE(2012,12,31)-240</f>
        <v>41034</v>
      </c>
      <c r="C290" s="9" t="s">
        <v>270</v>
      </c>
      <c r="D290">
        <v>10021331156</v>
      </c>
      <c r="E290" t="s">
        <v>47</v>
      </c>
      <c r="F290" t="s">
        <v>304</v>
      </c>
      <c r="G290" t="s">
        <v>305</v>
      </c>
      <c r="H290" t="s">
        <v>306</v>
      </c>
      <c r="I290" t="s">
        <v>307</v>
      </c>
      <c r="J290" t="s">
        <v>367</v>
      </c>
      <c r="K290" s="3">
        <v>10071275195</v>
      </c>
      <c r="L290" s="10">
        <v>41034</v>
      </c>
      <c r="M290">
        <v>294.89</v>
      </c>
      <c r="N290" s="11">
        <v>4</v>
      </c>
      <c r="O290" s="12">
        <v>73.98</v>
      </c>
      <c r="P290" s="12">
        <v>12.14</v>
      </c>
      <c r="Q290" s="13">
        <v>-321.84</v>
      </c>
      <c r="R290" s="36" t="s">
        <v>600</v>
      </c>
      <c r="S290" s="7">
        <f t="shared" si="19"/>
        <v>0</v>
      </c>
      <c r="T290" s="15" t="str">
        <f>VLOOKUP(R290,产品分类!$C$2:$D$1278,2,0)</f>
        <v>数码电子</v>
      </c>
    </row>
    <row r="291" spans="1:20">
      <c r="A291" s="8">
        <f>DATE(2012,12,31)-240</f>
        <v>41034</v>
      </c>
      <c r="B291" s="8">
        <f>DATE(2012,12,31)-240</f>
        <v>41034</v>
      </c>
      <c r="C291" s="9" t="s">
        <v>270</v>
      </c>
      <c r="D291">
        <v>10021264163</v>
      </c>
      <c r="E291" t="s">
        <v>47</v>
      </c>
      <c r="F291" t="s">
        <v>137</v>
      </c>
      <c r="G291" t="s">
        <v>138</v>
      </c>
      <c r="H291" t="s">
        <v>139</v>
      </c>
      <c r="I291" t="s">
        <v>601</v>
      </c>
      <c r="J291" t="s">
        <v>367</v>
      </c>
      <c r="K291" s="3">
        <v>100118336027</v>
      </c>
      <c r="L291" s="10">
        <v>41036</v>
      </c>
      <c r="M291">
        <v>246.57</v>
      </c>
      <c r="N291" s="11">
        <v>50</v>
      </c>
      <c r="O291" s="12">
        <v>4.98</v>
      </c>
      <c r="P291" s="12">
        <v>5.49</v>
      </c>
      <c r="Q291" s="13">
        <v>-132.51</v>
      </c>
      <c r="R291" s="36" t="s">
        <v>602</v>
      </c>
      <c r="S291" s="7">
        <f t="shared" si="19"/>
        <v>2</v>
      </c>
      <c r="T291" s="15" t="str">
        <f>VLOOKUP(R291,产品分类!$C$2:$D$1278,2,0)</f>
        <v>办公用品</v>
      </c>
    </row>
    <row r="292" spans="1:20">
      <c r="A292" s="16">
        <f>DATE(2012,12,31)-778</f>
        <v>40496</v>
      </c>
      <c r="B292" s="16">
        <f>DATE(2012,12,31)-778</f>
        <v>40496</v>
      </c>
      <c r="C292" s="9" t="s">
        <v>553</v>
      </c>
      <c r="D292">
        <v>10021295982</v>
      </c>
      <c r="E292" t="s">
        <v>47</v>
      </c>
      <c r="F292" t="s">
        <v>603</v>
      </c>
      <c r="G292" t="s">
        <v>604</v>
      </c>
      <c r="H292" t="s">
        <v>605</v>
      </c>
      <c r="I292" t="s">
        <v>606</v>
      </c>
      <c r="J292" t="s">
        <v>367</v>
      </c>
      <c r="K292" s="3">
        <v>100819619392</v>
      </c>
      <c r="L292" s="10">
        <v>40497</v>
      </c>
      <c r="M292">
        <v>3752.61</v>
      </c>
      <c r="N292" s="17">
        <v>12</v>
      </c>
      <c r="O292" s="5">
        <v>294.62</v>
      </c>
      <c r="P292" s="5">
        <v>42.52</v>
      </c>
      <c r="Q292" s="6">
        <v>637.93</v>
      </c>
      <c r="R292" s="37" t="s">
        <v>607</v>
      </c>
      <c r="S292" s="7">
        <f t="shared" si="19"/>
        <v>1</v>
      </c>
      <c r="T292" s="15" t="str">
        <f>VLOOKUP(R292,产品分类!$C$2:$D$1278,2,0)</f>
        <v>家具产品</v>
      </c>
    </row>
    <row r="293" spans="1:20">
      <c r="A293" s="16">
        <f>DATE(2012,12,31)-778</f>
        <v>40496</v>
      </c>
      <c r="B293" s="16">
        <f>DATE(2012,12,31)-778</f>
        <v>40496</v>
      </c>
      <c r="C293" s="9" t="s">
        <v>553</v>
      </c>
      <c r="D293">
        <v>10021339291</v>
      </c>
      <c r="E293" t="s">
        <v>47</v>
      </c>
      <c r="F293" t="s">
        <v>177</v>
      </c>
      <c r="G293" t="s">
        <v>178</v>
      </c>
      <c r="H293" t="s">
        <v>179</v>
      </c>
      <c r="I293" t="s">
        <v>180</v>
      </c>
      <c r="J293" t="s">
        <v>367</v>
      </c>
      <c r="K293" s="3">
        <v>100125013946</v>
      </c>
      <c r="L293" s="10">
        <v>40497</v>
      </c>
      <c r="M293">
        <v>548.36</v>
      </c>
      <c r="N293" s="17">
        <v>9</v>
      </c>
      <c r="O293" s="5">
        <v>60.97</v>
      </c>
      <c r="P293" s="5">
        <v>4.5</v>
      </c>
      <c r="Q293" s="6">
        <v>78.63</v>
      </c>
      <c r="R293" s="37" t="s">
        <v>608</v>
      </c>
      <c r="S293" s="7">
        <f t="shared" si="19"/>
        <v>1</v>
      </c>
      <c r="T293" s="15" t="str">
        <f>VLOOKUP(R293,产品分类!$C$2:$D$1278,2,0)</f>
        <v>家具产品</v>
      </c>
    </row>
    <row r="294" spans="1:20">
      <c r="A294" s="16">
        <f>DATE(2012,12,31)-1309</f>
        <v>39965</v>
      </c>
      <c r="B294" s="16">
        <f>DATE(2012,12,31)-1309</f>
        <v>39965</v>
      </c>
      <c r="C294" s="9" t="s">
        <v>609</v>
      </c>
      <c r="D294">
        <v>10021260776</v>
      </c>
      <c r="E294" t="s">
        <v>47</v>
      </c>
      <c r="F294" t="s">
        <v>171</v>
      </c>
      <c r="G294" t="s">
        <v>172</v>
      </c>
      <c r="H294" t="s">
        <v>173</v>
      </c>
      <c r="I294" t="s">
        <v>174</v>
      </c>
      <c r="J294" t="s">
        <v>367</v>
      </c>
      <c r="K294" s="3">
        <v>100429042823</v>
      </c>
      <c r="L294" s="10">
        <v>39967</v>
      </c>
      <c r="M294">
        <v>44.46</v>
      </c>
      <c r="N294" s="17">
        <v>16</v>
      </c>
      <c r="O294" s="5">
        <v>2.89</v>
      </c>
      <c r="P294" s="5">
        <v>0.99</v>
      </c>
      <c r="Q294" s="6">
        <v>5.27</v>
      </c>
      <c r="R294" s="37" t="s">
        <v>610</v>
      </c>
      <c r="S294" s="7">
        <f t="shared" si="19"/>
        <v>2</v>
      </c>
      <c r="T294" s="15" t="str">
        <f>VLOOKUP(R294,产品分类!$C$2:$D$1278,2,0)</f>
        <v>数码电子</v>
      </c>
    </row>
    <row r="295" spans="1:20">
      <c r="A295" s="16">
        <f>DATE(2012,12,31)-1309</f>
        <v>39965</v>
      </c>
      <c r="B295" s="16">
        <f>DATE(2012,12,31)-1309</f>
        <v>39965</v>
      </c>
      <c r="C295" s="9" t="s">
        <v>609</v>
      </c>
      <c r="D295">
        <v>10021342500</v>
      </c>
      <c r="E295" t="s">
        <v>47</v>
      </c>
      <c r="F295" t="s">
        <v>171</v>
      </c>
      <c r="G295" t="s">
        <v>172</v>
      </c>
      <c r="H295" t="s">
        <v>173</v>
      </c>
      <c r="I295" t="s">
        <v>174</v>
      </c>
      <c r="J295" t="s">
        <v>367</v>
      </c>
      <c r="K295" s="3">
        <v>100328133319</v>
      </c>
      <c r="L295" s="10">
        <v>39967</v>
      </c>
      <c r="M295">
        <v>542.11</v>
      </c>
      <c r="N295" s="17">
        <v>25</v>
      </c>
      <c r="O295" s="5">
        <v>22.84</v>
      </c>
      <c r="P295" s="5">
        <v>11.54</v>
      </c>
      <c r="Q295" s="6">
        <v>-14.76</v>
      </c>
      <c r="R295" s="37" t="s">
        <v>218</v>
      </c>
      <c r="S295" s="7">
        <f t="shared" si="19"/>
        <v>2</v>
      </c>
      <c r="T295" s="15" t="str">
        <f>VLOOKUP(R295,产品分类!$C$2:$D$1278,2,0)</f>
        <v>数码电子</v>
      </c>
    </row>
    <row r="296" spans="1:20">
      <c r="A296" s="8">
        <f>DATE(2012,12,31)-263</f>
        <v>41011</v>
      </c>
      <c r="B296" s="8">
        <f>DATE(2012,12,31)-263</f>
        <v>41011</v>
      </c>
      <c r="C296" s="9" t="s">
        <v>611</v>
      </c>
      <c r="D296">
        <v>10021266445</v>
      </c>
      <c r="E296" t="s">
        <v>47</v>
      </c>
      <c r="F296" t="s">
        <v>527</v>
      </c>
      <c r="G296" t="s">
        <v>528</v>
      </c>
      <c r="H296" t="s">
        <v>529</v>
      </c>
      <c r="I296" t="s">
        <v>530</v>
      </c>
      <c r="J296" t="s">
        <v>367</v>
      </c>
      <c r="K296" s="3">
        <v>100131783747</v>
      </c>
      <c r="L296" s="10">
        <v>41013</v>
      </c>
      <c r="M296">
        <v>107.93</v>
      </c>
      <c r="N296" s="11">
        <v>23</v>
      </c>
      <c r="O296" s="12">
        <v>4.13</v>
      </c>
      <c r="P296" s="12">
        <v>5.34</v>
      </c>
      <c r="Q296" s="13">
        <v>-68.1375</v>
      </c>
      <c r="R296" s="36" t="s">
        <v>612</v>
      </c>
      <c r="S296" s="7">
        <f t="shared" si="19"/>
        <v>2</v>
      </c>
      <c r="T296" s="15" t="str">
        <f>VLOOKUP(R296,产品分类!$C$2:$D$1278,2,0)</f>
        <v>办公用品</v>
      </c>
    </row>
    <row r="297" spans="1:20">
      <c r="A297" s="8">
        <f>DATE(2012,12,31)-694</f>
        <v>40580</v>
      </c>
      <c r="B297" s="8">
        <f>DATE(2012,12,31)-694</f>
        <v>40580</v>
      </c>
      <c r="C297" s="9" t="s">
        <v>613</v>
      </c>
      <c r="D297">
        <v>10021248582</v>
      </c>
      <c r="E297" t="s">
        <v>47</v>
      </c>
      <c r="F297" t="s">
        <v>171</v>
      </c>
      <c r="G297" t="s">
        <v>172</v>
      </c>
      <c r="H297" t="s">
        <v>173</v>
      </c>
      <c r="I297" t="s">
        <v>174</v>
      </c>
      <c r="J297" t="s">
        <v>367</v>
      </c>
      <c r="K297" s="3">
        <v>10032910819</v>
      </c>
      <c r="L297" s="10">
        <v>40581</v>
      </c>
      <c r="M297">
        <v>19342.84</v>
      </c>
      <c r="N297" s="11">
        <v>39</v>
      </c>
      <c r="O297" s="12">
        <v>500.98</v>
      </c>
      <c r="P297" s="12">
        <v>126</v>
      </c>
      <c r="Q297" s="13">
        <v>5603.95</v>
      </c>
      <c r="R297" s="36" t="s">
        <v>614</v>
      </c>
      <c r="S297" s="7">
        <f t="shared" si="19"/>
        <v>1</v>
      </c>
      <c r="T297" s="15" t="str">
        <f>VLOOKUP(R297,产品分类!$C$2:$D$1278,2,0)</f>
        <v>办公用品</v>
      </c>
    </row>
    <row r="298" spans="1:20">
      <c r="A298" s="8">
        <f>DATE(2012,12,31)-694</f>
        <v>40580</v>
      </c>
      <c r="B298" s="8">
        <f>DATE(2012,12,31)-694</f>
        <v>40580</v>
      </c>
      <c r="C298" s="9" t="s">
        <v>613</v>
      </c>
      <c r="D298">
        <v>10021337354</v>
      </c>
      <c r="E298" t="s">
        <v>47</v>
      </c>
      <c r="F298" t="s">
        <v>527</v>
      </c>
      <c r="G298" t="s">
        <v>528</v>
      </c>
      <c r="H298" t="s">
        <v>529</v>
      </c>
      <c r="I298" t="s">
        <v>530</v>
      </c>
      <c r="J298" t="s">
        <v>367</v>
      </c>
      <c r="K298" s="3">
        <v>100321780039</v>
      </c>
      <c r="L298" s="10">
        <v>40582</v>
      </c>
      <c r="M298">
        <v>771.783</v>
      </c>
      <c r="N298" s="11">
        <v>7</v>
      </c>
      <c r="O298" s="12">
        <v>140.99</v>
      </c>
      <c r="P298" s="12">
        <v>4.2</v>
      </c>
      <c r="Q298" s="13">
        <v>-449.526</v>
      </c>
      <c r="R298" s="36" t="s">
        <v>198</v>
      </c>
      <c r="S298" s="7">
        <f t="shared" si="19"/>
        <v>2</v>
      </c>
      <c r="T298" s="15" t="str">
        <f>VLOOKUP(R298,产品分类!$C$2:$D$1278,2,0)</f>
        <v>数码电子</v>
      </c>
    </row>
    <row r="299" spans="1:20">
      <c r="A299" s="16">
        <f>DATE(2012,12,31)-207</f>
        <v>41067</v>
      </c>
      <c r="B299" s="16">
        <f>DATE(2012,12,31)-207</f>
        <v>41067</v>
      </c>
      <c r="C299" s="9" t="s">
        <v>615</v>
      </c>
      <c r="D299">
        <v>10021255325</v>
      </c>
      <c r="E299" t="s">
        <v>47</v>
      </c>
      <c r="F299" t="s">
        <v>171</v>
      </c>
      <c r="G299" t="s">
        <v>172</v>
      </c>
      <c r="H299" t="s">
        <v>173</v>
      </c>
      <c r="I299" t="s">
        <v>174</v>
      </c>
      <c r="J299" t="s">
        <v>367</v>
      </c>
      <c r="K299" s="3">
        <v>100423773044</v>
      </c>
      <c r="L299" s="10">
        <v>41070</v>
      </c>
      <c r="M299">
        <v>343.78</v>
      </c>
      <c r="N299" s="17">
        <v>1</v>
      </c>
      <c r="O299" s="5">
        <v>363.25</v>
      </c>
      <c r="P299" s="5">
        <v>19.99</v>
      </c>
      <c r="Q299" s="6">
        <v>-246.51</v>
      </c>
      <c r="R299" s="37" t="s">
        <v>192</v>
      </c>
      <c r="S299" s="7">
        <f t="shared" si="19"/>
        <v>3</v>
      </c>
      <c r="T299" s="15" t="str">
        <f>VLOOKUP(R299,产品分类!$C$2:$D$1278,2,0)</f>
        <v>办公用品</v>
      </c>
    </row>
    <row r="300" spans="1:20">
      <c r="A300" s="8">
        <f>DATE(2012,12,31)-207</f>
        <v>41067</v>
      </c>
      <c r="B300" s="8">
        <f>DATE(2012,12,31)-207</f>
        <v>41067</v>
      </c>
      <c r="C300" s="9" t="s">
        <v>615</v>
      </c>
      <c r="D300">
        <v>10021268126</v>
      </c>
      <c r="E300" t="s">
        <v>47</v>
      </c>
      <c r="F300" t="s">
        <v>127</v>
      </c>
      <c r="G300" t="s">
        <v>128</v>
      </c>
      <c r="H300" t="s">
        <v>129</v>
      </c>
      <c r="I300" t="s">
        <v>130</v>
      </c>
      <c r="J300" t="s">
        <v>367</v>
      </c>
      <c r="K300" s="3">
        <v>10016642606</v>
      </c>
      <c r="L300" s="10">
        <v>41069</v>
      </c>
      <c r="M300">
        <v>826.09</v>
      </c>
      <c r="N300" s="11">
        <v>34</v>
      </c>
      <c r="O300" s="12">
        <v>22.98</v>
      </c>
      <c r="P300" s="12">
        <v>7.58</v>
      </c>
      <c r="Q300" s="13">
        <v>215.86</v>
      </c>
      <c r="R300" s="36" t="s">
        <v>616</v>
      </c>
      <c r="S300" s="7">
        <f t="shared" si="19"/>
        <v>2</v>
      </c>
      <c r="T300" s="15" t="str">
        <f>VLOOKUP(R300,产品分类!$C$2:$D$1278,2,0)</f>
        <v>家具产品</v>
      </c>
    </row>
    <row r="301" spans="1:20">
      <c r="A301" s="8">
        <f>DATE(2012,12,31)-850</f>
        <v>40424</v>
      </c>
      <c r="B301" s="8">
        <f>DATE(2012,12,31)-850</f>
        <v>40424</v>
      </c>
      <c r="C301" s="9" t="s">
        <v>617</v>
      </c>
      <c r="D301">
        <v>10021331312</v>
      </c>
      <c r="E301" t="s">
        <v>47</v>
      </c>
      <c r="F301" t="s">
        <v>177</v>
      </c>
      <c r="G301" t="s">
        <v>178</v>
      </c>
      <c r="H301" t="s">
        <v>179</v>
      </c>
      <c r="I301" t="s">
        <v>180</v>
      </c>
      <c r="J301" t="s">
        <v>367</v>
      </c>
      <c r="K301" s="3">
        <v>10032316639</v>
      </c>
      <c r="L301" s="10">
        <v>40426</v>
      </c>
      <c r="M301">
        <v>66.41</v>
      </c>
      <c r="N301" s="11">
        <v>7</v>
      </c>
      <c r="O301" s="12">
        <v>8.74</v>
      </c>
      <c r="P301" s="12">
        <v>8.29</v>
      </c>
      <c r="Q301" s="13">
        <v>-32.35</v>
      </c>
      <c r="R301" s="36" t="s">
        <v>618</v>
      </c>
      <c r="S301" s="7">
        <f t="shared" si="19"/>
        <v>2</v>
      </c>
      <c r="T301" s="15" t="str">
        <f>VLOOKUP(R301,产品分类!$C$2:$D$1278,2,0)</f>
        <v>办公用品</v>
      </c>
    </row>
    <row r="302" spans="1:20">
      <c r="A302" s="8">
        <f>DATE(2012,12,31)-1021</f>
        <v>40253</v>
      </c>
      <c r="B302" s="8">
        <f>DATE(2012,12,31)-1021</f>
        <v>40253</v>
      </c>
      <c r="C302" s="9" t="s">
        <v>619</v>
      </c>
      <c r="D302">
        <v>10021347005</v>
      </c>
      <c r="E302" t="s">
        <v>47</v>
      </c>
      <c r="F302" t="s">
        <v>61</v>
      </c>
      <c r="G302" t="s">
        <v>62</v>
      </c>
      <c r="H302" t="s">
        <v>454</v>
      </c>
      <c r="I302" t="s">
        <v>455</v>
      </c>
      <c r="J302" t="s">
        <v>367</v>
      </c>
      <c r="K302" s="3">
        <v>10085506022</v>
      </c>
      <c r="L302" s="10">
        <v>40255</v>
      </c>
      <c r="M302">
        <v>692.73</v>
      </c>
      <c r="N302" s="11">
        <v>16</v>
      </c>
      <c r="O302" s="12">
        <v>40.99</v>
      </c>
      <c r="P302" s="12">
        <v>17.48</v>
      </c>
      <c r="Q302" s="13">
        <v>94.97</v>
      </c>
      <c r="R302" s="36" t="s">
        <v>620</v>
      </c>
      <c r="S302" s="7">
        <f t="shared" si="19"/>
        <v>2</v>
      </c>
      <c r="T302" s="15" t="str">
        <f>VLOOKUP(R302,产品分类!$C$2:$D$1278,2,0)</f>
        <v>数码电子</v>
      </c>
    </row>
    <row r="303" spans="1:20">
      <c r="A303" s="8">
        <f t="shared" ref="A303:B305" si="21">DATE(2012,12,31)-1170</f>
        <v>40104</v>
      </c>
      <c r="B303" s="8">
        <f t="shared" si="21"/>
        <v>40104</v>
      </c>
      <c r="C303" s="9" t="s">
        <v>584</v>
      </c>
      <c r="D303">
        <v>10021331389</v>
      </c>
      <c r="E303" t="s">
        <v>47</v>
      </c>
      <c r="F303" t="s">
        <v>61</v>
      </c>
      <c r="G303" t="s">
        <v>62</v>
      </c>
      <c r="H303" t="s">
        <v>454</v>
      </c>
      <c r="I303" t="s">
        <v>455</v>
      </c>
      <c r="J303" t="s">
        <v>367</v>
      </c>
      <c r="K303" s="3">
        <v>10042775513</v>
      </c>
      <c r="L303" s="10">
        <v>40106</v>
      </c>
      <c r="M303">
        <v>1411.58</v>
      </c>
      <c r="N303" s="11">
        <v>24</v>
      </c>
      <c r="O303" s="12">
        <v>55.98</v>
      </c>
      <c r="P303" s="12">
        <v>4.86</v>
      </c>
      <c r="Q303" s="13">
        <v>699.31</v>
      </c>
      <c r="R303" s="36" t="s">
        <v>621</v>
      </c>
      <c r="S303" s="7">
        <f t="shared" si="19"/>
        <v>2</v>
      </c>
      <c r="T303" s="15" t="str">
        <f>VLOOKUP(R303,产品分类!$C$2:$D$1278,2,0)</f>
        <v>数码电子</v>
      </c>
    </row>
    <row r="304" spans="1:20">
      <c r="A304" s="8">
        <f t="shared" si="21"/>
        <v>40104</v>
      </c>
      <c r="B304" s="8">
        <f t="shared" si="21"/>
        <v>40104</v>
      </c>
      <c r="C304" s="9" t="s">
        <v>584</v>
      </c>
      <c r="D304">
        <v>10021332181</v>
      </c>
      <c r="E304" t="s">
        <v>47</v>
      </c>
      <c r="F304" t="s">
        <v>253</v>
      </c>
      <c r="G304" t="s">
        <v>254</v>
      </c>
      <c r="H304" t="s">
        <v>255</v>
      </c>
      <c r="I304" t="s">
        <v>256</v>
      </c>
      <c r="J304" t="s">
        <v>367</v>
      </c>
      <c r="K304" s="3">
        <v>10094473831</v>
      </c>
      <c r="L304" s="10">
        <v>40105</v>
      </c>
      <c r="M304">
        <v>2115.242</v>
      </c>
      <c r="N304" s="11">
        <v>38</v>
      </c>
      <c r="O304" s="12">
        <v>65.99</v>
      </c>
      <c r="P304" s="12">
        <v>8.99</v>
      </c>
      <c r="Q304" s="13">
        <v>371.412</v>
      </c>
      <c r="R304" s="36" t="s">
        <v>335</v>
      </c>
      <c r="S304" s="7">
        <f t="shared" si="19"/>
        <v>1</v>
      </c>
      <c r="T304" s="15" t="str">
        <f>VLOOKUP(R304,产品分类!$C$2:$D$1278,2,0)</f>
        <v>办公用品</v>
      </c>
    </row>
    <row r="305" spans="1:20">
      <c r="A305" s="8">
        <f t="shared" si="21"/>
        <v>40104</v>
      </c>
      <c r="B305" s="8">
        <f t="shared" si="21"/>
        <v>40104</v>
      </c>
      <c r="C305" s="9" t="s">
        <v>584</v>
      </c>
      <c r="D305">
        <v>10021250162</v>
      </c>
      <c r="E305" t="s">
        <v>47</v>
      </c>
      <c r="F305" t="s">
        <v>61</v>
      </c>
      <c r="G305" t="s">
        <v>62</v>
      </c>
      <c r="H305" t="s">
        <v>454</v>
      </c>
      <c r="I305" t="s">
        <v>455</v>
      </c>
      <c r="J305" t="s">
        <v>367</v>
      </c>
      <c r="K305" s="3">
        <v>10035609659</v>
      </c>
      <c r="L305" s="10">
        <v>40107</v>
      </c>
      <c r="M305">
        <v>1246.68</v>
      </c>
      <c r="N305" s="11">
        <v>9</v>
      </c>
      <c r="O305" s="12">
        <v>128.24</v>
      </c>
      <c r="P305" s="12">
        <v>12.65</v>
      </c>
      <c r="Q305" s="13">
        <v>218.48</v>
      </c>
      <c r="R305" s="36" t="s">
        <v>622</v>
      </c>
      <c r="S305" s="7">
        <f t="shared" si="19"/>
        <v>3</v>
      </c>
      <c r="T305" s="15" t="str">
        <f>VLOOKUP(R305,产品分类!$C$2:$D$1278,2,0)</f>
        <v>办公用品</v>
      </c>
    </row>
    <row r="306" spans="1:20">
      <c r="A306" s="8">
        <f>DATE(2012,12,31)-1374</f>
        <v>39900</v>
      </c>
      <c r="B306" s="8">
        <f>DATE(2012,12,31)-1374</f>
        <v>39900</v>
      </c>
      <c r="C306" s="9" t="s">
        <v>101</v>
      </c>
      <c r="D306">
        <v>10021311024</v>
      </c>
      <c r="E306" t="s">
        <v>47</v>
      </c>
      <c r="F306" t="s">
        <v>83</v>
      </c>
      <c r="G306" t="s">
        <v>84</v>
      </c>
      <c r="H306" t="s">
        <v>85</v>
      </c>
      <c r="I306" t="s">
        <v>86</v>
      </c>
      <c r="J306" t="s">
        <v>367</v>
      </c>
      <c r="K306" s="3">
        <v>100111138628</v>
      </c>
      <c r="L306" s="10">
        <v>39900</v>
      </c>
      <c r="M306">
        <v>5945.3675</v>
      </c>
      <c r="N306" s="11">
        <v>40</v>
      </c>
      <c r="O306" s="12">
        <v>175.99</v>
      </c>
      <c r="P306" s="12">
        <v>4.99</v>
      </c>
      <c r="Q306" s="13">
        <v>1585.476</v>
      </c>
      <c r="R306" s="36" t="s">
        <v>485</v>
      </c>
      <c r="S306" s="7">
        <f t="shared" si="19"/>
        <v>0</v>
      </c>
      <c r="T306" s="15" t="str">
        <f>VLOOKUP(R306,产品分类!$C$2:$D$1278,2,0)</f>
        <v>数码电子</v>
      </c>
    </row>
    <row r="307" spans="1:20">
      <c r="A307" s="8">
        <f>DATE(2012,12,31)-109</f>
        <v>41165</v>
      </c>
      <c r="B307" s="8">
        <f>DATE(2012,12,31)-109</f>
        <v>41165</v>
      </c>
      <c r="C307" s="9" t="s">
        <v>623</v>
      </c>
      <c r="D307">
        <v>10021249093</v>
      </c>
      <c r="E307" t="s">
        <v>47</v>
      </c>
      <c r="F307" t="s">
        <v>61</v>
      </c>
      <c r="G307" t="s">
        <v>62</v>
      </c>
      <c r="H307" t="s">
        <v>454</v>
      </c>
      <c r="I307" t="s">
        <v>455</v>
      </c>
      <c r="J307" t="s">
        <v>367</v>
      </c>
      <c r="K307" s="3">
        <v>10039166189</v>
      </c>
      <c r="L307" s="10">
        <v>41166</v>
      </c>
      <c r="M307">
        <v>6111.1685</v>
      </c>
      <c r="N307" s="11">
        <v>41</v>
      </c>
      <c r="O307" s="12">
        <v>175.99</v>
      </c>
      <c r="P307" s="12">
        <v>4.99</v>
      </c>
      <c r="Q307" s="13">
        <v>1663.083</v>
      </c>
      <c r="R307" s="36" t="s">
        <v>485</v>
      </c>
      <c r="S307" s="7">
        <f t="shared" si="19"/>
        <v>1</v>
      </c>
      <c r="T307" s="15" t="str">
        <f>VLOOKUP(R307,产品分类!$C$2:$D$1278,2,0)</f>
        <v>数码电子</v>
      </c>
    </row>
    <row r="308" spans="1:20">
      <c r="A308" s="8">
        <f>DATE(2012,12,31)-109</f>
        <v>41165</v>
      </c>
      <c r="B308" s="8">
        <f>DATE(2012,12,31)-109</f>
        <v>41165</v>
      </c>
      <c r="C308" s="9" t="s">
        <v>623</v>
      </c>
      <c r="D308">
        <v>10021284463</v>
      </c>
      <c r="E308" t="s">
        <v>47</v>
      </c>
      <c r="F308" t="s">
        <v>61</v>
      </c>
      <c r="G308" t="s">
        <v>62</v>
      </c>
      <c r="H308" t="s">
        <v>454</v>
      </c>
      <c r="I308" t="s">
        <v>455</v>
      </c>
      <c r="J308" t="s">
        <v>367</v>
      </c>
      <c r="K308" s="3">
        <v>100111720126</v>
      </c>
      <c r="L308" s="10">
        <v>41167</v>
      </c>
      <c r="M308">
        <v>113.71</v>
      </c>
      <c r="N308" s="11">
        <v>44</v>
      </c>
      <c r="O308" s="12">
        <v>2.61</v>
      </c>
      <c r="P308" s="12">
        <v>0.5</v>
      </c>
      <c r="Q308" s="13">
        <v>41.7</v>
      </c>
      <c r="R308" s="36" t="s">
        <v>624</v>
      </c>
      <c r="S308" s="7">
        <f t="shared" si="19"/>
        <v>2</v>
      </c>
      <c r="T308" s="15" t="str">
        <f>VLOOKUP(R308,产品分类!$C$2:$D$1278,2,0)</f>
        <v>数码电子</v>
      </c>
    </row>
    <row r="309" spans="1:20">
      <c r="A309" s="8">
        <f>DATE(2012,12,31)-117</f>
        <v>41157</v>
      </c>
      <c r="B309" s="8">
        <f>DATE(2012,12,31)-117</f>
        <v>41157</v>
      </c>
      <c r="C309" s="9" t="s">
        <v>407</v>
      </c>
      <c r="D309">
        <v>10021269236</v>
      </c>
      <c r="E309" t="s">
        <v>47</v>
      </c>
      <c r="F309" t="s">
        <v>97</v>
      </c>
      <c r="G309" t="s">
        <v>98</v>
      </c>
      <c r="H309" t="s">
        <v>99</v>
      </c>
      <c r="I309" t="s">
        <v>98</v>
      </c>
      <c r="J309" t="s">
        <v>367</v>
      </c>
      <c r="K309" s="3">
        <v>100932435121</v>
      </c>
      <c r="L309" s="10">
        <v>41159</v>
      </c>
      <c r="M309">
        <v>605.1</v>
      </c>
      <c r="N309" s="11">
        <v>15</v>
      </c>
      <c r="O309" s="12">
        <v>40.98</v>
      </c>
      <c r="P309" s="12">
        <v>5.33</v>
      </c>
      <c r="Q309" s="13">
        <v>92.81</v>
      </c>
      <c r="R309" s="36" t="s">
        <v>625</v>
      </c>
      <c r="S309" s="7">
        <f t="shared" si="19"/>
        <v>2</v>
      </c>
      <c r="T309" s="15" t="str">
        <f>VLOOKUP(R309,产品分类!$C$2:$D$1278,2,0)</f>
        <v>办公用品</v>
      </c>
    </row>
    <row r="310" spans="1:20">
      <c r="A310" s="8">
        <f>DATE(2012,12,31)-1025</f>
        <v>40249</v>
      </c>
      <c r="B310" s="8">
        <f>DATE(2012,12,31)-1025</f>
        <v>40249</v>
      </c>
      <c r="C310" s="9" t="s">
        <v>626</v>
      </c>
      <c r="D310">
        <v>10021310106</v>
      </c>
      <c r="E310" t="s">
        <v>47</v>
      </c>
      <c r="F310" t="s">
        <v>152</v>
      </c>
      <c r="G310" t="s">
        <v>153</v>
      </c>
      <c r="H310" t="s">
        <v>154</v>
      </c>
      <c r="I310" t="s">
        <v>155</v>
      </c>
      <c r="J310" t="s">
        <v>367</v>
      </c>
      <c r="K310" s="3">
        <v>100929520661</v>
      </c>
      <c r="L310" s="10">
        <v>40253</v>
      </c>
      <c r="M310">
        <v>43.56</v>
      </c>
      <c r="N310" s="11">
        <v>4</v>
      </c>
      <c r="O310" s="12">
        <v>9.38</v>
      </c>
      <c r="P310" s="12">
        <v>4.93</v>
      </c>
      <c r="Q310" s="13">
        <v>21.21</v>
      </c>
      <c r="R310" s="36" t="s">
        <v>627</v>
      </c>
      <c r="S310" s="7">
        <f t="shared" si="19"/>
        <v>4</v>
      </c>
      <c r="T310" s="15" t="str">
        <f>VLOOKUP(R310,产品分类!$C$2:$D$1278,2,0)</f>
        <v>家具产品</v>
      </c>
    </row>
    <row r="311" spans="1:20">
      <c r="A311" s="8">
        <f>DATE(2012,12,31)-1308</f>
        <v>39966</v>
      </c>
      <c r="B311" s="8">
        <f>DATE(2012,12,31)-1308</f>
        <v>39966</v>
      </c>
      <c r="C311" s="9" t="s">
        <v>628</v>
      </c>
      <c r="D311">
        <v>10021278182</v>
      </c>
      <c r="E311" t="s">
        <v>47</v>
      </c>
      <c r="F311" t="s">
        <v>114</v>
      </c>
      <c r="G311" t="s">
        <v>115</v>
      </c>
      <c r="H311" t="s">
        <v>362</v>
      </c>
      <c r="I311" t="s">
        <v>363</v>
      </c>
      <c r="J311" t="s">
        <v>367</v>
      </c>
      <c r="K311" s="3">
        <v>100910159581</v>
      </c>
      <c r="L311" s="10">
        <v>39968</v>
      </c>
      <c r="M311">
        <v>3905.75</v>
      </c>
      <c r="N311" s="11">
        <v>21</v>
      </c>
      <c r="O311" s="12">
        <v>179.29</v>
      </c>
      <c r="P311" s="12">
        <v>29.21</v>
      </c>
      <c r="Q311" s="13">
        <v>55.30185</v>
      </c>
      <c r="R311" s="36" t="s">
        <v>629</v>
      </c>
      <c r="S311" s="7">
        <f t="shared" si="19"/>
        <v>2</v>
      </c>
      <c r="T311" s="15" t="str">
        <f>VLOOKUP(R311,产品分类!$C$2:$D$1278,2,0)</f>
        <v>办公用品</v>
      </c>
    </row>
    <row r="312" spans="1:20">
      <c r="A312" s="8">
        <f>DATE(2012,12,31)-476</f>
        <v>40798</v>
      </c>
      <c r="B312" s="8">
        <f>DATE(2012,12,31)-476</f>
        <v>40798</v>
      </c>
      <c r="C312" s="9" t="s">
        <v>400</v>
      </c>
      <c r="D312">
        <v>10021325977</v>
      </c>
      <c r="E312" t="s">
        <v>47</v>
      </c>
      <c r="F312" t="s">
        <v>102</v>
      </c>
      <c r="G312" t="s">
        <v>103</v>
      </c>
      <c r="H312" t="s">
        <v>104</v>
      </c>
      <c r="I312" t="s">
        <v>105</v>
      </c>
      <c r="J312" t="s">
        <v>367</v>
      </c>
      <c r="K312" s="3">
        <v>100123173987</v>
      </c>
      <c r="L312" s="10">
        <v>40798</v>
      </c>
      <c r="M312">
        <v>102.56</v>
      </c>
      <c r="N312" s="11">
        <v>40</v>
      </c>
      <c r="O312" s="12">
        <v>2.61</v>
      </c>
      <c r="P312" s="12">
        <v>0.5</v>
      </c>
      <c r="Q312" s="13">
        <v>36.62</v>
      </c>
      <c r="R312" s="36" t="s">
        <v>630</v>
      </c>
      <c r="S312" s="7">
        <f t="shared" si="19"/>
        <v>0</v>
      </c>
      <c r="T312" s="15" t="str">
        <f>VLOOKUP(R312,产品分类!$C$2:$D$1278,2,0)</f>
        <v>数码电子</v>
      </c>
    </row>
    <row r="313" spans="1:20">
      <c r="A313" s="8">
        <f>DATE(2012,12,31)-476</f>
        <v>40798</v>
      </c>
      <c r="B313" s="8">
        <f>DATE(2012,12,31)-476</f>
        <v>40798</v>
      </c>
      <c r="C313" s="9" t="s">
        <v>400</v>
      </c>
      <c r="D313">
        <v>10021277885</v>
      </c>
      <c r="E313" t="s">
        <v>47</v>
      </c>
      <c r="F313" t="s">
        <v>97</v>
      </c>
      <c r="G313" t="s">
        <v>98</v>
      </c>
      <c r="H313" t="s">
        <v>99</v>
      </c>
      <c r="I313" t="s">
        <v>98</v>
      </c>
      <c r="J313" t="s">
        <v>367</v>
      </c>
      <c r="K313" s="3">
        <v>100818589982</v>
      </c>
      <c r="L313" s="10">
        <v>40800</v>
      </c>
      <c r="M313">
        <v>15.87</v>
      </c>
      <c r="N313" s="11">
        <v>3</v>
      </c>
      <c r="O313" s="12">
        <v>3.49</v>
      </c>
      <c r="P313" s="12">
        <v>0.76</v>
      </c>
      <c r="Q313" s="13">
        <v>2.53</v>
      </c>
      <c r="R313" s="36" t="s">
        <v>631</v>
      </c>
      <c r="S313" s="7">
        <f t="shared" si="19"/>
        <v>2</v>
      </c>
      <c r="T313" s="15" t="str">
        <f>VLOOKUP(R313,产品分类!$C$2:$D$1278,2,0)</f>
        <v>家具产品</v>
      </c>
    </row>
    <row r="314" spans="1:20">
      <c r="A314" s="8">
        <f>DATE(2012,12,31)-611</f>
        <v>40663</v>
      </c>
      <c r="B314" s="8">
        <f>DATE(2012,12,31)-611</f>
        <v>40663</v>
      </c>
      <c r="C314" s="9" t="s">
        <v>632</v>
      </c>
      <c r="D314">
        <v>10021254532</v>
      </c>
      <c r="E314" t="s">
        <v>47</v>
      </c>
      <c r="F314" t="s">
        <v>152</v>
      </c>
      <c r="G314" t="s">
        <v>153</v>
      </c>
      <c r="H314" t="s">
        <v>154</v>
      </c>
      <c r="I314" t="s">
        <v>155</v>
      </c>
      <c r="J314" t="s">
        <v>367</v>
      </c>
      <c r="K314" s="3">
        <v>100722475875</v>
      </c>
      <c r="L314" s="10">
        <v>40665</v>
      </c>
      <c r="M314">
        <v>82.06</v>
      </c>
      <c r="N314" s="11">
        <v>7</v>
      </c>
      <c r="O314" s="12">
        <v>11.5</v>
      </c>
      <c r="P314" s="12">
        <v>7.19</v>
      </c>
      <c r="Q314" s="13">
        <v>-26.9905</v>
      </c>
      <c r="R314" s="36" t="s">
        <v>633</v>
      </c>
      <c r="S314" s="7">
        <f t="shared" si="19"/>
        <v>2</v>
      </c>
      <c r="T314" s="15" t="str">
        <f>VLOOKUP(R314,产品分类!$C$2:$D$1278,2,0)</f>
        <v>家具产品</v>
      </c>
    </row>
    <row r="315" spans="1:20">
      <c r="A315" s="8">
        <f>DATE(2012,12,31)-611</f>
        <v>40663</v>
      </c>
      <c r="B315" s="8">
        <f>DATE(2012,12,31)-611</f>
        <v>40663</v>
      </c>
      <c r="C315" s="9" t="s">
        <v>632</v>
      </c>
      <c r="D315">
        <v>10021249614</v>
      </c>
      <c r="E315" t="s">
        <v>47</v>
      </c>
      <c r="F315" t="s">
        <v>48</v>
      </c>
      <c r="G315" t="s">
        <v>49</v>
      </c>
      <c r="H315" t="s">
        <v>50</v>
      </c>
      <c r="I315" t="s">
        <v>51</v>
      </c>
      <c r="J315" t="s">
        <v>367</v>
      </c>
      <c r="K315" s="3">
        <v>10019957307</v>
      </c>
      <c r="L315" s="10">
        <v>40664</v>
      </c>
      <c r="M315">
        <v>23281.05</v>
      </c>
      <c r="N315" s="11">
        <v>41</v>
      </c>
      <c r="O315" s="12">
        <v>599.99</v>
      </c>
      <c r="P315" s="12">
        <v>24.49</v>
      </c>
      <c r="Q315" s="13">
        <v>9097.645</v>
      </c>
      <c r="R315" s="36" t="s">
        <v>634</v>
      </c>
      <c r="S315" s="7">
        <f t="shared" si="19"/>
        <v>1</v>
      </c>
      <c r="T315" s="15" t="str">
        <f>VLOOKUP(R315,产品分类!$C$2:$D$1278,2,0)</f>
        <v>办公用品</v>
      </c>
    </row>
    <row r="316" spans="1:20">
      <c r="A316" s="8">
        <f t="shared" ref="A316:B319" si="22">DATE(2012,12,31)-175</f>
        <v>41099</v>
      </c>
      <c r="B316" s="8">
        <f t="shared" si="22"/>
        <v>41099</v>
      </c>
      <c r="C316" s="9" t="s">
        <v>635</v>
      </c>
      <c r="D316">
        <v>10021295594</v>
      </c>
      <c r="E316" t="s">
        <v>47</v>
      </c>
      <c r="F316" t="s">
        <v>152</v>
      </c>
      <c r="G316" t="s">
        <v>153</v>
      </c>
      <c r="H316" t="s">
        <v>154</v>
      </c>
      <c r="I316" t="s">
        <v>155</v>
      </c>
      <c r="J316" t="s">
        <v>367</v>
      </c>
      <c r="K316" s="3">
        <v>100917638951</v>
      </c>
      <c r="L316" s="10">
        <v>41101</v>
      </c>
      <c r="M316">
        <v>9418.73</v>
      </c>
      <c r="N316" s="11">
        <v>27</v>
      </c>
      <c r="O316" s="12">
        <v>320.98</v>
      </c>
      <c r="P316" s="12">
        <v>58.95</v>
      </c>
      <c r="Q316" s="13">
        <v>2245.24</v>
      </c>
      <c r="R316" s="36" t="s">
        <v>310</v>
      </c>
      <c r="S316" s="7">
        <f t="shared" si="19"/>
        <v>2</v>
      </c>
      <c r="T316" s="15" t="str">
        <f>VLOOKUP(R316,产品分类!$C$2:$D$1278,2,0)</f>
        <v>办公用品</v>
      </c>
    </row>
    <row r="317" spans="1:20">
      <c r="A317" s="8">
        <f t="shared" si="22"/>
        <v>41099</v>
      </c>
      <c r="B317" s="8">
        <f t="shared" si="22"/>
        <v>41099</v>
      </c>
      <c r="C317" s="9" t="s">
        <v>635</v>
      </c>
      <c r="D317">
        <v>10021335978</v>
      </c>
      <c r="E317" t="s">
        <v>47</v>
      </c>
      <c r="F317" t="s">
        <v>48</v>
      </c>
      <c r="G317" t="s">
        <v>49</v>
      </c>
      <c r="H317" t="s">
        <v>50</v>
      </c>
      <c r="I317" t="s">
        <v>51</v>
      </c>
      <c r="J317" t="s">
        <v>367</v>
      </c>
      <c r="K317" s="3">
        <v>100717731425</v>
      </c>
      <c r="L317" s="10">
        <v>41100</v>
      </c>
      <c r="M317">
        <v>5.68</v>
      </c>
      <c r="N317" s="11">
        <v>1</v>
      </c>
      <c r="O317" s="12">
        <v>4.76</v>
      </c>
      <c r="P317" s="12">
        <v>0.88</v>
      </c>
      <c r="Q317" s="13">
        <v>-1.82</v>
      </c>
      <c r="R317" s="36" t="s">
        <v>636</v>
      </c>
      <c r="S317" s="7">
        <f t="shared" si="19"/>
        <v>1</v>
      </c>
      <c r="T317" s="15" t="str">
        <f>VLOOKUP(R317,产品分类!$C$2:$D$1278,2,0)</f>
        <v>数码电子</v>
      </c>
    </row>
    <row r="318" spans="1:20">
      <c r="A318" s="8">
        <f t="shared" si="22"/>
        <v>41099</v>
      </c>
      <c r="B318" s="8">
        <f t="shared" si="22"/>
        <v>41099</v>
      </c>
      <c r="C318" s="9" t="s">
        <v>635</v>
      </c>
      <c r="D318">
        <v>10021351394</v>
      </c>
      <c r="E318" t="s">
        <v>47</v>
      </c>
      <c r="F318" t="s">
        <v>152</v>
      </c>
      <c r="G318" t="s">
        <v>153</v>
      </c>
      <c r="H318" t="s">
        <v>154</v>
      </c>
      <c r="I318" t="s">
        <v>155</v>
      </c>
      <c r="J318" t="s">
        <v>367</v>
      </c>
      <c r="K318" s="3">
        <v>100432484793</v>
      </c>
      <c r="L318" s="10">
        <v>41099</v>
      </c>
      <c r="M318">
        <v>174.59</v>
      </c>
      <c r="N318" s="11">
        <v>42</v>
      </c>
      <c r="O318" s="12">
        <v>4.28</v>
      </c>
      <c r="P318" s="12">
        <v>0.94</v>
      </c>
      <c r="Q318" s="13">
        <v>25.88</v>
      </c>
      <c r="R318" s="36" t="s">
        <v>637</v>
      </c>
      <c r="S318" s="7">
        <f t="shared" si="19"/>
        <v>0</v>
      </c>
      <c r="T318" s="15" t="str">
        <f>VLOOKUP(R318,产品分类!$C$2:$D$1278,2,0)</f>
        <v>数码电子</v>
      </c>
    </row>
    <row r="319" spans="1:20">
      <c r="A319" s="8">
        <f t="shared" si="22"/>
        <v>41099</v>
      </c>
      <c r="B319" s="8">
        <f t="shared" si="22"/>
        <v>41099</v>
      </c>
      <c r="C319" s="9" t="s">
        <v>635</v>
      </c>
      <c r="D319">
        <v>10021251039</v>
      </c>
      <c r="E319" t="s">
        <v>47</v>
      </c>
      <c r="F319" t="s">
        <v>48</v>
      </c>
      <c r="G319" t="s">
        <v>49</v>
      </c>
      <c r="H319" t="s">
        <v>50</v>
      </c>
      <c r="I319" t="s">
        <v>51</v>
      </c>
      <c r="J319" t="s">
        <v>367</v>
      </c>
      <c r="K319" s="3">
        <v>100416640724</v>
      </c>
      <c r="L319" s="10">
        <v>41100</v>
      </c>
      <c r="M319">
        <v>1265.497</v>
      </c>
      <c r="N319" s="11">
        <v>13</v>
      </c>
      <c r="O319" s="12">
        <v>125.99</v>
      </c>
      <c r="P319" s="12">
        <v>3</v>
      </c>
      <c r="Q319" s="13">
        <v>-161.117</v>
      </c>
      <c r="R319" s="36" t="s">
        <v>638</v>
      </c>
      <c r="S319" s="7">
        <f t="shared" si="19"/>
        <v>1</v>
      </c>
      <c r="T319" s="15" t="str">
        <f>VLOOKUP(R319,产品分类!$C$2:$D$1278,2,0)</f>
        <v>数码电子</v>
      </c>
    </row>
    <row r="320" spans="1:20">
      <c r="A320" s="8">
        <f t="shared" ref="A320:B322" si="23">DATE(2012,12,31)-1281</f>
        <v>39993</v>
      </c>
      <c r="B320" s="8">
        <f t="shared" si="23"/>
        <v>39993</v>
      </c>
      <c r="C320" s="9" t="s">
        <v>639</v>
      </c>
      <c r="D320">
        <v>10021331960</v>
      </c>
      <c r="E320" t="s">
        <v>47</v>
      </c>
      <c r="F320" t="s">
        <v>72</v>
      </c>
      <c r="G320" t="s">
        <v>73</v>
      </c>
      <c r="H320" t="s">
        <v>74</v>
      </c>
      <c r="I320" t="s">
        <v>75</v>
      </c>
      <c r="J320" t="s">
        <v>367</v>
      </c>
      <c r="K320" s="3">
        <v>10089516892</v>
      </c>
      <c r="L320" s="10">
        <v>39994</v>
      </c>
      <c r="M320">
        <v>1651.09</v>
      </c>
      <c r="N320" s="11">
        <v>22</v>
      </c>
      <c r="O320" s="12">
        <v>73.98</v>
      </c>
      <c r="P320" s="12">
        <v>12.14</v>
      </c>
      <c r="Q320" s="13">
        <v>-2.38000000000002</v>
      </c>
      <c r="R320" s="36" t="s">
        <v>600</v>
      </c>
      <c r="S320" s="7">
        <f t="shared" si="19"/>
        <v>1</v>
      </c>
      <c r="T320" s="15" t="str">
        <f>VLOOKUP(R320,产品分类!$C$2:$D$1278,2,0)</f>
        <v>数码电子</v>
      </c>
    </row>
    <row r="321" spans="1:20">
      <c r="A321" s="8">
        <f t="shared" si="23"/>
        <v>39993</v>
      </c>
      <c r="B321" s="8">
        <f t="shared" si="23"/>
        <v>39993</v>
      </c>
      <c r="C321" s="9" t="s">
        <v>639</v>
      </c>
      <c r="D321">
        <v>10021251274</v>
      </c>
      <c r="E321" t="s">
        <v>47</v>
      </c>
      <c r="F321" t="s">
        <v>72</v>
      </c>
      <c r="G321" t="s">
        <v>73</v>
      </c>
      <c r="H321" t="s">
        <v>74</v>
      </c>
      <c r="I321" t="s">
        <v>75</v>
      </c>
      <c r="J321" t="s">
        <v>367</v>
      </c>
      <c r="K321" s="3">
        <v>10086976552</v>
      </c>
      <c r="L321" s="10">
        <v>39995</v>
      </c>
      <c r="M321">
        <v>95.89</v>
      </c>
      <c r="N321" s="11">
        <v>14</v>
      </c>
      <c r="O321" s="12">
        <v>5.98</v>
      </c>
      <c r="P321" s="12">
        <v>7.15</v>
      </c>
      <c r="Q321" s="13">
        <v>-46.31</v>
      </c>
      <c r="R321" s="36" t="s">
        <v>640</v>
      </c>
      <c r="S321" s="7">
        <f t="shared" si="19"/>
        <v>2</v>
      </c>
      <c r="T321" s="15" t="str">
        <f>VLOOKUP(R321,产品分类!$C$2:$D$1278,2,0)</f>
        <v>办公用品</v>
      </c>
    </row>
    <row r="322" spans="1:20">
      <c r="A322" s="8">
        <f t="shared" si="23"/>
        <v>39993</v>
      </c>
      <c r="B322" s="8">
        <f t="shared" si="23"/>
        <v>39993</v>
      </c>
      <c r="C322" s="9" t="s">
        <v>639</v>
      </c>
      <c r="D322">
        <v>10021252516</v>
      </c>
      <c r="E322" t="s">
        <v>47</v>
      </c>
      <c r="F322" t="s">
        <v>230</v>
      </c>
      <c r="G322" t="s">
        <v>231</v>
      </c>
      <c r="H322" t="s">
        <v>232</v>
      </c>
      <c r="I322" t="s">
        <v>233</v>
      </c>
      <c r="J322" t="s">
        <v>367</v>
      </c>
      <c r="K322" s="3">
        <v>100411883883</v>
      </c>
      <c r="L322" s="10">
        <v>39995</v>
      </c>
      <c r="M322">
        <v>80.38</v>
      </c>
      <c r="N322" s="11">
        <v>23</v>
      </c>
      <c r="O322" s="12">
        <v>3.57</v>
      </c>
      <c r="P322" s="12">
        <v>4.17</v>
      </c>
      <c r="Q322" s="13">
        <v>-71.11</v>
      </c>
      <c r="R322" s="36" t="s">
        <v>641</v>
      </c>
      <c r="S322" s="7">
        <f t="shared" si="19"/>
        <v>2</v>
      </c>
      <c r="T322" s="15" t="str">
        <f>VLOOKUP(R322,产品分类!$C$2:$D$1278,2,0)</f>
        <v>办公用品</v>
      </c>
    </row>
    <row r="323" spans="1:20">
      <c r="A323" s="16">
        <f>DATE(2012,12,31)-1082</f>
        <v>40192</v>
      </c>
      <c r="B323" s="16">
        <f>DATE(2012,12,31)-1082</f>
        <v>40192</v>
      </c>
      <c r="C323" s="9" t="s">
        <v>587</v>
      </c>
      <c r="D323">
        <v>10021334205</v>
      </c>
      <c r="E323" t="s">
        <v>47</v>
      </c>
      <c r="F323" t="s">
        <v>230</v>
      </c>
      <c r="G323" t="s">
        <v>231</v>
      </c>
      <c r="H323" t="s">
        <v>232</v>
      </c>
      <c r="I323" t="s">
        <v>233</v>
      </c>
      <c r="J323" t="s">
        <v>367</v>
      </c>
      <c r="K323" s="3">
        <v>10047608694</v>
      </c>
      <c r="L323" s="10">
        <v>40193</v>
      </c>
      <c r="M323">
        <v>40.31</v>
      </c>
      <c r="N323" s="17">
        <v>6</v>
      </c>
      <c r="O323" s="5">
        <v>5.78</v>
      </c>
      <c r="P323" s="5">
        <v>8.09</v>
      </c>
      <c r="Q323" s="6">
        <v>-32.27</v>
      </c>
      <c r="R323" s="37" t="s">
        <v>642</v>
      </c>
      <c r="S323" s="7">
        <f t="shared" ref="S323:S386" si="24">+L323-B323</f>
        <v>1</v>
      </c>
      <c r="T323" s="15" t="str">
        <f>VLOOKUP(R323,产品分类!$C$2:$D$1278,2,0)</f>
        <v>家具产品</v>
      </c>
    </row>
    <row r="324" spans="1:20">
      <c r="A324" s="8">
        <f>DATE(2012,12,31)-301</f>
        <v>40973</v>
      </c>
      <c r="B324" s="8">
        <f>DATE(2012,12,31)-301</f>
        <v>40973</v>
      </c>
      <c r="C324" s="9" t="s">
        <v>643</v>
      </c>
      <c r="D324">
        <v>10021338611</v>
      </c>
      <c r="E324" t="s">
        <v>47</v>
      </c>
      <c r="F324" t="s">
        <v>230</v>
      </c>
      <c r="G324" t="s">
        <v>231</v>
      </c>
      <c r="H324" t="s">
        <v>232</v>
      </c>
      <c r="I324" t="s">
        <v>233</v>
      </c>
      <c r="J324" t="s">
        <v>367</v>
      </c>
      <c r="K324" s="3">
        <v>100124141008</v>
      </c>
      <c r="L324" s="10">
        <v>40974</v>
      </c>
      <c r="M324">
        <v>186.02</v>
      </c>
      <c r="N324" s="11">
        <v>17</v>
      </c>
      <c r="O324" s="12">
        <v>10.64</v>
      </c>
      <c r="P324" s="12">
        <v>5.16</v>
      </c>
      <c r="Q324" s="13">
        <v>16.48</v>
      </c>
      <c r="R324" s="36" t="s">
        <v>644</v>
      </c>
      <c r="S324" s="7">
        <f t="shared" si="24"/>
        <v>1</v>
      </c>
      <c r="T324" s="15" t="str">
        <f>VLOOKUP(R324,产品分类!$C$2:$D$1278,2,0)</f>
        <v>家具产品</v>
      </c>
    </row>
    <row r="325" spans="1:20">
      <c r="A325" s="8">
        <f>DATE(2012,12,31)-301</f>
        <v>40973</v>
      </c>
      <c r="B325" s="8">
        <f>DATE(2012,12,31)-301</f>
        <v>40973</v>
      </c>
      <c r="C325" s="9" t="s">
        <v>643</v>
      </c>
      <c r="D325">
        <v>10021280260</v>
      </c>
      <c r="E325" t="s">
        <v>47</v>
      </c>
      <c r="F325" t="s">
        <v>277</v>
      </c>
      <c r="G325" t="s">
        <v>278</v>
      </c>
      <c r="H325" t="s">
        <v>279</v>
      </c>
      <c r="I325" t="s">
        <v>280</v>
      </c>
      <c r="J325" t="s">
        <v>367</v>
      </c>
      <c r="K325" s="3">
        <v>100913001771</v>
      </c>
      <c r="L325" s="10">
        <v>40974</v>
      </c>
      <c r="M325">
        <v>142.44</v>
      </c>
      <c r="N325" s="11">
        <v>5</v>
      </c>
      <c r="O325" s="12">
        <v>28.15</v>
      </c>
      <c r="P325" s="12">
        <v>6.17</v>
      </c>
      <c r="Q325" s="13">
        <v>-22.12</v>
      </c>
      <c r="R325" s="36" t="s">
        <v>645</v>
      </c>
      <c r="S325" s="7">
        <f t="shared" si="24"/>
        <v>1</v>
      </c>
      <c r="T325" s="15" t="str">
        <f>VLOOKUP(R325,产品分类!$C$2:$D$1278,2,0)</f>
        <v>数码电子</v>
      </c>
    </row>
    <row r="326" spans="1:20">
      <c r="A326" s="8">
        <f>DATE(2012,12,31)-966</f>
        <v>40308</v>
      </c>
      <c r="B326" s="8">
        <f>DATE(2012,12,31)-966</f>
        <v>40308</v>
      </c>
      <c r="C326" s="9" t="s">
        <v>643</v>
      </c>
      <c r="D326">
        <v>10021281753</v>
      </c>
      <c r="E326" t="s">
        <v>47</v>
      </c>
      <c r="F326" t="s">
        <v>114</v>
      </c>
      <c r="G326" t="s">
        <v>115</v>
      </c>
      <c r="H326" t="s">
        <v>362</v>
      </c>
      <c r="I326" t="s">
        <v>363</v>
      </c>
      <c r="J326" t="s">
        <v>367</v>
      </c>
      <c r="K326" s="3">
        <v>100823235032</v>
      </c>
      <c r="L326" s="10">
        <v>40310</v>
      </c>
      <c r="M326">
        <v>967.78</v>
      </c>
      <c r="N326" s="11">
        <v>38</v>
      </c>
      <c r="O326" s="12">
        <v>24.95</v>
      </c>
      <c r="P326" s="12">
        <v>2.99</v>
      </c>
      <c r="Q326" s="13">
        <v>369.325</v>
      </c>
      <c r="R326" s="36" t="s">
        <v>646</v>
      </c>
      <c r="S326" s="7">
        <f t="shared" si="24"/>
        <v>2</v>
      </c>
      <c r="T326" s="15" t="str">
        <f>VLOOKUP(R326,产品分类!$C$2:$D$1278,2,0)</f>
        <v>数码电子</v>
      </c>
    </row>
    <row r="327" spans="1:20">
      <c r="A327" s="8">
        <f>DATE(2012,12,31)-1088</f>
        <v>40186</v>
      </c>
      <c r="B327" s="8">
        <f>DATE(2012,12,31)-1088</f>
        <v>40186</v>
      </c>
      <c r="C327" s="9" t="s">
        <v>647</v>
      </c>
      <c r="D327">
        <v>10021336322</v>
      </c>
      <c r="E327" t="s">
        <v>47</v>
      </c>
      <c r="F327" t="s">
        <v>122</v>
      </c>
      <c r="G327" t="s">
        <v>123</v>
      </c>
      <c r="H327" t="s">
        <v>124</v>
      </c>
      <c r="I327" t="s">
        <v>125</v>
      </c>
      <c r="J327" t="s">
        <v>367</v>
      </c>
      <c r="K327" s="3">
        <v>100717847535</v>
      </c>
      <c r="L327" s="10">
        <v>40188</v>
      </c>
      <c r="M327">
        <v>88.61</v>
      </c>
      <c r="N327" s="11">
        <v>19</v>
      </c>
      <c r="O327" s="12">
        <v>3.8</v>
      </c>
      <c r="P327" s="12">
        <v>1.49</v>
      </c>
      <c r="Q327" s="13">
        <v>21.471</v>
      </c>
      <c r="R327" s="36" t="s">
        <v>648</v>
      </c>
      <c r="S327" s="7">
        <f t="shared" si="24"/>
        <v>2</v>
      </c>
      <c r="T327" s="15" t="str">
        <f>VLOOKUP(R327,产品分类!$C$2:$D$1278,2,0)</f>
        <v>家具产品</v>
      </c>
    </row>
    <row r="328" spans="1:20">
      <c r="A328" s="8">
        <f>DATE(2012,12,31)-152</f>
        <v>41122</v>
      </c>
      <c r="B328" s="8">
        <f>DATE(2012,12,31)-152</f>
        <v>41122</v>
      </c>
      <c r="C328" s="9" t="s">
        <v>649</v>
      </c>
      <c r="D328">
        <v>10021266222</v>
      </c>
      <c r="E328" t="s">
        <v>47</v>
      </c>
      <c r="F328" t="s">
        <v>55</v>
      </c>
      <c r="G328" t="s">
        <v>56</v>
      </c>
      <c r="H328" t="s">
        <v>57</v>
      </c>
      <c r="I328" t="s">
        <v>58</v>
      </c>
      <c r="J328" t="s">
        <v>367</v>
      </c>
      <c r="K328" s="3">
        <v>100931762371</v>
      </c>
      <c r="L328" s="10">
        <v>41124</v>
      </c>
      <c r="M328">
        <v>21134.71</v>
      </c>
      <c r="N328" s="11">
        <v>6</v>
      </c>
      <c r="O328" s="12">
        <v>3502.14</v>
      </c>
      <c r="P328" s="12">
        <v>8.73</v>
      </c>
      <c r="Q328" s="13">
        <v>-4266.0885</v>
      </c>
      <c r="R328" s="36" t="s">
        <v>650</v>
      </c>
      <c r="S328" s="7">
        <f t="shared" si="24"/>
        <v>2</v>
      </c>
      <c r="T328" s="15" t="str">
        <f>VLOOKUP(R328,产品分类!$C$2:$D$1278,2,0)</f>
        <v>家具产品</v>
      </c>
    </row>
    <row r="329" spans="1:20">
      <c r="A329" s="8">
        <f>DATE(2012,12,31)-994</f>
        <v>40280</v>
      </c>
      <c r="B329" s="8">
        <f>DATE(2012,12,31)-994</f>
        <v>40280</v>
      </c>
      <c r="C329" s="9" t="s">
        <v>651</v>
      </c>
      <c r="D329">
        <v>10021336438</v>
      </c>
      <c r="E329" t="s">
        <v>47</v>
      </c>
      <c r="F329" t="s">
        <v>91</v>
      </c>
      <c r="G329" t="s">
        <v>92</v>
      </c>
      <c r="H329" t="s">
        <v>93</v>
      </c>
      <c r="I329" t="s">
        <v>94</v>
      </c>
      <c r="J329" t="s">
        <v>367</v>
      </c>
      <c r="K329" s="3">
        <v>100718376825</v>
      </c>
      <c r="L329" s="10">
        <v>40280</v>
      </c>
      <c r="M329">
        <v>7680.29</v>
      </c>
      <c r="N329" s="11">
        <v>39</v>
      </c>
      <c r="O329" s="12">
        <v>212.6</v>
      </c>
      <c r="P329" s="12">
        <v>52.2</v>
      </c>
      <c r="Q329" s="13">
        <v>-513.79042</v>
      </c>
      <c r="R329" s="36" t="s">
        <v>652</v>
      </c>
      <c r="S329" s="7">
        <f t="shared" si="24"/>
        <v>0</v>
      </c>
      <c r="T329" s="15" t="str">
        <f>VLOOKUP(R329,产品分类!$C$2:$D$1278,2,0)</f>
        <v>办公用品</v>
      </c>
    </row>
    <row r="330" spans="1:20">
      <c r="A330" s="8">
        <f>DATE(2012,12,31)-71</f>
        <v>41203</v>
      </c>
      <c r="B330" s="8">
        <f>DATE(2012,12,31)-71</f>
        <v>41203</v>
      </c>
      <c r="C330" s="9" t="s">
        <v>653</v>
      </c>
      <c r="D330">
        <v>10021294263</v>
      </c>
      <c r="E330" t="s">
        <v>47</v>
      </c>
      <c r="F330" t="s">
        <v>132</v>
      </c>
      <c r="G330" t="s">
        <v>133</v>
      </c>
      <c r="H330" t="s">
        <v>134</v>
      </c>
      <c r="I330" t="s">
        <v>133</v>
      </c>
      <c r="J330" t="s">
        <v>367</v>
      </c>
      <c r="K330" s="3">
        <v>100112992908</v>
      </c>
      <c r="L330" s="10">
        <v>41204</v>
      </c>
      <c r="M330">
        <v>278</v>
      </c>
      <c r="N330" s="11">
        <v>49</v>
      </c>
      <c r="O330" s="12">
        <v>6.08</v>
      </c>
      <c r="P330" s="12">
        <v>1.17</v>
      </c>
      <c r="Q330" s="13">
        <v>41.67</v>
      </c>
      <c r="R330" s="36" t="s">
        <v>654</v>
      </c>
      <c r="S330" s="7">
        <f t="shared" si="24"/>
        <v>1</v>
      </c>
      <c r="T330" s="15" t="str">
        <f>VLOOKUP(R330,产品分类!$C$2:$D$1278,2,0)</f>
        <v>办公用品</v>
      </c>
    </row>
    <row r="331" spans="1:20">
      <c r="A331" s="8">
        <f>DATE(2012,12,31)-730</f>
        <v>40544</v>
      </c>
      <c r="B331" s="8">
        <f>DATE(2012,12,31)-730</f>
        <v>40544</v>
      </c>
      <c r="C331" s="9" t="s">
        <v>513</v>
      </c>
      <c r="D331">
        <v>10021267247</v>
      </c>
      <c r="E331" t="s">
        <v>47</v>
      </c>
      <c r="F331" t="s">
        <v>97</v>
      </c>
      <c r="G331" t="s">
        <v>98</v>
      </c>
      <c r="H331" t="s">
        <v>99</v>
      </c>
      <c r="I331" t="s">
        <v>98</v>
      </c>
      <c r="J331" t="s">
        <v>367</v>
      </c>
      <c r="K331" s="3">
        <v>100132078767</v>
      </c>
      <c r="L331" s="10">
        <v>40545</v>
      </c>
      <c r="M331">
        <v>66.54</v>
      </c>
      <c r="N331" s="11">
        <v>10</v>
      </c>
      <c r="O331" s="12">
        <v>5.98</v>
      </c>
      <c r="P331" s="12">
        <v>4.38</v>
      </c>
      <c r="Q331" s="13">
        <v>-46.03</v>
      </c>
      <c r="R331" s="36" t="s">
        <v>655</v>
      </c>
      <c r="S331" s="7">
        <f t="shared" si="24"/>
        <v>1</v>
      </c>
      <c r="T331" s="15" t="str">
        <f>VLOOKUP(R331,产品分类!$C$2:$D$1278,2,0)</f>
        <v>家具产品</v>
      </c>
    </row>
    <row r="332" spans="1:20">
      <c r="A332" s="8">
        <f>DATE(2012,12,31)-730</f>
        <v>40544</v>
      </c>
      <c r="B332" s="8">
        <f>DATE(2012,12,31)-730</f>
        <v>40544</v>
      </c>
      <c r="C332" s="9" t="s">
        <v>513</v>
      </c>
      <c r="D332">
        <v>10021353555</v>
      </c>
      <c r="E332" t="s">
        <v>47</v>
      </c>
      <c r="F332" t="s">
        <v>132</v>
      </c>
      <c r="G332" t="s">
        <v>133</v>
      </c>
      <c r="H332" t="s">
        <v>134</v>
      </c>
      <c r="I332" t="s">
        <v>133</v>
      </c>
      <c r="J332" t="s">
        <v>367</v>
      </c>
      <c r="K332" s="3">
        <v>100932572291</v>
      </c>
      <c r="L332" s="10">
        <v>40546</v>
      </c>
      <c r="M332">
        <v>845.32</v>
      </c>
      <c r="N332" s="11">
        <v>21</v>
      </c>
      <c r="O332" s="12">
        <v>40.99</v>
      </c>
      <c r="P332" s="12">
        <v>19.99</v>
      </c>
      <c r="Q332" s="13">
        <v>33.67</v>
      </c>
      <c r="R332" s="36" t="s">
        <v>656</v>
      </c>
      <c r="S332" s="7">
        <f t="shared" si="24"/>
        <v>2</v>
      </c>
      <c r="T332" s="15" t="str">
        <f>VLOOKUP(R332,产品分类!$C$2:$D$1278,2,0)</f>
        <v>家具产品</v>
      </c>
    </row>
    <row r="333" spans="1:20">
      <c r="A333" s="8">
        <f>DATE(2012,12,31)-1043</f>
        <v>40231</v>
      </c>
      <c r="B333" s="8">
        <f>DATE(2012,12,31)-1043</f>
        <v>40231</v>
      </c>
      <c r="C333" s="9" t="s">
        <v>657</v>
      </c>
      <c r="D333">
        <v>10021281644</v>
      </c>
      <c r="E333" t="s">
        <v>47</v>
      </c>
      <c r="F333" t="s">
        <v>304</v>
      </c>
      <c r="G333" t="s">
        <v>305</v>
      </c>
      <c r="H333" t="s">
        <v>306</v>
      </c>
      <c r="I333" t="s">
        <v>307</v>
      </c>
      <c r="J333" t="s">
        <v>367</v>
      </c>
      <c r="K333" s="3">
        <v>100322640259</v>
      </c>
      <c r="L333" s="10">
        <v>40232</v>
      </c>
      <c r="M333">
        <v>4577.18</v>
      </c>
      <c r="N333" s="11">
        <v>49</v>
      </c>
      <c r="O333" s="12">
        <v>90.98</v>
      </c>
      <c r="P333" s="12">
        <v>30</v>
      </c>
      <c r="Q333" s="13">
        <v>205.83</v>
      </c>
      <c r="R333" s="36" t="s">
        <v>658</v>
      </c>
      <c r="S333" s="7">
        <f t="shared" si="24"/>
        <v>1</v>
      </c>
      <c r="T333" s="15" t="str">
        <f>VLOOKUP(R333,产品分类!$C$2:$D$1278,2,0)</f>
        <v>办公用品</v>
      </c>
    </row>
    <row r="334" spans="1:20">
      <c r="A334" s="8">
        <f>DATE(2012,12,31)-1043</f>
        <v>40231</v>
      </c>
      <c r="B334" s="8">
        <f>DATE(2012,12,31)-1043</f>
        <v>40231</v>
      </c>
      <c r="C334" s="9" t="s">
        <v>657</v>
      </c>
      <c r="D334">
        <v>10021280880</v>
      </c>
      <c r="E334" t="s">
        <v>47</v>
      </c>
      <c r="F334" t="s">
        <v>171</v>
      </c>
      <c r="G334" t="s">
        <v>172</v>
      </c>
      <c r="H334" t="s">
        <v>173</v>
      </c>
      <c r="I334" t="s">
        <v>174</v>
      </c>
      <c r="J334" t="s">
        <v>367</v>
      </c>
      <c r="K334" s="3">
        <v>100117564836</v>
      </c>
      <c r="L334" s="10">
        <v>40233</v>
      </c>
      <c r="M334">
        <v>845.9</v>
      </c>
      <c r="N334" s="11">
        <v>39</v>
      </c>
      <c r="O334" s="12">
        <v>20.98</v>
      </c>
      <c r="P334" s="12">
        <v>5.42</v>
      </c>
      <c r="Q334" s="13">
        <v>52.53</v>
      </c>
      <c r="R334" s="36" t="s">
        <v>659</v>
      </c>
      <c r="S334" s="7">
        <f t="shared" si="24"/>
        <v>2</v>
      </c>
      <c r="T334" s="15" t="str">
        <f>VLOOKUP(R334,产品分类!$C$2:$D$1278,2,0)</f>
        <v>办公用品</v>
      </c>
    </row>
    <row r="335" spans="1:20">
      <c r="A335" s="8">
        <f t="shared" ref="A335:B337" si="25">DATE(2012,12,31)-1071</f>
        <v>40203</v>
      </c>
      <c r="B335" s="8">
        <f t="shared" si="25"/>
        <v>40203</v>
      </c>
      <c r="C335" s="9" t="s">
        <v>660</v>
      </c>
      <c r="D335">
        <v>10021319947</v>
      </c>
      <c r="E335" t="s">
        <v>47</v>
      </c>
      <c r="F335" t="s">
        <v>171</v>
      </c>
      <c r="G335" t="s">
        <v>172</v>
      </c>
      <c r="H335" t="s">
        <v>173</v>
      </c>
      <c r="I335" t="s">
        <v>174</v>
      </c>
      <c r="J335" t="s">
        <v>367</v>
      </c>
      <c r="K335" s="3">
        <v>100817183082</v>
      </c>
      <c r="L335" s="10">
        <v>40205</v>
      </c>
      <c r="M335">
        <v>3116.47</v>
      </c>
      <c r="N335" s="11">
        <v>33</v>
      </c>
      <c r="O335" s="12">
        <v>100.98</v>
      </c>
      <c r="P335" s="12">
        <v>57.38</v>
      </c>
      <c r="Q335" s="13">
        <v>-1578.26</v>
      </c>
      <c r="R335" s="36" t="s">
        <v>661</v>
      </c>
      <c r="S335" s="7">
        <f t="shared" si="24"/>
        <v>2</v>
      </c>
      <c r="T335" s="15" t="str">
        <f>VLOOKUP(R335,产品分类!$C$2:$D$1278,2,0)</f>
        <v>办公用品</v>
      </c>
    </row>
    <row r="336" spans="1:20">
      <c r="A336" s="8">
        <f t="shared" si="25"/>
        <v>40203</v>
      </c>
      <c r="B336" s="8">
        <f t="shared" si="25"/>
        <v>40203</v>
      </c>
      <c r="C336" s="9" t="s">
        <v>660</v>
      </c>
      <c r="D336">
        <v>10021264275</v>
      </c>
      <c r="E336" t="s">
        <v>47</v>
      </c>
      <c r="F336" t="s">
        <v>171</v>
      </c>
      <c r="G336" t="s">
        <v>172</v>
      </c>
      <c r="H336" t="s">
        <v>173</v>
      </c>
      <c r="I336" t="s">
        <v>174</v>
      </c>
      <c r="J336" t="s">
        <v>367</v>
      </c>
      <c r="K336" s="3">
        <v>100130897698</v>
      </c>
      <c r="L336" s="10">
        <v>40204</v>
      </c>
      <c r="M336">
        <v>12.41</v>
      </c>
      <c r="N336" s="11">
        <v>1</v>
      </c>
      <c r="O336" s="12">
        <v>6.68</v>
      </c>
      <c r="P336" s="12">
        <v>5.66</v>
      </c>
      <c r="Q336" s="13">
        <v>-9.08</v>
      </c>
      <c r="R336" s="36" t="s">
        <v>662</v>
      </c>
      <c r="S336" s="7">
        <f t="shared" si="24"/>
        <v>1</v>
      </c>
      <c r="T336" s="15" t="str">
        <f>VLOOKUP(R336,产品分类!$C$2:$D$1278,2,0)</f>
        <v>数码电子</v>
      </c>
    </row>
    <row r="337" spans="1:20">
      <c r="A337" s="16">
        <f t="shared" si="25"/>
        <v>40203</v>
      </c>
      <c r="B337" s="16">
        <f t="shared" si="25"/>
        <v>40203</v>
      </c>
      <c r="C337" s="9" t="s">
        <v>660</v>
      </c>
      <c r="D337">
        <v>10021250050</v>
      </c>
      <c r="E337" t="s">
        <v>47</v>
      </c>
      <c r="F337" t="s">
        <v>171</v>
      </c>
      <c r="G337" t="s">
        <v>172</v>
      </c>
      <c r="H337" t="s">
        <v>173</v>
      </c>
      <c r="I337" t="s">
        <v>174</v>
      </c>
      <c r="J337" t="s">
        <v>367</v>
      </c>
      <c r="K337" s="3">
        <v>100813461122</v>
      </c>
      <c r="L337" s="10">
        <v>40203</v>
      </c>
      <c r="M337">
        <v>1382.8</v>
      </c>
      <c r="N337" s="17">
        <v>11</v>
      </c>
      <c r="O337" s="5">
        <v>120.33</v>
      </c>
      <c r="P337" s="5">
        <v>19.99</v>
      </c>
      <c r="Q337" s="6">
        <v>141.31</v>
      </c>
      <c r="R337" s="37" t="s">
        <v>663</v>
      </c>
      <c r="S337" s="7">
        <f t="shared" si="24"/>
        <v>0</v>
      </c>
      <c r="T337" s="15" t="str">
        <f>VLOOKUP(R337,产品分类!$C$2:$D$1278,2,0)</f>
        <v>家具产品</v>
      </c>
    </row>
    <row r="338" spans="1:20">
      <c r="A338" s="8">
        <f>DATE(2012,12,31)-525</f>
        <v>40749</v>
      </c>
      <c r="B338" s="8">
        <f>DATE(2012,12,31)-525</f>
        <v>40749</v>
      </c>
      <c r="C338" s="9" t="s">
        <v>664</v>
      </c>
      <c r="D338">
        <v>10021267743</v>
      </c>
      <c r="E338" t="s">
        <v>47</v>
      </c>
      <c r="F338" t="s">
        <v>171</v>
      </c>
      <c r="G338" t="s">
        <v>172</v>
      </c>
      <c r="H338" t="s">
        <v>173</v>
      </c>
      <c r="I338" t="s">
        <v>174</v>
      </c>
      <c r="J338" t="s">
        <v>367</v>
      </c>
      <c r="K338" s="3">
        <v>100132110058</v>
      </c>
      <c r="L338" s="10">
        <v>40751</v>
      </c>
      <c r="M338">
        <v>113.5</v>
      </c>
      <c r="N338" s="11">
        <v>15</v>
      </c>
      <c r="O338" s="12">
        <v>7.45</v>
      </c>
      <c r="P338" s="12">
        <v>6.28</v>
      </c>
      <c r="Q338" s="13">
        <v>-46.345</v>
      </c>
      <c r="R338" s="36" t="s">
        <v>665</v>
      </c>
      <c r="S338" s="7">
        <f t="shared" si="24"/>
        <v>2</v>
      </c>
      <c r="T338" s="15" t="str">
        <f>VLOOKUP(R338,产品分类!$C$2:$D$1278,2,0)</f>
        <v>数码电子</v>
      </c>
    </row>
    <row r="339" spans="1:20">
      <c r="A339" s="8">
        <f>DATE(2012,12,31)-917</f>
        <v>40357</v>
      </c>
      <c r="B339" s="8">
        <f>DATE(2012,12,31)-917</f>
        <v>40357</v>
      </c>
      <c r="C339" s="9" t="s">
        <v>666</v>
      </c>
      <c r="D339">
        <v>10021259881</v>
      </c>
      <c r="E339" t="s">
        <v>47</v>
      </c>
      <c r="F339" t="s">
        <v>183</v>
      </c>
      <c r="G339" t="s">
        <v>184</v>
      </c>
      <c r="H339" t="s">
        <v>185</v>
      </c>
      <c r="I339" t="s">
        <v>186</v>
      </c>
      <c r="J339" t="s">
        <v>367</v>
      </c>
      <c r="K339" s="3">
        <v>100928111151</v>
      </c>
      <c r="L339" s="10">
        <v>40357</v>
      </c>
      <c r="M339">
        <v>182.33</v>
      </c>
      <c r="N339" s="11">
        <v>32</v>
      </c>
      <c r="O339" s="12">
        <v>5.98</v>
      </c>
      <c r="P339" s="12">
        <v>1.49</v>
      </c>
      <c r="Q339" s="13">
        <v>40.851</v>
      </c>
      <c r="R339" s="36" t="s">
        <v>392</v>
      </c>
      <c r="S339" s="7">
        <f t="shared" si="24"/>
        <v>0</v>
      </c>
      <c r="T339" s="15" t="str">
        <f>VLOOKUP(R339,产品分类!$C$2:$D$1278,2,0)</f>
        <v>办公用品</v>
      </c>
    </row>
    <row r="340" spans="1:20">
      <c r="A340" s="8">
        <f>DATE(2012,12,31)-485</f>
        <v>40789</v>
      </c>
      <c r="B340" s="8">
        <f>DATE(2012,12,31)-485</f>
        <v>40789</v>
      </c>
      <c r="C340" s="9" t="s">
        <v>667</v>
      </c>
      <c r="D340">
        <v>10021338072</v>
      </c>
      <c r="E340" t="s">
        <v>47</v>
      </c>
      <c r="F340" t="s">
        <v>167</v>
      </c>
      <c r="G340" t="s">
        <v>168</v>
      </c>
      <c r="H340" t="s">
        <v>169</v>
      </c>
      <c r="I340" t="s">
        <v>168</v>
      </c>
      <c r="J340" t="s">
        <v>668</v>
      </c>
      <c r="K340" s="3">
        <v>100818240492</v>
      </c>
      <c r="L340" s="10">
        <v>40791</v>
      </c>
      <c r="M340">
        <v>27.01</v>
      </c>
      <c r="N340" s="11">
        <v>7</v>
      </c>
      <c r="O340" s="12">
        <v>3.8</v>
      </c>
      <c r="P340" s="12">
        <v>1.49</v>
      </c>
      <c r="Q340" s="13">
        <v>-1.2995</v>
      </c>
      <c r="R340" s="36" t="s">
        <v>648</v>
      </c>
      <c r="S340" s="7">
        <f t="shared" si="24"/>
        <v>2</v>
      </c>
      <c r="T340" s="15" t="str">
        <f>VLOOKUP(R340,产品分类!$C$2:$D$1278,2,0)</f>
        <v>家具产品</v>
      </c>
    </row>
    <row r="341" spans="1:20">
      <c r="A341" s="8">
        <f>DATE(2012,12,31)-610</f>
        <v>40664</v>
      </c>
      <c r="B341" s="8">
        <f>DATE(2012,12,31)-610</f>
        <v>40664</v>
      </c>
      <c r="C341" s="9" t="s">
        <v>669</v>
      </c>
      <c r="D341">
        <v>10021347029</v>
      </c>
      <c r="E341" t="s">
        <v>47</v>
      </c>
      <c r="F341" t="s">
        <v>177</v>
      </c>
      <c r="G341" t="s">
        <v>178</v>
      </c>
      <c r="H341" t="s">
        <v>179</v>
      </c>
      <c r="I341" t="s">
        <v>180</v>
      </c>
      <c r="J341" t="s">
        <v>668</v>
      </c>
      <c r="K341" s="3">
        <v>100312332379</v>
      </c>
      <c r="L341" s="10">
        <v>40665</v>
      </c>
      <c r="M341">
        <v>1324.09</v>
      </c>
      <c r="N341" s="11">
        <v>31</v>
      </c>
      <c r="O341" s="12">
        <v>40.89</v>
      </c>
      <c r="P341" s="12">
        <v>18.98</v>
      </c>
      <c r="Q341" s="13">
        <v>94.96</v>
      </c>
      <c r="R341" s="36" t="s">
        <v>670</v>
      </c>
      <c r="S341" s="7">
        <f t="shared" si="24"/>
        <v>1</v>
      </c>
      <c r="T341" s="15" t="str">
        <f>VLOOKUP(R341,产品分类!$C$2:$D$1278,2,0)</f>
        <v>办公用品</v>
      </c>
    </row>
    <row r="342" spans="1:20">
      <c r="A342" s="16">
        <f>DATE(2012,12,31)-748</f>
        <v>40526</v>
      </c>
      <c r="B342" s="16">
        <f>DATE(2012,12,31)-748</f>
        <v>40526</v>
      </c>
      <c r="C342" s="9" t="s">
        <v>671</v>
      </c>
      <c r="D342">
        <v>10021334556</v>
      </c>
      <c r="E342" t="s">
        <v>47</v>
      </c>
      <c r="F342" t="s">
        <v>183</v>
      </c>
      <c r="G342" t="s">
        <v>184</v>
      </c>
      <c r="H342" t="s">
        <v>185</v>
      </c>
      <c r="I342" t="s">
        <v>186</v>
      </c>
      <c r="J342" t="s">
        <v>668</v>
      </c>
      <c r="K342" s="3">
        <v>100114966978</v>
      </c>
      <c r="L342" s="10">
        <v>40528</v>
      </c>
      <c r="M342">
        <v>1634.98</v>
      </c>
      <c r="N342" s="17">
        <v>12</v>
      </c>
      <c r="O342" s="5">
        <v>140.85</v>
      </c>
      <c r="P342" s="5">
        <v>19.99</v>
      </c>
      <c r="Q342" s="6">
        <v>-120.45</v>
      </c>
      <c r="R342" s="37" t="s">
        <v>672</v>
      </c>
      <c r="S342" s="7">
        <f t="shared" si="24"/>
        <v>2</v>
      </c>
      <c r="T342" s="15" t="str">
        <f>VLOOKUP(R342,产品分类!$C$2:$D$1278,2,0)</f>
        <v>办公用品</v>
      </c>
    </row>
    <row r="343" spans="1:20">
      <c r="A343" s="8">
        <f>DATE(2012,12,31)-947</f>
        <v>40327</v>
      </c>
      <c r="B343" s="8">
        <f>DATE(2012,12,31)-947</f>
        <v>40327</v>
      </c>
      <c r="C343" s="9" t="s">
        <v>673</v>
      </c>
      <c r="D343">
        <v>10021346015</v>
      </c>
      <c r="E343" t="s">
        <v>47</v>
      </c>
      <c r="F343" t="s">
        <v>61</v>
      </c>
      <c r="G343" t="s">
        <v>62</v>
      </c>
      <c r="H343" t="s">
        <v>454</v>
      </c>
      <c r="I343" t="s">
        <v>455</v>
      </c>
      <c r="J343" t="s">
        <v>668</v>
      </c>
      <c r="K343" s="3">
        <v>100822200392</v>
      </c>
      <c r="L343" s="10">
        <v>40334</v>
      </c>
      <c r="M343">
        <v>157.49</v>
      </c>
      <c r="N343" s="11">
        <v>29</v>
      </c>
      <c r="O343" s="12">
        <v>5.78</v>
      </c>
      <c r="P343" s="12">
        <v>4.96</v>
      </c>
      <c r="Q343" s="13">
        <v>-58.25</v>
      </c>
      <c r="R343" s="36" t="s">
        <v>674</v>
      </c>
      <c r="S343" s="7">
        <f t="shared" si="24"/>
        <v>7</v>
      </c>
      <c r="T343" s="15" t="str">
        <f>VLOOKUP(R343,产品分类!$C$2:$D$1278,2,0)</f>
        <v>家具产品</v>
      </c>
    </row>
    <row r="344" spans="1:20">
      <c r="A344" s="16">
        <f>DATE(2012,12,31)-865</f>
        <v>40409</v>
      </c>
      <c r="B344" s="16">
        <f>DATE(2012,12,31)-865</f>
        <v>40409</v>
      </c>
      <c r="C344" s="9" t="s">
        <v>675</v>
      </c>
      <c r="D344">
        <v>10021288229</v>
      </c>
      <c r="E344" t="s">
        <v>47</v>
      </c>
      <c r="F344" t="s">
        <v>61</v>
      </c>
      <c r="G344" t="s">
        <v>62</v>
      </c>
      <c r="H344" t="s">
        <v>454</v>
      </c>
      <c r="I344" t="s">
        <v>455</v>
      </c>
      <c r="J344" t="s">
        <v>668</v>
      </c>
      <c r="K344" s="3">
        <v>100132474226</v>
      </c>
      <c r="L344" s="10">
        <v>40411</v>
      </c>
      <c r="M344">
        <v>508.73</v>
      </c>
      <c r="N344" s="17">
        <v>36</v>
      </c>
      <c r="O344" s="5">
        <v>14.81</v>
      </c>
      <c r="P344" s="5">
        <v>13.32</v>
      </c>
      <c r="Q344" s="6">
        <v>-229.67</v>
      </c>
      <c r="R344" s="37" t="s">
        <v>676</v>
      </c>
      <c r="S344" s="7">
        <f t="shared" si="24"/>
        <v>2</v>
      </c>
      <c r="T344" s="15" t="str">
        <f>VLOOKUP(R344,产品分类!$C$2:$D$1278,2,0)</f>
        <v>办公用品</v>
      </c>
    </row>
    <row r="345" spans="1:20">
      <c r="A345" s="8">
        <f>DATE(2012,12,31)-1445</f>
        <v>39829</v>
      </c>
      <c r="B345" s="8">
        <f>DATE(2012,12,31)-1445</f>
        <v>39829</v>
      </c>
      <c r="C345" s="9" t="s">
        <v>370</v>
      </c>
      <c r="D345">
        <v>10021249181</v>
      </c>
      <c r="E345" t="s">
        <v>47</v>
      </c>
      <c r="F345" t="s">
        <v>61</v>
      </c>
      <c r="G345" t="s">
        <v>62</v>
      </c>
      <c r="H345" t="s">
        <v>454</v>
      </c>
      <c r="I345" t="s">
        <v>455</v>
      </c>
      <c r="J345" t="s">
        <v>668</v>
      </c>
      <c r="K345" s="3">
        <v>10093070901</v>
      </c>
      <c r="L345" s="10">
        <v>39831</v>
      </c>
      <c r="M345">
        <v>679.6</v>
      </c>
      <c r="N345" s="11">
        <v>6</v>
      </c>
      <c r="O345" s="12">
        <v>110.98</v>
      </c>
      <c r="P345" s="12">
        <v>13.99</v>
      </c>
      <c r="Q345" s="13">
        <v>-85.76</v>
      </c>
      <c r="R345" s="36" t="s">
        <v>422</v>
      </c>
      <c r="S345" s="7">
        <f t="shared" si="24"/>
        <v>2</v>
      </c>
      <c r="T345" s="15" t="str">
        <f>VLOOKUP(R345,产品分类!$C$2:$D$1278,2,0)</f>
        <v>数码电子</v>
      </c>
    </row>
    <row r="346" spans="1:20">
      <c r="A346" s="8">
        <f>DATE(2012,12,31)-1445</f>
        <v>39829</v>
      </c>
      <c r="B346" s="8">
        <f>DATE(2012,12,31)-1445</f>
        <v>39829</v>
      </c>
      <c r="C346" s="9" t="s">
        <v>370</v>
      </c>
      <c r="D346">
        <v>10021350494</v>
      </c>
      <c r="E346" t="s">
        <v>47</v>
      </c>
      <c r="F346" t="s">
        <v>253</v>
      </c>
      <c r="G346" t="s">
        <v>254</v>
      </c>
      <c r="H346" t="s">
        <v>255</v>
      </c>
      <c r="I346" t="s">
        <v>256</v>
      </c>
      <c r="J346" t="s">
        <v>668</v>
      </c>
      <c r="K346" s="3">
        <v>100132156986</v>
      </c>
      <c r="L346" s="10">
        <v>39831</v>
      </c>
      <c r="M346">
        <v>257.42</v>
      </c>
      <c r="N346" s="11">
        <v>30</v>
      </c>
      <c r="O346" s="12">
        <v>8.01</v>
      </c>
      <c r="P346" s="12">
        <v>2.87</v>
      </c>
      <c r="Q346" s="13">
        <v>59.18</v>
      </c>
      <c r="R346" s="36" t="s">
        <v>677</v>
      </c>
      <c r="S346" s="7">
        <f t="shared" si="24"/>
        <v>2</v>
      </c>
      <c r="T346" s="15" t="str">
        <f>VLOOKUP(R346,产品分类!$C$2:$D$1278,2,0)</f>
        <v>办公用品</v>
      </c>
    </row>
    <row r="347" spans="1:20">
      <c r="A347" s="16">
        <f>DATE(2012,12,31)-1391</f>
        <v>39883</v>
      </c>
      <c r="B347" s="16">
        <f>DATE(2012,12,31)-1391</f>
        <v>39883</v>
      </c>
      <c r="C347" s="9" t="s">
        <v>440</v>
      </c>
      <c r="D347">
        <v>10021284557</v>
      </c>
      <c r="E347" t="s">
        <v>47</v>
      </c>
      <c r="F347" t="s">
        <v>55</v>
      </c>
      <c r="G347" t="s">
        <v>56</v>
      </c>
      <c r="H347" t="s">
        <v>57</v>
      </c>
      <c r="I347" t="s">
        <v>58</v>
      </c>
      <c r="J347" t="s">
        <v>668</v>
      </c>
      <c r="K347" s="3">
        <v>100125120217</v>
      </c>
      <c r="L347" s="10">
        <v>39884</v>
      </c>
      <c r="M347">
        <v>317.59</v>
      </c>
      <c r="N347" s="17">
        <v>36</v>
      </c>
      <c r="O347" s="5">
        <v>8.6</v>
      </c>
      <c r="P347" s="5">
        <v>6.19</v>
      </c>
      <c r="Q347" s="6">
        <v>-46.115</v>
      </c>
      <c r="R347" s="37" t="s">
        <v>443</v>
      </c>
      <c r="S347" s="7">
        <f t="shared" si="24"/>
        <v>1</v>
      </c>
      <c r="T347" s="15" t="str">
        <f>VLOOKUP(R347,产品分类!$C$2:$D$1278,2,0)</f>
        <v>办公用品</v>
      </c>
    </row>
    <row r="348" spans="1:20">
      <c r="A348" s="8">
        <f>DATE(2012,12,31)-795</f>
        <v>40479</v>
      </c>
      <c r="B348" s="8">
        <f>DATE(2012,12,31)-795</f>
        <v>40479</v>
      </c>
      <c r="C348" s="9" t="s">
        <v>678</v>
      </c>
      <c r="D348">
        <v>10021348885</v>
      </c>
      <c r="E348" t="s">
        <v>47</v>
      </c>
      <c r="F348" t="s">
        <v>61</v>
      </c>
      <c r="G348" t="s">
        <v>62</v>
      </c>
      <c r="H348" t="s">
        <v>454</v>
      </c>
      <c r="I348" t="s">
        <v>455</v>
      </c>
      <c r="J348" t="s">
        <v>668</v>
      </c>
      <c r="K348" s="3">
        <v>100831632122</v>
      </c>
      <c r="L348" s="10">
        <v>40481</v>
      </c>
      <c r="M348">
        <v>78.17</v>
      </c>
      <c r="N348" s="11">
        <v>21</v>
      </c>
      <c r="O348" s="12">
        <v>2.84</v>
      </c>
      <c r="P348" s="12">
        <v>5.44</v>
      </c>
      <c r="Q348" s="13">
        <v>-72.703</v>
      </c>
      <c r="R348" s="36" t="s">
        <v>679</v>
      </c>
      <c r="S348" s="7">
        <f t="shared" si="24"/>
        <v>2</v>
      </c>
      <c r="T348" s="15" t="str">
        <f>VLOOKUP(R348,产品分类!$C$2:$D$1278,2,0)</f>
        <v>家具产品</v>
      </c>
    </row>
    <row r="349" spans="1:20">
      <c r="A349" s="8">
        <f>DATE(2012,12,31)-1228</f>
        <v>40046</v>
      </c>
      <c r="B349" s="8">
        <f>DATE(2012,12,31)-1228</f>
        <v>40046</v>
      </c>
      <c r="C349" s="9" t="s">
        <v>236</v>
      </c>
      <c r="D349">
        <v>10021343765</v>
      </c>
      <c r="E349" t="s">
        <v>47</v>
      </c>
      <c r="F349" t="s">
        <v>61</v>
      </c>
      <c r="G349" t="s">
        <v>62</v>
      </c>
      <c r="H349" t="s">
        <v>454</v>
      </c>
      <c r="I349" t="s">
        <v>455</v>
      </c>
      <c r="J349" t="s">
        <v>668</v>
      </c>
      <c r="K349" s="3">
        <v>100729163775</v>
      </c>
      <c r="L349" s="10">
        <v>40046</v>
      </c>
      <c r="M349">
        <v>24105.87</v>
      </c>
      <c r="N349" s="11">
        <v>14</v>
      </c>
      <c r="O349" s="12">
        <v>2036.48</v>
      </c>
      <c r="P349" s="12">
        <v>14.7</v>
      </c>
      <c r="Q349" s="13">
        <v>4073.25</v>
      </c>
      <c r="R349" s="36" t="s">
        <v>680</v>
      </c>
      <c r="S349" s="7">
        <f t="shared" si="24"/>
        <v>0</v>
      </c>
      <c r="T349" s="15" t="str">
        <f>VLOOKUP(R349,产品分类!$C$2:$D$1278,2,0)</f>
        <v>数码电子</v>
      </c>
    </row>
    <row r="350" spans="1:20">
      <c r="A350" s="8">
        <f>DATE(2012,12,31)-478</f>
        <v>40796</v>
      </c>
      <c r="B350" s="8">
        <f>DATE(2012,12,31)-478</f>
        <v>40796</v>
      </c>
      <c r="C350" s="9" t="s">
        <v>681</v>
      </c>
      <c r="D350">
        <v>10021254461</v>
      </c>
      <c r="E350" t="s">
        <v>47</v>
      </c>
      <c r="F350" t="s">
        <v>61</v>
      </c>
      <c r="G350" t="s">
        <v>62</v>
      </c>
      <c r="H350" t="s">
        <v>454</v>
      </c>
      <c r="I350" t="s">
        <v>455</v>
      </c>
      <c r="J350" t="s">
        <v>668</v>
      </c>
      <c r="K350" s="3">
        <v>100122165716</v>
      </c>
      <c r="L350" s="10">
        <v>40799</v>
      </c>
      <c r="M350">
        <v>330.21</v>
      </c>
      <c r="N350" s="11">
        <v>14</v>
      </c>
      <c r="O350" s="12">
        <v>22.84</v>
      </c>
      <c r="P350" s="12">
        <v>5.47</v>
      </c>
      <c r="Q350" s="13">
        <v>83.24</v>
      </c>
      <c r="R350" s="36" t="s">
        <v>682</v>
      </c>
      <c r="S350" s="7">
        <f t="shared" si="24"/>
        <v>3</v>
      </c>
      <c r="T350" s="15" t="str">
        <f>VLOOKUP(R350,产品分类!$C$2:$D$1278,2,0)</f>
        <v>家具产品</v>
      </c>
    </row>
    <row r="351" spans="1:20">
      <c r="A351" s="8">
        <f>DATE(2012,12,31)-901</f>
        <v>40373</v>
      </c>
      <c r="B351" s="8">
        <f>DATE(2012,12,31)-901</f>
        <v>40373</v>
      </c>
      <c r="C351" s="9" t="s">
        <v>683</v>
      </c>
      <c r="D351">
        <v>10021323868</v>
      </c>
      <c r="E351" t="s">
        <v>47</v>
      </c>
      <c r="F351" t="s">
        <v>91</v>
      </c>
      <c r="G351" t="s">
        <v>92</v>
      </c>
      <c r="H351" t="s">
        <v>93</v>
      </c>
      <c r="I351" t="s">
        <v>94</v>
      </c>
      <c r="J351" t="s">
        <v>668</v>
      </c>
      <c r="K351" s="3">
        <v>100931117971</v>
      </c>
      <c r="L351" s="10">
        <v>40376</v>
      </c>
      <c r="M351">
        <v>278.68</v>
      </c>
      <c r="N351" s="11">
        <v>20</v>
      </c>
      <c r="O351" s="12">
        <v>14.48</v>
      </c>
      <c r="P351" s="12">
        <v>6.46</v>
      </c>
      <c r="Q351" s="13">
        <v>8.8995</v>
      </c>
      <c r="R351" s="36" t="s">
        <v>684</v>
      </c>
      <c r="S351" s="7">
        <f t="shared" si="24"/>
        <v>3</v>
      </c>
      <c r="T351" s="15" t="str">
        <f>VLOOKUP(R351,产品分类!$C$2:$D$1278,2,0)</f>
        <v>办公用品</v>
      </c>
    </row>
    <row r="352" spans="1:20">
      <c r="A352" s="8">
        <f>DATE(2012,12,31)-901</f>
        <v>40373</v>
      </c>
      <c r="B352" s="8">
        <f>DATE(2012,12,31)-901</f>
        <v>40373</v>
      </c>
      <c r="C352" s="9" t="s">
        <v>683</v>
      </c>
      <c r="D352">
        <v>10021315317</v>
      </c>
      <c r="E352" t="s">
        <v>47</v>
      </c>
      <c r="F352" t="s">
        <v>83</v>
      </c>
      <c r="G352" t="s">
        <v>84</v>
      </c>
      <c r="H352" t="s">
        <v>85</v>
      </c>
      <c r="I352" t="s">
        <v>86</v>
      </c>
      <c r="J352" t="s">
        <v>668</v>
      </c>
      <c r="K352" s="3">
        <v>100930355311</v>
      </c>
      <c r="L352" s="10">
        <v>40375</v>
      </c>
      <c r="M352">
        <v>717.468</v>
      </c>
      <c r="N352" s="11">
        <v>23</v>
      </c>
      <c r="O352" s="12">
        <v>35.99</v>
      </c>
      <c r="P352" s="12">
        <v>0.99</v>
      </c>
      <c r="Q352" s="13">
        <v>316.476</v>
      </c>
      <c r="R352" s="36" t="s">
        <v>685</v>
      </c>
      <c r="S352" s="7">
        <f t="shared" si="24"/>
        <v>2</v>
      </c>
      <c r="T352" s="15" t="str">
        <f>VLOOKUP(R352,产品分类!$C$2:$D$1278,2,0)</f>
        <v>办公用品</v>
      </c>
    </row>
    <row r="353" spans="1:20">
      <c r="A353" s="8">
        <f>DATE(2012,12,31)-557</f>
        <v>40717</v>
      </c>
      <c r="B353" s="8">
        <f>DATE(2012,12,31)-557</f>
        <v>40717</v>
      </c>
      <c r="C353" s="9" t="s">
        <v>657</v>
      </c>
      <c r="D353">
        <v>10021316407</v>
      </c>
      <c r="E353" t="s">
        <v>47</v>
      </c>
      <c r="F353" t="s">
        <v>61</v>
      </c>
      <c r="G353" t="s">
        <v>62</v>
      </c>
      <c r="H353" t="s">
        <v>454</v>
      </c>
      <c r="I353" t="s">
        <v>455</v>
      </c>
      <c r="J353" t="s">
        <v>668</v>
      </c>
      <c r="K353" s="3">
        <v>100822265652</v>
      </c>
      <c r="L353" s="10">
        <v>40719</v>
      </c>
      <c r="M353">
        <v>1082.45</v>
      </c>
      <c r="N353" s="11">
        <v>28</v>
      </c>
      <c r="O353" s="12">
        <v>39.48</v>
      </c>
      <c r="P353" s="12">
        <v>1.99</v>
      </c>
      <c r="Q353" s="13">
        <v>271.87</v>
      </c>
      <c r="R353" s="36" t="s">
        <v>235</v>
      </c>
      <c r="S353" s="7">
        <f t="shared" si="24"/>
        <v>2</v>
      </c>
      <c r="T353" s="15" t="str">
        <f>VLOOKUP(R353,产品分类!$C$2:$D$1278,2,0)</f>
        <v>办公用品</v>
      </c>
    </row>
    <row r="354" spans="1:20">
      <c r="A354" s="8">
        <f>DATE(2012,12,31)-1397</f>
        <v>39877</v>
      </c>
      <c r="B354" s="8">
        <f>DATE(2012,12,31)-1397</f>
        <v>39877</v>
      </c>
      <c r="C354" s="9" t="s">
        <v>686</v>
      </c>
      <c r="D354">
        <v>10021326957</v>
      </c>
      <c r="E354" t="s">
        <v>47</v>
      </c>
      <c r="F354" t="s">
        <v>132</v>
      </c>
      <c r="G354" t="s">
        <v>133</v>
      </c>
      <c r="H354" t="s">
        <v>134</v>
      </c>
      <c r="I354" t="s">
        <v>133</v>
      </c>
      <c r="J354" t="s">
        <v>668</v>
      </c>
      <c r="K354" s="3">
        <v>100414477304</v>
      </c>
      <c r="L354" s="10">
        <v>39878</v>
      </c>
      <c r="M354">
        <v>2553.84</v>
      </c>
      <c r="N354" s="11">
        <v>25</v>
      </c>
      <c r="O354" s="12">
        <v>107.53</v>
      </c>
      <c r="P354" s="12">
        <v>5.81</v>
      </c>
      <c r="Q354" s="13">
        <v>553.7</v>
      </c>
      <c r="R354" s="36" t="s">
        <v>65</v>
      </c>
      <c r="S354" s="7">
        <f t="shared" si="24"/>
        <v>1</v>
      </c>
      <c r="T354" s="15" t="str">
        <f>VLOOKUP(R354,产品分类!$C$2:$D$1278,2,0)</f>
        <v>家具产品</v>
      </c>
    </row>
    <row r="355" spans="1:20">
      <c r="A355" s="8">
        <f>DATE(2012,12,31)-535</f>
        <v>40739</v>
      </c>
      <c r="B355" s="8">
        <f>DATE(2012,12,31)-535</f>
        <v>40739</v>
      </c>
      <c r="C355" s="9" t="s">
        <v>323</v>
      </c>
      <c r="D355">
        <v>10021286875</v>
      </c>
      <c r="E355" t="s">
        <v>47</v>
      </c>
      <c r="F355" t="s">
        <v>66</v>
      </c>
      <c r="G355" t="s">
        <v>67</v>
      </c>
      <c r="H355" t="s">
        <v>68</v>
      </c>
      <c r="I355" t="s">
        <v>69</v>
      </c>
      <c r="J355" t="s">
        <v>668</v>
      </c>
      <c r="K355" s="3">
        <v>100131189846</v>
      </c>
      <c r="L355" s="10">
        <v>40740</v>
      </c>
      <c r="M355">
        <v>4147.47</v>
      </c>
      <c r="N355" s="11">
        <v>30</v>
      </c>
      <c r="O355" s="12">
        <v>145.45</v>
      </c>
      <c r="P355" s="12">
        <v>17.85</v>
      </c>
      <c r="Q355" s="13">
        <v>586.61</v>
      </c>
      <c r="R355" s="36" t="s">
        <v>322</v>
      </c>
      <c r="S355" s="7">
        <f t="shared" si="24"/>
        <v>1</v>
      </c>
      <c r="T355" s="15" t="str">
        <f>VLOOKUP(R355,产品分类!$C$2:$D$1278,2,0)</f>
        <v>家具产品</v>
      </c>
    </row>
    <row r="356" spans="1:20">
      <c r="A356" s="8">
        <f>DATE(2012,12,31)-127</f>
        <v>41147</v>
      </c>
      <c r="B356" s="8">
        <f>DATE(2012,12,31)-127</f>
        <v>41147</v>
      </c>
      <c r="C356" s="9" t="s">
        <v>687</v>
      </c>
      <c r="D356">
        <v>10021250474</v>
      </c>
      <c r="E356" t="s">
        <v>47</v>
      </c>
      <c r="F356" t="s">
        <v>66</v>
      </c>
      <c r="G356" t="s">
        <v>67</v>
      </c>
      <c r="H356" t="s">
        <v>68</v>
      </c>
      <c r="I356" t="s">
        <v>69</v>
      </c>
      <c r="J356" t="s">
        <v>668</v>
      </c>
      <c r="K356" s="3">
        <v>100410790283</v>
      </c>
      <c r="L356" s="10">
        <v>41149</v>
      </c>
      <c r="M356">
        <v>3629.1175</v>
      </c>
      <c r="N356" s="11">
        <v>21</v>
      </c>
      <c r="O356" s="12">
        <v>205.99</v>
      </c>
      <c r="P356" s="12">
        <v>5.26</v>
      </c>
      <c r="Q356" s="13">
        <v>636.03</v>
      </c>
      <c r="R356" s="36" t="s">
        <v>688</v>
      </c>
      <c r="S356" s="7">
        <f t="shared" si="24"/>
        <v>2</v>
      </c>
      <c r="T356" s="15" t="str">
        <f>VLOOKUP(R356,产品分类!$C$2:$D$1278,2,0)</f>
        <v>办公用品</v>
      </c>
    </row>
    <row r="357" spans="1:20">
      <c r="A357" s="8">
        <f>DATE(2012,12,31)-139</f>
        <v>41135</v>
      </c>
      <c r="B357" s="8">
        <f>DATE(2012,12,31)-139</f>
        <v>41135</v>
      </c>
      <c r="C357" s="9" t="s">
        <v>689</v>
      </c>
      <c r="D357">
        <v>10021261572</v>
      </c>
      <c r="E357" t="s">
        <v>47</v>
      </c>
      <c r="F357" t="s">
        <v>152</v>
      </c>
      <c r="G357" t="s">
        <v>153</v>
      </c>
      <c r="H357" t="s">
        <v>154</v>
      </c>
      <c r="I357" t="s">
        <v>155</v>
      </c>
      <c r="J357" t="s">
        <v>668</v>
      </c>
      <c r="K357" s="3">
        <v>100129468588</v>
      </c>
      <c r="L357" s="10">
        <v>41137</v>
      </c>
      <c r="M357">
        <v>22.56</v>
      </c>
      <c r="N357" s="11">
        <v>5</v>
      </c>
      <c r="O357" s="12">
        <v>3.36</v>
      </c>
      <c r="P357" s="12">
        <v>6.27</v>
      </c>
      <c r="Q357" s="13">
        <v>-25.5645</v>
      </c>
      <c r="R357" s="36" t="s">
        <v>690</v>
      </c>
      <c r="S357" s="7">
        <f t="shared" si="24"/>
        <v>2</v>
      </c>
      <c r="T357" s="15" t="str">
        <f>VLOOKUP(R357,产品分类!$C$2:$D$1278,2,0)</f>
        <v>办公用品</v>
      </c>
    </row>
    <row r="358" spans="1:20">
      <c r="A358" s="8">
        <f t="shared" ref="A358:B360" si="26">DATE(2012,12,31)-926</f>
        <v>40348</v>
      </c>
      <c r="B358" s="8">
        <f t="shared" si="26"/>
        <v>40348</v>
      </c>
      <c r="C358" s="9" t="s">
        <v>151</v>
      </c>
      <c r="D358">
        <v>10021255795</v>
      </c>
      <c r="E358" t="s">
        <v>47</v>
      </c>
      <c r="F358" t="s">
        <v>66</v>
      </c>
      <c r="G358" t="s">
        <v>67</v>
      </c>
      <c r="H358" t="s">
        <v>68</v>
      </c>
      <c r="I358" t="s">
        <v>69</v>
      </c>
      <c r="J358" t="s">
        <v>668</v>
      </c>
      <c r="K358" s="3">
        <v>100124423447</v>
      </c>
      <c r="L358" s="10">
        <v>40349</v>
      </c>
      <c r="M358">
        <v>91.15</v>
      </c>
      <c r="N358" s="11">
        <v>21</v>
      </c>
      <c r="O358" s="12">
        <v>4.13</v>
      </c>
      <c r="P358" s="12">
        <v>5.34</v>
      </c>
      <c r="Q358" s="13">
        <v>-71.5415</v>
      </c>
      <c r="R358" s="36" t="s">
        <v>612</v>
      </c>
      <c r="S358" s="7">
        <f t="shared" si="24"/>
        <v>1</v>
      </c>
      <c r="T358" s="15" t="str">
        <f>VLOOKUP(R358,产品分类!$C$2:$D$1278,2,0)</f>
        <v>办公用品</v>
      </c>
    </row>
    <row r="359" spans="1:20">
      <c r="A359" s="8">
        <f t="shared" si="26"/>
        <v>40348</v>
      </c>
      <c r="B359" s="8">
        <f t="shared" si="26"/>
        <v>40348</v>
      </c>
      <c r="C359" s="9" t="s">
        <v>151</v>
      </c>
      <c r="D359">
        <v>10021300771</v>
      </c>
      <c r="E359" t="s">
        <v>47</v>
      </c>
      <c r="F359" t="s">
        <v>72</v>
      </c>
      <c r="G359" t="s">
        <v>73</v>
      </c>
      <c r="H359" t="s">
        <v>74</v>
      </c>
      <c r="I359" t="s">
        <v>75</v>
      </c>
      <c r="J359" t="s">
        <v>668</v>
      </c>
      <c r="K359" s="3">
        <v>100726499235</v>
      </c>
      <c r="L359" s="10">
        <v>40349</v>
      </c>
      <c r="M359">
        <v>171.48</v>
      </c>
      <c r="N359" s="11">
        <v>46</v>
      </c>
      <c r="O359" s="12">
        <v>4.13</v>
      </c>
      <c r="P359" s="12">
        <v>0.5</v>
      </c>
      <c r="Q359" s="13">
        <v>66.13</v>
      </c>
      <c r="R359" s="36" t="s">
        <v>691</v>
      </c>
      <c r="S359" s="7">
        <f t="shared" si="24"/>
        <v>1</v>
      </c>
      <c r="T359" s="15" t="str">
        <f>VLOOKUP(R359,产品分类!$C$2:$D$1278,2,0)</f>
        <v>办公用品</v>
      </c>
    </row>
    <row r="360" spans="1:20">
      <c r="A360" s="8">
        <f t="shared" si="26"/>
        <v>40348</v>
      </c>
      <c r="B360" s="8">
        <f t="shared" si="26"/>
        <v>40348</v>
      </c>
      <c r="C360" s="9" t="s">
        <v>151</v>
      </c>
      <c r="D360">
        <v>10021284984</v>
      </c>
      <c r="E360" t="s">
        <v>47</v>
      </c>
      <c r="F360" t="s">
        <v>72</v>
      </c>
      <c r="G360" t="s">
        <v>73</v>
      </c>
      <c r="H360" t="s">
        <v>74</v>
      </c>
      <c r="I360" t="s">
        <v>75</v>
      </c>
      <c r="J360" t="s">
        <v>668</v>
      </c>
      <c r="K360" s="3">
        <v>100429334333</v>
      </c>
      <c r="L360" s="10">
        <v>40350</v>
      </c>
      <c r="M360">
        <v>162.1545</v>
      </c>
      <c r="N360" s="11">
        <v>9</v>
      </c>
      <c r="O360" s="12">
        <v>20.99</v>
      </c>
      <c r="P360" s="12">
        <v>4.81</v>
      </c>
      <c r="Q360" s="13">
        <v>-73.744</v>
      </c>
      <c r="R360" s="36" t="s">
        <v>692</v>
      </c>
      <c r="S360" s="7">
        <f t="shared" si="24"/>
        <v>2</v>
      </c>
      <c r="T360" s="15" t="str">
        <f>VLOOKUP(R360,产品分类!$C$2:$D$1278,2,0)</f>
        <v>办公用品</v>
      </c>
    </row>
    <row r="361" spans="1:20">
      <c r="A361" s="8">
        <f>DATE(2012,12,31)-1382</f>
        <v>39892</v>
      </c>
      <c r="B361" s="8">
        <f>DATE(2012,12,31)-1382</f>
        <v>39892</v>
      </c>
      <c r="C361" s="9" t="s">
        <v>657</v>
      </c>
      <c r="D361">
        <v>10021332085</v>
      </c>
      <c r="E361" t="s">
        <v>47</v>
      </c>
      <c r="F361" t="s">
        <v>72</v>
      </c>
      <c r="G361" t="s">
        <v>73</v>
      </c>
      <c r="H361" t="s">
        <v>74</v>
      </c>
      <c r="I361" t="s">
        <v>75</v>
      </c>
      <c r="J361" t="s">
        <v>668</v>
      </c>
      <c r="K361" s="3">
        <v>10092664111</v>
      </c>
      <c r="L361" s="10">
        <v>39894</v>
      </c>
      <c r="M361">
        <v>23.46</v>
      </c>
      <c r="N361" s="11">
        <v>9</v>
      </c>
      <c r="O361" s="12">
        <v>2.61</v>
      </c>
      <c r="P361" s="12">
        <v>0.5</v>
      </c>
      <c r="Q361" s="13">
        <v>4.58</v>
      </c>
      <c r="R361" s="36" t="s">
        <v>624</v>
      </c>
      <c r="S361" s="7">
        <f t="shared" si="24"/>
        <v>2</v>
      </c>
      <c r="T361" s="15" t="str">
        <f>VLOOKUP(R361,产品分类!$C$2:$D$1278,2,0)</f>
        <v>数码电子</v>
      </c>
    </row>
    <row r="362" spans="1:20">
      <c r="A362" s="8">
        <f>DATE(2012,12,31)-448</f>
        <v>40826</v>
      </c>
      <c r="B362" s="8">
        <f>DATE(2012,12,31)-448</f>
        <v>40826</v>
      </c>
      <c r="C362" s="9" t="s">
        <v>693</v>
      </c>
      <c r="D362">
        <v>10021348496</v>
      </c>
      <c r="E362" t="s">
        <v>47</v>
      </c>
      <c r="F362" t="s">
        <v>72</v>
      </c>
      <c r="G362" t="s">
        <v>73</v>
      </c>
      <c r="H362" t="s">
        <v>74</v>
      </c>
      <c r="I362" t="s">
        <v>75</v>
      </c>
      <c r="J362" t="s">
        <v>668</v>
      </c>
      <c r="K362" s="3">
        <v>100131582777</v>
      </c>
      <c r="L362" s="10">
        <v>40827</v>
      </c>
      <c r="M362">
        <v>282.07</v>
      </c>
      <c r="N362" s="11">
        <v>39</v>
      </c>
      <c r="O362" s="12">
        <v>7.31</v>
      </c>
      <c r="P362" s="12">
        <v>0.49</v>
      </c>
      <c r="Q362" s="13">
        <v>140.01</v>
      </c>
      <c r="R362" s="36" t="s">
        <v>694</v>
      </c>
      <c r="S362" s="7">
        <f t="shared" si="24"/>
        <v>1</v>
      </c>
      <c r="T362" s="15" t="str">
        <f>VLOOKUP(R362,产品分类!$C$2:$D$1278,2,0)</f>
        <v>办公用品</v>
      </c>
    </row>
    <row r="363" spans="1:20">
      <c r="A363" s="8">
        <f>DATE(2012,12,31)-448</f>
        <v>40826</v>
      </c>
      <c r="B363" s="8">
        <f>DATE(2012,12,31)-448</f>
        <v>40826</v>
      </c>
      <c r="C363" s="9" t="s">
        <v>693</v>
      </c>
      <c r="D363">
        <v>10021337015</v>
      </c>
      <c r="E363" t="s">
        <v>47</v>
      </c>
      <c r="F363" t="s">
        <v>114</v>
      </c>
      <c r="G363" t="s">
        <v>115</v>
      </c>
      <c r="H363" t="s">
        <v>116</v>
      </c>
      <c r="I363" t="s">
        <v>117</v>
      </c>
      <c r="J363" t="s">
        <v>668</v>
      </c>
      <c r="K363" s="3">
        <v>10077728655</v>
      </c>
      <c r="L363" s="10">
        <v>40827</v>
      </c>
      <c r="M363">
        <v>426.037</v>
      </c>
      <c r="N363" s="11">
        <v>24</v>
      </c>
      <c r="O363" s="12">
        <v>20.99</v>
      </c>
      <c r="P363" s="12">
        <v>2.5</v>
      </c>
      <c r="Q363" s="13">
        <v>-78.958</v>
      </c>
      <c r="R363" s="36" t="s">
        <v>478</v>
      </c>
      <c r="S363" s="7">
        <f t="shared" si="24"/>
        <v>1</v>
      </c>
      <c r="T363" s="15" t="str">
        <f>VLOOKUP(R363,产品分类!$C$2:$D$1278,2,0)</f>
        <v>办公用品</v>
      </c>
    </row>
    <row r="364" spans="1:20">
      <c r="A364" s="8">
        <f>DATE(2012,12,31)-952</f>
        <v>40322</v>
      </c>
      <c r="B364" s="8">
        <f>DATE(2012,12,31)-952</f>
        <v>40322</v>
      </c>
      <c r="C364" s="9" t="s">
        <v>695</v>
      </c>
      <c r="D364">
        <v>10021337918</v>
      </c>
      <c r="E364" t="s">
        <v>47</v>
      </c>
      <c r="F364" t="s">
        <v>122</v>
      </c>
      <c r="G364" t="s">
        <v>123</v>
      </c>
      <c r="H364" t="s">
        <v>124</v>
      </c>
      <c r="I364" t="s">
        <v>125</v>
      </c>
      <c r="J364" t="s">
        <v>668</v>
      </c>
      <c r="K364" s="3">
        <v>100123227338</v>
      </c>
      <c r="L364" s="10">
        <v>40324</v>
      </c>
      <c r="M364">
        <v>82.72</v>
      </c>
      <c r="N364" s="11">
        <v>6</v>
      </c>
      <c r="O364" s="12">
        <v>14.48</v>
      </c>
      <c r="P364" s="12">
        <v>1.99</v>
      </c>
      <c r="Q364" s="13">
        <v>-29.71</v>
      </c>
      <c r="R364" s="36" t="s">
        <v>696</v>
      </c>
      <c r="S364" s="7">
        <f t="shared" si="24"/>
        <v>2</v>
      </c>
      <c r="T364" s="15" t="str">
        <f>VLOOKUP(R364,产品分类!$C$2:$D$1278,2,0)</f>
        <v>办公用品</v>
      </c>
    </row>
    <row r="365" spans="1:20">
      <c r="A365" s="8">
        <f>DATE(2012,12,31)-118</f>
        <v>41156</v>
      </c>
      <c r="B365" s="8">
        <f>DATE(2012,12,31)-118</f>
        <v>41156</v>
      </c>
      <c r="C365" s="9" t="s">
        <v>504</v>
      </c>
      <c r="D365">
        <v>10021336489</v>
      </c>
      <c r="E365" t="s">
        <v>47</v>
      </c>
      <c r="F365" t="s">
        <v>55</v>
      </c>
      <c r="G365" t="s">
        <v>56</v>
      </c>
      <c r="H365" t="s">
        <v>57</v>
      </c>
      <c r="I365" t="s">
        <v>58</v>
      </c>
      <c r="J365" t="s">
        <v>668</v>
      </c>
      <c r="K365" s="3">
        <v>100118718267</v>
      </c>
      <c r="L365" s="10">
        <v>41157</v>
      </c>
      <c r="M365">
        <v>731.22</v>
      </c>
      <c r="N365" s="11">
        <v>32</v>
      </c>
      <c r="O365" s="12">
        <v>20.97</v>
      </c>
      <c r="P365" s="12">
        <v>6.5</v>
      </c>
      <c r="Q365" s="13">
        <v>-84.07</v>
      </c>
      <c r="R365" s="36" t="s">
        <v>420</v>
      </c>
      <c r="S365" s="7">
        <f t="shared" si="24"/>
        <v>1</v>
      </c>
      <c r="T365" s="15" t="str">
        <f>VLOOKUP(R365,产品分类!$C$2:$D$1278,2,0)</f>
        <v>数码电子</v>
      </c>
    </row>
    <row r="366" spans="1:20">
      <c r="A366" s="16">
        <f>DATE(2012,12,31)-118</f>
        <v>41156</v>
      </c>
      <c r="B366" s="16">
        <f>DATE(2012,12,31)-118</f>
        <v>41156</v>
      </c>
      <c r="C366" s="9" t="s">
        <v>504</v>
      </c>
      <c r="D366">
        <v>10021352420</v>
      </c>
      <c r="E366" t="s">
        <v>47</v>
      </c>
      <c r="F366" t="s">
        <v>91</v>
      </c>
      <c r="G366" t="s">
        <v>92</v>
      </c>
      <c r="H366" t="s">
        <v>93</v>
      </c>
      <c r="I366" t="s">
        <v>94</v>
      </c>
      <c r="J366" t="s">
        <v>668</v>
      </c>
      <c r="K366" s="3">
        <v>100932523681</v>
      </c>
      <c r="L366" s="10">
        <v>41158</v>
      </c>
      <c r="M366">
        <v>114.14</v>
      </c>
      <c r="N366" s="17">
        <v>23</v>
      </c>
      <c r="O366" s="5">
        <v>4.98</v>
      </c>
      <c r="P366" s="5">
        <v>5.49</v>
      </c>
      <c r="Q366" s="6">
        <v>-65.62</v>
      </c>
      <c r="R366" s="37" t="s">
        <v>602</v>
      </c>
      <c r="S366" s="7">
        <f t="shared" si="24"/>
        <v>2</v>
      </c>
      <c r="T366" s="15" t="str">
        <f>VLOOKUP(R366,产品分类!$C$2:$D$1278,2,0)</f>
        <v>办公用品</v>
      </c>
    </row>
    <row r="367" spans="1:20">
      <c r="A367" s="8">
        <f t="shared" ref="A367:B369" si="27">DATE(2012,12,31)-153</f>
        <v>41121</v>
      </c>
      <c r="B367" s="8">
        <f t="shared" si="27"/>
        <v>41121</v>
      </c>
      <c r="C367" s="9" t="s">
        <v>697</v>
      </c>
      <c r="D367">
        <v>10021256235</v>
      </c>
      <c r="E367" t="s">
        <v>47</v>
      </c>
      <c r="F367" t="s">
        <v>91</v>
      </c>
      <c r="G367" t="s">
        <v>92</v>
      </c>
      <c r="H367" t="s">
        <v>93</v>
      </c>
      <c r="I367" t="s">
        <v>94</v>
      </c>
      <c r="J367" t="s">
        <v>668</v>
      </c>
      <c r="K367" s="3">
        <v>100321339769</v>
      </c>
      <c r="L367" s="10">
        <v>41124</v>
      </c>
      <c r="M367">
        <v>64.82</v>
      </c>
      <c r="N367" s="11">
        <v>28</v>
      </c>
      <c r="O367" s="12">
        <v>2.12</v>
      </c>
      <c r="P367" s="12">
        <v>1.99</v>
      </c>
      <c r="Q367" s="13">
        <v>-32.03</v>
      </c>
      <c r="R367" s="36" t="s">
        <v>698</v>
      </c>
      <c r="S367" s="7">
        <f t="shared" si="24"/>
        <v>3</v>
      </c>
      <c r="T367" s="15" t="str">
        <f>VLOOKUP(R367,产品分类!$C$2:$D$1278,2,0)</f>
        <v>办公用品</v>
      </c>
    </row>
    <row r="368" spans="1:20">
      <c r="A368" s="8">
        <f t="shared" si="27"/>
        <v>41121</v>
      </c>
      <c r="B368" s="8">
        <f t="shared" si="27"/>
        <v>41121</v>
      </c>
      <c r="C368" s="9" t="s">
        <v>697</v>
      </c>
      <c r="D368">
        <v>10021335357</v>
      </c>
      <c r="E368" t="s">
        <v>47</v>
      </c>
      <c r="F368" t="s">
        <v>83</v>
      </c>
      <c r="G368" t="s">
        <v>84</v>
      </c>
      <c r="H368" t="s">
        <v>85</v>
      </c>
      <c r="I368" t="s">
        <v>86</v>
      </c>
      <c r="J368" t="s">
        <v>668</v>
      </c>
      <c r="K368" s="3">
        <v>100311934309</v>
      </c>
      <c r="L368" s="10">
        <v>41123</v>
      </c>
      <c r="M368">
        <v>77.6</v>
      </c>
      <c r="N368" s="11">
        <v>6</v>
      </c>
      <c r="O368" s="12">
        <v>11.34</v>
      </c>
      <c r="P368" s="12">
        <v>11.25</v>
      </c>
      <c r="Q368" s="13">
        <v>-37.07</v>
      </c>
      <c r="R368" s="36" t="s">
        <v>699</v>
      </c>
      <c r="S368" s="7">
        <f t="shared" si="24"/>
        <v>2</v>
      </c>
      <c r="T368" s="15" t="str">
        <f>VLOOKUP(R368,产品分类!$C$2:$D$1278,2,0)</f>
        <v>办公用品</v>
      </c>
    </row>
    <row r="369" spans="1:20">
      <c r="A369" s="8">
        <f t="shared" si="27"/>
        <v>41121</v>
      </c>
      <c r="B369" s="8">
        <f t="shared" si="27"/>
        <v>41121</v>
      </c>
      <c r="C369" s="9" t="s">
        <v>697</v>
      </c>
      <c r="D369">
        <v>10021331247</v>
      </c>
      <c r="E369" t="s">
        <v>47</v>
      </c>
      <c r="F369" t="s">
        <v>55</v>
      </c>
      <c r="G369" t="s">
        <v>56</v>
      </c>
      <c r="H369" t="s">
        <v>57</v>
      </c>
      <c r="I369" t="s">
        <v>58</v>
      </c>
      <c r="J369" t="s">
        <v>668</v>
      </c>
      <c r="K369" s="3">
        <v>10071951815</v>
      </c>
      <c r="L369" s="10">
        <v>41122</v>
      </c>
      <c r="M369">
        <v>821.18</v>
      </c>
      <c r="N369" s="11">
        <v>17</v>
      </c>
      <c r="O369" s="12">
        <v>48.91</v>
      </c>
      <c r="P369" s="12">
        <v>5.81</v>
      </c>
      <c r="Q369" s="13">
        <v>308.63</v>
      </c>
      <c r="R369" s="36" t="s">
        <v>700</v>
      </c>
      <c r="S369" s="7">
        <f t="shared" si="24"/>
        <v>1</v>
      </c>
      <c r="T369" s="15" t="str">
        <f>VLOOKUP(R369,产品分类!$C$2:$D$1278,2,0)</f>
        <v>家具产品</v>
      </c>
    </row>
    <row r="370" spans="1:20">
      <c r="A370" s="8">
        <f>DATE(2012,12,31)-774</f>
        <v>40500</v>
      </c>
      <c r="B370" s="8">
        <f>DATE(2012,12,31)-774</f>
        <v>40500</v>
      </c>
      <c r="C370" s="9" t="s">
        <v>701</v>
      </c>
      <c r="D370">
        <v>10021249263</v>
      </c>
      <c r="E370" t="s">
        <v>47</v>
      </c>
      <c r="F370" t="s">
        <v>91</v>
      </c>
      <c r="G370" t="s">
        <v>92</v>
      </c>
      <c r="H370" t="s">
        <v>93</v>
      </c>
      <c r="I370" t="s">
        <v>94</v>
      </c>
      <c r="J370" t="s">
        <v>668</v>
      </c>
      <c r="K370" s="3">
        <v>10014910907</v>
      </c>
      <c r="L370" s="10">
        <v>40501</v>
      </c>
      <c r="M370">
        <v>31.77</v>
      </c>
      <c r="N370" s="11">
        <v>12</v>
      </c>
      <c r="O370" s="12">
        <v>2.61</v>
      </c>
      <c r="P370" s="12">
        <v>0.5</v>
      </c>
      <c r="Q370" s="13">
        <v>8.34</v>
      </c>
      <c r="R370" s="36" t="s">
        <v>630</v>
      </c>
      <c r="S370" s="7">
        <f t="shared" si="24"/>
        <v>1</v>
      </c>
      <c r="T370" s="15" t="str">
        <f>VLOOKUP(R370,产品分类!$C$2:$D$1278,2,0)</f>
        <v>数码电子</v>
      </c>
    </row>
    <row r="371" spans="1:20">
      <c r="A371" s="8">
        <f>DATE(2012,12,31)-774</f>
        <v>40500</v>
      </c>
      <c r="B371" s="8">
        <f>DATE(2012,12,31)-774</f>
        <v>40500</v>
      </c>
      <c r="C371" s="9" t="s">
        <v>701</v>
      </c>
      <c r="D371">
        <v>10021299665</v>
      </c>
      <c r="E371" t="s">
        <v>47</v>
      </c>
      <c r="F371" t="s">
        <v>132</v>
      </c>
      <c r="G371" t="s">
        <v>133</v>
      </c>
      <c r="H371" t="s">
        <v>134</v>
      </c>
      <c r="I371" t="s">
        <v>133</v>
      </c>
      <c r="J371" t="s">
        <v>668</v>
      </c>
      <c r="K371" s="3">
        <v>100110145216</v>
      </c>
      <c r="L371" s="10">
        <v>40501</v>
      </c>
      <c r="M371">
        <v>208.05</v>
      </c>
      <c r="N371" s="11">
        <v>33</v>
      </c>
      <c r="O371" s="12">
        <v>5.98</v>
      </c>
      <c r="P371" s="12">
        <v>0.96</v>
      </c>
      <c r="Q371" s="13">
        <v>46.01</v>
      </c>
      <c r="R371" s="36" t="s">
        <v>702</v>
      </c>
      <c r="S371" s="7">
        <f t="shared" si="24"/>
        <v>1</v>
      </c>
      <c r="T371" s="15" t="str">
        <f>VLOOKUP(R371,产品分类!$C$2:$D$1278,2,0)</f>
        <v>办公用品</v>
      </c>
    </row>
    <row r="372" spans="1:20">
      <c r="A372" s="8">
        <f>DATE(2012,12,31)-850</f>
        <v>40424</v>
      </c>
      <c r="B372" s="8">
        <f>DATE(2012,12,31)-850</f>
        <v>40424</v>
      </c>
      <c r="C372" s="9" t="s">
        <v>703</v>
      </c>
      <c r="D372">
        <v>10021251750</v>
      </c>
      <c r="E372" t="s">
        <v>47</v>
      </c>
      <c r="F372" t="s">
        <v>208</v>
      </c>
      <c r="G372" t="s">
        <v>209</v>
      </c>
      <c r="H372" t="s">
        <v>210</v>
      </c>
      <c r="I372" t="s">
        <v>211</v>
      </c>
      <c r="J372" t="s">
        <v>668</v>
      </c>
      <c r="K372" s="3">
        <v>100111394138</v>
      </c>
      <c r="L372" s="10">
        <v>40426</v>
      </c>
      <c r="M372">
        <v>2004.12</v>
      </c>
      <c r="N372" s="11">
        <v>5</v>
      </c>
      <c r="O372" s="12">
        <v>420.98</v>
      </c>
      <c r="P372" s="12">
        <v>19.99</v>
      </c>
      <c r="Q372" s="13">
        <v>276.675</v>
      </c>
      <c r="R372" s="36" t="s">
        <v>498</v>
      </c>
      <c r="S372" s="7">
        <f t="shared" si="24"/>
        <v>2</v>
      </c>
      <c r="T372" s="15" t="str">
        <f>VLOOKUP(R372,产品分类!$C$2:$D$1278,2,0)</f>
        <v>家具产品</v>
      </c>
    </row>
    <row r="373" spans="1:20">
      <c r="A373" s="8">
        <f>DATE(2012,12,31)-850</f>
        <v>40424</v>
      </c>
      <c r="B373" s="8">
        <f>DATE(2012,12,31)-850</f>
        <v>40424</v>
      </c>
      <c r="C373" s="9" t="s">
        <v>703</v>
      </c>
      <c r="D373">
        <v>10021339486</v>
      </c>
      <c r="E373" t="s">
        <v>47</v>
      </c>
      <c r="F373" t="s">
        <v>171</v>
      </c>
      <c r="G373" t="s">
        <v>172</v>
      </c>
      <c r="H373" t="s">
        <v>173</v>
      </c>
      <c r="I373" t="s">
        <v>174</v>
      </c>
      <c r="J373" t="s">
        <v>668</v>
      </c>
      <c r="K373" s="3">
        <v>100125101786</v>
      </c>
      <c r="L373" s="10">
        <v>40425</v>
      </c>
      <c r="M373">
        <v>3841.72</v>
      </c>
      <c r="N373" s="11">
        <v>15</v>
      </c>
      <c r="O373" s="12">
        <v>243.98</v>
      </c>
      <c r="P373" s="12">
        <v>43.32</v>
      </c>
      <c r="Q373" s="13">
        <v>691.13</v>
      </c>
      <c r="R373" s="36" t="s">
        <v>704</v>
      </c>
      <c r="S373" s="7">
        <f t="shared" si="24"/>
        <v>1</v>
      </c>
      <c r="T373" s="15" t="str">
        <f>VLOOKUP(R373,产品分类!$C$2:$D$1278,2,0)</f>
        <v>数码电子</v>
      </c>
    </row>
    <row r="374" spans="1:20">
      <c r="A374" s="8">
        <f t="shared" ref="A374:B376" si="28">DATE(2012,12,31)-384</f>
        <v>40890</v>
      </c>
      <c r="B374" s="8">
        <f t="shared" si="28"/>
        <v>40890</v>
      </c>
      <c r="C374" s="9" t="s">
        <v>705</v>
      </c>
      <c r="D374">
        <v>10021292898</v>
      </c>
      <c r="E374" t="s">
        <v>47</v>
      </c>
      <c r="F374" t="s">
        <v>171</v>
      </c>
      <c r="G374" t="s">
        <v>172</v>
      </c>
      <c r="H374" t="s">
        <v>173</v>
      </c>
      <c r="I374" t="s">
        <v>174</v>
      </c>
      <c r="J374" t="s">
        <v>668</v>
      </c>
      <c r="K374" s="3">
        <v>10012895277</v>
      </c>
      <c r="L374" s="10">
        <v>40891</v>
      </c>
      <c r="M374">
        <v>11764.25</v>
      </c>
      <c r="N374" s="11">
        <v>13</v>
      </c>
      <c r="O374" s="12">
        <v>880.98</v>
      </c>
      <c r="P374" s="12">
        <v>44.55</v>
      </c>
      <c r="Q374" s="13">
        <v>2322.44</v>
      </c>
      <c r="R374" s="36" t="s">
        <v>706</v>
      </c>
      <c r="S374" s="7">
        <f t="shared" si="24"/>
        <v>1</v>
      </c>
      <c r="T374" s="15" t="str">
        <f>VLOOKUP(R374,产品分类!$C$2:$D$1278,2,0)</f>
        <v>办公用品</v>
      </c>
    </row>
    <row r="375" spans="1:20">
      <c r="A375" s="8">
        <f t="shared" si="28"/>
        <v>40890</v>
      </c>
      <c r="B375" s="8">
        <f t="shared" si="28"/>
        <v>40890</v>
      </c>
      <c r="C375" s="9" t="s">
        <v>705</v>
      </c>
      <c r="D375">
        <v>10021347211</v>
      </c>
      <c r="E375" t="s">
        <v>47</v>
      </c>
      <c r="F375" t="s">
        <v>171</v>
      </c>
      <c r="G375" t="s">
        <v>172</v>
      </c>
      <c r="H375" t="s">
        <v>173</v>
      </c>
      <c r="I375" t="s">
        <v>174</v>
      </c>
      <c r="J375" t="s">
        <v>668</v>
      </c>
      <c r="K375" s="3">
        <v>100330977329</v>
      </c>
      <c r="L375" s="10">
        <v>40892</v>
      </c>
      <c r="M375">
        <v>25.17</v>
      </c>
      <c r="N375" s="11">
        <v>4</v>
      </c>
      <c r="O375" s="12">
        <v>5.47</v>
      </c>
      <c r="P375" s="12">
        <v>5.26</v>
      </c>
      <c r="Q375" s="13">
        <v>5.88</v>
      </c>
      <c r="R375" s="36" t="s">
        <v>707</v>
      </c>
      <c r="S375" s="7">
        <f t="shared" si="24"/>
        <v>2</v>
      </c>
      <c r="T375" s="15" t="str">
        <f>VLOOKUP(R375,产品分类!$C$2:$D$1278,2,0)</f>
        <v>家具产品</v>
      </c>
    </row>
    <row r="376" spans="1:20">
      <c r="A376" s="8">
        <f t="shared" si="28"/>
        <v>40890</v>
      </c>
      <c r="B376" s="8">
        <f t="shared" si="28"/>
        <v>40890</v>
      </c>
      <c r="C376" s="9" t="s">
        <v>705</v>
      </c>
      <c r="D376">
        <v>10021333084</v>
      </c>
      <c r="E376" t="s">
        <v>47</v>
      </c>
      <c r="F376" t="s">
        <v>342</v>
      </c>
      <c r="G376" t="s">
        <v>343</v>
      </c>
      <c r="H376" t="s">
        <v>344</v>
      </c>
      <c r="I376" t="s">
        <v>345</v>
      </c>
      <c r="J376" t="s">
        <v>668</v>
      </c>
      <c r="K376" s="3">
        <v>10035909359</v>
      </c>
      <c r="L376" s="10">
        <v>40892</v>
      </c>
      <c r="M376">
        <v>208.47</v>
      </c>
      <c r="N376" s="11">
        <v>29</v>
      </c>
      <c r="O376" s="12">
        <v>6.48</v>
      </c>
      <c r="P376" s="12">
        <v>8.74</v>
      </c>
      <c r="Q376" s="13">
        <v>-125.6</v>
      </c>
      <c r="R376" s="36" t="s">
        <v>194</v>
      </c>
      <c r="S376" s="7">
        <f t="shared" si="24"/>
        <v>2</v>
      </c>
      <c r="T376" s="15" t="str">
        <f>VLOOKUP(R376,产品分类!$C$2:$D$1278,2,0)</f>
        <v>办公用品</v>
      </c>
    </row>
    <row r="377" spans="1:20">
      <c r="A377" s="16">
        <f>DATE(2012,12,31)-481</f>
        <v>40793</v>
      </c>
      <c r="B377" s="16">
        <f>DATE(2012,12,31)-481</f>
        <v>40793</v>
      </c>
      <c r="C377" s="9" t="s">
        <v>708</v>
      </c>
      <c r="D377">
        <v>10021264356</v>
      </c>
      <c r="E377" t="s">
        <v>47</v>
      </c>
      <c r="F377" t="s">
        <v>183</v>
      </c>
      <c r="G377" t="s">
        <v>184</v>
      </c>
      <c r="H377" t="s">
        <v>185</v>
      </c>
      <c r="I377" t="s">
        <v>186</v>
      </c>
      <c r="J377" t="s">
        <v>668</v>
      </c>
      <c r="K377" s="3">
        <v>100130911358</v>
      </c>
      <c r="L377" s="10">
        <v>40795</v>
      </c>
      <c r="M377">
        <v>48.37</v>
      </c>
      <c r="N377" s="17">
        <v>16</v>
      </c>
      <c r="O377" s="5">
        <v>2.88</v>
      </c>
      <c r="P377" s="5">
        <v>0.5</v>
      </c>
      <c r="Q377" s="6">
        <v>18.02</v>
      </c>
      <c r="R377" s="37" t="s">
        <v>709</v>
      </c>
      <c r="S377" s="7">
        <f t="shared" si="24"/>
        <v>2</v>
      </c>
      <c r="T377" s="15" t="str">
        <f>VLOOKUP(R377,产品分类!$C$2:$D$1278,2,0)</f>
        <v>数码电子</v>
      </c>
    </row>
    <row r="378" spans="1:20">
      <c r="A378" s="8">
        <f>DATE(2012,12,31)-802</f>
        <v>40472</v>
      </c>
      <c r="B378" s="8">
        <f>DATE(2012,12,31)-802</f>
        <v>40472</v>
      </c>
      <c r="C378" s="9" t="s">
        <v>710</v>
      </c>
      <c r="D378">
        <v>10021341270</v>
      </c>
      <c r="E378" t="s">
        <v>47</v>
      </c>
      <c r="F378" t="s">
        <v>61</v>
      </c>
      <c r="G378" t="s">
        <v>62</v>
      </c>
      <c r="H378" t="s">
        <v>454</v>
      </c>
      <c r="I378" t="s">
        <v>455</v>
      </c>
      <c r="J378" t="s">
        <v>668</v>
      </c>
      <c r="K378" s="3">
        <v>100127009237</v>
      </c>
      <c r="L378" s="10">
        <v>40477</v>
      </c>
      <c r="M378">
        <v>34.59</v>
      </c>
      <c r="N378" s="11">
        <v>14</v>
      </c>
      <c r="O378" s="12">
        <v>2.18</v>
      </c>
      <c r="P378" s="12">
        <v>5</v>
      </c>
      <c r="Q378" s="13">
        <v>-60.13</v>
      </c>
      <c r="R378" s="36" t="s">
        <v>711</v>
      </c>
      <c r="S378" s="7">
        <f t="shared" si="24"/>
        <v>5</v>
      </c>
      <c r="T378" s="15" t="str">
        <f>VLOOKUP(R378,产品分类!$C$2:$D$1278,2,0)</f>
        <v>数码电子</v>
      </c>
    </row>
    <row r="379" spans="1:20">
      <c r="A379" s="8">
        <f>DATE(2012,12,31)-802</f>
        <v>40472</v>
      </c>
      <c r="B379" s="8">
        <f>DATE(2012,12,31)-802</f>
        <v>40472</v>
      </c>
      <c r="C379" s="9" t="s">
        <v>710</v>
      </c>
      <c r="D379">
        <v>10021319843</v>
      </c>
      <c r="E379" t="s">
        <v>47</v>
      </c>
      <c r="F379" t="s">
        <v>61</v>
      </c>
      <c r="G379" t="s">
        <v>62</v>
      </c>
      <c r="H379" t="s">
        <v>454</v>
      </c>
      <c r="I379" t="s">
        <v>455</v>
      </c>
      <c r="J379" t="s">
        <v>668</v>
      </c>
      <c r="K379" s="3">
        <v>100117097916</v>
      </c>
      <c r="L379" s="10">
        <v>40481</v>
      </c>
      <c r="M379">
        <v>5029.216</v>
      </c>
      <c r="N379" s="11">
        <v>29</v>
      </c>
      <c r="O379" s="12">
        <v>218.75</v>
      </c>
      <c r="P379" s="12">
        <v>69.64</v>
      </c>
      <c r="Q379" s="13">
        <v>-752.832</v>
      </c>
      <c r="R379" s="36" t="s">
        <v>456</v>
      </c>
      <c r="S379" s="7">
        <f t="shared" si="24"/>
        <v>9</v>
      </c>
      <c r="T379" s="15" t="str">
        <f>VLOOKUP(R379,产品分类!$C$2:$D$1278,2,0)</f>
        <v>办公用品</v>
      </c>
    </row>
    <row r="380" spans="1:20">
      <c r="A380" s="8">
        <f>DATE(2012,12,31)-69</f>
        <v>41205</v>
      </c>
      <c r="B380" s="8">
        <f>DATE(2012,12,31)-69</f>
        <v>41205</v>
      </c>
      <c r="C380" s="9" t="s">
        <v>712</v>
      </c>
      <c r="D380">
        <v>10021267607</v>
      </c>
      <c r="E380" t="s">
        <v>47</v>
      </c>
      <c r="F380" t="s">
        <v>61</v>
      </c>
      <c r="G380" t="s">
        <v>62</v>
      </c>
      <c r="H380" t="s">
        <v>454</v>
      </c>
      <c r="I380" t="s">
        <v>455</v>
      </c>
      <c r="J380" t="s">
        <v>668</v>
      </c>
      <c r="K380" s="3">
        <v>100132101337</v>
      </c>
      <c r="L380" s="10">
        <v>41205</v>
      </c>
      <c r="M380">
        <v>146.51</v>
      </c>
      <c r="N380" s="11">
        <v>31</v>
      </c>
      <c r="O380" s="12">
        <v>4.73</v>
      </c>
      <c r="P380" s="12">
        <v>1.52</v>
      </c>
      <c r="Q380" s="13">
        <v>37.14</v>
      </c>
      <c r="R380" s="36" t="s">
        <v>713</v>
      </c>
      <c r="S380" s="7">
        <f t="shared" si="24"/>
        <v>0</v>
      </c>
      <c r="T380" s="15" t="str">
        <f>VLOOKUP(R380,产品分类!$C$2:$D$1278,2,0)</f>
        <v>办公用品</v>
      </c>
    </row>
    <row r="381" spans="1:20">
      <c r="A381" s="8">
        <f>DATE(2012,12,31)-830</f>
        <v>40444</v>
      </c>
      <c r="B381" s="8">
        <f>DATE(2012,12,31)-830</f>
        <v>40444</v>
      </c>
      <c r="C381" s="9" t="s">
        <v>714</v>
      </c>
      <c r="D381">
        <v>10021348279</v>
      </c>
      <c r="E381" t="s">
        <v>47</v>
      </c>
      <c r="F381" t="s">
        <v>61</v>
      </c>
      <c r="G381" t="s">
        <v>62</v>
      </c>
      <c r="H381" t="s">
        <v>454</v>
      </c>
      <c r="I381" t="s">
        <v>455</v>
      </c>
      <c r="J381" t="s">
        <v>668</v>
      </c>
      <c r="K381" s="3">
        <v>100131365156</v>
      </c>
      <c r="L381" s="10">
        <v>40446</v>
      </c>
      <c r="M381">
        <v>1078.49</v>
      </c>
      <c r="N381" s="11">
        <v>27</v>
      </c>
      <c r="O381" s="12">
        <v>40.96</v>
      </c>
      <c r="P381" s="12">
        <v>1.99</v>
      </c>
      <c r="Q381" s="13">
        <v>252.66</v>
      </c>
      <c r="R381" s="36" t="s">
        <v>715</v>
      </c>
      <c r="S381" s="7">
        <f t="shared" si="24"/>
        <v>2</v>
      </c>
      <c r="T381" s="15" t="str">
        <f>VLOOKUP(R381,产品分类!$C$2:$D$1278,2,0)</f>
        <v>数码电子</v>
      </c>
    </row>
    <row r="382" spans="1:20">
      <c r="A382" s="8">
        <f>DATE(2012,12,31)-973</f>
        <v>40301</v>
      </c>
      <c r="B382" s="8">
        <f>DATE(2012,12,31)-973</f>
        <v>40301</v>
      </c>
      <c r="C382" s="9" t="s">
        <v>716</v>
      </c>
      <c r="D382">
        <v>10021252340</v>
      </c>
      <c r="E382" t="s">
        <v>47</v>
      </c>
      <c r="F382" t="s">
        <v>61</v>
      </c>
      <c r="G382" t="s">
        <v>62</v>
      </c>
      <c r="H382" t="s">
        <v>454</v>
      </c>
      <c r="I382" t="s">
        <v>455</v>
      </c>
      <c r="J382" t="s">
        <v>668</v>
      </c>
      <c r="K382" s="3">
        <v>10098591421</v>
      </c>
      <c r="L382" s="10">
        <v>40302</v>
      </c>
      <c r="M382">
        <v>523.11</v>
      </c>
      <c r="N382" s="11">
        <v>3</v>
      </c>
      <c r="O382" s="12">
        <v>159.31</v>
      </c>
      <c r="P382" s="12">
        <v>60</v>
      </c>
      <c r="Q382" s="13">
        <v>-214.533</v>
      </c>
      <c r="R382" s="36" t="s">
        <v>717</v>
      </c>
      <c r="S382" s="7">
        <f t="shared" si="24"/>
        <v>1</v>
      </c>
      <c r="T382" s="15" t="str">
        <f>VLOOKUP(R382,产品分类!$C$2:$D$1278,2,0)</f>
        <v>办公用品</v>
      </c>
    </row>
    <row r="383" spans="1:20">
      <c r="A383" s="8">
        <f>DATE(2012,12,31)-973</f>
        <v>40301</v>
      </c>
      <c r="B383" s="8">
        <f>DATE(2012,12,31)-973</f>
        <v>40301</v>
      </c>
      <c r="C383" s="9" t="s">
        <v>716</v>
      </c>
      <c r="D383">
        <v>10021271630</v>
      </c>
      <c r="E383" t="s">
        <v>47</v>
      </c>
      <c r="F383" t="s">
        <v>55</v>
      </c>
      <c r="G383" t="s">
        <v>56</v>
      </c>
      <c r="H383" t="s">
        <v>57</v>
      </c>
      <c r="I383" t="s">
        <v>58</v>
      </c>
      <c r="J383" t="s">
        <v>668</v>
      </c>
      <c r="K383" s="3">
        <v>100432116403</v>
      </c>
      <c r="L383" s="10">
        <v>40303</v>
      </c>
      <c r="M383">
        <v>913.41</v>
      </c>
      <c r="N383" s="11">
        <v>29</v>
      </c>
      <c r="O383" s="12">
        <v>35.99</v>
      </c>
      <c r="P383" s="12">
        <v>1.25</v>
      </c>
      <c r="Q383" s="13">
        <v>237.141</v>
      </c>
      <c r="R383" s="36" t="s">
        <v>718</v>
      </c>
      <c r="S383" s="7">
        <f t="shared" si="24"/>
        <v>2</v>
      </c>
      <c r="T383" s="15" t="str">
        <f>VLOOKUP(R383,产品分类!$C$2:$D$1278,2,0)</f>
        <v>数码电子</v>
      </c>
    </row>
    <row r="384" spans="1:20">
      <c r="A384" s="8">
        <f>DATE(2012,12,31)-442</f>
        <v>40832</v>
      </c>
      <c r="B384" s="8">
        <f>DATE(2012,12,31)-442</f>
        <v>40832</v>
      </c>
      <c r="C384" s="9" t="s">
        <v>719</v>
      </c>
      <c r="D384">
        <v>10021357512</v>
      </c>
      <c r="E384" t="s">
        <v>47</v>
      </c>
      <c r="F384" t="s">
        <v>91</v>
      </c>
      <c r="G384" t="s">
        <v>92</v>
      </c>
      <c r="H384" t="s">
        <v>93</v>
      </c>
      <c r="I384" t="s">
        <v>94</v>
      </c>
      <c r="J384" t="s">
        <v>668</v>
      </c>
      <c r="K384" s="3">
        <v>10093807101</v>
      </c>
      <c r="L384" s="10">
        <v>40834</v>
      </c>
      <c r="M384">
        <v>8316.76</v>
      </c>
      <c r="N384" s="11">
        <v>30</v>
      </c>
      <c r="O384" s="12">
        <v>279.81</v>
      </c>
      <c r="P384" s="12">
        <v>23.19</v>
      </c>
      <c r="Q384" s="13">
        <v>2108.8</v>
      </c>
      <c r="R384" s="36" t="s">
        <v>720</v>
      </c>
      <c r="S384" s="7">
        <f t="shared" si="24"/>
        <v>2</v>
      </c>
      <c r="T384" s="15" t="str">
        <f>VLOOKUP(R384,产品分类!$C$2:$D$1278,2,0)</f>
        <v>办公用品</v>
      </c>
    </row>
    <row r="385" spans="1:20">
      <c r="A385" s="8">
        <f>DATE(2012,12,31)-442</f>
        <v>40832</v>
      </c>
      <c r="B385" s="8">
        <f>DATE(2012,12,31)-442</f>
        <v>40832</v>
      </c>
      <c r="C385" s="9" t="s">
        <v>719</v>
      </c>
      <c r="D385">
        <v>10021324903</v>
      </c>
      <c r="E385" t="s">
        <v>47</v>
      </c>
      <c r="F385" t="s">
        <v>83</v>
      </c>
      <c r="G385" t="s">
        <v>84</v>
      </c>
      <c r="H385" t="s">
        <v>85</v>
      </c>
      <c r="I385" t="s">
        <v>86</v>
      </c>
      <c r="J385" t="s">
        <v>668</v>
      </c>
      <c r="K385" s="3">
        <v>100929770401</v>
      </c>
      <c r="L385" s="10">
        <v>40833</v>
      </c>
      <c r="M385">
        <v>2143.2155</v>
      </c>
      <c r="N385" s="11">
        <v>37</v>
      </c>
      <c r="O385" s="12">
        <v>65.99</v>
      </c>
      <c r="P385" s="12">
        <v>8.99</v>
      </c>
      <c r="Q385" s="13">
        <v>464.355</v>
      </c>
      <c r="R385" s="36" t="s">
        <v>148</v>
      </c>
      <c r="S385" s="7">
        <f t="shared" si="24"/>
        <v>1</v>
      </c>
      <c r="T385" s="15" t="str">
        <f>VLOOKUP(R385,产品分类!$C$2:$D$1278,2,0)</f>
        <v>数码电子</v>
      </c>
    </row>
    <row r="386" spans="1:20">
      <c r="A386" s="8">
        <f>DATE(2012,12,31)-466</f>
        <v>40808</v>
      </c>
      <c r="B386" s="8">
        <f>DATE(2012,12,31)-466</f>
        <v>40808</v>
      </c>
      <c r="C386" s="9" t="s">
        <v>721</v>
      </c>
      <c r="D386">
        <v>10021333947</v>
      </c>
      <c r="E386" t="s">
        <v>47</v>
      </c>
      <c r="F386" t="s">
        <v>152</v>
      </c>
      <c r="G386" t="s">
        <v>153</v>
      </c>
      <c r="H386" t="s">
        <v>154</v>
      </c>
      <c r="I386" t="s">
        <v>155</v>
      </c>
      <c r="J386" t="s">
        <v>668</v>
      </c>
      <c r="K386" s="3">
        <v>100115491587</v>
      </c>
      <c r="L386" s="10">
        <v>40809</v>
      </c>
      <c r="M386">
        <v>229.51</v>
      </c>
      <c r="N386" s="11">
        <v>34</v>
      </c>
      <c r="O386" s="12">
        <v>6.48</v>
      </c>
      <c r="P386" s="12">
        <v>9.54</v>
      </c>
      <c r="Q386" s="13">
        <v>-189.33</v>
      </c>
      <c r="R386" s="36" t="s">
        <v>722</v>
      </c>
      <c r="S386" s="7">
        <f t="shared" si="24"/>
        <v>1</v>
      </c>
      <c r="T386" s="15" t="str">
        <f>VLOOKUP(R386,产品分类!$C$2:$D$1278,2,0)</f>
        <v>办公用品</v>
      </c>
    </row>
    <row r="387" spans="1:20">
      <c r="A387" s="8">
        <f>DATE(2012,12,31)-466</f>
        <v>40808</v>
      </c>
      <c r="B387" s="8">
        <f>DATE(2012,12,31)-466</f>
        <v>40808</v>
      </c>
      <c r="C387" s="9" t="s">
        <v>721</v>
      </c>
      <c r="D387">
        <v>10021255431</v>
      </c>
      <c r="E387" t="s">
        <v>47</v>
      </c>
      <c r="F387" t="s">
        <v>66</v>
      </c>
      <c r="G387" t="s">
        <v>67</v>
      </c>
      <c r="H387" t="s">
        <v>68</v>
      </c>
      <c r="I387" t="s">
        <v>69</v>
      </c>
      <c r="J387" t="s">
        <v>668</v>
      </c>
      <c r="K387" s="3">
        <v>100423921094</v>
      </c>
      <c r="L387" s="10">
        <v>40808</v>
      </c>
      <c r="M387">
        <v>473</v>
      </c>
      <c r="N387" s="11">
        <v>32</v>
      </c>
      <c r="O387" s="12">
        <v>15.42</v>
      </c>
      <c r="P387" s="12">
        <v>10.68</v>
      </c>
      <c r="Q387" s="13">
        <v>-185.8</v>
      </c>
      <c r="R387" s="36" t="s">
        <v>165</v>
      </c>
      <c r="S387" s="7">
        <f t="shared" ref="S387:S450" si="29">+L387-B387</f>
        <v>0</v>
      </c>
      <c r="T387" s="15" t="str">
        <f>VLOOKUP(R387,产品分类!$C$2:$D$1278,2,0)</f>
        <v>办公用品</v>
      </c>
    </row>
    <row r="388" spans="1:20">
      <c r="A388" s="8">
        <f>DATE(2012,12,31)-745</f>
        <v>40529</v>
      </c>
      <c r="B388" s="8">
        <f>DATE(2012,12,31)-745</f>
        <v>40529</v>
      </c>
      <c r="C388" s="9" t="s">
        <v>355</v>
      </c>
      <c r="D388">
        <v>10021266926</v>
      </c>
      <c r="E388" t="s">
        <v>47</v>
      </c>
      <c r="F388" t="s">
        <v>152</v>
      </c>
      <c r="G388" t="s">
        <v>153</v>
      </c>
      <c r="H388" t="s">
        <v>154</v>
      </c>
      <c r="I388" t="s">
        <v>155</v>
      </c>
      <c r="J388" t="s">
        <v>668</v>
      </c>
      <c r="K388" s="3">
        <v>100432063484</v>
      </c>
      <c r="L388" s="10">
        <v>40531</v>
      </c>
      <c r="M388">
        <v>881.65</v>
      </c>
      <c r="N388" s="11">
        <v>50</v>
      </c>
      <c r="O388" s="12">
        <v>18.97</v>
      </c>
      <c r="P388" s="12">
        <v>9.03</v>
      </c>
      <c r="Q388" s="13">
        <v>41.27</v>
      </c>
      <c r="R388" s="36" t="s">
        <v>131</v>
      </c>
      <c r="S388" s="7">
        <f t="shared" si="29"/>
        <v>2</v>
      </c>
      <c r="T388" s="15" t="str">
        <f>VLOOKUP(R388,产品分类!$C$2:$D$1278,2,0)</f>
        <v>家具产品</v>
      </c>
    </row>
    <row r="389" spans="1:20">
      <c r="A389" s="8">
        <f t="shared" ref="A389:B391" si="30">DATE(2012,12,31)-343</f>
        <v>40931</v>
      </c>
      <c r="B389" s="8">
        <f t="shared" si="30"/>
        <v>40931</v>
      </c>
      <c r="C389" s="9" t="s">
        <v>341</v>
      </c>
      <c r="D389">
        <v>10021296014</v>
      </c>
      <c r="E389" t="s">
        <v>47</v>
      </c>
      <c r="F389" t="s">
        <v>72</v>
      </c>
      <c r="G389" t="s">
        <v>73</v>
      </c>
      <c r="H389" t="s">
        <v>74</v>
      </c>
      <c r="I389" t="s">
        <v>75</v>
      </c>
      <c r="J389" t="s">
        <v>668</v>
      </c>
      <c r="K389" s="3">
        <v>100420110033</v>
      </c>
      <c r="L389" s="10">
        <v>40932</v>
      </c>
      <c r="M389">
        <v>2080.035</v>
      </c>
      <c r="N389" s="11">
        <v>31</v>
      </c>
      <c r="O389" s="12">
        <v>85.99</v>
      </c>
      <c r="P389" s="12">
        <v>1.25</v>
      </c>
      <c r="Q389" s="13">
        <v>844.902</v>
      </c>
      <c r="R389" s="36" t="s">
        <v>723</v>
      </c>
      <c r="S389" s="7">
        <f t="shared" si="29"/>
        <v>1</v>
      </c>
      <c r="T389" s="15" t="str">
        <f>VLOOKUP(R389,产品分类!$C$2:$D$1278,2,0)</f>
        <v>办公用品</v>
      </c>
    </row>
    <row r="390" spans="1:20">
      <c r="A390" s="8">
        <f t="shared" si="30"/>
        <v>40931</v>
      </c>
      <c r="B390" s="8">
        <f t="shared" si="30"/>
        <v>40931</v>
      </c>
      <c r="C390" s="9" t="s">
        <v>341</v>
      </c>
      <c r="D390">
        <v>10021264904</v>
      </c>
      <c r="E390" t="s">
        <v>47</v>
      </c>
      <c r="F390" t="s">
        <v>72</v>
      </c>
      <c r="G390" t="s">
        <v>73</v>
      </c>
      <c r="H390" t="s">
        <v>74</v>
      </c>
      <c r="I390" t="s">
        <v>75</v>
      </c>
      <c r="J390" t="s">
        <v>668</v>
      </c>
      <c r="K390" s="3">
        <v>100131239426</v>
      </c>
      <c r="L390" s="10">
        <v>40932</v>
      </c>
      <c r="M390">
        <v>145.42</v>
      </c>
      <c r="N390" s="11">
        <v>7</v>
      </c>
      <c r="O390" s="12">
        <v>20.97</v>
      </c>
      <c r="P390" s="12">
        <v>6.5</v>
      </c>
      <c r="Q390" s="13">
        <v>-98.46</v>
      </c>
      <c r="R390" s="36" t="s">
        <v>420</v>
      </c>
      <c r="S390" s="7">
        <f t="shared" si="29"/>
        <v>1</v>
      </c>
      <c r="T390" s="15" t="str">
        <f>VLOOKUP(R390,产品分类!$C$2:$D$1278,2,0)</f>
        <v>数码电子</v>
      </c>
    </row>
    <row r="391" spans="1:20">
      <c r="A391" s="8">
        <f t="shared" si="30"/>
        <v>40931</v>
      </c>
      <c r="B391" s="8">
        <f t="shared" si="30"/>
        <v>40931</v>
      </c>
      <c r="C391" s="9" t="s">
        <v>341</v>
      </c>
      <c r="D391">
        <v>10021263628</v>
      </c>
      <c r="E391" t="s">
        <v>47</v>
      </c>
      <c r="F391" t="s">
        <v>78</v>
      </c>
      <c r="G391" t="s">
        <v>79</v>
      </c>
      <c r="H391" t="s">
        <v>80</v>
      </c>
      <c r="I391" t="s">
        <v>81</v>
      </c>
      <c r="J391" t="s">
        <v>668</v>
      </c>
      <c r="K391" s="3">
        <v>100730818875</v>
      </c>
      <c r="L391" s="10">
        <v>40933</v>
      </c>
      <c r="M391">
        <v>1559.4355</v>
      </c>
      <c r="N391" s="11">
        <v>11</v>
      </c>
      <c r="O391" s="12">
        <v>155.99</v>
      </c>
      <c r="P391" s="12">
        <v>3.9</v>
      </c>
      <c r="Q391" s="13">
        <v>61.236</v>
      </c>
      <c r="R391" s="36" t="s">
        <v>724</v>
      </c>
      <c r="S391" s="7">
        <f t="shared" si="29"/>
        <v>2</v>
      </c>
      <c r="T391" s="15" t="str">
        <f>VLOOKUP(R391,产品分类!$C$2:$D$1278,2,0)</f>
        <v>家具产品</v>
      </c>
    </row>
    <row r="392" spans="1:20">
      <c r="A392" s="8">
        <f>DATE(2012,12,31)-246</f>
        <v>41028</v>
      </c>
      <c r="B392" s="8">
        <f>DATE(2012,12,31)-246</f>
        <v>41028</v>
      </c>
      <c r="C392" s="9" t="s">
        <v>508</v>
      </c>
      <c r="D392">
        <v>10021257712</v>
      </c>
      <c r="E392" t="s">
        <v>47</v>
      </c>
      <c r="F392" t="s">
        <v>230</v>
      </c>
      <c r="G392" t="s">
        <v>231</v>
      </c>
      <c r="H392" t="s">
        <v>232</v>
      </c>
      <c r="I392" t="s">
        <v>233</v>
      </c>
      <c r="J392" t="s">
        <v>668</v>
      </c>
      <c r="K392" s="3">
        <v>100126651136</v>
      </c>
      <c r="L392" s="10">
        <v>41037</v>
      </c>
      <c r="M392">
        <v>3363.14</v>
      </c>
      <c r="N392" s="11">
        <v>14</v>
      </c>
      <c r="O392" s="12">
        <v>260.98</v>
      </c>
      <c r="P392" s="12">
        <v>41.91</v>
      </c>
      <c r="Q392" s="13">
        <v>98.75</v>
      </c>
      <c r="R392" s="36" t="s">
        <v>725</v>
      </c>
      <c r="S392" s="7">
        <f t="shared" si="29"/>
        <v>9</v>
      </c>
      <c r="T392" s="15" t="str">
        <f>VLOOKUP(R392,产品分类!$C$2:$D$1278,2,0)</f>
        <v>家具产品</v>
      </c>
    </row>
    <row r="393" spans="1:20">
      <c r="A393" s="8">
        <f>DATE(2012,12,31)-938</f>
        <v>40336</v>
      </c>
      <c r="B393" s="8">
        <f>DATE(2012,12,31)-938</f>
        <v>40336</v>
      </c>
      <c r="C393" s="9" t="s">
        <v>726</v>
      </c>
      <c r="D393">
        <v>10021339918</v>
      </c>
      <c r="E393" t="s">
        <v>47</v>
      </c>
      <c r="F393" t="s">
        <v>91</v>
      </c>
      <c r="G393" t="s">
        <v>92</v>
      </c>
      <c r="H393" t="s">
        <v>93</v>
      </c>
      <c r="I393" t="s">
        <v>94</v>
      </c>
      <c r="J393" t="s">
        <v>668</v>
      </c>
      <c r="K393" s="3">
        <v>100125637016</v>
      </c>
      <c r="L393" s="10">
        <v>40339</v>
      </c>
      <c r="M393">
        <v>2051.016</v>
      </c>
      <c r="N393" s="11">
        <v>36</v>
      </c>
      <c r="O393" s="12">
        <v>65.99</v>
      </c>
      <c r="P393" s="12">
        <v>3.99</v>
      </c>
      <c r="Q393" s="13">
        <v>483.966</v>
      </c>
      <c r="R393" s="36" t="s">
        <v>727</v>
      </c>
      <c r="S393" s="7">
        <f t="shared" si="29"/>
        <v>3</v>
      </c>
      <c r="T393" s="15" t="str">
        <f>VLOOKUP(R393,产品分类!$C$2:$D$1278,2,0)</f>
        <v>家具产品</v>
      </c>
    </row>
    <row r="394" spans="1:20">
      <c r="A394" s="8">
        <f>DATE(2012,12,31)-1363</f>
        <v>39911</v>
      </c>
      <c r="B394" s="8">
        <f>DATE(2012,12,31)-1363</f>
        <v>39911</v>
      </c>
      <c r="C394" s="9" t="s">
        <v>728</v>
      </c>
      <c r="D394">
        <v>10021332532</v>
      </c>
      <c r="E394" t="s">
        <v>47</v>
      </c>
      <c r="F394" t="s">
        <v>55</v>
      </c>
      <c r="G394" t="s">
        <v>56</v>
      </c>
      <c r="H394" t="s">
        <v>57</v>
      </c>
      <c r="I394" t="s">
        <v>58</v>
      </c>
      <c r="J394" t="s">
        <v>668</v>
      </c>
      <c r="K394" s="3">
        <v>100910213931</v>
      </c>
      <c r="L394" s="10">
        <v>39915</v>
      </c>
      <c r="M394">
        <v>1895.55</v>
      </c>
      <c r="N394" s="11">
        <v>46</v>
      </c>
      <c r="O394" s="12">
        <v>40.97</v>
      </c>
      <c r="P394" s="12">
        <v>1.99</v>
      </c>
      <c r="Q394" s="13">
        <v>807.62</v>
      </c>
      <c r="R394" s="36" t="s">
        <v>729</v>
      </c>
      <c r="S394" s="7">
        <f t="shared" si="29"/>
        <v>4</v>
      </c>
      <c r="T394" s="15" t="str">
        <f>VLOOKUP(R394,产品分类!$C$2:$D$1278,2,0)</f>
        <v>办公用品</v>
      </c>
    </row>
    <row r="395" spans="1:20">
      <c r="A395" s="8">
        <f>DATE(2012,12,31)-1321</f>
        <v>39953</v>
      </c>
      <c r="B395" s="8">
        <f>DATE(2012,12,31)-1321</f>
        <v>39953</v>
      </c>
      <c r="C395" s="9" t="s">
        <v>520</v>
      </c>
      <c r="D395">
        <v>10021350953</v>
      </c>
      <c r="E395" t="s">
        <v>47</v>
      </c>
      <c r="F395" t="s">
        <v>55</v>
      </c>
      <c r="G395" t="s">
        <v>56</v>
      </c>
      <c r="H395" t="s">
        <v>57</v>
      </c>
      <c r="I395" t="s">
        <v>58</v>
      </c>
      <c r="J395" t="s">
        <v>668</v>
      </c>
      <c r="K395" s="3">
        <v>100432194083</v>
      </c>
      <c r="L395" s="10">
        <v>39954</v>
      </c>
      <c r="M395">
        <v>2178.431</v>
      </c>
      <c r="N395" s="11">
        <v>39</v>
      </c>
      <c r="O395" s="12">
        <v>65.99</v>
      </c>
      <c r="P395" s="12">
        <v>8.99</v>
      </c>
      <c r="Q395" s="13">
        <v>396.972</v>
      </c>
      <c r="R395" s="36" t="s">
        <v>730</v>
      </c>
      <c r="S395" s="7">
        <f t="shared" si="29"/>
        <v>1</v>
      </c>
      <c r="T395" s="15" t="str">
        <f>VLOOKUP(R395,产品分类!$C$2:$D$1278,2,0)</f>
        <v>办公用品</v>
      </c>
    </row>
    <row r="396" spans="1:20">
      <c r="A396" s="8">
        <f t="shared" ref="A396:B399" si="31">DATE(2012,12,31)-774</f>
        <v>40500</v>
      </c>
      <c r="B396" s="8">
        <f t="shared" si="31"/>
        <v>40500</v>
      </c>
      <c r="C396" s="9" t="s">
        <v>623</v>
      </c>
      <c r="D396">
        <v>10021265207</v>
      </c>
      <c r="E396" t="s">
        <v>47</v>
      </c>
      <c r="F396" t="s">
        <v>122</v>
      </c>
      <c r="G396" t="s">
        <v>123</v>
      </c>
      <c r="H396" t="s">
        <v>124</v>
      </c>
      <c r="I396" t="s">
        <v>125</v>
      </c>
      <c r="J396" t="s">
        <v>668</v>
      </c>
      <c r="K396" s="3">
        <v>100724906595</v>
      </c>
      <c r="L396" s="10">
        <v>40502</v>
      </c>
      <c r="M396">
        <v>695.47</v>
      </c>
      <c r="N396" s="11">
        <v>30</v>
      </c>
      <c r="O396" s="12">
        <v>22.98</v>
      </c>
      <c r="P396" s="12">
        <v>1.99</v>
      </c>
      <c r="Q396" s="13">
        <v>226.73</v>
      </c>
      <c r="R396" s="36" t="s">
        <v>585</v>
      </c>
      <c r="S396" s="7">
        <f t="shared" si="29"/>
        <v>2</v>
      </c>
      <c r="T396" s="15" t="str">
        <f>VLOOKUP(R396,产品分类!$C$2:$D$1278,2,0)</f>
        <v>家具产品</v>
      </c>
    </row>
    <row r="397" spans="1:20">
      <c r="A397" s="8">
        <f t="shared" si="31"/>
        <v>40500</v>
      </c>
      <c r="B397" s="8">
        <f t="shared" si="31"/>
        <v>40500</v>
      </c>
      <c r="C397" s="9" t="s">
        <v>623</v>
      </c>
      <c r="D397">
        <v>10021248157</v>
      </c>
      <c r="E397" t="s">
        <v>47</v>
      </c>
      <c r="F397" t="s">
        <v>91</v>
      </c>
      <c r="G397" t="s">
        <v>92</v>
      </c>
      <c r="H397" t="s">
        <v>93</v>
      </c>
      <c r="I397" t="s">
        <v>94</v>
      </c>
      <c r="J397" t="s">
        <v>668</v>
      </c>
      <c r="K397" s="3">
        <v>1009462071</v>
      </c>
      <c r="L397" s="10">
        <v>40502</v>
      </c>
      <c r="M397">
        <v>152.59</v>
      </c>
      <c r="N397" s="11">
        <v>41</v>
      </c>
      <c r="O397" s="12">
        <v>3.78</v>
      </c>
      <c r="P397" s="12">
        <v>0.71</v>
      </c>
      <c r="Q397" s="13">
        <v>55.48</v>
      </c>
      <c r="R397" s="36" t="s">
        <v>731</v>
      </c>
      <c r="S397" s="7">
        <f t="shared" si="29"/>
        <v>2</v>
      </c>
      <c r="T397" s="15" t="str">
        <f>VLOOKUP(R397,产品分类!$C$2:$D$1278,2,0)</f>
        <v>家具产品</v>
      </c>
    </row>
    <row r="398" spans="1:20">
      <c r="A398" s="8">
        <f t="shared" si="31"/>
        <v>40500</v>
      </c>
      <c r="B398" s="8">
        <f t="shared" si="31"/>
        <v>40500</v>
      </c>
      <c r="C398" s="9" t="s">
        <v>623</v>
      </c>
      <c r="D398">
        <v>10021259117</v>
      </c>
      <c r="E398" t="s">
        <v>47</v>
      </c>
      <c r="F398" t="s">
        <v>122</v>
      </c>
      <c r="G398" t="s">
        <v>123</v>
      </c>
      <c r="H398" t="s">
        <v>124</v>
      </c>
      <c r="I398" t="s">
        <v>125</v>
      </c>
      <c r="J398" t="s">
        <v>668</v>
      </c>
      <c r="K398" s="3">
        <v>10091815401</v>
      </c>
      <c r="L398" s="10">
        <v>40500</v>
      </c>
      <c r="M398">
        <v>365.62</v>
      </c>
      <c r="N398" s="11">
        <v>10</v>
      </c>
      <c r="O398" s="12">
        <v>34.76</v>
      </c>
      <c r="P398" s="12">
        <v>8.22</v>
      </c>
      <c r="Q398" s="13">
        <v>15.77</v>
      </c>
      <c r="R398" s="36" t="s">
        <v>732</v>
      </c>
      <c r="S398" s="7">
        <f t="shared" si="29"/>
        <v>0</v>
      </c>
      <c r="T398" s="15" t="str">
        <f>VLOOKUP(R398,产品分类!$C$2:$D$1278,2,0)</f>
        <v>家具产品</v>
      </c>
    </row>
    <row r="399" spans="1:20">
      <c r="A399" s="8">
        <f t="shared" si="31"/>
        <v>40500</v>
      </c>
      <c r="B399" s="8">
        <f t="shared" si="31"/>
        <v>40500</v>
      </c>
      <c r="C399" s="9" t="s">
        <v>623</v>
      </c>
      <c r="D399">
        <v>10021294934</v>
      </c>
      <c r="E399" t="s">
        <v>47</v>
      </c>
      <c r="F399" t="s">
        <v>127</v>
      </c>
      <c r="G399" t="s">
        <v>128</v>
      </c>
      <c r="H399" t="s">
        <v>129</v>
      </c>
      <c r="I399" t="s">
        <v>130</v>
      </c>
      <c r="J399" t="s">
        <v>668</v>
      </c>
      <c r="K399" s="3">
        <v>100911949601</v>
      </c>
      <c r="L399" s="10">
        <v>40502</v>
      </c>
      <c r="M399">
        <v>575.569</v>
      </c>
      <c r="N399" s="11">
        <v>10</v>
      </c>
      <c r="O399" s="12">
        <v>65.99</v>
      </c>
      <c r="P399" s="12">
        <v>5.63</v>
      </c>
      <c r="Q399" s="13">
        <v>-86.515</v>
      </c>
      <c r="R399" s="36" t="s">
        <v>733</v>
      </c>
      <c r="S399" s="7">
        <f t="shared" si="29"/>
        <v>2</v>
      </c>
      <c r="T399" s="15" t="str">
        <f>VLOOKUP(R399,产品分类!$C$2:$D$1278,2,0)</f>
        <v>家具产品</v>
      </c>
    </row>
    <row r="400" spans="1:20">
      <c r="A400" s="16">
        <f>DATE(2012,12,31)-1369</f>
        <v>39905</v>
      </c>
      <c r="B400" s="16">
        <f>DATE(2012,12,31)-1369</f>
        <v>39905</v>
      </c>
      <c r="C400" s="9" t="s">
        <v>734</v>
      </c>
      <c r="D400">
        <v>10021310655</v>
      </c>
      <c r="E400" t="s">
        <v>47</v>
      </c>
      <c r="F400" t="s">
        <v>132</v>
      </c>
      <c r="G400" t="s">
        <v>133</v>
      </c>
      <c r="H400" t="s">
        <v>134</v>
      </c>
      <c r="I400" t="s">
        <v>133</v>
      </c>
      <c r="J400" t="s">
        <v>668</v>
      </c>
      <c r="K400" s="3">
        <v>10031164819</v>
      </c>
      <c r="L400" s="10">
        <v>39907</v>
      </c>
      <c r="M400">
        <v>1427.67</v>
      </c>
      <c r="N400" s="17">
        <v>16</v>
      </c>
      <c r="O400" s="5">
        <v>90.24</v>
      </c>
      <c r="P400" s="5">
        <v>0.99</v>
      </c>
      <c r="Q400" s="6">
        <v>422.8</v>
      </c>
      <c r="R400" s="37" t="s">
        <v>735</v>
      </c>
      <c r="S400" s="7">
        <f t="shared" si="29"/>
        <v>2</v>
      </c>
      <c r="T400" s="15" t="str">
        <f>VLOOKUP(R400,产品分类!$C$2:$D$1278,2,0)</f>
        <v>数码电子</v>
      </c>
    </row>
    <row r="401" spans="1:20">
      <c r="A401" s="16">
        <f>DATE(2012,12,31)-1369</f>
        <v>39905</v>
      </c>
      <c r="B401" s="16">
        <f>DATE(2012,12,31)-1369</f>
        <v>39905</v>
      </c>
      <c r="C401" s="9" t="s">
        <v>734</v>
      </c>
      <c r="D401">
        <v>10021285407</v>
      </c>
      <c r="E401" t="s">
        <v>47</v>
      </c>
      <c r="F401" t="s">
        <v>132</v>
      </c>
      <c r="G401" t="s">
        <v>133</v>
      </c>
      <c r="H401" t="s">
        <v>134</v>
      </c>
      <c r="I401" t="s">
        <v>133</v>
      </c>
      <c r="J401" t="s">
        <v>668</v>
      </c>
      <c r="K401" s="3">
        <v>100429949863</v>
      </c>
      <c r="L401" s="10">
        <v>39907</v>
      </c>
      <c r="M401">
        <v>499.26</v>
      </c>
      <c r="N401" s="17">
        <v>11</v>
      </c>
      <c r="O401" s="5">
        <v>47.9</v>
      </c>
      <c r="P401" s="5">
        <v>5.86</v>
      </c>
      <c r="Q401" s="6">
        <v>144.05</v>
      </c>
      <c r="R401" s="37" t="s">
        <v>736</v>
      </c>
      <c r="S401" s="7">
        <f t="shared" si="29"/>
        <v>2</v>
      </c>
      <c r="T401" s="15" t="str">
        <f>VLOOKUP(R401,产品分类!$C$2:$D$1278,2,0)</f>
        <v>数码电子</v>
      </c>
    </row>
    <row r="402" spans="1:20">
      <c r="A402" s="16">
        <f>DATE(2012,12,31)-329</f>
        <v>40945</v>
      </c>
      <c r="B402" s="16">
        <f>DATE(2012,12,31)-329</f>
        <v>40945</v>
      </c>
      <c r="C402" s="9" t="s">
        <v>737</v>
      </c>
      <c r="D402">
        <v>10021296036</v>
      </c>
      <c r="E402" t="s">
        <v>47</v>
      </c>
      <c r="F402" t="s">
        <v>97</v>
      </c>
      <c r="G402" t="s">
        <v>98</v>
      </c>
      <c r="H402" t="s">
        <v>99</v>
      </c>
      <c r="I402" t="s">
        <v>98</v>
      </c>
      <c r="J402" t="s">
        <v>668</v>
      </c>
      <c r="K402" s="3">
        <v>100920265141</v>
      </c>
      <c r="L402" s="10">
        <v>40945</v>
      </c>
      <c r="M402">
        <v>736.3</v>
      </c>
      <c r="N402" s="17">
        <v>30</v>
      </c>
      <c r="O402" s="5">
        <v>24.95</v>
      </c>
      <c r="P402" s="5">
        <v>2.99</v>
      </c>
      <c r="Q402" s="6">
        <v>259.0715</v>
      </c>
      <c r="R402" s="37" t="s">
        <v>646</v>
      </c>
      <c r="S402" s="7">
        <f t="shared" si="29"/>
        <v>0</v>
      </c>
      <c r="T402" s="15" t="str">
        <f>VLOOKUP(R402,产品分类!$C$2:$D$1278,2,0)</f>
        <v>数码电子</v>
      </c>
    </row>
    <row r="403" spans="1:20">
      <c r="A403" s="16">
        <f>DATE(2012,12,31)-329</f>
        <v>40945</v>
      </c>
      <c r="B403" s="16">
        <f>DATE(2012,12,31)-329</f>
        <v>40945</v>
      </c>
      <c r="C403" s="9" t="s">
        <v>737</v>
      </c>
      <c r="D403">
        <v>10021251669</v>
      </c>
      <c r="E403" t="s">
        <v>47</v>
      </c>
      <c r="F403" t="s">
        <v>132</v>
      </c>
      <c r="G403" t="s">
        <v>133</v>
      </c>
      <c r="H403" t="s">
        <v>134</v>
      </c>
      <c r="I403" t="s">
        <v>133</v>
      </c>
      <c r="J403" t="s">
        <v>668</v>
      </c>
      <c r="K403" s="3">
        <v>100411066754</v>
      </c>
      <c r="L403" s="10">
        <v>40945</v>
      </c>
      <c r="M403">
        <v>346.06</v>
      </c>
      <c r="N403" s="17">
        <v>50</v>
      </c>
      <c r="O403" s="5">
        <v>6.48</v>
      </c>
      <c r="P403" s="5">
        <v>5.86</v>
      </c>
      <c r="Q403" s="6">
        <v>-76.54</v>
      </c>
      <c r="R403" s="37" t="s">
        <v>738</v>
      </c>
      <c r="S403" s="7">
        <f t="shared" si="29"/>
        <v>0</v>
      </c>
      <c r="T403" s="15" t="str">
        <f>VLOOKUP(R403,产品分类!$C$2:$D$1278,2,0)</f>
        <v>数码电子</v>
      </c>
    </row>
    <row r="404" spans="1:20">
      <c r="A404" s="8">
        <f>DATE(2012,12,31)-1354</f>
        <v>39920</v>
      </c>
      <c r="B404" s="8">
        <f>DATE(2012,12,31)-1354</f>
        <v>39920</v>
      </c>
      <c r="C404" s="9" t="s">
        <v>739</v>
      </c>
      <c r="D404">
        <v>10021343251</v>
      </c>
      <c r="E404" t="s">
        <v>47</v>
      </c>
      <c r="F404" t="s">
        <v>171</v>
      </c>
      <c r="G404" t="s">
        <v>172</v>
      </c>
      <c r="H404" t="s">
        <v>173</v>
      </c>
      <c r="I404" t="s">
        <v>174</v>
      </c>
      <c r="J404" t="s">
        <v>668</v>
      </c>
      <c r="K404" s="3">
        <v>100428718743</v>
      </c>
      <c r="L404" s="10">
        <v>39921</v>
      </c>
      <c r="M404">
        <v>1344.88</v>
      </c>
      <c r="N404" s="11">
        <v>25</v>
      </c>
      <c r="O404" s="12">
        <v>55.94</v>
      </c>
      <c r="P404" s="12">
        <v>4</v>
      </c>
      <c r="Q404" s="13">
        <v>-13.77</v>
      </c>
      <c r="R404" s="36" t="s">
        <v>740</v>
      </c>
      <c r="S404" s="7">
        <f t="shared" si="29"/>
        <v>1</v>
      </c>
      <c r="T404" s="15" t="str">
        <f>VLOOKUP(R404,产品分类!$C$2:$D$1278,2,0)</f>
        <v>办公用品</v>
      </c>
    </row>
    <row r="405" spans="1:20">
      <c r="A405" s="8">
        <f>DATE(2012,12,31)-1354</f>
        <v>39920</v>
      </c>
      <c r="B405" s="8">
        <f>DATE(2012,12,31)-1354</f>
        <v>39920</v>
      </c>
      <c r="C405" s="9" t="s">
        <v>739</v>
      </c>
      <c r="D405">
        <v>10021349925</v>
      </c>
      <c r="E405" t="s">
        <v>47</v>
      </c>
      <c r="F405" t="s">
        <v>171</v>
      </c>
      <c r="G405" t="s">
        <v>172</v>
      </c>
      <c r="H405" t="s">
        <v>173</v>
      </c>
      <c r="I405" t="s">
        <v>174</v>
      </c>
      <c r="J405" t="s">
        <v>668</v>
      </c>
      <c r="K405" s="3">
        <v>100832132342</v>
      </c>
      <c r="L405" s="10">
        <v>39920</v>
      </c>
      <c r="M405">
        <v>248.54</v>
      </c>
      <c r="N405" s="11">
        <v>42</v>
      </c>
      <c r="O405" s="12">
        <v>6.3</v>
      </c>
      <c r="P405" s="12">
        <v>0.5</v>
      </c>
      <c r="Q405" s="13">
        <v>111.75</v>
      </c>
      <c r="R405" s="36" t="s">
        <v>741</v>
      </c>
      <c r="S405" s="7">
        <f t="shared" si="29"/>
        <v>0</v>
      </c>
      <c r="T405" s="15" t="str">
        <f>VLOOKUP(R405,产品分类!$C$2:$D$1278,2,0)</f>
        <v>办公用品</v>
      </c>
    </row>
    <row r="406" spans="1:20">
      <c r="A406" s="8">
        <f>DATE(2012,12,31)-531</f>
        <v>40743</v>
      </c>
      <c r="B406" s="8">
        <f>DATE(2012,12,31)-531</f>
        <v>40743</v>
      </c>
      <c r="C406" s="9" t="s">
        <v>742</v>
      </c>
      <c r="D406">
        <v>10021260051</v>
      </c>
      <c r="E406" t="s">
        <v>47</v>
      </c>
      <c r="F406" t="s">
        <v>171</v>
      </c>
      <c r="G406" t="s">
        <v>172</v>
      </c>
      <c r="H406" t="s">
        <v>173</v>
      </c>
      <c r="I406" t="s">
        <v>174</v>
      </c>
      <c r="J406" t="s">
        <v>668</v>
      </c>
      <c r="K406" s="3">
        <v>100428516314</v>
      </c>
      <c r="L406" s="10">
        <v>40743</v>
      </c>
      <c r="M406">
        <v>3554.46</v>
      </c>
      <c r="N406" s="11">
        <v>39</v>
      </c>
      <c r="O406" s="12">
        <v>95.95</v>
      </c>
      <c r="P406" s="12">
        <v>74.35</v>
      </c>
      <c r="Q406" s="13">
        <v>-1766.01</v>
      </c>
      <c r="R406" s="36" t="s">
        <v>574</v>
      </c>
      <c r="S406" s="7">
        <f t="shared" si="29"/>
        <v>0</v>
      </c>
      <c r="T406" s="15" t="str">
        <f>VLOOKUP(R406,产品分类!$C$2:$D$1278,2,0)</f>
        <v>办公用品</v>
      </c>
    </row>
    <row r="407" spans="1:20">
      <c r="A407" s="8">
        <f>DATE(2012,12,31)-531</f>
        <v>40743</v>
      </c>
      <c r="B407" s="8">
        <f>DATE(2012,12,31)-531</f>
        <v>40743</v>
      </c>
      <c r="C407" s="9" t="s">
        <v>743</v>
      </c>
      <c r="D407">
        <v>10021250585</v>
      </c>
      <c r="E407" t="s">
        <v>47</v>
      </c>
      <c r="F407" t="s">
        <v>127</v>
      </c>
      <c r="G407" t="s">
        <v>128</v>
      </c>
      <c r="H407" t="s">
        <v>129</v>
      </c>
      <c r="I407" t="s">
        <v>130</v>
      </c>
      <c r="J407" t="s">
        <v>668</v>
      </c>
      <c r="K407" s="3">
        <v>100913780551</v>
      </c>
      <c r="L407" s="10">
        <v>40744</v>
      </c>
      <c r="M407">
        <v>569.32</v>
      </c>
      <c r="N407" s="11">
        <v>42</v>
      </c>
      <c r="O407" s="12">
        <v>12.98</v>
      </c>
      <c r="P407" s="12">
        <v>3.14</v>
      </c>
      <c r="Q407" s="13">
        <v>84.38</v>
      </c>
      <c r="R407" s="36" t="s">
        <v>161</v>
      </c>
      <c r="S407" s="7">
        <f t="shared" si="29"/>
        <v>1</v>
      </c>
      <c r="T407" s="15" t="str">
        <f>VLOOKUP(R407,产品分类!$C$2:$D$1278,2,0)</f>
        <v>办公用品</v>
      </c>
    </row>
    <row r="408" spans="1:20">
      <c r="A408" s="8">
        <f>DATE(2012,12,31)-768</f>
        <v>40506</v>
      </c>
      <c r="B408" s="8">
        <f>DATE(2012,12,31)-768</f>
        <v>40506</v>
      </c>
      <c r="C408" s="9" t="s">
        <v>701</v>
      </c>
      <c r="D408">
        <v>10021256892</v>
      </c>
      <c r="E408" t="s">
        <v>47</v>
      </c>
      <c r="F408" t="s">
        <v>127</v>
      </c>
      <c r="G408" t="s">
        <v>128</v>
      </c>
      <c r="H408" t="s">
        <v>129</v>
      </c>
      <c r="I408" t="s">
        <v>130</v>
      </c>
      <c r="J408" t="s">
        <v>668</v>
      </c>
      <c r="K408" s="3">
        <v>100125707748</v>
      </c>
      <c r="L408" s="10">
        <v>40508</v>
      </c>
      <c r="M408">
        <v>827.47</v>
      </c>
      <c r="N408" s="11">
        <v>25</v>
      </c>
      <c r="O408" s="12">
        <v>30.98</v>
      </c>
      <c r="P408" s="12">
        <v>6.5</v>
      </c>
      <c r="Q408" s="13">
        <v>45.37</v>
      </c>
      <c r="R408" s="36" t="s">
        <v>744</v>
      </c>
      <c r="S408" s="7">
        <f t="shared" si="29"/>
        <v>2</v>
      </c>
      <c r="T408" s="15" t="str">
        <f>VLOOKUP(R408,产品分类!$C$2:$D$1278,2,0)</f>
        <v>家具产品</v>
      </c>
    </row>
    <row r="409" spans="1:20">
      <c r="A409" s="8">
        <f t="shared" ref="A409:B412" si="32">DATE(2012,12,31)-1231</f>
        <v>40043</v>
      </c>
      <c r="B409" s="8">
        <f t="shared" si="32"/>
        <v>40043</v>
      </c>
      <c r="C409" s="9" t="s">
        <v>660</v>
      </c>
      <c r="D409">
        <v>10021342781</v>
      </c>
      <c r="E409" t="s">
        <v>47</v>
      </c>
      <c r="F409" t="s">
        <v>61</v>
      </c>
      <c r="G409" t="s">
        <v>62</v>
      </c>
      <c r="H409" t="s">
        <v>454</v>
      </c>
      <c r="I409" t="s">
        <v>455</v>
      </c>
      <c r="J409" t="s">
        <v>668</v>
      </c>
      <c r="K409" s="3">
        <v>100128263667</v>
      </c>
      <c r="L409" s="10">
        <v>40044</v>
      </c>
      <c r="M409">
        <v>45.91</v>
      </c>
      <c r="N409" s="11">
        <v>7</v>
      </c>
      <c r="O409" s="12">
        <v>5.44</v>
      </c>
      <c r="P409" s="12">
        <v>7.46</v>
      </c>
      <c r="Q409" s="13">
        <v>-35.535</v>
      </c>
      <c r="R409" s="36" t="s">
        <v>745</v>
      </c>
      <c r="S409" s="7">
        <f t="shared" si="29"/>
        <v>1</v>
      </c>
      <c r="T409" s="15" t="str">
        <f>VLOOKUP(R409,产品分类!$C$2:$D$1278,2,0)</f>
        <v>办公用品</v>
      </c>
    </row>
    <row r="410" spans="1:20">
      <c r="A410" s="8">
        <f t="shared" si="32"/>
        <v>40043</v>
      </c>
      <c r="B410" s="8">
        <f t="shared" si="32"/>
        <v>40043</v>
      </c>
      <c r="C410" s="9" t="s">
        <v>660</v>
      </c>
      <c r="D410">
        <v>10021302541</v>
      </c>
      <c r="E410" t="s">
        <v>47</v>
      </c>
      <c r="F410" t="s">
        <v>61</v>
      </c>
      <c r="G410" t="s">
        <v>62</v>
      </c>
      <c r="H410" t="s">
        <v>454</v>
      </c>
      <c r="I410" t="s">
        <v>455</v>
      </c>
      <c r="J410" t="s">
        <v>668</v>
      </c>
      <c r="K410" s="3">
        <v>100731229715</v>
      </c>
      <c r="L410" s="10">
        <v>40045</v>
      </c>
      <c r="M410">
        <v>22319.58</v>
      </c>
      <c r="N410" s="11">
        <v>41</v>
      </c>
      <c r="O410" s="12">
        <v>549.99</v>
      </c>
      <c r="P410" s="12">
        <v>49</v>
      </c>
      <c r="Q410" s="13">
        <v>-734.31</v>
      </c>
      <c r="R410" s="36" t="s">
        <v>746</v>
      </c>
      <c r="S410" s="7">
        <f t="shared" si="29"/>
        <v>2</v>
      </c>
      <c r="T410" s="15" t="str">
        <f>VLOOKUP(R410,产品分类!$C$2:$D$1278,2,0)</f>
        <v>数码电子</v>
      </c>
    </row>
    <row r="411" spans="1:20">
      <c r="A411" s="8">
        <f t="shared" si="32"/>
        <v>40043</v>
      </c>
      <c r="B411" s="8">
        <f t="shared" si="32"/>
        <v>40043</v>
      </c>
      <c r="C411" s="9" t="s">
        <v>660</v>
      </c>
      <c r="D411">
        <v>10021293949</v>
      </c>
      <c r="E411" t="s">
        <v>47</v>
      </c>
      <c r="F411" t="s">
        <v>61</v>
      </c>
      <c r="G411" t="s">
        <v>62</v>
      </c>
      <c r="H411" t="s">
        <v>454</v>
      </c>
      <c r="I411" t="s">
        <v>455</v>
      </c>
      <c r="J411" t="s">
        <v>668</v>
      </c>
      <c r="K411" s="3">
        <v>100810182602</v>
      </c>
      <c r="L411" s="10">
        <v>40044</v>
      </c>
      <c r="M411">
        <v>330.24</v>
      </c>
      <c r="N411" s="11">
        <v>15</v>
      </c>
      <c r="O411" s="12">
        <v>22.01</v>
      </c>
      <c r="P411" s="12">
        <v>5.53</v>
      </c>
      <c r="Q411" s="13">
        <v>8.48</v>
      </c>
      <c r="R411" s="36" t="s">
        <v>747</v>
      </c>
      <c r="S411" s="7">
        <f t="shared" si="29"/>
        <v>1</v>
      </c>
      <c r="T411" s="15" t="str">
        <f>VLOOKUP(R411,产品分类!$C$2:$D$1278,2,0)</f>
        <v>数码电子</v>
      </c>
    </row>
    <row r="412" spans="1:20">
      <c r="A412" s="8">
        <f t="shared" si="32"/>
        <v>40043</v>
      </c>
      <c r="B412" s="8">
        <f t="shared" si="32"/>
        <v>40043</v>
      </c>
      <c r="C412" s="9" t="s">
        <v>660</v>
      </c>
      <c r="D412">
        <v>10021305490</v>
      </c>
      <c r="E412" t="s">
        <v>47</v>
      </c>
      <c r="F412" t="s">
        <v>72</v>
      </c>
      <c r="G412" t="s">
        <v>73</v>
      </c>
      <c r="H412" t="s">
        <v>74</v>
      </c>
      <c r="I412" t="s">
        <v>75</v>
      </c>
      <c r="J412" t="s">
        <v>668</v>
      </c>
      <c r="K412" s="3">
        <v>100932796391</v>
      </c>
      <c r="L412" s="10">
        <v>40045</v>
      </c>
      <c r="M412">
        <v>520.65</v>
      </c>
      <c r="N412" s="11">
        <v>15</v>
      </c>
      <c r="O412" s="12">
        <v>34.76</v>
      </c>
      <c r="P412" s="12">
        <v>8.22</v>
      </c>
      <c r="Q412" s="13">
        <v>30.63</v>
      </c>
      <c r="R412" s="36" t="s">
        <v>732</v>
      </c>
      <c r="S412" s="7">
        <f t="shared" si="29"/>
        <v>2</v>
      </c>
      <c r="T412" s="15" t="str">
        <f>VLOOKUP(R412,产品分类!$C$2:$D$1278,2,0)</f>
        <v>家具产品</v>
      </c>
    </row>
    <row r="413" spans="1:20">
      <c r="A413" s="8">
        <f t="shared" ref="A413:B415" si="33">DATE(2012,12,31)-1179</f>
        <v>40095</v>
      </c>
      <c r="B413" s="8">
        <f t="shared" si="33"/>
        <v>40095</v>
      </c>
      <c r="C413" s="9" t="s">
        <v>748</v>
      </c>
      <c r="D413">
        <v>10021327079</v>
      </c>
      <c r="E413" t="s">
        <v>47</v>
      </c>
      <c r="F413" t="s">
        <v>132</v>
      </c>
      <c r="G413" t="s">
        <v>133</v>
      </c>
      <c r="H413" t="s">
        <v>134</v>
      </c>
      <c r="I413" t="s">
        <v>133</v>
      </c>
      <c r="J413" t="s">
        <v>668</v>
      </c>
      <c r="K413" s="3">
        <v>100832848122</v>
      </c>
      <c r="L413" s="10">
        <v>40095</v>
      </c>
      <c r="M413">
        <v>191.67</v>
      </c>
      <c r="N413" s="11">
        <v>47</v>
      </c>
      <c r="O413" s="12">
        <v>3.89</v>
      </c>
      <c r="P413" s="12">
        <v>7.01</v>
      </c>
      <c r="Q413" s="13">
        <v>-236.2675</v>
      </c>
      <c r="R413" s="36" t="s">
        <v>749</v>
      </c>
      <c r="S413" s="7">
        <f t="shared" si="29"/>
        <v>0</v>
      </c>
      <c r="T413" s="15" t="str">
        <f>VLOOKUP(R413,产品分类!$C$2:$D$1278,2,0)</f>
        <v>办公用品</v>
      </c>
    </row>
    <row r="414" spans="1:20">
      <c r="A414" s="8">
        <f t="shared" si="33"/>
        <v>40095</v>
      </c>
      <c r="B414" s="8">
        <f t="shared" si="33"/>
        <v>40095</v>
      </c>
      <c r="C414" s="9" t="s">
        <v>748</v>
      </c>
      <c r="D414">
        <v>10021360552</v>
      </c>
      <c r="E414" t="s">
        <v>47</v>
      </c>
      <c r="F414" t="s">
        <v>91</v>
      </c>
      <c r="G414" t="s">
        <v>92</v>
      </c>
      <c r="H414" t="s">
        <v>93</v>
      </c>
      <c r="I414" t="s">
        <v>94</v>
      </c>
      <c r="J414" t="s">
        <v>668</v>
      </c>
      <c r="K414" s="3">
        <v>100431859923</v>
      </c>
      <c r="L414" s="10">
        <v>40097</v>
      </c>
      <c r="M414">
        <v>5586.33</v>
      </c>
      <c r="N414" s="11">
        <v>49</v>
      </c>
      <c r="O414" s="12">
        <v>120.98</v>
      </c>
      <c r="P414" s="12">
        <v>30</v>
      </c>
      <c r="Q414" s="13">
        <v>80.44</v>
      </c>
      <c r="R414" s="36" t="s">
        <v>750</v>
      </c>
      <c r="S414" s="7">
        <f t="shared" si="29"/>
        <v>2</v>
      </c>
      <c r="T414" s="15" t="str">
        <f>VLOOKUP(R414,产品分类!$C$2:$D$1278,2,0)</f>
        <v>办公用品</v>
      </c>
    </row>
    <row r="415" spans="1:20">
      <c r="A415" s="8">
        <f t="shared" si="33"/>
        <v>40095</v>
      </c>
      <c r="B415" s="8">
        <f t="shared" si="33"/>
        <v>40095</v>
      </c>
      <c r="C415" s="9" t="s">
        <v>748</v>
      </c>
      <c r="D415">
        <v>10021266354</v>
      </c>
      <c r="E415" t="s">
        <v>47</v>
      </c>
      <c r="F415" t="s">
        <v>55</v>
      </c>
      <c r="G415" t="s">
        <v>56</v>
      </c>
      <c r="H415" t="s">
        <v>57</v>
      </c>
      <c r="I415" t="s">
        <v>58</v>
      </c>
      <c r="J415" t="s">
        <v>668</v>
      </c>
      <c r="K415" s="3">
        <v>100831774512</v>
      </c>
      <c r="L415" s="10">
        <v>40096</v>
      </c>
      <c r="M415">
        <v>507.64</v>
      </c>
      <c r="N415" s="11">
        <v>18</v>
      </c>
      <c r="O415" s="12">
        <v>30.98</v>
      </c>
      <c r="P415" s="12">
        <v>5.76</v>
      </c>
      <c r="Q415" s="13">
        <v>118.94</v>
      </c>
      <c r="R415" s="36" t="s">
        <v>751</v>
      </c>
      <c r="S415" s="7">
        <f t="shared" si="29"/>
        <v>1</v>
      </c>
      <c r="T415" s="15" t="str">
        <f>VLOOKUP(R415,产品分类!$C$2:$D$1278,2,0)</f>
        <v>办公用品</v>
      </c>
    </row>
    <row r="416" spans="1:20">
      <c r="A416" s="8">
        <f>DATE(2012,12,31)-1199</f>
        <v>40075</v>
      </c>
      <c r="B416" s="8">
        <f>DATE(2012,12,31)-1199</f>
        <v>40075</v>
      </c>
      <c r="C416" s="9" t="s">
        <v>752</v>
      </c>
      <c r="D416">
        <v>10021356046</v>
      </c>
      <c r="E416" t="s">
        <v>47</v>
      </c>
      <c r="F416" t="s">
        <v>78</v>
      </c>
      <c r="G416" t="s">
        <v>79</v>
      </c>
      <c r="H416" t="s">
        <v>80</v>
      </c>
      <c r="I416" t="s">
        <v>81</v>
      </c>
      <c r="J416" t="s">
        <v>668</v>
      </c>
      <c r="K416" s="3">
        <v>100812935802</v>
      </c>
      <c r="L416" s="10">
        <v>40076</v>
      </c>
      <c r="M416">
        <v>787.56</v>
      </c>
      <c r="N416" s="11">
        <v>35</v>
      </c>
      <c r="O416" s="12">
        <v>21.98</v>
      </c>
      <c r="P416" s="12">
        <v>2.87</v>
      </c>
      <c r="Q416" s="13">
        <v>220.04</v>
      </c>
      <c r="R416" s="36" t="s">
        <v>753</v>
      </c>
      <c r="S416" s="7">
        <f t="shared" si="29"/>
        <v>1</v>
      </c>
      <c r="T416" s="15" t="str">
        <f>VLOOKUP(R416,产品分类!$C$2:$D$1278,2,0)</f>
        <v>家具产品</v>
      </c>
    </row>
    <row r="417" spans="1:20">
      <c r="A417" s="8">
        <f>DATE(2012,12,31)-1353</f>
        <v>39921</v>
      </c>
      <c r="B417" s="8">
        <f>DATE(2012,12,31)-1353</f>
        <v>39921</v>
      </c>
      <c r="C417" s="9" t="s">
        <v>754</v>
      </c>
      <c r="D417">
        <v>10021274008</v>
      </c>
      <c r="E417" t="s">
        <v>47</v>
      </c>
      <c r="F417" t="s">
        <v>434</v>
      </c>
      <c r="G417" t="s">
        <v>435</v>
      </c>
      <c r="H417" t="s">
        <v>436</v>
      </c>
      <c r="I417" t="s">
        <v>437</v>
      </c>
      <c r="J417" t="s">
        <v>668</v>
      </c>
      <c r="K417" s="3">
        <v>100132123298</v>
      </c>
      <c r="L417" s="10">
        <v>39922</v>
      </c>
      <c r="M417">
        <v>3830.14</v>
      </c>
      <c r="N417" s="11">
        <v>14</v>
      </c>
      <c r="O417" s="12">
        <v>300.97</v>
      </c>
      <c r="P417" s="12">
        <v>7.18</v>
      </c>
      <c r="Q417" s="13">
        <v>202.25</v>
      </c>
      <c r="R417" s="36" t="s">
        <v>755</v>
      </c>
      <c r="S417" s="7">
        <f t="shared" si="29"/>
        <v>1</v>
      </c>
      <c r="T417" s="15" t="str">
        <f>VLOOKUP(R417,产品分类!$C$2:$D$1278,2,0)</f>
        <v>办公用品</v>
      </c>
    </row>
    <row r="418" spans="1:20">
      <c r="A418" s="8">
        <f>DATE(2012,12,31)-1353</f>
        <v>39921</v>
      </c>
      <c r="B418" s="8">
        <f>DATE(2012,12,31)-1353</f>
        <v>39921</v>
      </c>
      <c r="C418" s="9" t="s">
        <v>754</v>
      </c>
      <c r="D418">
        <v>10021360551</v>
      </c>
      <c r="E418" t="s">
        <v>47</v>
      </c>
      <c r="F418" t="s">
        <v>55</v>
      </c>
      <c r="G418" t="s">
        <v>56</v>
      </c>
      <c r="H418" t="s">
        <v>57</v>
      </c>
      <c r="I418" t="s">
        <v>58</v>
      </c>
      <c r="J418" t="s">
        <v>668</v>
      </c>
      <c r="K418" s="3">
        <v>100131009476</v>
      </c>
      <c r="L418" s="10">
        <v>39923</v>
      </c>
      <c r="M418">
        <v>1559.86</v>
      </c>
      <c r="N418" s="11">
        <v>40</v>
      </c>
      <c r="O418" s="12">
        <v>39.89</v>
      </c>
      <c r="P418" s="12">
        <v>3.04</v>
      </c>
      <c r="Q418" s="13">
        <v>672.37</v>
      </c>
      <c r="R418" s="36" t="s">
        <v>402</v>
      </c>
      <c r="S418" s="7">
        <f t="shared" si="29"/>
        <v>2</v>
      </c>
      <c r="T418" s="15" t="str">
        <f>VLOOKUP(R418,产品分类!$C$2:$D$1278,2,0)</f>
        <v>办公用品</v>
      </c>
    </row>
    <row r="419" spans="1:20">
      <c r="A419" s="8">
        <f t="shared" ref="A419:B421" si="34">DATE(2012,12,31)-1116</f>
        <v>40158</v>
      </c>
      <c r="B419" s="8">
        <f t="shared" si="34"/>
        <v>40158</v>
      </c>
      <c r="C419" s="9" t="s">
        <v>752</v>
      </c>
      <c r="D419">
        <v>10021276846</v>
      </c>
      <c r="E419" t="s">
        <v>47</v>
      </c>
      <c r="F419" t="s">
        <v>55</v>
      </c>
      <c r="G419" t="s">
        <v>56</v>
      </c>
      <c r="H419" t="s">
        <v>57</v>
      </c>
      <c r="I419" t="s">
        <v>58</v>
      </c>
      <c r="J419" t="s">
        <v>668</v>
      </c>
      <c r="K419" s="3">
        <v>100110077717</v>
      </c>
      <c r="L419" s="10">
        <v>40160</v>
      </c>
      <c r="M419">
        <v>565.91</v>
      </c>
      <c r="N419" s="11">
        <v>37</v>
      </c>
      <c r="O419" s="12">
        <v>15.68</v>
      </c>
      <c r="P419" s="12">
        <v>3.73</v>
      </c>
      <c r="Q419" s="13">
        <v>192.39</v>
      </c>
      <c r="R419" s="36" t="s">
        <v>756</v>
      </c>
      <c r="S419" s="7">
        <f t="shared" si="29"/>
        <v>2</v>
      </c>
      <c r="T419" s="15" t="str">
        <f>VLOOKUP(R419,产品分类!$C$2:$D$1278,2,0)</f>
        <v>办公用品</v>
      </c>
    </row>
    <row r="420" spans="1:20">
      <c r="A420" s="8">
        <f t="shared" si="34"/>
        <v>40158</v>
      </c>
      <c r="B420" s="8">
        <f t="shared" si="34"/>
        <v>40158</v>
      </c>
      <c r="C420" s="9" t="s">
        <v>752</v>
      </c>
      <c r="D420">
        <v>10021327725</v>
      </c>
      <c r="E420" t="s">
        <v>47</v>
      </c>
      <c r="F420" t="s">
        <v>97</v>
      </c>
      <c r="G420" t="s">
        <v>98</v>
      </c>
      <c r="H420" t="s">
        <v>99</v>
      </c>
      <c r="I420" t="s">
        <v>98</v>
      </c>
      <c r="J420" t="s">
        <v>668</v>
      </c>
      <c r="K420" s="3">
        <v>100932767781</v>
      </c>
      <c r="L420" s="10">
        <v>40159</v>
      </c>
      <c r="M420">
        <v>593.21</v>
      </c>
      <c r="N420" s="11">
        <v>39</v>
      </c>
      <c r="O420" s="12">
        <v>14.98</v>
      </c>
      <c r="P420" s="12">
        <v>8.99</v>
      </c>
      <c r="Q420" s="13">
        <v>44.71</v>
      </c>
      <c r="R420" s="36" t="s">
        <v>757</v>
      </c>
      <c r="S420" s="7">
        <f t="shared" si="29"/>
        <v>1</v>
      </c>
      <c r="T420" s="15" t="str">
        <f>VLOOKUP(R420,产品分类!$C$2:$D$1278,2,0)</f>
        <v>办公用品</v>
      </c>
    </row>
    <row r="421" spans="1:20">
      <c r="A421" s="8">
        <f t="shared" si="34"/>
        <v>40158</v>
      </c>
      <c r="B421" s="8">
        <f t="shared" si="34"/>
        <v>40158</v>
      </c>
      <c r="C421" s="9" t="s">
        <v>752</v>
      </c>
      <c r="D421">
        <v>10021326603</v>
      </c>
      <c r="E421" t="s">
        <v>47</v>
      </c>
      <c r="F421" t="s">
        <v>527</v>
      </c>
      <c r="G421" t="s">
        <v>528</v>
      </c>
      <c r="H421" t="s">
        <v>529</v>
      </c>
      <c r="I421" t="s">
        <v>530</v>
      </c>
      <c r="J421" t="s">
        <v>668</v>
      </c>
      <c r="K421" s="3">
        <v>10092150841</v>
      </c>
      <c r="L421" s="10">
        <v>40159</v>
      </c>
      <c r="M421">
        <v>89.23</v>
      </c>
      <c r="N421" s="11">
        <v>2</v>
      </c>
      <c r="O421" s="12">
        <v>38.76</v>
      </c>
      <c r="P421" s="12">
        <v>13.26</v>
      </c>
      <c r="Q421" s="13">
        <v>-42.72</v>
      </c>
      <c r="R421" s="36" t="s">
        <v>758</v>
      </c>
      <c r="S421" s="7">
        <f t="shared" si="29"/>
        <v>1</v>
      </c>
      <c r="T421" s="15" t="str">
        <f>VLOOKUP(R421,产品分类!$C$2:$D$1278,2,0)</f>
        <v>家具产品</v>
      </c>
    </row>
    <row r="422" spans="1:20">
      <c r="A422" s="8">
        <f>DATE(2012,12,31)-480</f>
        <v>40794</v>
      </c>
      <c r="B422" s="8">
        <f>DATE(2012,12,31)-480</f>
        <v>40794</v>
      </c>
      <c r="C422" s="9" t="s">
        <v>759</v>
      </c>
      <c r="D422">
        <v>10021310051</v>
      </c>
      <c r="E422" t="s">
        <v>47</v>
      </c>
      <c r="F422" t="s">
        <v>177</v>
      </c>
      <c r="G422" t="s">
        <v>178</v>
      </c>
      <c r="H422" t="s">
        <v>179</v>
      </c>
      <c r="I422" t="s">
        <v>180</v>
      </c>
      <c r="J422" t="s">
        <v>668</v>
      </c>
      <c r="K422" s="3">
        <v>100910296021</v>
      </c>
      <c r="L422" s="10">
        <v>40795</v>
      </c>
      <c r="M422">
        <v>357.43</v>
      </c>
      <c r="N422" s="11">
        <v>17</v>
      </c>
      <c r="O422" s="12">
        <v>20.97</v>
      </c>
      <c r="P422" s="12">
        <v>6.5</v>
      </c>
      <c r="Q422" s="13">
        <v>-135.98</v>
      </c>
      <c r="R422" s="36" t="s">
        <v>420</v>
      </c>
      <c r="S422" s="7">
        <f t="shared" si="29"/>
        <v>1</v>
      </c>
      <c r="T422" s="15" t="str">
        <f>VLOOKUP(R422,产品分类!$C$2:$D$1278,2,0)</f>
        <v>数码电子</v>
      </c>
    </row>
    <row r="423" spans="1:20">
      <c r="A423" s="8">
        <f>DATE(2012,12,31)-480</f>
        <v>40794</v>
      </c>
      <c r="B423" s="8">
        <f>DATE(2012,12,31)-480</f>
        <v>40794</v>
      </c>
      <c r="C423" s="9" t="s">
        <v>759</v>
      </c>
      <c r="D423">
        <v>10021309401</v>
      </c>
      <c r="E423" t="s">
        <v>47</v>
      </c>
      <c r="F423" t="s">
        <v>61</v>
      </c>
      <c r="G423" t="s">
        <v>62</v>
      </c>
      <c r="H423" t="s">
        <v>454</v>
      </c>
      <c r="I423" t="s">
        <v>455</v>
      </c>
      <c r="J423" t="s">
        <v>668</v>
      </c>
      <c r="K423" s="3">
        <v>100110192656</v>
      </c>
      <c r="L423" s="10">
        <v>40795</v>
      </c>
      <c r="M423">
        <v>4754.08</v>
      </c>
      <c r="N423" s="11">
        <v>21</v>
      </c>
      <c r="O423" s="12">
        <v>225.02</v>
      </c>
      <c r="P423" s="12">
        <v>28.66</v>
      </c>
      <c r="Q423" s="13">
        <v>299.88</v>
      </c>
      <c r="R423" s="36" t="s">
        <v>760</v>
      </c>
      <c r="S423" s="7">
        <f t="shared" si="29"/>
        <v>1</v>
      </c>
      <c r="T423" s="15" t="str">
        <f>VLOOKUP(R423,产品分类!$C$2:$D$1278,2,0)</f>
        <v>办公用品</v>
      </c>
    </row>
    <row r="424" spans="1:20">
      <c r="A424" s="8">
        <f>DATE(2012,12,31)-297</f>
        <v>40977</v>
      </c>
      <c r="B424" s="8">
        <f>DATE(2012,12,31)-297</f>
        <v>40977</v>
      </c>
      <c r="C424" s="9" t="s">
        <v>450</v>
      </c>
      <c r="D424">
        <v>10021373269</v>
      </c>
      <c r="E424" t="s">
        <v>47</v>
      </c>
      <c r="F424" t="s">
        <v>61</v>
      </c>
      <c r="G424" t="s">
        <v>62</v>
      </c>
      <c r="H424" t="s">
        <v>454</v>
      </c>
      <c r="I424" t="s">
        <v>455</v>
      </c>
      <c r="J424" t="s">
        <v>668</v>
      </c>
      <c r="K424" s="3">
        <v>100314838529</v>
      </c>
      <c r="L424" s="10">
        <v>40979</v>
      </c>
      <c r="M424">
        <v>1476.39</v>
      </c>
      <c r="N424" s="11">
        <v>35</v>
      </c>
      <c r="O424" s="12">
        <v>43.31</v>
      </c>
      <c r="P424" s="12">
        <v>15.9</v>
      </c>
      <c r="Q424" s="13">
        <v>-303.62</v>
      </c>
      <c r="R424" s="36" t="s">
        <v>761</v>
      </c>
      <c r="S424" s="7">
        <f t="shared" si="29"/>
        <v>2</v>
      </c>
      <c r="T424" s="15" t="str">
        <f>VLOOKUP(R424,产品分类!$C$2:$D$1278,2,0)</f>
        <v>办公用品</v>
      </c>
    </row>
    <row r="425" spans="1:20">
      <c r="A425" s="8">
        <f>DATE(2012,12,31)-297</f>
        <v>40977</v>
      </c>
      <c r="B425" s="8">
        <f>DATE(2012,12,31)-297</f>
        <v>40977</v>
      </c>
      <c r="C425" s="9" t="s">
        <v>450</v>
      </c>
      <c r="D425">
        <v>10021313463</v>
      </c>
      <c r="E425" t="s">
        <v>47</v>
      </c>
      <c r="F425" t="s">
        <v>61</v>
      </c>
      <c r="G425" t="s">
        <v>62</v>
      </c>
      <c r="H425" t="s">
        <v>454</v>
      </c>
      <c r="I425" t="s">
        <v>455</v>
      </c>
      <c r="J425" t="s">
        <v>668</v>
      </c>
      <c r="K425" s="3">
        <v>10049723243</v>
      </c>
      <c r="L425" s="10">
        <v>40979</v>
      </c>
      <c r="M425">
        <v>863.583</v>
      </c>
      <c r="N425" s="11">
        <v>8</v>
      </c>
      <c r="O425" s="12">
        <v>125.99</v>
      </c>
      <c r="P425" s="12">
        <v>8.99</v>
      </c>
      <c r="Q425" s="13">
        <v>-264.275</v>
      </c>
      <c r="R425" s="36" t="s">
        <v>112</v>
      </c>
      <c r="S425" s="7">
        <f t="shared" si="29"/>
        <v>2</v>
      </c>
      <c r="T425" s="15" t="str">
        <f>VLOOKUP(R425,产品分类!$C$2:$D$1278,2,0)</f>
        <v>数码电子</v>
      </c>
    </row>
    <row r="426" spans="1:20">
      <c r="A426" s="8">
        <f>DATE(2012,12,31)-1081</f>
        <v>40193</v>
      </c>
      <c r="B426" s="8">
        <f>DATE(2012,12,31)-1081</f>
        <v>40193</v>
      </c>
      <c r="C426" s="9" t="s">
        <v>754</v>
      </c>
      <c r="D426">
        <v>10021309673</v>
      </c>
      <c r="E426" t="s">
        <v>47</v>
      </c>
      <c r="F426" t="s">
        <v>61</v>
      </c>
      <c r="G426" t="s">
        <v>62</v>
      </c>
      <c r="H426" t="s">
        <v>454</v>
      </c>
      <c r="I426" t="s">
        <v>455</v>
      </c>
      <c r="J426" t="s">
        <v>668</v>
      </c>
      <c r="K426" s="3">
        <v>10019198067</v>
      </c>
      <c r="L426" s="10">
        <v>40193</v>
      </c>
      <c r="M426">
        <v>74.87</v>
      </c>
      <c r="N426" s="11">
        <v>10</v>
      </c>
      <c r="O426" s="12">
        <v>6.48</v>
      </c>
      <c r="P426" s="12">
        <v>8.19</v>
      </c>
      <c r="Q426" s="13">
        <v>-43.97</v>
      </c>
      <c r="R426" s="36" t="s">
        <v>120</v>
      </c>
      <c r="S426" s="7">
        <f t="shared" si="29"/>
        <v>0</v>
      </c>
      <c r="T426" s="15" t="str">
        <f>VLOOKUP(R426,产品分类!$C$2:$D$1278,2,0)</f>
        <v>家具产品</v>
      </c>
    </row>
    <row r="427" spans="1:20">
      <c r="A427" s="8">
        <f>DATE(2012,12,31)-1081</f>
        <v>40193</v>
      </c>
      <c r="B427" s="8">
        <f>DATE(2012,12,31)-1081</f>
        <v>40193</v>
      </c>
      <c r="C427" s="9" t="s">
        <v>754</v>
      </c>
      <c r="D427">
        <v>10021333178</v>
      </c>
      <c r="E427" t="s">
        <v>47</v>
      </c>
      <c r="F427" t="s">
        <v>66</v>
      </c>
      <c r="G427" t="s">
        <v>67</v>
      </c>
      <c r="H427" t="s">
        <v>68</v>
      </c>
      <c r="I427" t="s">
        <v>69</v>
      </c>
      <c r="J427" t="s">
        <v>668</v>
      </c>
      <c r="K427" s="3">
        <v>10016404637</v>
      </c>
      <c r="L427" s="10">
        <v>40194</v>
      </c>
      <c r="M427">
        <v>3931.318</v>
      </c>
      <c r="N427" s="11">
        <v>42</v>
      </c>
      <c r="O427" s="12">
        <v>115.99</v>
      </c>
      <c r="P427" s="12">
        <v>4.23</v>
      </c>
      <c r="Q427" s="13">
        <v>1025.451</v>
      </c>
      <c r="R427" s="36" t="s">
        <v>221</v>
      </c>
      <c r="S427" s="7">
        <f t="shared" si="29"/>
        <v>1</v>
      </c>
      <c r="T427" s="15" t="str">
        <f>VLOOKUP(R427,产品分类!$C$2:$D$1278,2,0)</f>
        <v>办公用品</v>
      </c>
    </row>
    <row r="428" spans="1:20">
      <c r="A428" s="8">
        <f>DATE(2012,12,31)-1337</f>
        <v>39937</v>
      </c>
      <c r="B428" s="8">
        <f>DATE(2012,12,31)-1337</f>
        <v>39937</v>
      </c>
      <c r="C428" s="9" t="s">
        <v>762</v>
      </c>
      <c r="D428">
        <v>10021265970</v>
      </c>
      <c r="E428" t="s">
        <v>47</v>
      </c>
      <c r="F428" t="s">
        <v>78</v>
      </c>
      <c r="G428" t="s">
        <v>79</v>
      </c>
      <c r="H428" t="s">
        <v>80</v>
      </c>
      <c r="I428" t="s">
        <v>81</v>
      </c>
      <c r="J428" t="s">
        <v>668</v>
      </c>
      <c r="K428" s="3">
        <v>100431589374</v>
      </c>
      <c r="L428" s="10">
        <v>39940</v>
      </c>
      <c r="M428">
        <v>4253.65</v>
      </c>
      <c r="N428" s="11">
        <v>25</v>
      </c>
      <c r="O428" s="12">
        <v>178.47</v>
      </c>
      <c r="P428" s="12">
        <v>19.99</v>
      </c>
      <c r="Q428" s="13">
        <v>943</v>
      </c>
      <c r="R428" s="36" t="s">
        <v>249</v>
      </c>
      <c r="S428" s="7">
        <f t="shared" si="29"/>
        <v>3</v>
      </c>
      <c r="T428" s="15" t="str">
        <f>VLOOKUP(R428,产品分类!$C$2:$D$1278,2,0)</f>
        <v>办公用品</v>
      </c>
    </row>
    <row r="429" spans="1:20">
      <c r="A429" s="8">
        <f>DATE(2012,12,31)-498</f>
        <v>40776</v>
      </c>
      <c r="B429" s="8">
        <f>DATE(2012,12,31)-498</f>
        <v>40776</v>
      </c>
      <c r="C429" s="9" t="s">
        <v>763</v>
      </c>
      <c r="D429">
        <v>10021340215</v>
      </c>
      <c r="E429" t="s">
        <v>47</v>
      </c>
      <c r="F429" t="s">
        <v>72</v>
      </c>
      <c r="G429" t="s">
        <v>73</v>
      </c>
      <c r="H429" t="s">
        <v>74</v>
      </c>
      <c r="I429" t="s">
        <v>75</v>
      </c>
      <c r="J429" t="s">
        <v>668</v>
      </c>
      <c r="K429" s="3">
        <v>100825747672</v>
      </c>
      <c r="L429" s="10">
        <v>40778</v>
      </c>
      <c r="M429">
        <v>3872.87</v>
      </c>
      <c r="N429" s="11">
        <v>23</v>
      </c>
      <c r="O429" s="12">
        <v>160.98</v>
      </c>
      <c r="P429" s="12">
        <v>30</v>
      </c>
      <c r="Q429" s="13">
        <v>565.34</v>
      </c>
      <c r="R429" s="36" t="s">
        <v>764</v>
      </c>
      <c r="S429" s="7">
        <f t="shared" si="29"/>
        <v>2</v>
      </c>
      <c r="T429" s="15" t="str">
        <f>VLOOKUP(R429,产品分类!$C$2:$D$1278,2,0)</f>
        <v>家具产品</v>
      </c>
    </row>
    <row r="430" spans="1:20">
      <c r="A430" s="8">
        <f>DATE(2012,12,31)-498</f>
        <v>40776</v>
      </c>
      <c r="B430" s="8">
        <f>DATE(2012,12,31)-498</f>
        <v>40776</v>
      </c>
      <c r="C430" s="9" t="s">
        <v>763</v>
      </c>
      <c r="D430">
        <v>10021345366</v>
      </c>
      <c r="E430" t="s">
        <v>47</v>
      </c>
      <c r="F430" t="s">
        <v>72</v>
      </c>
      <c r="G430" t="s">
        <v>73</v>
      </c>
      <c r="H430" t="s">
        <v>74</v>
      </c>
      <c r="I430" t="s">
        <v>75</v>
      </c>
      <c r="J430" t="s">
        <v>668</v>
      </c>
      <c r="K430" s="3">
        <v>100430146303</v>
      </c>
      <c r="L430" s="10">
        <v>40777</v>
      </c>
      <c r="M430">
        <v>356.72</v>
      </c>
      <c r="N430" s="11">
        <v>9</v>
      </c>
      <c r="O430" s="12">
        <v>40.98</v>
      </c>
      <c r="P430" s="12">
        <v>1.99</v>
      </c>
      <c r="Q430" s="13">
        <v>12.61</v>
      </c>
      <c r="R430" s="36" t="s">
        <v>541</v>
      </c>
      <c r="S430" s="7">
        <f t="shared" si="29"/>
        <v>1</v>
      </c>
      <c r="T430" s="15" t="str">
        <f>VLOOKUP(R430,产品分类!$C$2:$D$1278,2,0)</f>
        <v>办公用品</v>
      </c>
    </row>
    <row r="431" spans="1:20">
      <c r="A431" s="8">
        <f>DATE(2012,12,31)-709</f>
        <v>40565</v>
      </c>
      <c r="B431" s="8">
        <f>DATE(2012,12,31)-709</f>
        <v>40565</v>
      </c>
      <c r="C431" s="9" t="s">
        <v>657</v>
      </c>
      <c r="D431">
        <v>10021339442</v>
      </c>
      <c r="E431" t="s">
        <v>47</v>
      </c>
      <c r="F431" t="s">
        <v>78</v>
      </c>
      <c r="G431" t="s">
        <v>79</v>
      </c>
      <c r="H431" t="s">
        <v>80</v>
      </c>
      <c r="I431" t="s">
        <v>81</v>
      </c>
      <c r="J431" t="s">
        <v>668</v>
      </c>
      <c r="K431" s="3">
        <v>100125087017</v>
      </c>
      <c r="L431" s="10">
        <v>40567</v>
      </c>
      <c r="M431">
        <v>2154.34</v>
      </c>
      <c r="N431" s="11">
        <v>34</v>
      </c>
      <c r="O431" s="12">
        <v>64.98</v>
      </c>
      <c r="P431" s="12">
        <v>6.88</v>
      </c>
      <c r="Q431" s="13">
        <v>177.66</v>
      </c>
      <c r="R431" s="36" t="s">
        <v>765</v>
      </c>
      <c r="S431" s="7">
        <f t="shared" si="29"/>
        <v>2</v>
      </c>
      <c r="T431" s="15" t="str">
        <f>VLOOKUP(R431,产品分类!$C$2:$D$1278,2,0)</f>
        <v>办公用品</v>
      </c>
    </row>
    <row r="432" spans="1:20">
      <c r="A432" s="16">
        <f>DATE(2012,12,31)-104</f>
        <v>41170</v>
      </c>
      <c r="B432" s="16">
        <f>DATE(2012,12,31)-104</f>
        <v>41170</v>
      </c>
      <c r="C432" s="9" t="s">
        <v>766</v>
      </c>
      <c r="D432">
        <v>10021338908</v>
      </c>
      <c r="E432" t="s">
        <v>47</v>
      </c>
      <c r="F432" t="s">
        <v>230</v>
      </c>
      <c r="G432" t="s">
        <v>231</v>
      </c>
      <c r="H432" t="s">
        <v>232</v>
      </c>
      <c r="I432" t="s">
        <v>233</v>
      </c>
      <c r="J432" t="s">
        <v>668</v>
      </c>
      <c r="K432" s="3">
        <v>100124550716</v>
      </c>
      <c r="L432" s="10">
        <v>41170</v>
      </c>
      <c r="M432">
        <v>197.41</v>
      </c>
      <c r="N432" s="17">
        <v>29</v>
      </c>
      <c r="O432" s="5">
        <v>6.48</v>
      </c>
      <c r="P432" s="5">
        <v>8.4</v>
      </c>
      <c r="Q432" s="6">
        <v>-128.68</v>
      </c>
      <c r="R432" s="37" t="s">
        <v>767</v>
      </c>
      <c r="S432" s="7">
        <f t="shared" si="29"/>
        <v>0</v>
      </c>
      <c r="T432" s="15" t="str">
        <f>VLOOKUP(R432,产品分类!$C$2:$D$1278,2,0)</f>
        <v>家具产品</v>
      </c>
    </row>
    <row r="433" spans="1:20">
      <c r="A433" s="16">
        <f>DATE(2012,12,31)-104</f>
        <v>41170</v>
      </c>
      <c r="B433" s="16">
        <f>DATE(2012,12,31)-104</f>
        <v>41170</v>
      </c>
      <c r="C433" s="9" t="s">
        <v>766</v>
      </c>
      <c r="D433">
        <v>10021334644</v>
      </c>
      <c r="E433" t="s">
        <v>47</v>
      </c>
      <c r="F433" t="s">
        <v>473</v>
      </c>
      <c r="G433" t="s">
        <v>474</v>
      </c>
      <c r="H433" t="s">
        <v>475</v>
      </c>
      <c r="I433" t="s">
        <v>476</v>
      </c>
      <c r="J433" t="s">
        <v>668</v>
      </c>
      <c r="K433" s="3">
        <v>100915755341</v>
      </c>
      <c r="L433" s="10">
        <v>41172</v>
      </c>
      <c r="M433">
        <v>712.18</v>
      </c>
      <c r="N433" s="17">
        <v>46</v>
      </c>
      <c r="O433" s="5">
        <v>15.42</v>
      </c>
      <c r="P433" s="5">
        <v>5.41</v>
      </c>
      <c r="Q433" s="6">
        <v>13.98</v>
      </c>
      <c r="R433" s="37" t="s">
        <v>768</v>
      </c>
      <c r="S433" s="7">
        <f t="shared" si="29"/>
        <v>2</v>
      </c>
      <c r="T433" s="15" t="str">
        <f>VLOOKUP(R433,产品分类!$C$2:$D$1278,2,0)</f>
        <v>办公用品</v>
      </c>
    </row>
    <row r="434" spans="1:20">
      <c r="A434" s="8">
        <f>DATE(2012,12,31)-295</f>
        <v>40979</v>
      </c>
      <c r="B434" s="8">
        <f>DATE(2012,12,31)-295</f>
        <v>40979</v>
      </c>
      <c r="C434" s="9" t="s">
        <v>90</v>
      </c>
      <c r="D434">
        <v>10021338493</v>
      </c>
      <c r="E434" t="s">
        <v>47</v>
      </c>
      <c r="F434" t="s">
        <v>114</v>
      </c>
      <c r="G434" t="s">
        <v>115</v>
      </c>
      <c r="H434" t="s">
        <v>116</v>
      </c>
      <c r="I434" t="s">
        <v>117</v>
      </c>
      <c r="J434" t="s">
        <v>668</v>
      </c>
      <c r="K434" s="3">
        <v>100923944441</v>
      </c>
      <c r="L434" s="10">
        <v>40981</v>
      </c>
      <c r="M434">
        <v>16587.13</v>
      </c>
      <c r="N434" s="11">
        <v>7</v>
      </c>
      <c r="O434" s="12">
        <v>2550.14</v>
      </c>
      <c r="P434" s="12">
        <v>29.7</v>
      </c>
      <c r="Q434" s="13">
        <v>-3476.8593</v>
      </c>
      <c r="R434" s="36" t="s">
        <v>769</v>
      </c>
      <c r="S434" s="7">
        <f t="shared" si="29"/>
        <v>2</v>
      </c>
      <c r="T434" s="15" t="str">
        <f>VLOOKUP(R434,产品分类!$C$2:$D$1278,2,0)</f>
        <v>办公用品</v>
      </c>
    </row>
    <row r="435" spans="1:20">
      <c r="A435" s="8">
        <f>DATE(2012,12,31)-295</f>
        <v>40979</v>
      </c>
      <c r="B435" s="8">
        <f>DATE(2012,12,31)-295</f>
        <v>40979</v>
      </c>
      <c r="C435" s="9" t="s">
        <v>90</v>
      </c>
      <c r="D435">
        <v>10021349933</v>
      </c>
      <c r="E435" t="s">
        <v>47</v>
      </c>
      <c r="F435" t="s">
        <v>473</v>
      </c>
      <c r="G435" t="s">
        <v>474</v>
      </c>
      <c r="H435" t="s">
        <v>475</v>
      </c>
      <c r="I435" t="s">
        <v>476</v>
      </c>
      <c r="J435" t="s">
        <v>668</v>
      </c>
      <c r="K435" s="3">
        <v>100132132568</v>
      </c>
      <c r="L435" s="10">
        <v>40986</v>
      </c>
      <c r="M435">
        <v>507.98</v>
      </c>
      <c r="N435" s="11">
        <v>9</v>
      </c>
      <c r="O435" s="12">
        <v>55.98</v>
      </c>
      <c r="P435" s="12">
        <v>4.86</v>
      </c>
      <c r="Q435" s="13">
        <v>170.9</v>
      </c>
      <c r="R435" s="36" t="s">
        <v>621</v>
      </c>
      <c r="S435" s="7">
        <f t="shared" si="29"/>
        <v>7</v>
      </c>
      <c r="T435" s="15" t="str">
        <f>VLOOKUP(R435,产品分类!$C$2:$D$1278,2,0)</f>
        <v>数码电子</v>
      </c>
    </row>
    <row r="436" spans="1:20">
      <c r="A436" s="8">
        <f>DATE(2012,12,31)-1035</f>
        <v>40239</v>
      </c>
      <c r="B436" s="8">
        <f>DATE(2012,12,31)-1035</f>
        <v>40239</v>
      </c>
      <c r="C436" s="9" t="s">
        <v>396</v>
      </c>
      <c r="D436">
        <v>10021265027</v>
      </c>
      <c r="E436" t="s">
        <v>47</v>
      </c>
      <c r="F436" t="s">
        <v>91</v>
      </c>
      <c r="G436" t="s">
        <v>92</v>
      </c>
      <c r="H436" t="s">
        <v>93</v>
      </c>
      <c r="I436" t="s">
        <v>94</v>
      </c>
      <c r="J436" t="s">
        <v>668</v>
      </c>
      <c r="K436" s="3">
        <v>100431257093</v>
      </c>
      <c r="L436" s="10">
        <v>40240</v>
      </c>
      <c r="M436">
        <v>62.88</v>
      </c>
      <c r="N436" s="11">
        <v>3</v>
      </c>
      <c r="O436" s="12">
        <v>18.97</v>
      </c>
      <c r="P436" s="12">
        <v>9.54</v>
      </c>
      <c r="Q436" s="13">
        <v>-24.74</v>
      </c>
      <c r="R436" s="36" t="s">
        <v>302</v>
      </c>
      <c r="S436" s="7">
        <f t="shared" si="29"/>
        <v>1</v>
      </c>
      <c r="T436" s="15" t="str">
        <f>VLOOKUP(R436,产品分类!$C$2:$D$1278,2,0)</f>
        <v>家具产品</v>
      </c>
    </row>
    <row r="437" spans="1:20">
      <c r="A437" s="8">
        <f>DATE(2012,12,31)-1372</f>
        <v>39902</v>
      </c>
      <c r="B437" s="8">
        <f>DATE(2012,12,31)-1372</f>
        <v>39902</v>
      </c>
      <c r="C437" s="9" t="s">
        <v>770</v>
      </c>
      <c r="D437">
        <v>10021331938</v>
      </c>
      <c r="E437" t="s">
        <v>47</v>
      </c>
      <c r="F437" t="s">
        <v>122</v>
      </c>
      <c r="G437" t="s">
        <v>123</v>
      </c>
      <c r="H437" t="s">
        <v>124</v>
      </c>
      <c r="I437" t="s">
        <v>125</v>
      </c>
      <c r="J437" t="s">
        <v>668</v>
      </c>
      <c r="K437" s="3">
        <v>10049439104</v>
      </c>
      <c r="L437" s="10">
        <v>39906</v>
      </c>
      <c r="M437">
        <v>231.26</v>
      </c>
      <c r="N437" s="11">
        <v>41</v>
      </c>
      <c r="O437" s="12">
        <v>5.98</v>
      </c>
      <c r="P437" s="12">
        <v>0.96</v>
      </c>
      <c r="Q437" s="13">
        <v>32.83</v>
      </c>
      <c r="R437" s="36" t="s">
        <v>702</v>
      </c>
      <c r="S437" s="7">
        <f t="shared" si="29"/>
        <v>4</v>
      </c>
      <c r="T437" s="15" t="str">
        <f>VLOOKUP(R437,产品分类!$C$2:$D$1278,2,0)</f>
        <v>办公用品</v>
      </c>
    </row>
    <row r="438" spans="1:20">
      <c r="A438" s="8">
        <f>DATE(2012,12,31)-1372</f>
        <v>39902</v>
      </c>
      <c r="B438" s="8">
        <f>DATE(2012,12,31)-1372</f>
        <v>39902</v>
      </c>
      <c r="C438" s="9" t="s">
        <v>770</v>
      </c>
      <c r="D438">
        <v>10021337413</v>
      </c>
      <c r="E438" t="s">
        <v>47</v>
      </c>
      <c r="F438" t="s">
        <v>91</v>
      </c>
      <c r="G438" t="s">
        <v>92</v>
      </c>
      <c r="H438" t="s">
        <v>93</v>
      </c>
      <c r="I438" t="s">
        <v>94</v>
      </c>
      <c r="J438" t="s">
        <v>668</v>
      </c>
      <c r="K438" s="3">
        <v>100922041461</v>
      </c>
      <c r="L438" s="10">
        <v>39907</v>
      </c>
      <c r="M438">
        <v>987.17</v>
      </c>
      <c r="N438" s="11">
        <v>23</v>
      </c>
      <c r="O438" s="12">
        <v>39.98</v>
      </c>
      <c r="P438" s="12">
        <v>4</v>
      </c>
      <c r="Q438" s="13">
        <v>51.5900000000001</v>
      </c>
      <c r="R438" s="36" t="s">
        <v>771</v>
      </c>
      <c r="S438" s="7">
        <f t="shared" si="29"/>
        <v>5</v>
      </c>
      <c r="T438" s="15" t="str">
        <f>VLOOKUP(R438,产品分类!$C$2:$D$1278,2,0)</f>
        <v>家具产品</v>
      </c>
    </row>
    <row r="439" spans="1:20">
      <c r="A439" s="8">
        <f>DATE(2012,12,31)-616</f>
        <v>40658</v>
      </c>
      <c r="B439" s="8">
        <f>DATE(2012,12,31)-616</f>
        <v>40658</v>
      </c>
      <c r="C439" s="9" t="s">
        <v>635</v>
      </c>
      <c r="D439">
        <v>10021249973</v>
      </c>
      <c r="E439" t="s">
        <v>47</v>
      </c>
      <c r="F439" t="s">
        <v>55</v>
      </c>
      <c r="G439" t="s">
        <v>56</v>
      </c>
      <c r="H439" t="s">
        <v>57</v>
      </c>
      <c r="I439" t="s">
        <v>58</v>
      </c>
      <c r="J439" t="s">
        <v>668</v>
      </c>
      <c r="K439" s="3">
        <v>100112974377</v>
      </c>
      <c r="L439" s="10">
        <v>40660</v>
      </c>
      <c r="M439">
        <v>57.04</v>
      </c>
      <c r="N439" s="11">
        <v>8</v>
      </c>
      <c r="O439" s="12">
        <v>6.48</v>
      </c>
      <c r="P439" s="12">
        <v>6.81</v>
      </c>
      <c r="Q439" s="13">
        <v>-29.06</v>
      </c>
      <c r="R439" s="36" t="s">
        <v>772</v>
      </c>
      <c r="S439" s="7">
        <f t="shared" si="29"/>
        <v>2</v>
      </c>
      <c r="T439" s="15" t="str">
        <f>VLOOKUP(R439,产品分类!$C$2:$D$1278,2,0)</f>
        <v>数码电子</v>
      </c>
    </row>
    <row r="440" spans="1:20">
      <c r="A440" s="8">
        <f>DATE(2012,12,31)-753</f>
        <v>40521</v>
      </c>
      <c r="B440" s="8">
        <f>DATE(2012,12,31)-753</f>
        <v>40521</v>
      </c>
      <c r="C440" s="9" t="s">
        <v>773</v>
      </c>
      <c r="D440">
        <v>10021321097</v>
      </c>
      <c r="E440" t="s">
        <v>47</v>
      </c>
      <c r="F440" t="s">
        <v>91</v>
      </c>
      <c r="G440" t="s">
        <v>92</v>
      </c>
      <c r="H440" t="s">
        <v>774</v>
      </c>
      <c r="I440" t="s">
        <v>775</v>
      </c>
      <c r="J440" t="s">
        <v>668</v>
      </c>
      <c r="K440" s="3">
        <v>100931682641</v>
      </c>
      <c r="L440" s="10">
        <v>40523</v>
      </c>
      <c r="M440">
        <v>14223.82</v>
      </c>
      <c r="N440" s="11">
        <v>30</v>
      </c>
      <c r="O440" s="12">
        <v>500.98</v>
      </c>
      <c r="P440" s="12">
        <v>26</v>
      </c>
      <c r="Q440" s="13">
        <v>3424.22</v>
      </c>
      <c r="R440" s="36" t="s">
        <v>614</v>
      </c>
      <c r="S440" s="7">
        <f t="shared" si="29"/>
        <v>2</v>
      </c>
      <c r="T440" s="15" t="str">
        <f>VLOOKUP(R440,产品分类!$C$2:$D$1278,2,0)</f>
        <v>办公用品</v>
      </c>
    </row>
    <row r="441" spans="1:20">
      <c r="A441" s="8">
        <f t="shared" ref="A441:B443" si="35">DATE(2012,12,31)-609</f>
        <v>40665</v>
      </c>
      <c r="B441" s="8">
        <f t="shared" si="35"/>
        <v>40665</v>
      </c>
      <c r="C441" s="9" t="s">
        <v>776</v>
      </c>
      <c r="D441">
        <v>10021299636</v>
      </c>
      <c r="E441" t="s">
        <v>47</v>
      </c>
      <c r="F441" t="s">
        <v>91</v>
      </c>
      <c r="G441" t="s">
        <v>92</v>
      </c>
      <c r="H441" t="s">
        <v>774</v>
      </c>
      <c r="I441" t="s">
        <v>775</v>
      </c>
      <c r="J441" t="s">
        <v>668</v>
      </c>
      <c r="K441" s="3">
        <v>10073833805</v>
      </c>
      <c r="L441" s="10">
        <v>40666</v>
      </c>
      <c r="M441">
        <v>6264.1855</v>
      </c>
      <c r="N441" s="11">
        <v>34</v>
      </c>
      <c r="O441" s="12">
        <v>205.99</v>
      </c>
      <c r="P441" s="12">
        <v>19.99</v>
      </c>
      <c r="Q441" s="13">
        <v>1312.038</v>
      </c>
      <c r="R441" s="36" t="s">
        <v>777</v>
      </c>
      <c r="S441" s="7">
        <f t="shared" si="29"/>
        <v>1</v>
      </c>
      <c r="T441" s="15" t="str">
        <f>VLOOKUP(R441,产品分类!$C$2:$D$1278,2,0)</f>
        <v>办公用品</v>
      </c>
    </row>
    <row r="442" spans="1:20">
      <c r="A442" s="8">
        <f t="shared" si="35"/>
        <v>40665</v>
      </c>
      <c r="B442" s="8">
        <f t="shared" si="35"/>
        <v>40665</v>
      </c>
      <c r="C442" s="9" t="s">
        <v>776</v>
      </c>
      <c r="D442">
        <v>10021252970</v>
      </c>
      <c r="E442" t="s">
        <v>47</v>
      </c>
      <c r="F442" t="s">
        <v>132</v>
      </c>
      <c r="G442" t="s">
        <v>133</v>
      </c>
      <c r="H442" t="s">
        <v>134</v>
      </c>
      <c r="I442" t="s">
        <v>133</v>
      </c>
      <c r="J442" t="s">
        <v>668</v>
      </c>
      <c r="K442" s="3">
        <v>100415906243</v>
      </c>
      <c r="L442" s="10">
        <v>40667</v>
      </c>
      <c r="M442">
        <v>5410.95</v>
      </c>
      <c r="N442" s="11">
        <v>36</v>
      </c>
      <c r="O442" s="12">
        <v>162.93</v>
      </c>
      <c r="P442" s="12">
        <v>19.99</v>
      </c>
      <c r="Q442" s="13">
        <v>2077.91</v>
      </c>
      <c r="R442" s="36" t="s">
        <v>778</v>
      </c>
      <c r="S442" s="7">
        <f t="shared" si="29"/>
        <v>2</v>
      </c>
      <c r="T442" s="15" t="str">
        <f>VLOOKUP(R442,产品分类!$C$2:$D$1278,2,0)</f>
        <v>办公用品</v>
      </c>
    </row>
    <row r="443" spans="1:20">
      <c r="A443" s="8">
        <f t="shared" si="35"/>
        <v>40665</v>
      </c>
      <c r="B443" s="8">
        <f t="shared" si="35"/>
        <v>40665</v>
      </c>
      <c r="C443" s="9" t="s">
        <v>776</v>
      </c>
      <c r="D443">
        <v>10021262347</v>
      </c>
      <c r="E443" t="s">
        <v>47</v>
      </c>
      <c r="F443" t="s">
        <v>97</v>
      </c>
      <c r="G443" t="s">
        <v>98</v>
      </c>
      <c r="H443" t="s">
        <v>99</v>
      </c>
      <c r="I443" t="s">
        <v>98</v>
      </c>
      <c r="J443" t="s">
        <v>668</v>
      </c>
      <c r="K443" s="3">
        <v>100830056682</v>
      </c>
      <c r="L443" s="10">
        <v>40666</v>
      </c>
      <c r="M443">
        <v>4671.1495</v>
      </c>
      <c r="N443" s="11">
        <v>28</v>
      </c>
      <c r="O443" s="12">
        <v>200.99</v>
      </c>
      <c r="P443" s="12">
        <v>4.2</v>
      </c>
      <c r="Q443" s="13">
        <v>947.313</v>
      </c>
      <c r="R443" s="36" t="s">
        <v>779</v>
      </c>
      <c r="S443" s="7">
        <f t="shared" si="29"/>
        <v>1</v>
      </c>
      <c r="T443" s="15" t="str">
        <f>VLOOKUP(R443,产品分类!$C$2:$D$1278,2,0)</f>
        <v>家具产品</v>
      </c>
    </row>
    <row r="444" spans="1:20">
      <c r="A444" s="8">
        <f>DATE(2012,12,31)-420</f>
        <v>40854</v>
      </c>
      <c r="B444" s="8">
        <f>DATE(2012,12,31)-420</f>
        <v>40854</v>
      </c>
      <c r="C444" s="9" t="s">
        <v>780</v>
      </c>
      <c r="D444">
        <v>10021345922</v>
      </c>
      <c r="E444" t="s">
        <v>47</v>
      </c>
      <c r="F444" t="s">
        <v>97</v>
      </c>
      <c r="G444" t="s">
        <v>98</v>
      </c>
      <c r="H444" t="s">
        <v>99</v>
      </c>
      <c r="I444" t="s">
        <v>98</v>
      </c>
      <c r="J444" t="s">
        <v>668</v>
      </c>
      <c r="K444" s="3">
        <v>100130527706</v>
      </c>
      <c r="L444" s="10">
        <v>40855</v>
      </c>
      <c r="M444">
        <v>6831.72</v>
      </c>
      <c r="N444" s="11">
        <v>41</v>
      </c>
      <c r="O444" s="12">
        <v>162.93</v>
      </c>
      <c r="P444" s="12">
        <v>19.99</v>
      </c>
      <c r="Q444" s="13">
        <v>3081.02</v>
      </c>
      <c r="R444" s="36" t="s">
        <v>778</v>
      </c>
      <c r="S444" s="7">
        <f t="shared" si="29"/>
        <v>1</v>
      </c>
      <c r="T444" s="15" t="str">
        <f>VLOOKUP(R444,产品分类!$C$2:$D$1278,2,0)</f>
        <v>办公用品</v>
      </c>
    </row>
    <row r="445" spans="1:20">
      <c r="A445" s="8">
        <f>DATE(2012,12,31)-972</f>
        <v>40302</v>
      </c>
      <c r="B445" s="8">
        <f>DATE(2012,12,31)-972</f>
        <v>40302</v>
      </c>
      <c r="C445" s="9" t="s">
        <v>781</v>
      </c>
      <c r="D445">
        <v>10021261667</v>
      </c>
      <c r="E445" t="s">
        <v>47</v>
      </c>
      <c r="F445" t="s">
        <v>132</v>
      </c>
      <c r="G445" t="s">
        <v>133</v>
      </c>
      <c r="H445" t="s">
        <v>134</v>
      </c>
      <c r="I445" t="s">
        <v>133</v>
      </c>
      <c r="J445" t="s">
        <v>668</v>
      </c>
      <c r="K445" s="3">
        <v>100929612631</v>
      </c>
      <c r="L445" s="10">
        <v>40304</v>
      </c>
      <c r="M445">
        <v>120.03</v>
      </c>
      <c r="N445" s="11">
        <v>41</v>
      </c>
      <c r="O445" s="12">
        <v>2.78</v>
      </c>
      <c r="P445" s="12">
        <v>1.49</v>
      </c>
      <c r="Q445" s="13">
        <v>10.4975</v>
      </c>
      <c r="R445" s="36" t="s">
        <v>565</v>
      </c>
      <c r="S445" s="7">
        <f t="shared" si="29"/>
        <v>2</v>
      </c>
      <c r="T445" s="15" t="str">
        <f>VLOOKUP(R445,产品分类!$C$2:$D$1278,2,0)</f>
        <v>办公用品</v>
      </c>
    </row>
    <row r="446" spans="1:20">
      <c r="A446" s="8">
        <f>DATE(2012,12,31)-63</f>
        <v>41211</v>
      </c>
      <c r="B446" s="8">
        <f>DATE(2012,12,31)-63</f>
        <v>41211</v>
      </c>
      <c r="C446" s="9" t="s">
        <v>332</v>
      </c>
      <c r="D446">
        <v>10021262296</v>
      </c>
      <c r="E446" t="s">
        <v>47</v>
      </c>
      <c r="F446" t="s">
        <v>102</v>
      </c>
      <c r="G446" t="s">
        <v>103</v>
      </c>
      <c r="H446" t="s">
        <v>104</v>
      </c>
      <c r="I446" t="s">
        <v>105</v>
      </c>
      <c r="J446" t="s">
        <v>668</v>
      </c>
      <c r="K446" s="3">
        <v>100930003861</v>
      </c>
      <c r="L446" s="10">
        <v>41213</v>
      </c>
      <c r="M446">
        <v>4002.14</v>
      </c>
      <c r="N446" s="11">
        <v>13</v>
      </c>
      <c r="O446" s="12">
        <v>304.99</v>
      </c>
      <c r="P446" s="12">
        <v>19.99</v>
      </c>
      <c r="Q446" s="13">
        <v>1314.389</v>
      </c>
      <c r="R446" s="36" t="s">
        <v>782</v>
      </c>
      <c r="S446" s="7">
        <f t="shared" si="29"/>
        <v>2</v>
      </c>
      <c r="T446" s="15" t="str">
        <f>VLOOKUP(R446,产品分类!$C$2:$D$1278,2,0)</f>
        <v>办公用品</v>
      </c>
    </row>
    <row r="447" spans="1:20">
      <c r="A447" s="8">
        <f>DATE(2012,12,31)-995</f>
        <v>40279</v>
      </c>
      <c r="B447" s="8">
        <f>DATE(2012,12,31)-995</f>
        <v>40279</v>
      </c>
      <c r="C447" s="9" t="s">
        <v>783</v>
      </c>
      <c r="D447">
        <v>10021346331</v>
      </c>
      <c r="E447" t="s">
        <v>47</v>
      </c>
      <c r="F447" t="s">
        <v>208</v>
      </c>
      <c r="G447" t="s">
        <v>209</v>
      </c>
      <c r="H447" t="s">
        <v>210</v>
      </c>
      <c r="I447" t="s">
        <v>211</v>
      </c>
      <c r="J447" t="s">
        <v>668</v>
      </c>
      <c r="K447" s="3">
        <v>100930579241</v>
      </c>
      <c r="L447" s="10">
        <v>40280</v>
      </c>
      <c r="M447">
        <v>98.39</v>
      </c>
      <c r="N447" s="11">
        <v>13</v>
      </c>
      <c r="O447" s="12">
        <v>6.48</v>
      </c>
      <c r="P447" s="12">
        <v>6.6</v>
      </c>
      <c r="Q447" s="13">
        <v>-31.54</v>
      </c>
      <c r="R447" s="36" t="s">
        <v>784</v>
      </c>
      <c r="S447" s="7">
        <f t="shared" si="29"/>
        <v>1</v>
      </c>
      <c r="T447" s="15" t="str">
        <f>VLOOKUP(R447,产品分类!$C$2:$D$1278,2,0)</f>
        <v>数码电子</v>
      </c>
    </row>
    <row r="448" spans="1:20">
      <c r="A448" s="8">
        <f>DATE(2012,12,31)-1137</f>
        <v>40137</v>
      </c>
      <c r="B448" s="8">
        <f>DATE(2012,12,31)-1137</f>
        <v>40137</v>
      </c>
      <c r="C448" s="9" t="s">
        <v>785</v>
      </c>
      <c r="D448">
        <v>10021252150</v>
      </c>
      <c r="E448" t="s">
        <v>47</v>
      </c>
      <c r="F448" t="s">
        <v>304</v>
      </c>
      <c r="G448" t="s">
        <v>305</v>
      </c>
      <c r="H448" t="s">
        <v>306</v>
      </c>
      <c r="I448" t="s">
        <v>307</v>
      </c>
      <c r="J448" t="s">
        <v>668</v>
      </c>
      <c r="K448" s="3">
        <v>10044737243</v>
      </c>
      <c r="L448" s="10">
        <v>40138</v>
      </c>
      <c r="M448">
        <v>103.87</v>
      </c>
      <c r="N448" s="11">
        <v>26</v>
      </c>
      <c r="O448" s="12">
        <v>4.26</v>
      </c>
      <c r="P448" s="12">
        <v>1.2</v>
      </c>
      <c r="Q448" s="13">
        <v>15.42</v>
      </c>
      <c r="R448" s="36" t="s">
        <v>340</v>
      </c>
      <c r="S448" s="7">
        <f t="shared" si="29"/>
        <v>1</v>
      </c>
      <c r="T448" s="15" t="str">
        <f>VLOOKUP(R448,产品分类!$C$2:$D$1278,2,0)</f>
        <v>办公用品</v>
      </c>
    </row>
    <row r="449" spans="1:20">
      <c r="A449" s="8">
        <f>DATE(2012,12,31)-398</f>
        <v>40876</v>
      </c>
      <c r="B449" s="8">
        <f>DATE(2012,12,31)-398</f>
        <v>40876</v>
      </c>
      <c r="C449" s="9" t="s">
        <v>573</v>
      </c>
      <c r="D449">
        <v>10021267097</v>
      </c>
      <c r="E449" t="s">
        <v>47</v>
      </c>
      <c r="F449" t="s">
        <v>208</v>
      </c>
      <c r="G449" t="s">
        <v>209</v>
      </c>
      <c r="H449" t="s">
        <v>210</v>
      </c>
      <c r="I449" t="s">
        <v>211</v>
      </c>
      <c r="J449" t="s">
        <v>668</v>
      </c>
      <c r="K449" s="3">
        <v>100432077074</v>
      </c>
      <c r="L449" s="10">
        <v>40878</v>
      </c>
      <c r="M449">
        <v>10094.43</v>
      </c>
      <c r="N449" s="11">
        <v>24</v>
      </c>
      <c r="O449" s="12">
        <v>420.98</v>
      </c>
      <c r="P449" s="12">
        <v>19.99</v>
      </c>
      <c r="Q449" s="13">
        <v>4451.008</v>
      </c>
      <c r="R449" s="36" t="s">
        <v>498</v>
      </c>
      <c r="S449" s="7">
        <f t="shared" si="29"/>
        <v>2</v>
      </c>
      <c r="T449" s="15" t="str">
        <f>VLOOKUP(R449,产品分类!$C$2:$D$1278,2,0)</f>
        <v>家具产品</v>
      </c>
    </row>
    <row r="450" spans="1:20">
      <c r="A450" s="8">
        <f t="shared" ref="A450:B452" si="36">DATE(2012,12,31)-1454</f>
        <v>39820</v>
      </c>
      <c r="B450" s="8">
        <f t="shared" si="36"/>
        <v>39820</v>
      </c>
      <c r="C450" s="9" t="s">
        <v>786</v>
      </c>
      <c r="D450">
        <v>10021256910</v>
      </c>
      <c r="E450" t="s">
        <v>47</v>
      </c>
      <c r="F450" t="s">
        <v>102</v>
      </c>
      <c r="G450" t="s">
        <v>103</v>
      </c>
      <c r="H450" t="s">
        <v>104</v>
      </c>
      <c r="I450" t="s">
        <v>105</v>
      </c>
      <c r="J450" t="s">
        <v>668</v>
      </c>
      <c r="K450" s="3">
        <v>100125780738</v>
      </c>
      <c r="L450" s="10">
        <v>39821</v>
      </c>
      <c r="M450">
        <v>10.58</v>
      </c>
      <c r="N450" s="11">
        <v>3</v>
      </c>
      <c r="O450" s="12">
        <v>1.98</v>
      </c>
      <c r="P450" s="12">
        <v>4.77</v>
      </c>
      <c r="Q450" s="13">
        <v>-11.5805</v>
      </c>
      <c r="R450" s="36" t="s">
        <v>787</v>
      </c>
      <c r="S450" s="7">
        <f t="shared" si="29"/>
        <v>1</v>
      </c>
      <c r="T450" s="15" t="str">
        <f>VLOOKUP(R450,产品分类!$C$2:$D$1278,2,0)</f>
        <v>办公用品</v>
      </c>
    </row>
    <row r="451" spans="1:20">
      <c r="A451" s="8">
        <f t="shared" si="36"/>
        <v>39820</v>
      </c>
      <c r="B451" s="8">
        <f t="shared" si="36"/>
        <v>39820</v>
      </c>
      <c r="C451" s="9" t="s">
        <v>786</v>
      </c>
      <c r="D451">
        <v>10021254736</v>
      </c>
      <c r="E451" t="s">
        <v>47</v>
      </c>
      <c r="F451" t="s">
        <v>304</v>
      </c>
      <c r="G451" t="s">
        <v>305</v>
      </c>
      <c r="H451" t="s">
        <v>306</v>
      </c>
      <c r="I451" t="s">
        <v>307</v>
      </c>
      <c r="J451" t="s">
        <v>668</v>
      </c>
      <c r="K451" s="3">
        <v>100322902159</v>
      </c>
      <c r="L451" s="10">
        <v>39821</v>
      </c>
      <c r="M451">
        <v>2119.67</v>
      </c>
      <c r="N451" s="11">
        <v>3</v>
      </c>
      <c r="O451" s="12">
        <v>699.99</v>
      </c>
      <c r="P451" s="12">
        <v>24.49</v>
      </c>
      <c r="Q451" s="13">
        <v>-2314.74</v>
      </c>
      <c r="R451" s="36" t="s">
        <v>493</v>
      </c>
      <c r="S451" s="7">
        <f t="shared" ref="S451:S514" si="37">+L451-B451</f>
        <v>1</v>
      </c>
      <c r="T451" s="15" t="str">
        <f>VLOOKUP(R451,产品分类!$C$2:$D$1278,2,0)</f>
        <v>办公用品</v>
      </c>
    </row>
    <row r="452" spans="1:20">
      <c r="A452" s="8">
        <f t="shared" si="36"/>
        <v>39820</v>
      </c>
      <c r="B452" s="8">
        <f t="shared" si="36"/>
        <v>39820</v>
      </c>
      <c r="C452" s="9" t="s">
        <v>786</v>
      </c>
      <c r="D452">
        <v>10021319881</v>
      </c>
      <c r="E452" t="s">
        <v>47</v>
      </c>
      <c r="F452" t="s">
        <v>171</v>
      </c>
      <c r="G452" t="s">
        <v>172</v>
      </c>
      <c r="H452" t="s">
        <v>788</v>
      </c>
      <c r="I452" t="s">
        <v>789</v>
      </c>
      <c r="J452" t="s">
        <v>668</v>
      </c>
      <c r="K452" s="3">
        <v>100917127201</v>
      </c>
      <c r="L452" s="10">
        <v>39821</v>
      </c>
      <c r="M452">
        <v>45923.76</v>
      </c>
      <c r="N452" s="11">
        <v>7</v>
      </c>
      <c r="O452" s="12">
        <v>6783.02</v>
      </c>
      <c r="P452" s="12">
        <v>24.49</v>
      </c>
      <c r="Q452" s="13">
        <v>102.609999999997</v>
      </c>
      <c r="R452" s="36" t="s">
        <v>790</v>
      </c>
      <c r="S452" s="7">
        <f t="shared" si="37"/>
        <v>1</v>
      </c>
      <c r="T452" s="15" t="str">
        <f>VLOOKUP(R452,产品分类!$C$2:$D$1278,2,0)</f>
        <v>数码电子</v>
      </c>
    </row>
    <row r="453" spans="1:20">
      <c r="A453" s="8">
        <f>DATE(2012,12,31)-1054</f>
        <v>40220</v>
      </c>
      <c r="B453" s="8">
        <f>DATE(2012,12,31)-1054</f>
        <v>40220</v>
      </c>
      <c r="C453" s="9" t="s">
        <v>199</v>
      </c>
      <c r="D453">
        <v>10021347030</v>
      </c>
      <c r="E453" t="s">
        <v>47</v>
      </c>
      <c r="F453" t="s">
        <v>171</v>
      </c>
      <c r="G453" t="s">
        <v>172</v>
      </c>
      <c r="H453" t="s">
        <v>788</v>
      </c>
      <c r="I453" t="s">
        <v>789</v>
      </c>
      <c r="J453" t="s">
        <v>668</v>
      </c>
      <c r="K453" s="3">
        <v>100412472644</v>
      </c>
      <c r="L453" s="10">
        <v>40221</v>
      </c>
      <c r="M453">
        <v>33.86</v>
      </c>
      <c r="N453" s="11">
        <v>12</v>
      </c>
      <c r="O453" s="12">
        <v>2.88</v>
      </c>
      <c r="P453" s="12">
        <v>0.7</v>
      </c>
      <c r="Q453" s="13">
        <v>0.350000000000001</v>
      </c>
      <c r="R453" s="36" t="s">
        <v>100</v>
      </c>
      <c r="S453" s="7">
        <f t="shared" si="37"/>
        <v>1</v>
      </c>
      <c r="T453" s="15" t="str">
        <f>VLOOKUP(R453,产品分类!$C$2:$D$1278,2,0)</f>
        <v>数码电子</v>
      </c>
    </row>
    <row r="454" spans="1:20">
      <c r="A454" s="8">
        <f>DATE(2012,12,31)-1054</f>
        <v>40220</v>
      </c>
      <c r="B454" s="8">
        <f>DATE(2012,12,31)-1054</f>
        <v>40220</v>
      </c>
      <c r="C454" s="9" t="s">
        <v>199</v>
      </c>
      <c r="D454">
        <v>10021353019</v>
      </c>
      <c r="E454" t="s">
        <v>47</v>
      </c>
      <c r="F454" t="s">
        <v>171</v>
      </c>
      <c r="G454" t="s">
        <v>172</v>
      </c>
      <c r="H454" t="s">
        <v>788</v>
      </c>
      <c r="I454" t="s">
        <v>789</v>
      </c>
      <c r="J454" t="s">
        <v>668</v>
      </c>
      <c r="K454" s="3">
        <v>100915916351</v>
      </c>
      <c r="L454" s="10">
        <v>40222</v>
      </c>
      <c r="M454">
        <v>316.61</v>
      </c>
      <c r="N454" s="11">
        <v>1</v>
      </c>
      <c r="O454" s="12">
        <v>291.73</v>
      </c>
      <c r="P454" s="12">
        <v>48.8</v>
      </c>
      <c r="Q454" s="13">
        <v>-187.29</v>
      </c>
      <c r="R454" s="36" t="s">
        <v>791</v>
      </c>
      <c r="S454" s="7">
        <f t="shared" si="37"/>
        <v>2</v>
      </c>
      <c r="T454" s="15" t="str">
        <f>VLOOKUP(R454,产品分类!$C$2:$D$1278,2,0)</f>
        <v>数码电子</v>
      </c>
    </row>
    <row r="455" spans="1:20">
      <c r="A455" s="8">
        <f>DATE(2012,12,31)-838</f>
        <v>40436</v>
      </c>
      <c r="B455" s="8">
        <f>DATE(2012,12,31)-838</f>
        <v>40436</v>
      </c>
      <c r="C455" s="9" t="s">
        <v>792</v>
      </c>
      <c r="D455">
        <v>10021346194</v>
      </c>
      <c r="E455" t="s">
        <v>47</v>
      </c>
      <c r="F455" t="s">
        <v>171</v>
      </c>
      <c r="G455" t="s">
        <v>172</v>
      </c>
      <c r="H455" t="s">
        <v>788</v>
      </c>
      <c r="I455" t="s">
        <v>789</v>
      </c>
      <c r="J455" t="s">
        <v>668</v>
      </c>
      <c r="K455" s="3">
        <v>100730560745</v>
      </c>
      <c r="L455" s="10">
        <v>40438</v>
      </c>
      <c r="M455">
        <v>336.06</v>
      </c>
      <c r="N455" s="11">
        <v>50</v>
      </c>
      <c r="O455" s="12">
        <v>6.48</v>
      </c>
      <c r="P455" s="12">
        <v>8.88</v>
      </c>
      <c r="Q455" s="13">
        <v>-240.78</v>
      </c>
      <c r="R455" s="36" t="s">
        <v>793</v>
      </c>
      <c r="S455" s="7">
        <f t="shared" si="37"/>
        <v>2</v>
      </c>
      <c r="T455" s="15" t="str">
        <f>VLOOKUP(R455,产品分类!$C$2:$D$1278,2,0)</f>
        <v>数码电子</v>
      </c>
    </row>
    <row r="456" spans="1:20">
      <c r="A456" s="8">
        <f>DATE(2012,12,31)-838</f>
        <v>40436</v>
      </c>
      <c r="B456" s="8">
        <f>DATE(2012,12,31)-838</f>
        <v>40436</v>
      </c>
      <c r="C456" s="9" t="s">
        <v>792</v>
      </c>
      <c r="D456">
        <v>10021264420</v>
      </c>
      <c r="E456" t="s">
        <v>47</v>
      </c>
      <c r="F456" t="s">
        <v>171</v>
      </c>
      <c r="G456" t="s">
        <v>172</v>
      </c>
      <c r="H456" t="s">
        <v>788</v>
      </c>
      <c r="I456" t="s">
        <v>789</v>
      </c>
      <c r="J456" t="s">
        <v>668</v>
      </c>
      <c r="K456" s="3">
        <v>100331117539</v>
      </c>
      <c r="L456" s="10">
        <v>40436</v>
      </c>
      <c r="M456">
        <v>380.38</v>
      </c>
      <c r="N456" s="11">
        <v>24</v>
      </c>
      <c r="O456" s="12">
        <v>15.94</v>
      </c>
      <c r="P456" s="12">
        <v>5.45</v>
      </c>
      <c r="Q456" s="13">
        <v>7.29</v>
      </c>
      <c r="R456" s="36" t="s">
        <v>794</v>
      </c>
      <c r="S456" s="7">
        <f t="shared" si="37"/>
        <v>0</v>
      </c>
      <c r="T456" s="15" t="str">
        <f>VLOOKUP(R456,产品分类!$C$2:$D$1278,2,0)</f>
        <v>数码电子</v>
      </c>
    </row>
    <row r="457" spans="1:20">
      <c r="A457" s="8">
        <f>DATE(2012,12,31)-880</f>
        <v>40394</v>
      </c>
      <c r="B457" s="8">
        <f>DATE(2012,12,31)-880</f>
        <v>40394</v>
      </c>
      <c r="C457" s="9" t="s">
        <v>714</v>
      </c>
      <c r="D457">
        <v>10021252864</v>
      </c>
      <c r="E457" t="s">
        <v>47</v>
      </c>
      <c r="F457" t="s">
        <v>177</v>
      </c>
      <c r="G457" t="s">
        <v>178</v>
      </c>
      <c r="H457" t="s">
        <v>795</v>
      </c>
      <c r="I457" t="s">
        <v>796</v>
      </c>
      <c r="J457" t="s">
        <v>668</v>
      </c>
      <c r="K457" s="3">
        <v>100915459871</v>
      </c>
      <c r="L457" s="10">
        <v>40395</v>
      </c>
      <c r="M457">
        <v>65.39</v>
      </c>
      <c r="N457" s="11">
        <v>36</v>
      </c>
      <c r="O457" s="12">
        <v>1.82</v>
      </c>
      <c r="P457" s="12">
        <v>1</v>
      </c>
      <c r="Q457" s="13">
        <v>-0.46</v>
      </c>
      <c r="R457" s="36" t="s">
        <v>797</v>
      </c>
      <c r="S457" s="7">
        <f t="shared" si="37"/>
        <v>1</v>
      </c>
      <c r="T457" s="15" t="str">
        <f>VLOOKUP(R457,产品分类!$C$2:$D$1278,2,0)</f>
        <v>家具产品</v>
      </c>
    </row>
    <row r="458" spans="1:20">
      <c r="A458" s="8">
        <f>DATE(2012,12,31)-892</f>
        <v>40382</v>
      </c>
      <c r="B458" s="8">
        <f>DATE(2012,12,31)-892</f>
        <v>40382</v>
      </c>
      <c r="C458" s="9" t="s">
        <v>523</v>
      </c>
      <c r="D458">
        <v>10021260444</v>
      </c>
      <c r="E458" t="s">
        <v>47</v>
      </c>
      <c r="F458" t="s">
        <v>177</v>
      </c>
      <c r="G458" t="s">
        <v>178</v>
      </c>
      <c r="H458" t="s">
        <v>795</v>
      </c>
      <c r="I458" t="s">
        <v>796</v>
      </c>
      <c r="J458" t="s">
        <v>668</v>
      </c>
      <c r="K458" s="3">
        <v>100128616926</v>
      </c>
      <c r="L458" s="10">
        <v>40389</v>
      </c>
      <c r="M458">
        <v>1005.74</v>
      </c>
      <c r="N458" s="11">
        <v>47</v>
      </c>
      <c r="O458" s="12">
        <v>22.23</v>
      </c>
      <c r="P458" s="12">
        <v>8.99</v>
      </c>
      <c r="Q458" s="13">
        <v>199.3</v>
      </c>
      <c r="R458" s="36" t="s">
        <v>798</v>
      </c>
      <c r="S458" s="7">
        <f t="shared" si="37"/>
        <v>7</v>
      </c>
      <c r="T458" s="15" t="str">
        <f>VLOOKUP(R458,产品分类!$C$2:$D$1278,2,0)</f>
        <v>数码电子</v>
      </c>
    </row>
    <row r="459" spans="1:20">
      <c r="A459" s="8">
        <f>DATE(2012,12,31)-892</f>
        <v>40382</v>
      </c>
      <c r="B459" s="8">
        <f>DATE(2012,12,31)-892</f>
        <v>40382</v>
      </c>
      <c r="C459" s="9" t="s">
        <v>523</v>
      </c>
      <c r="D459">
        <v>10021249969</v>
      </c>
      <c r="E459" t="s">
        <v>47</v>
      </c>
      <c r="F459" t="s">
        <v>177</v>
      </c>
      <c r="G459" t="s">
        <v>178</v>
      </c>
      <c r="H459" t="s">
        <v>795</v>
      </c>
      <c r="I459" t="s">
        <v>796</v>
      </c>
      <c r="J459" t="s">
        <v>668</v>
      </c>
      <c r="K459" s="3">
        <v>100412957844</v>
      </c>
      <c r="L459" s="10">
        <v>40389</v>
      </c>
      <c r="M459">
        <v>6477.7395</v>
      </c>
      <c r="N459" s="11">
        <v>37</v>
      </c>
      <c r="O459" s="12">
        <v>205.99</v>
      </c>
      <c r="P459" s="12">
        <v>8.99</v>
      </c>
      <c r="Q459" s="13">
        <v>1653.966</v>
      </c>
      <c r="R459" s="36" t="s">
        <v>799</v>
      </c>
      <c r="S459" s="7">
        <f t="shared" si="37"/>
        <v>7</v>
      </c>
      <c r="T459" s="15" t="str">
        <f>VLOOKUP(R459,产品分类!$C$2:$D$1278,2,0)</f>
        <v>家具产品</v>
      </c>
    </row>
    <row r="460" spans="1:20">
      <c r="A460" s="8">
        <f>DATE(2012,12,31)-1111</f>
        <v>40163</v>
      </c>
      <c r="B460" s="8">
        <f>DATE(2012,12,31)-1111</f>
        <v>40163</v>
      </c>
      <c r="C460" s="9" t="s">
        <v>800</v>
      </c>
      <c r="D460">
        <v>10021336417</v>
      </c>
      <c r="E460" t="s">
        <v>47</v>
      </c>
      <c r="F460" t="s">
        <v>342</v>
      </c>
      <c r="G460" t="s">
        <v>343</v>
      </c>
      <c r="H460" t="s">
        <v>344</v>
      </c>
      <c r="I460" t="s">
        <v>345</v>
      </c>
      <c r="J460" t="s">
        <v>668</v>
      </c>
      <c r="K460" s="3">
        <v>100418235344</v>
      </c>
      <c r="L460" s="10">
        <v>40165</v>
      </c>
      <c r="M460">
        <v>1601.32</v>
      </c>
      <c r="N460" s="11">
        <v>13</v>
      </c>
      <c r="O460" s="12">
        <v>119.99</v>
      </c>
      <c r="P460" s="12">
        <v>14</v>
      </c>
      <c r="Q460" s="13">
        <v>377.81</v>
      </c>
      <c r="R460" s="36" t="s">
        <v>801</v>
      </c>
      <c r="S460" s="7">
        <f t="shared" si="37"/>
        <v>2</v>
      </c>
      <c r="T460" s="15" t="str">
        <f>VLOOKUP(R460,产品分类!$C$2:$D$1278,2,0)</f>
        <v>办公用品</v>
      </c>
    </row>
    <row r="461" spans="1:20">
      <c r="A461" s="8">
        <f>DATE(2012,12,31)-1240</f>
        <v>40034</v>
      </c>
      <c r="B461" s="8">
        <f>DATE(2012,12,31)-1240</f>
        <v>40034</v>
      </c>
      <c r="C461" s="9" t="s">
        <v>802</v>
      </c>
      <c r="D461">
        <v>10021250658</v>
      </c>
      <c r="E461" t="s">
        <v>47</v>
      </c>
      <c r="F461" t="s">
        <v>61</v>
      </c>
      <c r="G461" t="s">
        <v>62</v>
      </c>
      <c r="H461" t="s">
        <v>454</v>
      </c>
      <c r="I461" t="s">
        <v>455</v>
      </c>
      <c r="J461" t="s">
        <v>668</v>
      </c>
      <c r="K461" s="3">
        <v>100414215854</v>
      </c>
      <c r="L461" s="10">
        <v>40036</v>
      </c>
      <c r="M461">
        <v>238.74</v>
      </c>
      <c r="N461" s="11">
        <v>8</v>
      </c>
      <c r="O461" s="12">
        <v>30.98</v>
      </c>
      <c r="P461" s="12">
        <v>8.99</v>
      </c>
      <c r="Q461" s="13">
        <v>-38.89</v>
      </c>
      <c r="R461" s="36" t="s">
        <v>533</v>
      </c>
      <c r="S461" s="7">
        <f t="shared" si="37"/>
        <v>2</v>
      </c>
      <c r="T461" s="15" t="str">
        <f>VLOOKUP(R461,产品分类!$C$2:$D$1278,2,0)</f>
        <v>办公用品</v>
      </c>
    </row>
    <row r="462" spans="1:20">
      <c r="A462" s="8">
        <f>DATE(2012,12,31)-1422</f>
        <v>39852</v>
      </c>
      <c r="B462" s="8">
        <f>DATE(2012,12,31)-1422</f>
        <v>39852</v>
      </c>
      <c r="C462" s="9" t="s">
        <v>803</v>
      </c>
      <c r="D462">
        <v>10021285235</v>
      </c>
      <c r="E462" t="s">
        <v>47</v>
      </c>
      <c r="F462" t="s">
        <v>61</v>
      </c>
      <c r="G462" t="s">
        <v>62</v>
      </c>
      <c r="H462" t="s">
        <v>454</v>
      </c>
      <c r="I462" t="s">
        <v>455</v>
      </c>
      <c r="J462" t="s">
        <v>668</v>
      </c>
      <c r="K462" s="3">
        <v>100129722666</v>
      </c>
      <c r="L462" s="10">
        <v>39852</v>
      </c>
      <c r="M462">
        <v>718.03</v>
      </c>
      <c r="N462" s="11">
        <v>4</v>
      </c>
      <c r="O462" s="12">
        <v>179.99</v>
      </c>
      <c r="P462" s="12">
        <v>19.99</v>
      </c>
      <c r="Q462" s="13">
        <v>-427.47</v>
      </c>
      <c r="R462" s="36" t="s">
        <v>804</v>
      </c>
      <c r="S462" s="7">
        <f t="shared" si="37"/>
        <v>0</v>
      </c>
      <c r="T462" s="15" t="str">
        <f>VLOOKUP(R462,产品分类!$C$2:$D$1278,2,0)</f>
        <v>家具产品</v>
      </c>
    </row>
    <row r="463" spans="1:20">
      <c r="A463" s="8">
        <f>DATE(2012,12,31)-418</f>
        <v>40856</v>
      </c>
      <c r="B463" s="8">
        <f>DATE(2012,12,31)-418</f>
        <v>40856</v>
      </c>
      <c r="C463" s="9" t="s">
        <v>805</v>
      </c>
      <c r="D463">
        <v>10021286117</v>
      </c>
      <c r="E463" t="s">
        <v>47</v>
      </c>
      <c r="F463" t="s">
        <v>61</v>
      </c>
      <c r="G463" t="s">
        <v>62</v>
      </c>
      <c r="H463" t="s">
        <v>454</v>
      </c>
      <c r="I463" t="s">
        <v>455</v>
      </c>
      <c r="J463" t="s">
        <v>668</v>
      </c>
      <c r="K463" s="3">
        <v>100130504576</v>
      </c>
      <c r="L463" s="10">
        <v>40858</v>
      </c>
      <c r="M463">
        <v>534.96</v>
      </c>
      <c r="N463" s="11">
        <v>30</v>
      </c>
      <c r="O463" s="12">
        <v>18.89</v>
      </c>
      <c r="P463" s="12">
        <v>3.17</v>
      </c>
      <c r="Q463" s="13">
        <v>-26.72</v>
      </c>
      <c r="R463" s="36" t="s">
        <v>806</v>
      </c>
      <c r="S463" s="7">
        <f t="shared" si="37"/>
        <v>2</v>
      </c>
      <c r="T463" s="15" t="str">
        <f>VLOOKUP(R463,产品分类!$C$2:$D$1278,2,0)</f>
        <v>办公用品</v>
      </c>
    </row>
    <row r="464" spans="1:20">
      <c r="A464" s="8">
        <f>DATE(2012,12,31)-337</f>
        <v>40937</v>
      </c>
      <c r="B464" s="8">
        <f>DATE(2012,12,31)-337</f>
        <v>40937</v>
      </c>
      <c r="C464" s="9" t="s">
        <v>786</v>
      </c>
      <c r="D464">
        <v>10021262934</v>
      </c>
      <c r="E464" t="s">
        <v>47</v>
      </c>
      <c r="F464" t="s">
        <v>61</v>
      </c>
      <c r="G464" t="s">
        <v>62</v>
      </c>
      <c r="H464" t="s">
        <v>454</v>
      </c>
      <c r="I464" t="s">
        <v>455</v>
      </c>
      <c r="J464" t="s">
        <v>668</v>
      </c>
      <c r="K464" s="3">
        <v>100130436248</v>
      </c>
      <c r="L464" s="10">
        <v>40942</v>
      </c>
      <c r="M464">
        <v>80.6</v>
      </c>
      <c r="N464" s="11">
        <v>14</v>
      </c>
      <c r="O464" s="12">
        <v>5.28</v>
      </c>
      <c r="P464" s="12">
        <v>3.96</v>
      </c>
      <c r="Q464" s="13">
        <v>-4.2</v>
      </c>
      <c r="R464" s="36" t="s">
        <v>807</v>
      </c>
      <c r="S464" s="7">
        <f t="shared" si="37"/>
        <v>5</v>
      </c>
      <c r="T464" s="15" t="str">
        <f>VLOOKUP(R464,产品分类!$C$2:$D$1278,2,0)</f>
        <v>家具产品</v>
      </c>
    </row>
    <row r="465" spans="1:20">
      <c r="A465" s="8">
        <f>DATE(2012,12,31)-742</f>
        <v>40532</v>
      </c>
      <c r="B465" s="8">
        <f>DATE(2012,12,31)-742</f>
        <v>40532</v>
      </c>
      <c r="C465" s="9" t="s">
        <v>808</v>
      </c>
      <c r="D465">
        <v>10021250778</v>
      </c>
      <c r="E465" t="s">
        <v>47</v>
      </c>
      <c r="F465" t="s">
        <v>83</v>
      </c>
      <c r="G465" t="s">
        <v>84</v>
      </c>
      <c r="H465" t="s">
        <v>85</v>
      </c>
      <c r="I465" t="s">
        <v>86</v>
      </c>
      <c r="J465" t="s">
        <v>668</v>
      </c>
      <c r="K465" s="3">
        <v>100714488195</v>
      </c>
      <c r="L465" s="10">
        <v>40533</v>
      </c>
      <c r="M465">
        <v>35.58</v>
      </c>
      <c r="N465" s="11">
        <v>7</v>
      </c>
      <c r="O465" s="12">
        <v>4.42</v>
      </c>
      <c r="P465" s="12">
        <v>4.99</v>
      </c>
      <c r="Q465" s="13">
        <v>-19.95</v>
      </c>
      <c r="R465" s="36" t="s">
        <v>432</v>
      </c>
      <c r="S465" s="7">
        <f t="shared" si="37"/>
        <v>1</v>
      </c>
      <c r="T465" s="15" t="str">
        <f>VLOOKUP(R465,产品分类!$C$2:$D$1278,2,0)</f>
        <v>数码电子</v>
      </c>
    </row>
    <row r="466" spans="1:20">
      <c r="A466" s="8">
        <f>DATE(2012,12,31)-212</f>
        <v>41062</v>
      </c>
      <c r="B466" s="8">
        <f>DATE(2012,12,31)-212</f>
        <v>41062</v>
      </c>
      <c r="C466" s="9" t="s">
        <v>809</v>
      </c>
      <c r="D466">
        <v>10021347123</v>
      </c>
      <c r="E466" t="s">
        <v>47</v>
      </c>
      <c r="F466" t="s">
        <v>66</v>
      </c>
      <c r="G466" t="s">
        <v>67</v>
      </c>
      <c r="H466" t="s">
        <v>68</v>
      </c>
      <c r="I466" t="s">
        <v>69</v>
      </c>
      <c r="J466" t="s">
        <v>668</v>
      </c>
      <c r="K466" s="3">
        <v>100429445114</v>
      </c>
      <c r="L466" s="10">
        <v>41064</v>
      </c>
      <c r="M466">
        <v>584.511</v>
      </c>
      <c r="N466" s="11">
        <v>33</v>
      </c>
      <c r="O466" s="12">
        <v>20.99</v>
      </c>
      <c r="P466" s="12">
        <v>3.3</v>
      </c>
      <c r="Q466" s="13">
        <v>-95.975</v>
      </c>
      <c r="R466" s="36" t="s">
        <v>810</v>
      </c>
      <c r="S466" s="7">
        <f t="shared" si="37"/>
        <v>2</v>
      </c>
      <c r="T466" s="15" t="str">
        <f>VLOOKUP(R466,产品分类!$C$2:$D$1278,2,0)</f>
        <v>家具产品</v>
      </c>
    </row>
    <row r="467" spans="1:20">
      <c r="A467" s="8">
        <f>DATE(2012,12,31)-1266</f>
        <v>40008</v>
      </c>
      <c r="B467" s="8">
        <f>DATE(2012,12,31)-1266</f>
        <v>40008</v>
      </c>
      <c r="C467" s="9" t="s">
        <v>811</v>
      </c>
      <c r="D467">
        <v>10021340431</v>
      </c>
      <c r="E467" t="s">
        <v>47</v>
      </c>
      <c r="F467" t="s">
        <v>132</v>
      </c>
      <c r="G467" t="s">
        <v>133</v>
      </c>
      <c r="H467" t="s">
        <v>134</v>
      </c>
      <c r="I467" t="s">
        <v>133</v>
      </c>
      <c r="J467" t="s">
        <v>668</v>
      </c>
      <c r="K467" s="3">
        <v>100426128524</v>
      </c>
      <c r="L467" s="10">
        <v>40010</v>
      </c>
      <c r="M467">
        <v>3553.62</v>
      </c>
      <c r="N467" s="11">
        <v>23</v>
      </c>
      <c r="O467" s="12">
        <v>165.2</v>
      </c>
      <c r="P467" s="12">
        <v>19.99</v>
      </c>
      <c r="Q467" s="13">
        <v>521.69</v>
      </c>
      <c r="R467" s="36" t="s">
        <v>812</v>
      </c>
      <c r="S467" s="7">
        <f t="shared" si="37"/>
        <v>2</v>
      </c>
      <c r="T467" s="15" t="str">
        <f>VLOOKUP(R467,产品分类!$C$2:$D$1278,2,0)</f>
        <v>家具产品</v>
      </c>
    </row>
    <row r="468" spans="1:20">
      <c r="A468" s="8">
        <f>DATE(2012,12,31)-8</f>
        <v>41266</v>
      </c>
      <c r="B468" s="8">
        <f>DATE(2012,12,31)-8</f>
        <v>41266</v>
      </c>
      <c r="C468" s="9" t="s">
        <v>813</v>
      </c>
      <c r="D468">
        <v>10021266298</v>
      </c>
      <c r="E468" t="s">
        <v>47</v>
      </c>
      <c r="F468" t="s">
        <v>171</v>
      </c>
      <c r="G468" t="s">
        <v>172</v>
      </c>
      <c r="H468" t="s">
        <v>788</v>
      </c>
      <c r="I468" t="s">
        <v>789</v>
      </c>
      <c r="J468" t="s">
        <v>668</v>
      </c>
      <c r="K468" s="3">
        <v>100131769428</v>
      </c>
      <c r="L468" s="10">
        <v>41270</v>
      </c>
      <c r="M468">
        <v>554.21</v>
      </c>
      <c r="N468" s="11">
        <v>10</v>
      </c>
      <c r="O468" s="12">
        <v>53.98</v>
      </c>
      <c r="P468" s="12">
        <v>5.5</v>
      </c>
      <c r="Q468" s="13">
        <v>-105.37</v>
      </c>
      <c r="R468" s="36" t="s">
        <v>814</v>
      </c>
      <c r="S468" s="7">
        <f t="shared" si="37"/>
        <v>4</v>
      </c>
      <c r="T468" s="15" t="str">
        <f>VLOOKUP(R468,产品分类!$C$2:$D$1278,2,0)</f>
        <v>办公用品</v>
      </c>
    </row>
    <row r="469" spans="1:20">
      <c r="A469" s="8">
        <f>DATE(2012,12,31)-265</f>
        <v>41009</v>
      </c>
      <c r="B469" s="8">
        <f>DATE(2012,12,31)-265</f>
        <v>41009</v>
      </c>
      <c r="C469" s="9" t="s">
        <v>815</v>
      </c>
      <c r="D469">
        <v>10021349402</v>
      </c>
      <c r="E469" t="s">
        <v>47</v>
      </c>
      <c r="F469" t="s">
        <v>167</v>
      </c>
      <c r="G469" t="s">
        <v>168</v>
      </c>
      <c r="H469" t="s">
        <v>169</v>
      </c>
      <c r="I469" t="s">
        <v>168</v>
      </c>
      <c r="J469" t="s">
        <v>668</v>
      </c>
      <c r="K469" s="3">
        <v>100431860543</v>
      </c>
      <c r="L469" s="10">
        <v>41009</v>
      </c>
      <c r="M469">
        <v>136.61</v>
      </c>
      <c r="N469" s="11">
        <v>8</v>
      </c>
      <c r="O469" s="12">
        <v>15.68</v>
      </c>
      <c r="P469" s="12">
        <v>3.73</v>
      </c>
      <c r="Q469" s="13">
        <v>80.43</v>
      </c>
      <c r="R469" s="36" t="s">
        <v>756</v>
      </c>
      <c r="S469" s="7">
        <f t="shared" si="37"/>
        <v>0</v>
      </c>
      <c r="T469" s="15" t="str">
        <f>VLOOKUP(R469,产品分类!$C$2:$D$1278,2,0)</f>
        <v>办公用品</v>
      </c>
    </row>
    <row r="470" spans="1:20">
      <c r="A470" s="8">
        <f>DATE(2012,12,31)-265</f>
        <v>41009</v>
      </c>
      <c r="B470" s="8">
        <f>DATE(2012,12,31)-265</f>
        <v>41009</v>
      </c>
      <c r="C470" s="9" t="s">
        <v>815</v>
      </c>
      <c r="D470">
        <v>10021317463</v>
      </c>
      <c r="E470" t="s">
        <v>47</v>
      </c>
      <c r="F470" t="s">
        <v>97</v>
      </c>
      <c r="G470" t="s">
        <v>98</v>
      </c>
      <c r="H470" t="s">
        <v>99</v>
      </c>
      <c r="I470" t="s">
        <v>98</v>
      </c>
      <c r="J470" t="s">
        <v>668</v>
      </c>
      <c r="K470" s="3">
        <v>10099778991</v>
      </c>
      <c r="L470" s="10">
        <v>41013</v>
      </c>
      <c r="M470">
        <v>2907.63</v>
      </c>
      <c r="N470" s="11">
        <v>42</v>
      </c>
      <c r="O470" s="12">
        <v>71.37</v>
      </c>
      <c r="P470" s="12">
        <v>69</v>
      </c>
      <c r="Q470" s="13">
        <v>54.59805</v>
      </c>
      <c r="R470" s="36" t="s">
        <v>426</v>
      </c>
      <c r="S470" s="7">
        <f t="shared" si="37"/>
        <v>4</v>
      </c>
      <c r="T470" s="15" t="str">
        <f>VLOOKUP(R470,产品分类!$C$2:$D$1278,2,0)</f>
        <v>家具产品</v>
      </c>
    </row>
    <row r="471" spans="1:20">
      <c r="A471" s="8">
        <f>DATE(2012,12,31)-84</f>
        <v>41190</v>
      </c>
      <c r="B471" s="8">
        <f>DATE(2012,12,31)-84</f>
        <v>41190</v>
      </c>
      <c r="C471" s="9" t="s">
        <v>816</v>
      </c>
      <c r="D471">
        <v>10021309480</v>
      </c>
      <c r="E471" t="s">
        <v>47</v>
      </c>
      <c r="F471" t="s">
        <v>177</v>
      </c>
      <c r="G471" t="s">
        <v>178</v>
      </c>
      <c r="H471" t="s">
        <v>795</v>
      </c>
      <c r="I471" t="s">
        <v>796</v>
      </c>
      <c r="J471" t="s">
        <v>668</v>
      </c>
      <c r="K471" s="3">
        <v>100411338644</v>
      </c>
      <c r="L471" s="10">
        <v>41192</v>
      </c>
      <c r="M471">
        <v>42.66</v>
      </c>
      <c r="N471" s="11">
        <v>5</v>
      </c>
      <c r="O471" s="12">
        <v>7.84</v>
      </c>
      <c r="P471" s="12">
        <v>4.71</v>
      </c>
      <c r="Q471" s="13">
        <v>-11.8335</v>
      </c>
      <c r="R471" s="36" t="s">
        <v>817</v>
      </c>
      <c r="S471" s="7">
        <f t="shared" si="37"/>
        <v>2</v>
      </c>
      <c r="T471" s="15" t="str">
        <f>VLOOKUP(R471,产品分类!$C$2:$D$1278,2,0)</f>
        <v>办公用品</v>
      </c>
    </row>
    <row r="472" spans="1:20">
      <c r="A472" s="8">
        <f>DATE(2012,12,31)-413</f>
        <v>40861</v>
      </c>
      <c r="B472" s="8">
        <f>DATE(2012,12,31)-413</f>
        <v>40861</v>
      </c>
      <c r="C472" s="9" t="s">
        <v>818</v>
      </c>
      <c r="D472">
        <v>10021323191</v>
      </c>
      <c r="E472" t="s">
        <v>47</v>
      </c>
      <c r="F472" t="s">
        <v>177</v>
      </c>
      <c r="G472" t="s">
        <v>178</v>
      </c>
      <c r="H472" t="s">
        <v>795</v>
      </c>
      <c r="I472" t="s">
        <v>796</v>
      </c>
      <c r="J472" t="s">
        <v>668</v>
      </c>
      <c r="K472" s="3">
        <v>100914773611</v>
      </c>
      <c r="L472" s="10">
        <v>40863</v>
      </c>
      <c r="M472">
        <v>142.97</v>
      </c>
      <c r="N472" s="11">
        <v>31</v>
      </c>
      <c r="O472" s="12">
        <v>4.71</v>
      </c>
      <c r="P472" s="12">
        <v>0.7</v>
      </c>
      <c r="Q472" s="13">
        <v>-12.26</v>
      </c>
      <c r="R472" s="36" t="s">
        <v>819</v>
      </c>
      <c r="S472" s="7">
        <f t="shared" si="37"/>
        <v>2</v>
      </c>
      <c r="T472" s="15" t="str">
        <f>VLOOKUP(R472,产品分类!$C$2:$D$1278,2,0)</f>
        <v>家具产品</v>
      </c>
    </row>
    <row r="473" spans="1:20">
      <c r="A473" s="8">
        <f>DATE(2012,12,31)-656</f>
        <v>40618</v>
      </c>
      <c r="B473" s="8">
        <f>DATE(2012,12,31)-656</f>
        <v>40618</v>
      </c>
      <c r="C473" s="9" t="s">
        <v>820</v>
      </c>
      <c r="D473">
        <v>10021292589</v>
      </c>
      <c r="E473" t="s">
        <v>47</v>
      </c>
      <c r="F473" t="s">
        <v>132</v>
      </c>
      <c r="G473" t="s">
        <v>133</v>
      </c>
      <c r="H473" t="s">
        <v>134</v>
      </c>
      <c r="I473" t="s">
        <v>133</v>
      </c>
      <c r="J473" t="s">
        <v>668</v>
      </c>
      <c r="K473" s="3">
        <v>100423851254</v>
      </c>
      <c r="L473" s="10">
        <v>40622</v>
      </c>
      <c r="M473">
        <v>17.12</v>
      </c>
      <c r="N473" s="11">
        <v>4</v>
      </c>
      <c r="O473" s="12">
        <v>3.8</v>
      </c>
      <c r="P473" s="12">
        <v>1.49</v>
      </c>
      <c r="Q473" s="13">
        <v>-2.553</v>
      </c>
      <c r="R473" s="36" t="s">
        <v>648</v>
      </c>
      <c r="S473" s="7">
        <f t="shared" si="37"/>
        <v>4</v>
      </c>
      <c r="T473" s="15" t="str">
        <f>VLOOKUP(R473,产品分类!$C$2:$D$1278,2,0)</f>
        <v>家具产品</v>
      </c>
    </row>
    <row r="474" spans="1:20">
      <c r="A474" s="8">
        <f>DATE(2012,12,31)-366</f>
        <v>40908</v>
      </c>
      <c r="B474" s="8">
        <f>DATE(2012,12,31)-366</f>
        <v>40908</v>
      </c>
      <c r="C474" s="9" t="s">
        <v>551</v>
      </c>
      <c r="D474">
        <v>10021255375</v>
      </c>
      <c r="E474" t="s">
        <v>47</v>
      </c>
      <c r="F474" t="s">
        <v>48</v>
      </c>
      <c r="G474" t="s">
        <v>49</v>
      </c>
      <c r="H474" t="s">
        <v>50</v>
      </c>
      <c r="I474" t="s">
        <v>51</v>
      </c>
      <c r="J474" t="s">
        <v>668</v>
      </c>
      <c r="K474" s="3">
        <v>100923812301</v>
      </c>
      <c r="L474" s="10">
        <v>40908</v>
      </c>
      <c r="M474">
        <v>11532.99</v>
      </c>
      <c r="N474" s="11">
        <v>45</v>
      </c>
      <c r="O474" s="12">
        <v>264.98</v>
      </c>
      <c r="P474" s="12">
        <v>17.86</v>
      </c>
      <c r="Q474" s="13">
        <v>2753.39</v>
      </c>
      <c r="R474" s="36" t="s">
        <v>821</v>
      </c>
      <c r="S474" s="7">
        <f t="shared" si="37"/>
        <v>0</v>
      </c>
      <c r="T474" s="15" t="str">
        <f>VLOOKUP(R474,产品分类!$C$2:$D$1278,2,0)</f>
        <v>办公用品</v>
      </c>
    </row>
    <row r="475" spans="1:20">
      <c r="A475" s="8">
        <f>DATE(2012,12,31)-366</f>
        <v>40908</v>
      </c>
      <c r="B475" s="8">
        <f>DATE(2012,12,31)-366</f>
        <v>40908</v>
      </c>
      <c r="C475" s="9" t="s">
        <v>551</v>
      </c>
      <c r="D475">
        <v>10021342036</v>
      </c>
      <c r="E475" t="s">
        <v>47</v>
      </c>
      <c r="F475" t="s">
        <v>72</v>
      </c>
      <c r="G475" t="s">
        <v>73</v>
      </c>
      <c r="H475" t="s">
        <v>74</v>
      </c>
      <c r="I475" t="s">
        <v>75</v>
      </c>
      <c r="J475" t="s">
        <v>668</v>
      </c>
      <c r="K475" s="3">
        <v>100110236576</v>
      </c>
      <c r="L475" s="10">
        <v>40909</v>
      </c>
      <c r="M475">
        <v>146.1</v>
      </c>
      <c r="N475" s="11">
        <v>18</v>
      </c>
      <c r="O475" s="12">
        <v>8.34</v>
      </c>
      <c r="P475" s="12">
        <v>1.43</v>
      </c>
      <c r="Q475" s="13">
        <v>51.14</v>
      </c>
      <c r="R475" s="36" t="s">
        <v>822</v>
      </c>
      <c r="S475" s="7">
        <f t="shared" si="37"/>
        <v>1</v>
      </c>
      <c r="T475" s="15" t="str">
        <f>VLOOKUP(R475,产品分类!$C$2:$D$1278,2,0)</f>
        <v>家具产品</v>
      </c>
    </row>
    <row r="476" spans="1:20">
      <c r="A476" s="8">
        <f>DATE(2012,12,31)-59</f>
        <v>41215</v>
      </c>
      <c r="B476" s="8">
        <f>DATE(2012,12,31)-59</f>
        <v>41215</v>
      </c>
      <c r="C476" s="9" t="s">
        <v>823</v>
      </c>
      <c r="D476">
        <v>10021265052</v>
      </c>
      <c r="E476" t="s">
        <v>47</v>
      </c>
      <c r="F476" t="s">
        <v>78</v>
      </c>
      <c r="G476" t="s">
        <v>79</v>
      </c>
      <c r="H476" t="s">
        <v>80</v>
      </c>
      <c r="I476" t="s">
        <v>81</v>
      </c>
      <c r="J476" t="s">
        <v>668</v>
      </c>
      <c r="K476" s="3">
        <v>100131259307</v>
      </c>
      <c r="L476" s="10">
        <v>41216</v>
      </c>
      <c r="M476">
        <v>158.7</v>
      </c>
      <c r="N476" s="11">
        <v>40</v>
      </c>
      <c r="O476" s="12">
        <v>3.75</v>
      </c>
      <c r="P476" s="12">
        <v>7.5</v>
      </c>
      <c r="Q476" s="13">
        <v>-196.8</v>
      </c>
      <c r="R476" s="36" t="s">
        <v>824</v>
      </c>
      <c r="S476" s="7">
        <f t="shared" si="37"/>
        <v>1</v>
      </c>
      <c r="T476" s="15" t="str">
        <f>VLOOKUP(R476,产品分类!$C$2:$D$1278,2,0)</f>
        <v>办公用品</v>
      </c>
    </row>
    <row r="477" spans="1:20">
      <c r="A477" s="8">
        <f>DATE(2012,12,31)-536</f>
        <v>40738</v>
      </c>
      <c r="B477" s="8">
        <f>DATE(2012,12,31)-536</f>
        <v>40738</v>
      </c>
      <c r="C477" s="9" t="s">
        <v>825</v>
      </c>
      <c r="D477">
        <v>10021350895</v>
      </c>
      <c r="E477" t="s">
        <v>47</v>
      </c>
      <c r="F477" t="s">
        <v>72</v>
      </c>
      <c r="G477" t="s">
        <v>73</v>
      </c>
      <c r="H477" t="s">
        <v>74</v>
      </c>
      <c r="I477" t="s">
        <v>75</v>
      </c>
      <c r="J477" t="s">
        <v>668</v>
      </c>
      <c r="K477" s="3">
        <v>100132190618</v>
      </c>
      <c r="L477" s="10">
        <v>40743</v>
      </c>
      <c r="M477">
        <v>92.02</v>
      </c>
      <c r="N477" s="11">
        <v>6</v>
      </c>
      <c r="O477" s="12">
        <v>15.98</v>
      </c>
      <c r="P477" s="12">
        <v>4</v>
      </c>
      <c r="Q477" s="13">
        <v>-47.36</v>
      </c>
      <c r="R477" s="36" t="s">
        <v>371</v>
      </c>
      <c r="S477" s="7">
        <f t="shared" si="37"/>
        <v>5</v>
      </c>
      <c r="T477" s="15" t="str">
        <f>VLOOKUP(R477,产品分类!$C$2:$D$1278,2,0)</f>
        <v>办公用品</v>
      </c>
    </row>
    <row r="478" spans="1:20">
      <c r="A478" s="8">
        <f>DATE(2012,12,31)-43</f>
        <v>41231</v>
      </c>
      <c r="B478" s="8">
        <f>DATE(2012,12,31)-43</f>
        <v>41231</v>
      </c>
      <c r="C478" s="9" t="s">
        <v>681</v>
      </c>
      <c r="D478">
        <v>10021258503</v>
      </c>
      <c r="E478" t="s">
        <v>47</v>
      </c>
      <c r="F478" t="s">
        <v>230</v>
      </c>
      <c r="G478" t="s">
        <v>231</v>
      </c>
      <c r="H478" t="s">
        <v>232</v>
      </c>
      <c r="I478" t="s">
        <v>233</v>
      </c>
      <c r="J478" t="s">
        <v>668</v>
      </c>
      <c r="K478" s="3">
        <v>100126995577</v>
      </c>
      <c r="L478" s="10">
        <v>41238</v>
      </c>
      <c r="M478">
        <v>1736.41</v>
      </c>
      <c r="N478" s="11">
        <v>12</v>
      </c>
      <c r="O478" s="12">
        <v>146.05</v>
      </c>
      <c r="P478" s="12">
        <v>80.2</v>
      </c>
      <c r="Q478" s="13">
        <v>-762.44</v>
      </c>
      <c r="R478" s="36" t="s">
        <v>239</v>
      </c>
      <c r="S478" s="7">
        <f t="shared" si="37"/>
        <v>7</v>
      </c>
      <c r="T478" s="15" t="str">
        <f>VLOOKUP(R478,产品分类!$C$2:$D$1278,2,0)</f>
        <v>办公用品</v>
      </c>
    </row>
    <row r="479" spans="1:20">
      <c r="A479" s="8">
        <f>DATE(2012,12,31)-956</f>
        <v>40318</v>
      </c>
      <c r="B479" s="8">
        <f>DATE(2012,12,31)-956</f>
        <v>40318</v>
      </c>
      <c r="C479" s="9" t="s">
        <v>826</v>
      </c>
      <c r="D479">
        <v>10021262721</v>
      </c>
      <c r="E479" t="s">
        <v>47</v>
      </c>
      <c r="F479" t="s">
        <v>230</v>
      </c>
      <c r="G479" t="s">
        <v>231</v>
      </c>
      <c r="H479" t="s">
        <v>232</v>
      </c>
      <c r="I479" t="s">
        <v>233</v>
      </c>
      <c r="J479" t="s">
        <v>668</v>
      </c>
      <c r="K479" s="3">
        <v>100330128079</v>
      </c>
      <c r="L479" s="10">
        <v>40319</v>
      </c>
      <c r="M479">
        <v>153.28</v>
      </c>
      <c r="N479" s="11">
        <v>31</v>
      </c>
      <c r="O479" s="12">
        <v>4.91</v>
      </c>
      <c r="P479" s="12">
        <v>0.5</v>
      </c>
      <c r="Q479" s="13">
        <v>73.16</v>
      </c>
      <c r="R479" s="36" t="s">
        <v>827</v>
      </c>
      <c r="S479" s="7">
        <f t="shared" si="37"/>
        <v>1</v>
      </c>
      <c r="T479" s="15" t="str">
        <f>VLOOKUP(R479,产品分类!$C$2:$D$1278,2,0)</f>
        <v>家具产品</v>
      </c>
    </row>
    <row r="480" spans="1:20">
      <c r="A480" s="8">
        <f>DATE(2012,12,31)-1153</f>
        <v>40121</v>
      </c>
      <c r="B480" s="8">
        <f>DATE(2012,12,31)-1153</f>
        <v>40121</v>
      </c>
      <c r="C480" s="9" t="s">
        <v>828</v>
      </c>
      <c r="D480">
        <v>10021311847</v>
      </c>
      <c r="E480" t="s">
        <v>47</v>
      </c>
      <c r="F480" t="s">
        <v>114</v>
      </c>
      <c r="G480" t="s">
        <v>115</v>
      </c>
      <c r="H480" t="s">
        <v>116</v>
      </c>
      <c r="I480" t="s">
        <v>117</v>
      </c>
      <c r="J480" t="s">
        <v>668</v>
      </c>
      <c r="K480" s="3">
        <v>100125505968</v>
      </c>
      <c r="L480" s="10">
        <v>40123</v>
      </c>
      <c r="M480">
        <v>22.19</v>
      </c>
      <c r="N480" s="11">
        <v>6</v>
      </c>
      <c r="O480" s="12">
        <v>3.26</v>
      </c>
      <c r="P480" s="12">
        <v>1.86</v>
      </c>
      <c r="Q480" s="13">
        <v>-3.51</v>
      </c>
      <c r="R480" s="36" t="s">
        <v>829</v>
      </c>
      <c r="S480" s="7">
        <f t="shared" si="37"/>
        <v>2</v>
      </c>
      <c r="T480" s="15" t="str">
        <f>VLOOKUP(R480,产品分类!$C$2:$D$1278,2,0)</f>
        <v>数码电子</v>
      </c>
    </row>
    <row r="481" spans="1:20">
      <c r="A481" s="16">
        <f>DATE(2012,12,31)-107</f>
        <v>41167</v>
      </c>
      <c r="B481" s="16">
        <f>DATE(2012,12,31)-107</f>
        <v>41167</v>
      </c>
      <c r="C481" s="9" t="s">
        <v>830</v>
      </c>
      <c r="D481">
        <v>10021253263</v>
      </c>
      <c r="E481" t="s">
        <v>47</v>
      </c>
      <c r="F481" t="s">
        <v>55</v>
      </c>
      <c r="G481" t="s">
        <v>56</v>
      </c>
      <c r="H481" t="s">
        <v>57</v>
      </c>
      <c r="I481" t="s">
        <v>58</v>
      </c>
      <c r="J481" t="s">
        <v>668</v>
      </c>
      <c r="K481" s="3">
        <v>100318072769</v>
      </c>
      <c r="L481" s="10">
        <v>41169</v>
      </c>
      <c r="M481">
        <v>927.97</v>
      </c>
      <c r="N481" s="17">
        <v>42</v>
      </c>
      <c r="O481" s="5">
        <v>22.98</v>
      </c>
      <c r="P481" s="5">
        <v>4.5</v>
      </c>
      <c r="Q481" s="6">
        <v>162.17</v>
      </c>
      <c r="R481" s="37" t="s">
        <v>831</v>
      </c>
      <c r="S481" s="7">
        <f t="shared" si="37"/>
        <v>2</v>
      </c>
      <c r="T481" s="15" t="str">
        <f>VLOOKUP(R481,产品分类!$C$2:$D$1278,2,0)</f>
        <v>家具产品</v>
      </c>
    </row>
    <row r="482" spans="1:20">
      <c r="A482" s="16">
        <f>DATE(2012,12,31)-107</f>
        <v>41167</v>
      </c>
      <c r="B482" s="16">
        <f>DATE(2012,12,31)-107</f>
        <v>41167</v>
      </c>
      <c r="C482" s="9" t="s">
        <v>830</v>
      </c>
      <c r="D482">
        <v>10021260653</v>
      </c>
      <c r="E482" t="s">
        <v>47</v>
      </c>
      <c r="F482" t="s">
        <v>83</v>
      </c>
      <c r="G482" t="s">
        <v>84</v>
      </c>
      <c r="H482" t="s">
        <v>85</v>
      </c>
      <c r="I482" t="s">
        <v>86</v>
      </c>
      <c r="J482" t="s">
        <v>668</v>
      </c>
      <c r="K482" s="3">
        <v>100128836256</v>
      </c>
      <c r="L482" s="10">
        <v>41167</v>
      </c>
      <c r="M482">
        <v>59.05</v>
      </c>
      <c r="N482" s="17">
        <v>9</v>
      </c>
      <c r="O482" s="5">
        <v>6.48</v>
      </c>
      <c r="P482" s="5">
        <v>5.4</v>
      </c>
      <c r="Q482" s="6">
        <v>-24.09</v>
      </c>
      <c r="R482" s="37" t="s">
        <v>580</v>
      </c>
      <c r="S482" s="7">
        <f t="shared" si="37"/>
        <v>0</v>
      </c>
      <c r="T482" s="15" t="str">
        <f>VLOOKUP(R482,产品分类!$C$2:$D$1278,2,0)</f>
        <v>家具产品</v>
      </c>
    </row>
    <row r="483" spans="1:20">
      <c r="A483" s="8">
        <f>DATE(2012,12,31)-131</f>
        <v>41143</v>
      </c>
      <c r="B483" s="8">
        <f>DATE(2012,12,31)-131</f>
        <v>41143</v>
      </c>
      <c r="C483" s="9" t="s">
        <v>832</v>
      </c>
      <c r="D483">
        <v>10021257581</v>
      </c>
      <c r="E483" t="s">
        <v>47</v>
      </c>
      <c r="F483" t="s">
        <v>122</v>
      </c>
      <c r="G483" t="s">
        <v>123</v>
      </c>
      <c r="H483" t="s">
        <v>124</v>
      </c>
      <c r="I483" t="s">
        <v>125</v>
      </c>
      <c r="J483" t="s">
        <v>668</v>
      </c>
      <c r="K483" s="3">
        <v>100126544108</v>
      </c>
      <c r="L483" s="10">
        <v>41143</v>
      </c>
      <c r="M483">
        <v>213.71</v>
      </c>
      <c r="N483" s="11">
        <v>49</v>
      </c>
      <c r="O483" s="12">
        <v>4.28</v>
      </c>
      <c r="P483" s="12">
        <v>6.72</v>
      </c>
      <c r="Q483" s="13">
        <v>-208.02</v>
      </c>
      <c r="R483" s="36" t="s">
        <v>833</v>
      </c>
      <c r="S483" s="7">
        <f t="shared" si="37"/>
        <v>0</v>
      </c>
      <c r="T483" s="15" t="str">
        <f>VLOOKUP(R483,产品分类!$C$2:$D$1278,2,0)</f>
        <v>家具产品</v>
      </c>
    </row>
    <row r="484" spans="1:20">
      <c r="A484" s="8">
        <f>DATE(2012,12,31)-131</f>
        <v>41143</v>
      </c>
      <c r="B484" s="8">
        <f>DATE(2012,12,31)-131</f>
        <v>41143</v>
      </c>
      <c r="C484" s="9" t="s">
        <v>832</v>
      </c>
      <c r="D484">
        <v>10021347426</v>
      </c>
      <c r="E484" t="s">
        <v>47</v>
      </c>
      <c r="F484" t="s">
        <v>55</v>
      </c>
      <c r="G484" t="s">
        <v>56</v>
      </c>
      <c r="H484" t="s">
        <v>57</v>
      </c>
      <c r="I484" t="s">
        <v>58</v>
      </c>
      <c r="J484" t="s">
        <v>668</v>
      </c>
      <c r="K484" s="3">
        <v>100931130751</v>
      </c>
      <c r="L484" s="10">
        <v>41144</v>
      </c>
      <c r="M484">
        <v>133.66</v>
      </c>
      <c r="N484" s="11">
        <v>23</v>
      </c>
      <c r="O484" s="12">
        <v>5.85</v>
      </c>
      <c r="P484" s="12">
        <v>2.27</v>
      </c>
      <c r="Q484" s="13">
        <v>-5.6</v>
      </c>
      <c r="R484" s="36" t="s">
        <v>834</v>
      </c>
      <c r="S484" s="7">
        <f t="shared" si="37"/>
        <v>1</v>
      </c>
      <c r="T484" s="15" t="str">
        <f>VLOOKUP(R484,产品分类!$C$2:$D$1278,2,0)</f>
        <v>家具产品</v>
      </c>
    </row>
    <row r="485" spans="1:20">
      <c r="A485" s="8">
        <f>DATE(2012,12,31)-522</f>
        <v>40752</v>
      </c>
      <c r="B485" s="8">
        <f>DATE(2012,12,31)-522</f>
        <v>40752</v>
      </c>
      <c r="C485" s="9" t="s">
        <v>835</v>
      </c>
      <c r="D485">
        <v>10021248490</v>
      </c>
      <c r="E485" t="s">
        <v>47</v>
      </c>
      <c r="F485" t="s">
        <v>91</v>
      </c>
      <c r="G485" t="s">
        <v>92</v>
      </c>
      <c r="H485" t="s">
        <v>774</v>
      </c>
      <c r="I485" t="s">
        <v>775</v>
      </c>
      <c r="J485" t="s">
        <v>668</v>
      </c>
      <c r="K485" s="3">
        <v>10012521497</v>
      </c>
      <c r="L485" s="10">
        <v>40756</v>
      </c>
      <c r="M485">
        <v>1699.52</v>
      </c>
      <c r="N485" s="11">
        <v>40</v>
      </c>
      <c r="O485" s="12">
        <v>40.98</v>
      </c>
      <c r="P485" s="12">
        <v>1.99</v>
      </c>
      <c r="Q485" s="13">
        <v>734.75</v>
      </c>
      <c r="R485" s="36" t="s">
        <v>541</v>
      </c>
      <c r="S485" s="7">
        <f t="shared" si="37"/>
        <v>4</v>
      </c>
      <c r="T485" s="15" t="str">
        <f>VLOOKUP(R485,产品分类!$C$2:$D$1278,2,0)</f>
        <v>办公用品</v>
      </c>
    </row>
    <row r="486" spans="1:20">
      <c r="A486" s="8">
        <f>DATE(2012,12,31)-522</f>
        <v>40752</v>
      </c>
      <c r="B486" s="8">
        <f>DATE(2012,12,31)-522</f>
        <v>40752</v>
      </c>
      <c r="C486" s="9" t="s">
        <v>835</v>
      </c>
      <c r="D486">
        <v>10021267181</v>
      </c>
      <c r="E486" t="s">
        <v>47</v>
      </c>
      <c r="F486" t="s">
        <v>91</v>
      </c>
      <c r="G486" t="s">
        <v>92</v>
      </c>
      <c r="H486" t="s">
        <v>774</v>
      </c>
      <c r="I486" t="s">
        <v>775</v>
      </c>
      <c r="J486" t="s">
        <v>668</v>
      </c>
      <c r="K486" s="3">
        <v>100728814485</v>
      </c>
      <c r="L486" s="10">
        <v>40761</v>
      </c>
      <c r="M486">
        <v>760.85</v>
      </c>
      <c r="N486" s="11">
        <v>50</v>
      </c>
      <c r="O486" s="12">
        <v>15.14</v>
      </c>
      <c r="P486" s="12">
        <v>4.53</v>
      </c>
      <c r="Q486" s="13">
        <v>-109.1</v>
      </c>
      <c r="R486" s="36" t="s">
        <v>836</v>
      </c>
      <c r="S486" s="7">
        <f t="shared" si="37"/>
        <v>9</v>
      </c>
      <c r="T486" s="15" t="str">
        <f>VLOOKUP(R486,产品分类!$C$2:$D$1278,2,0)</f>
        <v>办公用品</v>
      </c>
    </row>
    <row r="487" spans="1:20">
      <c r="A487" s="8">
        <f>DATE(2012,12,31)-466</f>
        <v>40808</v>
      </c>
      <c r="B487" s="8">
        <f>DATE(2012,12,31)-466</f>
        <v>40808</v>
      </c>
      <c r="C487" s="9" t="s">
        <v>837</v>
      </c>
      <c r="D487">
        <v>10021352546</v>
      </c>
      <c r="E487" t="s">
        <v>47</v>
      </c>
      <c r="F487" t="s">
        <v>83</v>
      </c>
      <c r="G487" t="s">
        <v>84</v>
      </c>
      <c r="H487" t="s">
        <v>85</v>
      </c>
      <c r="I487" t="s">
        <v>86</v>
      </c>
      <c r="J487" t="s">
        <v>668</v>
      </c>
      <c r="K487" s="3">
        <v>100932531051</v>
      </c>
      <c r="L487" s="10">
        <v>40808</v>
      </c>
      <c r="M487">
        <v>8185.89</v>
      </c>
      <c r="N487" s="11">
        <v>21</v>
      </c>
      <c r="O487" s="12">
        <v>415.88</v>
      </c>
      <c r="P487" s="12">
        <v>11.37</v>
      </c>
      <c r="Q487" s="13">
        <v>2137.28</v>
      </c>
      <c r="R487" s="36" t="s">
        <v>482</v>
      </c>
      <c r="S487" s="7">
        <f t="shared" si="37"/>
        <v>0</v>
      </c>
      <c r="T487" s="15" t="str">
        <f>VLOOKUP(R487,产品分类!$C$2:$D$1278,2,0)</f>
        <v>家具产品</v>
      </c>
    </row>
    <row r="488" spans="1:20">
      <c r="A488" s="8">
        <f>DATE(2012,12,31)-547</f>
        <v>40727</v>
      </c>
      <c r="B488" s="8">
        <f>DATE(2012,12,31)-547</f>
        <v>40727</v>
      </c>
      <c r="C488" s="9" t="s">
        <v>838</v>
      </c>
      <c r="D488">
        <v>10021292678</v>
      </c>
      <c r="E488" t="s">
        <v>47</v>
      </c>
      <c r="F488" t="s">
        <v>91</v>
      </c>
      <c r="G488" t="s">
        <v>92</v>
      </c>
      <c r="H488" t="s">
        <v>774</v>
      </c>
      <c r="I488" t="s">
        <v>775</v>
      </c>
      <c r="J488" t="s">
        <v>668</v>
      </c>
      <c r="K488" s="3">
        <v>1009659091</v>
      </c>
      <c r="L488" s="10">
        <v>40728</v>
      </c>
      <c r="M488">
        <v>127.74</v>
      </c>
      <c r="N488" s="11">
        <v>7</v>
      </c>
      <c r="O488" s="12">
        <v>15.98</v>
      </c>
      <c r="P488" s="12">
        <v>4</v>
      </c>
      <c r="Q488" s="13">
        <v>-5.57</v>
      </c>
      <c r="R488" s="36" t="s">
        <v>371</v>
      </c>
      <c r="S488" s="7">
        <f t="shared" si="37"/>
        <v>1</v>
      </c>
      <c r="T488" s="15" t="str">
        <f>VLOOKUP(R488,产品分类!$C$2:$D$1278,2,0)</f>
        <v>办公用品</v>
      </c>
    </row>
    <row r="489" spans="1:20">
      <c r="A489" s="8">
        <f>DATE(2012,12,31)-547</f>
        <v>40727</v>
      </c>
      <c r="B489" s="8">
        <f>DATE(2012,12,31)-547</f>
        <v>40727</v>
      </c>
      <c r="C489" s="9" t="s">
        <v>838</v>
      </c>
      <c r="D489">
        <v>10021281639</v>
      </c>
      <c r="E489" t="s">
        <v>47</v>
      </c>
      <c r="F489" t="s">
        <v>55</v>
      </c>
      <c r="G489" t="s">
        <v>56</v>
      </c>
      <c r="H489" t="s">
        <v>57</v>
      </c>
      <c r="I489" t="s">
        <v>58</v>
      </c>
      <c r="J489" t="s">
        <v>668</v>
      </c>
      <c r="K489" s="3">
        <v>100122622808</v>
      </c>
      <c r="L489" s="10">
        <v>40727</v>
      </c>
      <c r="M489">
        <v>325.92</v>
      </c>
      <c r="N489" s="11">
        <v>33</v>
      </c>
      <c r="O489" s="12">
        <v>9.48</v>
      </c>
      <c r="P489" s="12">
        <v>7.29</v>
      </c>
      <c r="Q489" s="13">
        <v>-36.47</v>
      </c>
      <c r="R489" s="36" t="s">
        <v>839</v>
      </c>
      <c r="S489" s="7">
        <f t="shared" si="37"/>
        <v>0</v>
      </c>
      <c r="T489" s="15" t="str">
        <f>VLOOKUP(R489,产品分类!$C$2:$D$1278,2,0)</f>
        <v>办公用品</v>
      </c>
    </row>
    <row r="490" spans="1:20">
      <c r="A490" s="8">
        <f t="shared" ref="A490:B493" si="38">DATE(2012,12,31)-1159</f>
        <v>40115</v>
      </c>
      <c r="B490" s="8">
        <f t="shared" si="38"/>
        <v>40115</v>
      </c>
      <c r="C490" s="9" t="s">
        <v>840</v>
      </c>
      <c r="D490">
        <v>10021255454</v>
      </c>
      <c r="E490" t="s">
        <v>47</v>
      </c>
      <c r="F490" t="s">
        <v>122</v>
      </c>
      <c r="G490" t="s">
        <v>123</v>
      </c>
      <c r="H490" t="s">
        <v>124</v>
      </c>
      <c r="I490" t="s">
        <v>125</v>
      </c>
      <c r="J490" t="s">
        <v>668</v>
      </c>
      <c r="K490" s="3">
        <v>100924000771</v>
      </c>
      <c r="L490" s="10">
        <v>40117</v>
      </c>
      <c r="M490">
        <v>181.17</v>
      </c>
      <c r="N490" s="11">
        <v>31</v>
      </c>
      <c r="O490" s="12">
        <v>5.38</v>
      </c>
      <c r="P490" s="12">
        <v>5.24</v>
      </c>
      <c r="Q490" s="13">
        <v>-59.8805</v>
      </c>
      <c r="R490" s="36" t="s">
        <v>841</v>
      </c>
      <c r="S490" s="7">
        <f t="shared" si="37"/>
        <v>2</v>
      </c>
      <c r="T490" s="15" t="str">
        <f>VLOOKUP(R490,产品分类!$C$2:$D$1278,2,0)</f>
        <v>办公用品</v>
      </c>
    </row>
    <row r="491" spans="1:20">
      <c r="A491" s="8">
        <f t="shared" si="38"/>
        <v>40115</v>
      </c>
      <c r="B491" s="8">
        <f t="shared" si="38"/>
        <v>40115</v>
      </c>
      <c r="C491" s="9" t="s">
        <v>840</v>
      </c>
      <c r="D491">
        <v>10021298564</v>
      </c>
      <c r="E491" t="s">
        <v>47</v>
      </c>
      <c r="F491" t="s">
        <v>122</v>
      </c>
      <c r="G491" t="s">
        <v>123</v>
      </c>
      <c r="H491" t="s">
        <v>124</v>
      </c>
      <c r="I491" t="s">
        <v>125</v>
      </c>
      <c r="J491" t="s">
        <v>668</v>
      </c>
      <c r="K491" s="3">
        <v>100126936167</v>
      </c>
      <c r="L491" s="10">
        <v>40117</v>
      </c>
      <c r="M491">
        <v>13.16</v>
      </c>
      <c r="N491" s="11">
        <v>1</v>
      </c>
      <c r="O491" s="12">
        <v>7.35</v>
      </c>
      <c r="P491" s="12">
        <v>5.96</v>
      </c>
      <c r="Q491" s="13">
        <v>-10.29</v>
      </c>
      <c r="R491" s="36" t="s">
        <v>842</v>
      </c>
      <c r="S491" s="7">
        <f t="shared" si="37"/>
        <v>2</v>
      </c>
      <c r="T491" s="15" t="str">
        <f>VLOOKUP(R491,产品分类!$C$2:$D$1278,2,0)</f>
        <v>家具产品</v>
      </c>
    </row>
    <row r="492" spans="1:20">
      <c r="A492" s="8">
        <f t="shared" si="38"/>
        <v>40115</v>
      </c>
      <c r="B492" s="8">
        <f t="shared" si="38"/>
        <v>40115</v>
      </c>
      <c r="C492" s="9" t="s">
        <v>840</v>
      </c>
      <c r="D492">
        <v>10021249057</v>
      </c>
      <c r="E492" t="s">
        <v>47</v>
      </c>
      <c r="F492" t="s">
        <v>132</v>
      </c>
      <c r="G492" t="s">
        <v>133</v>
      </c>
      <c r="H492" t="s">
        <v>134</v>
      </c>
      <c r="I492" t="s">
        <v>133</v>
      </c>
      <c r="J492" t="s">
        <v>668</v>
      </c>
      <c r="K492" s="3">
        <v>10099118191</v>
      </c>
      <c r="L492" s="10">
        <v>40116</v>
      </c>
      <c r="M492">
        <v>107.88</v>
      </c>
      <c r="N492" s="11">
        <v>7</v>
      </c>
      <c r="O492" s="12">
        <v>15.57</v>
      </c>
      <c r="P492" s="12">
        <v>1.39</v>
      </c>
      <c r="Q492" s="13">
        <v>25.59</v>
      </c>
      <c r="R492" s="36" t="s">
        <v>843</v>
      </c>
      <c r="S492" s="7">
        <f t="shared" si="37"/>
        <v>1</v>
      </c>
      <c r="T492" s="15" t="str">
        <f>VLOOKUP(R492,产品分类!$C$2:$D$1278,2,0)</f>
        <v>办公用品</v>
      </c>
    </row>
    <row r="493" spans="1:20">
      <c r="A493" s="8">
        <f t="shared" si="38"/>
        <v>40115</v>
      </c>
      <c r="B493" s="8">
        <f t="shared" si="38"/>
        <v>40115</v>
      </c>
      <c r="C493" s="9" t="s">
        <v>840</v>
      </c>
      <c r="D493">
        <v>10021343482</v>
      </c>
      <c r="E493" t="s">
        <v>47</v>
      </c>
      <c r="F493" t="s">
        <v>132</v>
      </c>
      <c r="G493" t="s">
        <v>133</v>
      </c>
      <c r="H493" t="s">
        <v>134</v>
      </c>
      <c r="I493" t="s">
        <v>133</v>
      </c>
      <c r="J493" t="s">
        <v>668</v>
      </c>
      <c r="K493" s="3">
        <v>100928783661</v>
      </c>
      <c r="L493" s="10">
        <v>40116</v>
      </c>
      <c r="M493">
        <v>623.02</v>
      </c>
      <c r="N493" s="11">
        <v>29</v>
      </c>
      <c r="O493" s="12">
        <v>20.89</v>
      </c>
      <c r="P493" s="12">
        <v>11.52</v>
      </c>
      <c r="Q493" s="13">
        <v>-255.66</v>
      </c>
      <c r="R493" s="36" t="s">
        <v>844</v>
      </c>
      <c r="S493" s="7">
        <f t="shared" si="37"/>
        <v>1</v>
      </c>
      <c r="T493" s="15" t="str">
        <f>VLOOKUP(R493,产品分类!$C$2:$D$1278,2,0)</f>
        <v>办公用品</v>
      </c>
    </row>
    <row r="494" spans="1:20">
      <c r="A494" s="8">
        <f>DATE(2012,12,31)-1288</f>
        <v>39986</v>
      </c>
      <c r="B494" s="8">
        <f>DATE(2012,12,31)-1288</f>
        <v>39986</v>
      </c>
      <c r="C494" s="9" t="s">
        <v>845</v>
      </c>
      <c r="D494">
        <v>10021296694</v>
      </c>
      <c r="E494" t="s">
        <v>47</v>
      </c>
      <c r="F494" t="s">
        <v>137</v>
      </c>
      <c r="G494" t="s">
        <v>138</v>
      </c>
      <c r="H494" t="s">
        <v>139</v>
      </c>
      <c r="I494" t="s">
        <v>140</v>
      </c>
      <c r="J494" t="s">
        <v>668</v>
      </c>
      <c r="K494" s="3">
        <v>100417420033</v>
      </c>
      <c r="L494" s="10">
        <v>39988</v>
      </c>
      <c r="M494">
        <v>815.89</v>
      </c>
      <c r="N494" s="11">
        <v>43</v>
      </c>
      <c r="O494" s="12">
        <v>19.98</v>
      </c>
      <c r="P494" s="12">
        <v>4</v>
      </c>
      <c r="Q494" s="13">
        <v>-20.25</v>
      </c>
      <c r="R494" s="36" t="s">
        <v>846</v>
      </c>
      <c r="S494" s="7">
        <f t="shared" si="37"/>
        <v>2</v>
      </c>
      <c r="T494" s="15" t="str">
        <f>VLOOKUP(R494,产品分类!$C$2:$D$1278,2,0)</f>
        <v>数码电子</v>
      </c>
    </row>
    <row r="495" spans="1:20">
      <c r="A495" s="16">
        <f>DATE(2012,12,31)-1288</f>
        <v>39986</v>
      </c>
      <c r="B495" s="16">
        <f>DATE(2012,12,31)-1288</f>
        <v>39986</v>
      </c>
      <c r="C495" s="9" t="s">
        <v>845</v>
      </c>
      <c r="D495">
        <v>10021254022</v>
      </c>
      <c r="E495" t="s">
        <v>47</v>
      </c>
      <c r="F495" t="s">
        <v>171</v>
      </c>
      <c r="G495" t="s">
        <v>172</v>
      </c>
      <c r="H495" t="s">
        <v>788</v>
      </c>
      <c r="I495" t="s">
        <v>789</v>
      </c>
      <c r="J495" t="s">
        <v>668</v>
      </c>
      <c r="K495" s="3">
        <v>100921291861</v>
      </c>
      <c r="L495" s="10">
        <v>39987</v>
      </c>
      <c r="M495">
        <v>30.61</v>
      </c>
      <c r="N495" s="17">
        <v>11</v>
      </c>
      <c r="O495" s="5">
        <v>2.88</v>
      </c>
      <c r="P495" s="5">
        <v>1.49</v>
      </c>
      <c r="Q495" s="6">
        <v>-3.381</v>
      </c>
      <c r="R495" s="37" t="s">
        <v>847</v>
      </c>
      <c r="S495" s="7">
        <f t="shared" si="37"/>
        <v>1</v>
      </c>
      <c r="T495" s="15" t="str">
        <f>VLOOKUP(R495,产品分类!$C$2:$D$1278,2,0)</f>
        <v>数码电子</v>
      </c>
    </row>
    <row r="496" spans="1:20">
      <c r="A496" s="8">
        <f>DATE(2012,12,31)-945</f>
        <v>40329</v>
      </c>
      <c r="B496" s="8">
        <f>DATE(2012,12,31)-945</f>
        <v>40329</v>
      </c>
      <c r="C496" s="9" t="s">
        <v>848</v>
      </c>
      <c r="D496">
        <v>10021257787</v>
      </c>
      <c r="E496" t="s">
        <v>47</v>
      </c>
      <c r="F496" t="s">
        <v>171</v>
      </c>
      <c r="G496" t="s">
        <v>172</v>
      </c>
      <c r="H496" t="s">
        <v>788</v>
      </c>
      <c r="I496" t="s">
        <v>789</v>
      </c>
      <c r="J496" t="s">
        <v>668</v>
      </c>
      <c r="K496" s="3">
        <v>100426698964</v>
      </c>
      <c r="L496" s="10">
        <v>40333</v>
      </c>
      <c r="M496">
        <v>5418.68</v>
      </c>
      <c r="N496" s="11">
        <v>20</v>
      </c>
      <c r="O496" s="12">
        <v>280.98</v>
      </c>
      <c r="P496" s="12">
        <v>35.67</v>
      </c>
      <c r="Q496" s="13">
        <v>332.3007</v>
      </c>
      <c r="R496" s="36" t="s">
        <v>395</v>
      </c>
      <c r="S496" s="7">
        <f t="shared" si="37"/>
        <v>4</v>
      </c>
      <c r="T496" s="15" t="str">
        <f>VLOOKUP(R496,产品分类!$C$2:$D$1278,2,0)</f>
        <v>数码电子</v>
      </c>
    </row>
    <row r="497" spans="1:20">
      <c r="A497" s="8">
        <f>DATE(2012,12,31)-1106</f>
        <v>40168</v>
      </c>
      <c r="B497" s="8">
        <f>DATE(2012,12,31)-1106</f>
        <v>40168</v>
      </c>
      <c r="C497" s="9" t="s">
        <v>849</v>
      </c>
      <c r="D497">
        <v>10021349405</v>
      </c>
      <c r="E497" t="s">
        <v>47</v>
      </c>
      <c r="F497" t="s">
        <v>61</v>
      </c>
      <c r="G497" t="s">
        <v>62</v>
      </c>
      <c r="H497" t="s">
        <v>454</v>
      </c>
      <c r="I497" t="s">
        <v>455</v>
      </c>
      <c r="J497" t="s">
        <v>668</v>
      </c>
      <c r="K497" s="3">
        <v>100931860651</v>
      </c>
      <c r="L497" s="10">
        <v>40170</v>
      </c>
      <c r="M497">
        <v>627.91</v>
      </c>
      <c r="N497" s="11">
        <v>41</v>
      </c>
      <c r="O497" s="12">
        <v>15.28</v>
      </c>
      <c r="P497" s="12">
        <v>1.99</v>
      </c>
      <c r="Q497" s="13">
        <v>222.08</v>
      </c>
      <c r="R497" s="36" t="s">
        <v>850</v>
      </c>
      <c r="S497" s="7">
        <f t="shared" si="37"/>
        <v>2</v>
      </c>
      <c r="T497" s="15" t="str">
        <f>VLOOKUP(R497,产品分类!$C$2:$D$1278,2,0)</f>
        <v>数码电子</v>
      </c>
    </row>
    <row r="498" spans="1:20">
      <c r="A498" s="16">
        <f>DATE(2012,12,31)-1106</f>
        <v>40168</v>
      </c>
      <c r="B498" s="16">
        <f>DATE(2012,12,31)-1106</f>
        <v>40168</v>
      </c>
      <c r="C498" s="9" t="s">
        <v>849</v>
      </c>
      <c r="D498">
        <v>10021256000</v>
      </c>
      <c r="E498" t="s">
        <v>47</v>
      </c>
      <c r="F498" t="s">
        <v>61</v>
      </c>
      <c r="G498" t="s">
        <v>62</v>
      </c>
      <c r="H498" t="s">
        <v>454</v>
      </c>
      <c r="I498" t="s">
        <v>455</v>
      </c>
      <c r="J498" t="s">
        <v>668</v>
      </c>
      <c r="K498" s="3">
        <v>100124892546</v>
      </c>
      <c r="L498" s="10">
        <v>40171</v>
      </c>
      <c r="M498">
        <v>46.89</v>
      </c>
      <c r="N498" s="17">
        <v>28</v>
      </c>
      <c r="O498" s="5">
        <v>1.76</v>
      </c>
      <c r="P498" s="5">
        <v>0.7</v>
      </c>
      <c r="Q498" s="6">
        <v>-3.83</v>
      </c>
      <c r="R498" s="37" t="s">
        <v>318</v>
      </c>
      <c r="S498" s="7">
        <f t="shared" si="37"/>
        <v>3</v>
      </c>
      <c r="T498" s="15" t="str">
        <f>VLOOKUP(R498,产品分类!$C$2:$D$1278,2,0)</f>
        <v>办公用品</v>
      </c>
    </row>
    <row r="499" spans="1:20">
      <c r="A499" s="8">
        <f>DATE(2012,12,31)-1253</f>
        <v>40021</v>
      </c>
      <c r="B499" s="8">
        <f>DATE(2012,12,31)-1253</f>
        <v>40021</v>
      </c>
      <c r="C499" s="9" t="s">
        <v>851</v>
      </c>
      <c r="D499">
        <v>10021349664</v>
      </c>
      <c r="E499" t="s">
        <v>47</v>
      </c>
      <c r="F499" t="s">
        <v>253</v>
      </c>
      <c r="G499" t="s">
        <v>254</v>
      </c>
      <c r="H499" t="s">
        <v>255</v>
      </c>
      <c r="I499" t="s">
        <v>256</v>
      </c>
      <c r="J499" t="s">
        <v>668</v>
      </c>
      <c r="K499" s="3">
        <v>100131885708</v>
      </c>
      <c r="L499" s="10">
        <v>40023</v>
      </c>
      <c r="M499">
        <v>2152.404</v>
      </c>
      <c r="N499" s="11">
        <v>24</v>
      </c>
      <c r="O499" s="12">
        <v>110.99</v>
      </c>
      <c r="P499" s="12">
        <v>8.99</v>
      </c>
      <c r="Q499" s="13">
        <v>218.871</v>
      </c>
      <c r="R499" s="36" t="s">
        <v>852</v>
      </c>
      <c r="S499" s="7">
        <f t="shared" si="37"/>
        <v>2</v>
      </c>
      <c r="T499" s="15" t="str">
        <f>VLOOKUP(R499,产品分类!$C$2:$D$1278,2,0)</f>
        <v>家具产品</v>
      </c>
    </row>
    <row r="500" spans="1:20">
      <c r="A500" s="16">
        <f>DATE(2012,12,31)-456</f>
        <v>40818</v>
      </c>
      <c r="B500" s="16">
        <f>DATE(2012,12,31)-456</f>
        <v>40818</v>
      </c>
      <c r="C500" s="9" t="s">
        <v>853</v>
      </c>
      <c r="D500">
        <v>10021321444</v>
      </c>
      <c r="E500" t="s">
        <v>47</v>
      </c>
      <c r="F500" t="s">
        <v>66</v>
      </c>
      <c r="G500" t="s">
        <v>67</v>
      </c>
      <c r="H500" t="s">
        <v>68</v>
      </c>
      <c r="I500" t="s">
        <v>69</v>
      </c>
      <c r="J500" t="s">
        <v>668</v>
      </c>
      <c r="K500" s="3">
        <v>100132831607</v>
      </c>
      <c r="L500" s="10">
        <v>40820</v>
      </c>
      <c r="M500">
        <v>153.23</v>
      </c>
      <c r="N500" s="17">
        <v>27</v>
      </c>
      <c r="O500" s="5">
        <v>5.98</v>
      </c>
      <c r="P500" s="5">
        <v>4.69</v>
      </c>
      <c r="Q500" s="6">
        <v>-95.15</v>
      </c>
      <c r="R500" s="37" t="s">
        <v>854</v>
      </c>
      <c r="S500" s="7">
        <f t="shared" si="37"/>
        <v>2</v>
      </c>
      <c r="T500" s="15" t="str">
        <f>VLOOKUP(R500,产品分类!$C$2:$D$1278,2,0)</f>
        <v>办公用品</v>
      </c>
    </row>
    <row r="501" spans="1:20">
      <c r="A501" s="8">
        <f>DATE(2012,12,31)-1066</f>
        <v>40208</v>
      </c>
      <c r="B501" s="8">
        <f>DATE(2012,12,31)-1066</f>
        <v>40208</v>
      </c>
      <c r="C501" s="9" t="s">
        <v>855</v>
      </c>
      <c r="D501">
        <v>10021327657</v>
      </c>
      <c r="E501" t="s">
        <v>47</v>
      </c>
      <c r="F501" t="s">
        <v>72</v>
      </c>
      <c r="G501" t="s">
        <v>73</v>
      </c>
      <c r="H501" t="s">
        <v>74</v>
      </c>
      <c r="I501" t="s">
        <v>75</v>
      </c>
      <c r="J501" t="s">
        <v>668</v>
      </c>
      <c r="K501" s="3">
        <v>100432849743</v>
      </c>
      <c r="L501" s="10">
        <v>40210</v>
      </c>
      <c r="M501">
        <v>2053.379</v>
      </c>
      <c r="N501" s="11">
        <v>47</v>
      </c>
      <c r="O501" s="12">
        <v>55.99</v>
      </c>
      <c r="P501" s="12">
        <v>1.25</v>
      </c>
      <c r="Q501" s="13">
        <v>1040.4</v>
      </c>
      <c r="R501" s="36" t="s">
        <v>856</v>
      </c>
      <c r="S501" s="7">
        <f t="shared" si="37"/>
        <v>2</v>
      </c>
      <c r="T501" s="15" t="str">
        <f>VLOOKUP(R501,产品分类!$C$2:$D$1278,2,0)</f>
        <v>数码电子</v>
      </c>
    </row>
    <row r="502" spans="1:20">
      <c r="A502" s="8">
        <f>DATE(2012,12,31)-1066</f>
        <v>40208</v>
      </c>
      <c r="B502" s="8">
        <f>DATE(2012,12,31)-1066</f>
        <v>40208</v>
      </c>
      <c r="C502" s="9" t="s">
        <v>855</v>
      </c>
      <c r="D502">
        <v>10021328800</v>
      </c>
      <c r="E502" t="s">
        <v>47</v>
      </c>
      <c r="F502" t="s">
        <v>102</v>
      </c>
      <c r="G502" t="s">
        <v>103</v>
      </c>
      <c r="H502" t="s">
        <v>104</v>
      </c>
      <c r="I502" t="s">
        <v>105</v>
      </c>
      <c r="J502" t="s">
        <v>668</v>
      </c>
      <c r="K502" s="3">
        <v>100132853207</v>
      </c>
      <c r="L502" s="10">
        <v>40210</v>
      </c>
      <c r="M502">
        <v>3206.3955</v>
      </c>
      <c r="N502" s="11">
        <v>35</v>
      </c>
      <c r="O502" s="12">
        <v>115.99</v>
      </c>
      <c r="P502" s="12">
        <v>2.5</v>
      </c>
      <c r="Q502" s="13">
        <v>784.773</v>
      </c>
      <c r="R502" s="36" t="s">
        <v>857</v>
      </c>
      <c r="S502" s="7">
        <f t="shared" si="37"/>
        <v>2</v>
      </c>
      <c r="T502" s="15" t="str">
        <f>VLOOKUP(R502,产品分类!$C$2:$D$1278,2,0)</f>
        <v>办公用品</v>
      </c>
    </row>
    <row r="503" spans="1:20">
      <c r="A503" s="8">
        <f>DATE(2012,12,31)-867</f>
        <v>40407</v>
      </c>
      <c r="B503" s="8">
        <f>DATE(2012,12,31)-867</f>
        <v>40407</v>
      </c>
      <c r="C503" s="9" t="s">
        <v>858</v>
      </c>
      <c r="D503">
        <v>10021263490</v>
      </c>
      <c r="E503" t="s">
        <v>47</v>
      </c>
      <c r="F503" t="s">
        <v>208</v>
      </c>
      <c r="G503" t="s">
        <v>209</v>
      </c>
      <c r="H503" t="s">
        <v>210</v>
      </c>
      <c r="I503" t="s">
        <v>211</v>
      </c>
      <c r="J503" t="s">
        <v>668</v>
      </c>
      <c r="K503" s="3">
        <v>100130578098</v>
      </c>
      <c r="L503" s="10">
        <v>40408</v>
      </c>
      <c r="M503">
        <v>264.75</v>
      </c>
      <c r="N503" s="11">
        <v>43</v>
      </c>
      <c r="O503" s="12">
        <v>6.48</v>
      </c>
      <c r="P503" s="12">
        <v>8.4</v>
      </c>
      <c r="Q503" s="13">
        <v>-212.51</v>
      </c>
      <c r="R503" s="36" t="s">
        <v>767</v>
      </c>
      <c r="S503" s="7">
        <f t="shared" si="37"/>
        <v>1</v>
      </c>
      <c r="T503" s="15" t="str">
        <f>VLOOKUP(R503,产品分类!$C$2:$D$1278,2,0)</f>
        <v>家具产品</v>
      </c>
    </row>
    <row r="504" spans="1:20">
      <c r="A504" s="8">
        <f>DATE(2012,12,31)-724</f>
        <v>40550</v>
      </c>
      <c r="B504" s="8">
        <f>DATE(2012,12,31)-724</f>
        <v>40550</v>
      </c>
      <c r="C504" s="9" t="s">
        <v>859</v>
      </c>
      <c r="D504">
        <v>10021267239</v>
      </c>
      <c r="E504" t="s">
        <v>47</v>
      </c>
      <c r="F504" t="s">
        <v>61</v>
      </c>
      <c r="G504" t="s">
        <v>62</v>
      </c>
      <c r="H504" t="s">
        <v>454</v>
      </c>
      <c r="I504" t="s">
        <v>455</v>
      </c>
      <c r="J504" t="s">
        <v>668</v>
      </c>
      <c r="K504" s="3">
        <v>100932078541</v>
      </c>
      <c r="L504" s="10">
        <v>40553</v>
      </c>
      <c r="M504">
        <v>4669.19</v>
      </c>
      <c r="N504" s="11">
        <v>39</v>
      </c>
      <c r="O504" s="12">
        <v>122.99</v>
      </c>
      <c r="P504" s="12">
        <v>70.2</v>
      </c>
      <c r="Q504" s="13">
        <v>-1864.08</v>
      </c>
      <c r="R504" s="36" t="s">
        <v>860</v>
      </c>
      <c r="S504" s="7">
        <f t="shared" si="37"/>
        <v>3</v>
      </c>
      <c r="T504" s="15" t="str">
        <f>VLOOKUP(R504,产品分类!$C$2:$D$1278,2,0)</f>
        <v>办公用品</v>
      </c>
    </row>
    <row r="505" spans="1:20">
      <c r="A505" s="8">
        <f>DATE(2012,12,31)-724</f>
        <v>40550</v>
      </c>
      <c r="B505" s="8">
        <f>DATE(2012,12,31)-724</f>
        <v>40550</v>
      </c>
      <c r="C505" s="9" t="s">
        <v>859</v>
      </c>
      <c r="D505">
        <v>10021378218</v>
      </c>
      <c r="E505" t="s">
        <v>47</v>
      </c>
      <c r="F505" t="s">
        <v>122</v>
      </c>
      <c r="G505" t="s">
        <v>123</v>
      </c>
      <c r="H505" t="s">
        <v>124</v>
      </c>
      <c r="I505" t="s">
        <v>125</v>
      </c>
      <c r="J505" t="s">
        <v>668</v>
      </c>
      <c r="K505" s="3">
        <v>100711984115</v>
      </c>
      <c r="L505" s="10">
        <v>40551</v>
      </c>
      <c r="M505">
        <v>133.4</v>
      </c>
      <c r="N505" s="11">
        <v>6</v>
      </c>
      <c r="O505" s="12">
        <v>21.98</v>
      </c>
      <c r="P505" s="12">
        <v>2.87</v>
      </c>
      <c r="Q505" s="13">
        <v>-0.310000000000002</v>
      </c>
      <c r="R505" s="36" t="s">
        <v>753</v>
      </c>
      <c r="S505" s="7">
        <f t="shared" si="37"/>
        <v>1</v>
      </c>
      <c r="T505" s="15" t="str">
        <f>VLOOKUP(R505,产品分类!$C$2:$D$1278,2,0)</f>
        <v>家具产品</v>
      </c>
    </row>
    <row r="506" spans="1:20">
      <c r="A506" s="8">
        <f t="shared" ref="A506:B508" si="39">DATE(2012,12,31)-1134</f>
        <v>40140</v>
      </c>
      <c r="B506" s="8">
        <f t="shared" si="39"/>
        <v>40140</v>
      </c>
      <c r="C506" s="9" t="s">
        <v>861</v>
      </c>
      <c r="D506">
        <v>10021378415</v>
      </c>
      <c r="E506" t="s">
        <v>47</v>
      </c>
      <c r="F506" t="s">
        <v>137</v>
      </c>
      <c r="G506" t="s">
        <v>138</v>
      </c>
      <c r="H506" t="s">
        <v>139</v>
      </c>
      <c r="I506" t="s">
        <v>140</v>
      </c>
      <c r="J506" t="s">
        <v>668</v>
      </c>
      <c r="K506" s="3">
        <v>100132904237</v>
      </c>
      <c r="L506" s="10">
        <v>40145</v>
      </c>
      <c r="M506">
        <v>2393.63</v>
      </c>
      <c r="N506" s="11">
        <v>35</v>
      </c>
      <c r="O506" s="12">
        <v>67.28</v>
      </c>
      <c r="P506" s="12">
        <v>19.99</v>
      </c>
      <c r="Q506" s="13">
        <v>524.875</v>
      </c>
      <c r="R506" s="36" t="s">
        <v>862</v>
      </c>
      <c r="S506" s="7">
        <f t="shared" si="37"/>
        <v>5</v>
      </c>
      <c r="T506" s="15" t="str">
        <f>VLOOKUP(R506,产品分类!$C$2:$D$1278,2,0)</f>
        <v>办公用品</v>
      </c>
    </row>
    <row r="507" spans="1:20">
      <c r="A507" s="8">
        <f t="shared" si="39"/>
        <v>40140</v>
      </c>
      <c r="B507" s="8">
        <f t="shared" si="39"/>
        <v>40140</v>
      </c>
      <c r="C507" s="9" t="s">
        <v>861</v>
      </c>
      <c r="D507">
        <v>10021278643</v>
      </c>
      <c r="E507" t="s">
        <v>47</v>
      </c>
      <c r="F507" t="s">
        <v>48</v>
      </c>
      <c r="G507" t="s">
        <v>49</v>
      </c>
      <c r="H507" t="s">
        <v>50</v>
      </c>
      <c r="I507" t="s">
        <v>51</v>
      </c>
      <c r="J507" t="s">
        <v>668</v>
      </c>
      <c r="K507" s="3">
        <v>100813215972</v>
      </c>
      <c r="L507" s="10">
        <v>40140</v>
      </c>
      <c r="M507">
        <v>6177.53</v>
      </c>
      <c r="N507" s="11">
        <v>49</v>
      </c>
      <c r="O507" s="12">
        <v>130.98</v>
      </c>
      <c r="P507" s="12">
        <v>54.74</v>
      </c>
      <c r="Q507" s="13">
        <v>-1195.12</v>
      </c>
      <c r="R507" s="36" t="s">
        <v>142</v>
      </c>
      <c r="S507" s="7">
        <f t="shared" si="37"/>
        <v>0</v>
      </c>
      <c r="T507" s="15" t="str">
        <f>VLOOKUP(R507,产品分类!$C$2:$D$1278,2,0)</f>
        <v>数码电子</v>
      </c>
    </row>
    <row r="508" spans="1:20">
      <c r="A508" s="8">
        <f t="shared" si="39"/>
        <v>40140</v>
      </c>
      <c r="B508" s="8">
        <f t="shared" si="39"/>
        <v>40140</v>
      </c>
      <c r="C508" s="9" t="s">
        <v>861</v>
      </c>
      <c r="D508">
        <v>10021305410</v>
      </c>
      <c r="E508" t="s">
        <v>47</v>
      </c>
      <c r="F508" t="s">
        <v>230</v>
      </c>
      <c r="G508" t="s">
        <v>231</v>
      </c>
      <c r="H508" t="s">
        <v>232</v>
      </c>
      <c r="I508" t="s">
        <v>233</v>
      </c>
      <c r="J508" t="s">
        <v>668</v>
      </c>
      <c r="K508" s="3">
        <v>100118701706</v>
      </c>
      <c r="L508" s="10">
        <v>40140</v>
      </c>
      <c r="M508">
        <v>94.6</v>
      </c>
      <c r="N508" s="11">
        <v>33</v>
      </c>
      <c r="O508" s="12">
        <v>2.78</v>
      </c>
      <c r="P508" s="12">
        <v>1.25</v>
      </c>
      <c r="Q508" s="13">
        <v>-6.34</v>
      </c>
      <c r="R508" s="36" t="s">
        <v>863</v>
      </c>
      <c r="S508" s="7">
        <f t="shared" si="37"/>
        <v>0</v>
      </c>
      <c r="T508" s="15" t="str">
        <f>VLOOKUP(R508,产品分类!$C$2:$D$1278,2,0)</f>
        <v>办公用品</v>
      </c>
    </row>
    <row r="509" spans="1:20">
      <c r="A509" s="8">
        <f>DATE(2012,12,31)-861</f>
        <v>40413</v>
      </c>
      <c r="B509" s="8">
        <f>DATE(2012,12,31)-861</f>
        <v>40413</v>
      </c>
      <c r="C509" s="9" t="s">
        <v>864</v>
      </c>
      <c r="D509">
        <v>10021372642</v>
      </c>
      <c r="E509" t="s">
        <v>47</v>
      </c>
      <c r="F509" t="s">
        <v>91</v>
      </c>
      <c r="G509" t="s">
        <v>92</v>
      </c>
      <c r="H509" t="s">
        <v>774</v>
      </c>
      <c r="I509" t="s">
        <v>775</v>
      </c>
      <c r="J509" t="s">
        <v>668</v>
      </c>
      <c r="K509" s="3">
        <v>100711657875</v>
      </c>
      <c r="L509" s="10">
        <v>40415</v>
      </c>
      <c r="M509">
        <v>7518.12</v>
      </c>
      <c r="N509" s="11">
        <v>48</v>
      </c>
      <c r="O509" s="12">
        <v>152.48</v>
      </c>
      <c r="P509" s="12">
        <v>6.5</v>
      </c>
      <c r="Q509" s="13">
        <v>1027.63</v>
      </c>
      <c r="R509" s="36" t="s">
        <v>505</v>
      </c>
      <c r="S509" s="7">
        <f t="shared" si="37"/>
        <v>2</v>
      </c>
      <c r="T509" s="15" t="str">
        <f>VLOOKUP(R509,产品分类!$C$2:$D$1278,2,0)</f>
        <v>家具产品</v>
      </c>
    </row>
    <row r="510" spans="1:20">
      <c r="A510" s="16">
        <f>DATE(2012,12,31)-67</f>
        <v>41207</v>
      </c>
      <c r="B510" s="16">
        <f>DATE(2012,12,31)-67</f>
        <v>41207</v>
      </c>
      <c r="C510" s="9" t="s">
        <v>865</v>
      </c>
      <c r="D510">
        <v>10021255381</v>
      </c>
      <c r="E510" t="s">
        <v>47</v>
      </c>
      <c r="F510" t="s">
        <v>48</v>
      </c>
      <c r="G510" t="s">
        <v>49</v>
      </c>
      <c r="H510" t="s">
        <v>50</v>
      </c>
      <c r="I510" t="s">
        <v>51</v>
      </c>
      <c r="J510" t="s">
        <v>668</v>
      </c>
      <c r="K510" s="3">
        <v>100123819917</v>
      </c>
      <c r="L510" s="10">
        <v>41209</v>
      </c>
      <c r="M510">
        <v>204.11</v>
      </c>
      <c r="N510" s="17">
        <v>50</v>
      </c>
      <c r="O510" s="5">
        <v>4.28</v>
      </c>
      <c r="P510" s="5">
        <v>0.94</v>
      </c>
      <c r="Q510" s="6">
        <v>28.71</v>
      </c>
      <c r="R510" s="37" t="s">
        <v>637</v>
      </c>
      <c r="S510" s="7">
        <f t="shared" si="37"/>
        <v>2</v>
      </c>
      <c r="T510" s="15" t="str">
        <f>VLOOKUP(R510,产品分类!$C$2:$D$1278,2,0)</f>
        <v>数码电子</v>
      </c>
    </row>
    <row r="511" spans="1:20">
      <c r="A511" s="16">
        <f>DATE(2012,12,31)-1193</f>
        <v>40081</v>
      </c>
      <c r="B511" s="16">
        <f>DATE(2012,12,31)-1193</f>
        <v>40081</v>
      </c>
      <c r="C511" s="9" t="s">
        <v>609</v>
      </c>
      <c r="D511">
        <v>10021269399</v>
      </c>
      <c r="E511" t="s">
        <v>47</v>
      </c>
      <c r="F511" t="s">
        <v>66</v>
      </c>
      <c r="G511" t="s">
        <v>67</v>
      </c>
      <c r="H511" t="s">
        <v>68</v>
      </c>
      <c r="I511" t="s">
        <v>69</v>
      </c>
      <c r="J511" t="s">
        <v>668</v>
      </c>
      <c r="K511" s="3">
        <v>100132443527</v>
      </c>
      <c r="L511" s="10">
        <v>40088</v>
      </c>
      <c r="M511">
        <v>1935.17</v>
      </c>
      <c r="N511" s="17">
        <v>33</v>
      </c>
      <c r="O511" s="5">
        <v>60.98</v>
      </c>
      <c r="P511" s="5">
        <v>49</v>
      </c>
      <c r="Q511" s="6">
        <v>-991.07</v>
      </c>
      <c r="R511" s="37" t="s">
        <v>568</v>
      </c>
      <c r="S511" s="7">
        <f t="shared" si="37"/>
        <v>7</v>
      </c>
      <c r="T511" s="15" t="str">
        <f>VLOOKUP(R511,产品分类!$C$2:$D$1278,2,0)</f>
        <v>家具产品</v>
      </c>
    </row>
    <row r="512" spans="1:20">
      <c r="A512" s="8">
        <f>DATE(2012,12,31)-1193</f>
        <v>40081</v>
      </c>
      <c r="B512" s="8">
        <f>DATE(2012,12,31)-1193</f>
        <v>40081</v>
      </c>
      <c r="C512" s="9" t="s">
        <v>609</v>
      </c>
      <c r="D512">
        <v>10021353261</v>
      </c>
      <c r="E512" t="s">
        <v>47</v>
      </c>
      <c r="F512" t="s">
        <v>66</v>
      </c>
      <c r="G512" t="s">
        <v>67</v>
      </c>
      <c r="H512" t="s">
        <v>68</v>
      </c>
      <c r="I512" t="s">
        <v>69</v>
      </c>
      <c r="J512" t="s">
        <v>668</v>
      </c>
      <c r="K512" s="3">
        <v>100332560879</v>
      </c>
      <c r="L512" s="10">
        <v>40083</v>
      </c>
      <c r="M512">
        <v>812.68</v>
      </c>
      <c r="N512" s="11">
        <v>27</v>
      </c>
      <c r="O512" s="12">
        <v>29.89</v>
      </c>
      <c r="P512" s="12">
        <v>1.99</v>
      </c>
      <c r="Q512" s="13">
        <v>235.88</v>
      </c>
      <c r="R512" s="36" t="s">
        <v>866</v>
      </c>
      <c r="S512" s="7">
        <f t="shared" si="37"/>
        <v>2</v>
      </c>
      <c r="T512" s="15" t="str">
        <f>VLOOKUP(R512,产品分类!$C$2:$D$1278,2,0)</f>
        <v>办公用品</v>
      </c>
    </row>
    <row r="513" spans="1:20">
      <c r="A513" s="8">
        <f>DATE(2012,12,31)-243</f>
        <v>41031</v>
      </c>
      <c r="B513" s="8">
        <f>DATE(2012,12,31)-243</f>
        <v>41031</v>
      </c>
      <c r="C513" s="9" t="s">
        <v>867</v>
      </c>
      <c r="D513">
        <v>10021302933</v>
      </c>
      <c r="E513" t="s">
        <v>47</v>
      </c>
      <c r="F513" t="s">
        <v>72</v>
      </c>
      <c r="G513" t="s">
        <v>73</v>
      </c>
      <c r="H513" t="s">
        <v>74</v>
      </c>
      <c r="I513" t="s">
        <v>75</v>
      </c>
      <c r="J513" t="s">
        <v>668</v>
      </c>
      <c r="K513" s="3">
        <v>100331441719</v>
      </c>
      <c r="L513" s="10">
        <v>41032</v>
      </c>
      <c r="M513">
        <v>427.32</v>
      </c>
      <c r="N513" s="11">
        <v>21</v>
      </c>
      <c r="O513" s="12">
        <v>18.97</v>
      </c>
      <c r="P513" s="12">
        <v>9.03</v>
      </c>
      <c r="Q513" s="13">
        <v>52.35</v>
      </c>
      <c r="R513" s="36" t="s">
        <v>131</v>
      </c>
      <c r="S513" s="7">
        <f t="shared" si="37"/>
        <v>1</v>
      </c>
      <c r="T513" s="15" t="str">
        <f>VLOOKUP(R513,产品分类!$C$2:$D$1278,2,0)</f>
        <v>家具产品</v>
      </c>
    </row>
    <row r="514" spans="1:20">
      <c r="A514" s="8">
        <f>DATE(2012,12,31)-376</f>
        <v>40898</v>
      </c>
      <c r="B514" s="8">
        <f>DATE(2012,12,31)-376</f>
        <v>40898</v>
      </c>
      <c r="C514" s="9" t="s">
        <v>825</v>
      </c>
      <c r="D514">
        <v>10021304114</v>
      </c>
      <c r="E514" t="s">
        <v>47</v>
      </c>
      <c r="F514" t="s">
        <v>72</v>
      </c>
      <c r="G514" t="s">
        <v>73</v>
      </c>
      <c r="H514" t="s">
        <v>74</v>
      </c>
      <c r="I514" t="s">
        <v>75</v>
      </c>
      <c r="J514" t="s">
        <v>668</v>
      </c>
      <c r="K514" s="3">
        <v>100432443383</v>
      </c>
      <c r="L514" s="10">
        <v>40900</v>
      </c>
      <c r="M514">
        <v>115.43</v>
      </c>
      <c r="N514" s="11">
        <v>38</v>
      </c>
      <c r="O514" s="12">
        <v>2.78</v>
      </c>
      <c r="P514" s="12">
        <v>1.34</v>
      </c>
      <c r="Q514" s="13">
        <v>11.41</v>
      </c>
      <c r="R514" s="36" t="s">
        <v>452</v>
      </c>
      <c r="S514" s="7">
        <f t="shared" si="37"/>
        <v>2</v>
      </c>
      <c r="T514" s="15" t="str">
        <f>VLOOKUP(R514,产品分类!$C$2:$D$1278,2,0)</f>
        <v>家具产品</v>
      </c>
    </row>
    <row r="515" spans="1:20">
      <c r="A515" s="8">
        <f>DATE(2012,12,31)-657</f>
        <v>40617</v>
      </c>
      <c r="B515" s="8">
        <f>DATE(2012,12,31)-657</f>
        <v>40617</v>
      </c>
      <c r="C515" s="9" t="s">
        <v>868</v>
      </c>
      <c r="D515">
        <v>10021279550</v>
      </c>
      <c r="E515" t="s">
        <v>47</v>
      </c>
      <c r="F515" t="s">
        <v>78</v>
      </c>
      <c r="G515" t="s">
        <v>79</v>
      </c>
      <c r="H515" t="s">
        <v>80</v>
      </c>
      <c r="I515" t="s">
        <v>81</v>
      </c>
      <c r="J515" t="s">
        <v>668</v>
      </c>
      <c r="K515" s="3">
        <v>10032823429</v>
      </c>
      <c r="L515" s="10">
        <v>40619</v>
      </c>
      <c r="M515">
        <v>246.06</v>
      </c>
      <c r="N515" s="11">
        <v>20</v>
      </c>
      <c r="O515" s="12">
        <v>12.07</v>
      </c>
      <c r="P515" s="12">
        <v>6.2</v>
      </c>
      <c r="Q515" s="13">
        <v>20.67</v>
      </c>
      <c r="R515" s="36" t="s">
        <v>869</v>
      </c>
      <c r="S515" s="7">
        <f t="shared" ref="S515:S578" si="40">+L515-B515</f>
        <v>2</v>
      </c>
      <c r="T515" s="15" t="str">
        <f>VLOOKUP(R515,产品分类!$C$2:$D$1278,2,0)</f>
        <v>家具产品</v>
      </c>
    </row>
    <row r="516" spans="1:20">
      <c r="A516" s="8">
        <f>DATE(2012,12,31)-1324</f>
        <v>39950</v>
      </c>
      <c r="B516" s="8">
        <f>DATE(2012,12,31)-1324</f>
        <v>39950</v>
      </c>
      <c r="C516" s="9" t="s">
        <v>861</v>
      </c>
      <c r="D516">
        <v>10021366280</v>
      </c>
      <c r="E516" t="s">
        <v>47</v>
      </c>
      <c r="F516" t="s">
        <v>230</v>
      </c>
      <c r="G516" t="s">
        <v>231</v>
      </c>
      <c r="H516" t="s">
        <v>870</v>
      </c>
      <c r="I516" t="s">
        <v>871</v>
      </c>
      <c r="J516" t="s">
        <v>668</v>
      </c>
      <c r="K516" s="3">
        <v>100925390191</v>
      </c>
      <c r="L516" s="10">
        <v>39951</v>
      </c>
      <c r="M516">
        <v>20.5</v>
      </c>
      <c r="N516" s="11">
        <v>7</v>
      </c>
      <c r="O516" s="12">
        <v>2.94</v>
      </c>
      <c r="P516" s="12">
        <v>0.96</v>
      </c>
      <c r="Q516" s="13">
        <v>-4.04</v>
      </c>
      <c r="R516" s="36" t="s">
        <v>872</v>
      </c>
      <c r="S516" s="7">
        <f t="shared" si="40"/>
        <v>1</v>
      </c>
      <c r="T516" s="15" t="str">
        <f>VLOOKUP(R516,产品分类!$C$2:$D$1278,2,0)</f>
        <v>数码电子</v>
      </c>
    </row>
    <row r="517" spans="1:20">
      <c r="A517" s="8">
        <f>DATE(2012,12,31)-564</f>
        <v>40710</v>
      </c>
      <c r="B517" s="8">
        <f>DATE(2012,12,31)-564</f>
        <v>40710</v>
      </c>
      <c r="C517" s="9" t="s">
        <v>873</v>
      </c>
      <c r="D517">
        <v>10021260835</v>
      </c>
      <c r="E517" t="s">
        <v>47</v>
      </c>
      <c r="F517" t="s">
        <v>230</v>
      </c>
      <c r="G517" t="s">
        <v>231</v>
      </c>
      <c r="H517" t="s">
        <v>870</v>
      </c>
      <c r="I517" t="s">
        <v>871</v>
      </c>
      <c r="J517" t="s">
        <v>668</v>
      </c>
      <c r="K517" s="3">
        <v>100429056774</v>
      </c>
      <c r="L517" s="10">
        <v>40719</v>
      </c>
      <c r="M517">
        <v>288.91</v>
      </c>
      <c r="N517" s="11">
        <v>25</v>
      </c>
      <c r="O517" s="12">
        <v>12.28</v>
      </c>
      <c r="P517" s="12">
        <v>6.47</v>
      </c>
      <c r="Q517" s="13">
        <v>-14.06</v>
      </c>
      <c r="R517" s="36" t="s">
        <v>874</v>
      </c>
      <c r="S517" s="7">
        <f t="shared" si="40"/>
        <v>9</v>
      </c>
      <c r="T517" s="15" t="str">
        <f>VLOOKUP(R517,产品分类!$C$2:$D$1278,2,0)</f>
        <v>办公用品</v>
      </c>
    </row>
    <row r="518" spans="1:20">
      <c r="A518" s="8">
        <f>DATE(2012,12,31)-100</f>
        <v>41174</v>
      </c>
      <c r="B518" s="8">
        <f>DATE(2012,12,31)-100</f>
        <v>41174</v>
      </c>
      <c r="C518" s="9" t="s">
        <v>875</v>
      </c>
      <c r="D518">
        <v>10021335254</v>
      </c>
      <c r="E518" t="s">
        <v>47</v>
      </c>
      <c r="F518" t="s">
        <v>91</v>
      </c>
      <c r="G518" t="s">
        <v>92</v>
      </c>
      <c r="H518" t="s">
        <v>774</v>
      </c>
      <c r="I518" t="s">
        <v>775</v>
      </c>
      <c r="J518" t="s">
        <v>668</v>
      </c>
      <c r="K518" s="3">
        <v>10048720454</v>
      </c>
      <c r="L518" s="10">
        <v>41177</v>
      </c>
      <c r="M518">
        <v>269.37</v>
      </c>
      <c r="N518" s="11">
        <v>48</v>
      </c>
      <c r="O518" s="12">
        <v>5.74</v>
      </c>
      <c r="P518" s="12">
        <v>5.01</v>
      </c>
      <c r="Q518" s="13">
        <v>-103.546</v>
      </c>
      <c r="R518" s="36" t="s">
        <v>876</v>
      </c>
      <c r="S518" s="7">
        <f t="shared" si="40"/>
        <v>3</v>
      </c>
      <c r="T518" s="15" t="str">
        <f>VLOOKUP(R518,产品分类!$C$2:$D$1278,2,0)</f>
        <v>办公用品</v>
      </c>
    </row>
    <row r="519" spans="1:20">
      <c r="A519" s="8">
        <f>DATE(2012,12,31)-100</f>
        <v>41174</v>
      </c>
      <c r="B519" s="8">
        <f>DATE(2012,12,31)-100</f>
        <v>41174</v>
      </c>
      <c r="C519" s="9" t="s">
        <v>875</v>
      </c>
      <c r="D519">
        <v>10021280850</v>
      </c>
      <c r="E519" t="s">
        <v>47</v>
      </c>
      <c r="F519" t="s">
        <v>91</v>
      </c>
      <c r="G519" t="s">
        <v>92</v>
      </c>
      <c r="H519" t="s">
        <v>774</v>
      </c>
      <c r="I519" t="s">
        <v>775</v>
      </c>
      <c r="J519" t="s">
        <v>668</v>
      </c>
      <c r="K519" s="3">
        <v>100717468185</v>
      </c>
      <c r="L519" s="10">
        <v>41174</v>
      </c>
      <c r="M519">
        <v>4933.99</v>
      </c>
      <c r="N519" s="11">
        <v>41</v>
      </c>
      <c r="O519" s="12">
        <v>128.24</v>
      </c>
      <c r="P519" s="12">
        <v>12.65</v>
      </c>
      <c r="Q519" s="13">
        <v>1161.89</v>
      </c>
      <c r="R519" s="36" t="s">
        <v>622</v>
      </c>
      <c r="S519" s="7">
        <f t="shared" si="40"/>
        <v>0</v>
      </c>
      <c r="T519" s="15" t="str">
        <f>VLOOKUP(R519,产品分类!$C$2:$D$1278,2,0)</f>
        <v>办公用品</v>
      </c>
    </row>
    <row r="520" spans="1:20">
      <c r="A520" s="8">
        <f>DATE(2012,12,31)-69</f>
        <v>41205</v>
      </c>
      <c r="B520" s="8">
        <f>DATE(2012,12,31)-69</f>
        <v>41205</v>
      </c>
      <c r="C520" s="9" t="s">
        <v>877</v>
      </c>
      <c r="D520">
        <v>10021348652</v>
      </c>
      <c r="E520" t="s">
        <v>47</v>
      </c>
      <c r="F520" t="s">
        <v>91</v>
      </c>
      <c r="G520" t="s">
        <v>92</v>
      </c>
      <c r="H520" t="s">
        <v>774</v>
      </c>
      <c r="I520" t="s">
        <v>775</v>
      </c>
      <c r="J520" t="s">
        <v>668</v>
      </c>
      <c r="K520" s="3">
        <v>100431596493</v>
      </c>
      <c r="L520" s="10">
        <v>41206</v>
      </c>
      <c r="M520">
        <v>136.67</v>
      </c>
      <c r="N520" s="11">
        <v>34</v>
      </c>
      <c r="O520" s="12">
        <v>3.81</v>
      </c>
      <c r="P520" s="12">
        <v>5.44</v>
      </c>
      <c r="Q520" s="13">
        <v>-117.921</v>
      </c>
      <c r="R520" s="36" t="s">
        <v>878</v>
      </c>
      <c r="S520" s="7">
        <f t="shared" si="40"/>
        <v>1</v>
      </c>
      <c r="T520" s="15" t="str">
        <f>VLOOKUP(R520,产品分类!$C$2:$D$1278,2,0)</f>
        <v>数码电子</v>
      </c>
    </row>
    <row r="521" spans="1:20">
      <c r="A521" s="8">
        <f>DATE(2012,12,31)-1135</f>
        <v>40139</v>
      </c>
      <c r="B521" s="8">
        <f>DATE(2012,12,31)-1135</f>
        <v>40139</v>
      </c>
      <c r="C521" s="9" t="s">
        <v>879</v>
      </c>
      <c r="D521">
        <v>10021350004</v>
      </c>
      <c r="E521" t="s">
        <v>47</v>
      </c>
      <c r="F521" t="s">
        <v>91</v>
      </c>
      <c r="G521" t="s">
        <v>92</v>
      </c>
      <c r="H521" t="s">
        <v>774</v>
      </c>
      <c r="I521" t="s">
        <v>775</v>
      </c>
      <c r="J521" t="s">
        <v>668</v>
      </c>
      <c r="K521" s="3">
        <v>10073825255</v>
      </c>
      <c r="L521" s="10">
        <v>40139</v>
      </c>
      <c r="M521">
        <v>259.72</v>
      </c>
      <c r="N521" s="11">
        <v>27</v>
      </c>
      <c r="O521" s="12">
        <v>10.06</v>
      </c>
      <c r="P521" s="12">
        <v>2.06</v>
      </c>
      <c r="Q521" s="13">
        <v>78.05</v>
      </c>
      <c r="R521" s="36" t="s">
        <v>880</v>
      </c>
      <c r="S521" s="7">
        <f t="shared" si="40"/>
        <v>0</v>
      </c>
      <c r="T521" s="15" t="str">
        <f>VLOOKUP(R521,产品分类!$C$2:$D$1278,2,0)</f>
        <v>办公用品</v>
      </c>
    </row>
    <row r="522" spans="1:20">
      <c r="A522" s="8">
        <f>DATE(2012,12,31)-1135</f>
        <v>40139</v>
      </c>
      <c r="B522" s="8">
        <f>DATE(2012,12,31)-1135</f>
        <v>40139</v>
      </c>
      <c r="C522" s="9" t="s">
        <v>879</v>
      </c>
      <c r="D522">
        <v>10021281419</v>
      </c>
      <c r="E522" t="s">
        <v>47</v>
      </c>
      <c r="F522" t="s">
        <v>122</v>
      </c>
      <c r="G522" t="s">
        <v>123</v>
      </c>
      <c r="H522" t="s">
        <v>124</v>
      </c>
      <c r="I522" t="s">
        <v>125</v>
      </c>
      <c r="J522" t="s">
        <v>668</v>
      </c>
      <c r="K522" s="3">
        <v>100121979417</v>
      </c>
      <c r="L522" s="10">
        <v>40140</v>
      </c>
      <c r="M522">
        <v>54.69</v>
      </c>
      <c r="N522" s="11">
        <v>34</v>
      </c>
      <c r="O522" s="12">
        <v>1.68</v>
      </c>
      <c r="P522" s="12">
        <v>1.57</v>
      </c>
      <c r="Q522" s="13">
        <v>-35.75</v>
      </c>
      <c r="R522" s="36" t="s">
        <v>881</v>
      </c>
      <c r="S522" s="7">
        <f t="shared" si="40"/>
        <v>1</v>
      </c>
      <c r="T522" s="15" t="str">
        <f>VLOOKUP(R522,产品分类!$C$2:$D$1278,2,0)</f>
        <v>家具产品</v>
      </c>
    </row>
    <row r="523" spans="1:20">
      <c r="A523" s="8">
        <f>DATE(2012,12,31)-758</f>
        <v>40516</v>
      </c>
      <c r="B523" s="8">
        <f>DATE(2012,12,31)-758</f>
        <v>40516</v>
      </c>
      <c r="C523" s="9" t="s">
        <v>882</v>
      </c>
      <c r="D523">
        <v>10021334039</v>
      </c>
      <c r="E523" t="s">
        <v>47</v>
      </c>
      <c r="F523" t="s">
        <v>122</v>
      </c>
      <c r="G523" t="s">
        <v>123</v>
      </c>
      <c r="H523" t="s">
        <v>124</v>
      </c>
      <c r="I523" t="s">
        <v>125</v>
      </c>
      <c r="J523" t="s">
        <v>668</v>
      </c>
      <c r="K523" s="3">
        <v>10086789082</v>
      </c>
      <c r="L523" s="10">
        <v>40517</v>
      </c>
      <c r="M523">
        <v>383.57</v>
      </c>
      <c r="N523" s="11">
        <v>32</v>
      </c>
      <c r="O523" s="12">
        <v>12.58</v>
      </c>
      <c r="P523" s="12">
        <v>5.16</v>
      </c>
      <c r="Q523" s="13">
        <v>70.51</v>
      </c>
      <c r="R523" s="36" t="s">
        <v>883</v>
      </c>
      <c r="S523" s="7">
        <f t="shared" si="40"/>
        <v>1</v>
      </c>
      <c r="T523" s="15" t="str">
        <f>VLOOKUP(R523,产品分类!$C$2:$D$1278,2,0)</f>
        <v>家具产品</v>
      </c>
    </row>
    <row r="524" spans="1:20">
      <c r="A524" s="8">
        <f>DATE(2012,12,31)-758</f>
        <v>40516</v>
      </c>
      <c r="B524" s="8">
        <f>DATE(2012,12,31)-758</f>
        <v>40516</v>
      </c>
      <c r="C524" s="9" t="s">
        <v>882</v>
      </c>
      <c r="D524">
        <v>10021383735</v>
      </c>
      <c r="E524" t="s">
        <v>47</v>
      </c>
      <c r="F524" t="s">
        <v>55</v>
      </c>
      <c r="G524" t="s">
        <v>56</v>
      </c>
      <c r="H524" t="s">
        <v>57</v>
      </c>
      <c r="I524" t="s">
        <v>58</v>
      </c>
      <c r="J524" t="s">
        <v>668</v>
      </c>
      <c r="K524" s="3">
        <v>100119502247</v>
      </c>
      <c r="L524" s="10">
        <v>40518</v>
      </c>
      <c r="M524">
        <v>461.1</v>
      </c>
      <c r="N524" s="11">
        <v>31</v>
      </c>
      <c r="O524" s="12">
        <v>14.34</v>
      </c>
      <c r="P524" s="12">
        <v>5</v>
      </c>
      <c r="Q524" s="13">
        <v>116.96</v>
      </c>
      <c r="R524" s="36" t="s">
        <v>298</v>
      </c>
      <c r="S524" s="7">
        <f t="shared" si="40"/>
        <v>2</v>
      </c>
      <c r="T524" s="15" t="str">
        <f>VLOOKUP(R524,产品分类!$C$2:$D$1278,2,0)</f>
        <v>办公用品</v>
      </c>
    </row>
    <row r="525" spans="1:20">
      <c r="A525" s="16">
        <f t="shared" ref="A525:B528" si="41">DATE(2012,12,31)-654</f>
        <v>40620</v>
      </c>
      <c r="B525" s="16">
        <f t="shared" si="41"/>
        <v>40620</v>
      </c>
      <c r="C525" s="9" t="s">
        <v>864</v>
      </c>
      <c r="D525">
        <v>10021248244</v>
      </c>
      <c r="E525" t="s">
        <v>47</v>
      </c>
      <c r="F525" t="s">
        <v>91</v>
      </c>
      <c r="G525" t="s">
        <v>92</v>
      </c>
      <c r="H525" t="s">
        <v>774</v>
      </c>
      <c r="I525" t="s">
        <v>775</v>
      </c>
      <c r="J525" t="s">
        <v>668</v>
      </c>
      <c r="K525" s="3">
        <v>1001919128</v>
      </c>
      <c r="L525" s="10">
        <v>40621</v>
      </c>
      <c r="M525">
        <v>374.38</v>
      </c>
      <c r="N525" s="17">
        <v>42</v>
      </c>
      <c r="O525" s="5">
        <v>8.67</v>
      </c>
      <c r="P525" s="5">
        <v>3.5</v>
      </c>
      <c r="Q525" s="6">
        <v>-1.16</v>
      </c>
      <c r="R525" s="37" t="s">
        <v>884</v>
      </c>
      <c r="S525" s="7">
        <f t="shared" si="40"/>
        <v>1</v>
      </c>
      <c r="T525" s="15" t="str">
        <f>VLOOKUP(R525,产品分类!$C$2:$D$1278,2,0)</f>
        <v>办公用品</v>
      </c>
    </row>
    <row r="526" spans="1:20">
      <c r="A526" s="8">
        <f t="shared" si="41"/>
        <v>40620</v>
      </c>
      <c r="B526" s="8">
        <f t="shared" si="41"/>
        <v>40620</v>
      </c>
      <c r="C526" s="9" t="s">
        <v>864</v>
      </c>
      <c r="D526">
        <v>10021268630</v>
      </c>
      <c r="E526" t="s">
        <v>47</v>
      </c>
      <c r="F526" t="s">
        <v>127</v>
      </c>
      <c r="G526" t="s">
        <v>128</v>
      </c>
      <c r="H526" t="s">
        <v>129</v>
      </c>
      <c r="I526" t="s">
        <v>130</v>
      </c>
      <c r="J526" t="s">
        <v>668</v>
      </c>
      <c r="K526" s="3">
        <v>100432405123</v>
      </c>
      <c r="L526" s="10">
        <v>40622</v>
      </c>
      <c r="M526">
        <v>1557.42</v>
      </c>
      <c r="N526" s="11">
        <v>21</v>
      </c>
      <c r="O526" s="12">
        <v>73.98</v>
      </c>
      <c r="P526" s="12">
        <v>4</v>
      </c>
      <c r="Q526" s="13">
        <v>-123.81</v>
      </c>
      <c r="R526" s="36" t="s">
        <v>885</v>
      </c>
      <c r="S526" s="7">
        <f t="shared" si="40"/>
        <v>2</v>
      </c>
      <c r="T526" s="15" t="str">
        <f>VLOOKUP(R526,产品分类!$C$2:$D$1278,2,0)</f>
        <v>办公用品</v>
      </c>
    </row>
    <row r="527" spans="1:20">
      <c r="A527" s="8">
        <f t="shared" si="41"/>
        <v>40620</v>
      </c>
      <c r="B527" s="8">
        <f t="shared" si="41"/>
        <v>40620</v>
      </c>
      <c r="C527" s="9" t="s">
        <v>864</v>
      </c>
      <c r="D527">
        <v>10021334795</v>
      </c>
      <c r="E527" t="s">
        <v>47</v>
      </c>
      <c r="F527" t="s">
        <v>97</v>
      </c>
      <c r="G527" t="s">
        <v>98</v>
      </c>
      <c r="H527" t="s">
        <v>99</v>
      </c>
      <c r="I527" t="s">
        <v>98</v>
      </c>
      <c r="J527" t="s">
        <v>668</v>
      </c>
      <c r="K527" s="3">
        <v>100816655872</v>
      </c>
      <c r="L527" s="10">
        <v>40622</v>
      </c>
      <c r="M527">
        <v>410.27</v>
      </c>
      <c r="N527" s="11">
        <v>14</v>
      </c>
      <c r="O527" s="12">
        <v>30.93</v>
      </c>
      <c r="P527" s="12">
        <v>3.92</v>
      </c>
      <c r="Q527" s="13">
        <v>226.72</v>
      </c>
      <c r="R527" s="36" t="s">
        <v>106</v>
      </c>
      <c r="S527" s="7">
        <f t="shared" si="40"/>
        <v>2</v>
      </c>
      <c r="T527" s="15" t="str">
        <f>VLOOKUP(R527,产品分类!$C$2:$D$1278,2,0)</f>
        <v>数码电子</v>
      </c>
    </row>
    <row r="528" spans="1:20">
      <c r="A528" s="8">
        <f t="shared" si="41"/>
        <v>40620</v>
      </c>
      <c r="B528" s="8">
        <f t="shared" si="41"/>
        <v>40620</v>
      </c>
      <c r="C528" s="9" t="s">
        <v>864</v>
      </c>
      <c r="D528">
        <v>10021249769</v>
      </c>
      <c r="E528" t="s">
        <v>47</v>
      </c>
      <c r="F528" t="s">
        <v>132</v>
      </c>
      <c r="G528" t="s">
        <v>133</v>
      </c>
      <c r="H528" t="s">
        <v>134</v>
      </c>
      <c r="I528" t="s">
        <v>133</v>
      </c>
      <c r="J528" t="s">
        <v>668</v>
      </c>
      <c r="K528" s="3">
        <v>100910056711</v>
      </c>
      <c r="L528" s="10">
        <v>40620</v>
      </c>
      <c r="M528">
        <v>1531.93</v>
      </c>
      <c r="N528" s="11">
        <v>18</v>
      </c>
      <c r="O528" s="12">
        <v>90.97</v>
      </c>
      <c r="P528" s="12">
        <v>14</v>
      </c>
      <c r="Q528" s="13">
        <v>326.56</v>
      </c>
      <c r="R528" s="36" t="s">
        <v>886</v>
      </c>
      <c r="S528" s="7">
        <f t="shared" si="40"/>
        <v>0</v>
      </c>
      <c r="T528" s="15" t="str">
        <f>VLOOKUP(R528,产品分类!$C$2:$D$1278,2,0)</f>
        <v>办公用品</v>
      </c>
    </row>
    <row r="529" spans="1:20">
      <c r="A529" s="8">
        <f>DATE(2012,12,31)-1316</f>
        <v>39958</v>
      </c>
      <c r="B529" s="8">
        <f>DATE(2012,12,31)-1316</f>
        <v>39958</v>
      </c>
      <c r="C529" s="9" t="s">
        <v>887</v>
      </c>
      <c r="D529">
        <v>10021332379</v>
      </c>
      <c r="E529" t="s">
        <v>47</v>
      </c>
      <c r="F529" t="s">
        <v>132</v>
      </c>
      <c r="G529" t="s">
        <v>133</v>
      </c>
      <c r="H529" t="s">
        <v>134</v>
      </c>
      <c r="I529" t="s">
        <v>133</v>
      </c>
      <c r="J529" t="s">
        <v>668</v>
      </c>
      <c r="K529" s="3">
        <v>10089642702</v>
      </c>
      <c r="L529" s="10">
        <v>39960</v>
      </c>
      <c r="M529">
        <v>72.93</v>
      </c>
      <c r="N529" s="11">
        <v>23</v>
      </c>
      <c r="O529" s="12">
        <v>3.15</v>
      </c>
      <c r="P529" s="12">
        <v>0.49</v>
      </c>
      <c r="Q529" s="13">
        <v>28.55</v>
      </c>
      <c r="R529" s="36" t="s">
        <v>888</v>
      </c>
      <c r="S529" s="7">
        <f t="shared" si="40"/>
        <v>2</v>
      </c>
      <c r="T529" s="15" t="str">
        <f>VLOOKUP(R529,产品分类!$C$2:$D$1278,2,0)</f>
        <v>办公用品</v>
      </c>
    </row>
    <row r="530" spans="1:20">
      <c r="A530" s="16">
        <f>DATE(2012,12,31)-755</f>
        <v>40519</v>
      </c>
      <c r="B530" s="16">
        <f>DATE(2012,12,31)-755</f>
        <v>40519</v>
      </c>
      <c r="C530" s="9" t="s">
        <v>889</v>
      </c>
      <c r="D530">
        <v>10021256682</v>
      </c>
      <c r="E530" t="s">
        <v>47</v>
      </c>
      <c r="F530" t="s">
        <v>132</v>
      </c>
      <c r="G530" t="s">
        <v>133</v>
      </c>
      <c r="H530" t="s">
        <v>134</v>
      </c>
      <c r="I530" t="s">
        <v>133</v>
      </c>
      <c r="J530" t="s">
        <v>668</v>
      </c>
      <c r="K530" s="3">
        <v>100925470381</v>
      </c>
      <c r="L530" s="10">
        <v>40521</v>
      </c>
      <c r="M530">
        <v>321.57</v>
      </c>
      <c r="N530" s="17">
        <v>3</v>
      </c>
      <c r="O530" s="5">
        <v>100.98</v>
      </c>
      <c r="P530" s="5">
        <v>15.66</v>
      </c>
      <c r="Q530" s="6">
        <v>-100.05</v>
      </c>
      <c r="R530" s="37" t="s">
        <v>890</v>
      </c>
      <c r="S530" s="7">
        <f t="shared" si="40"/>
        <v>2</v>
      </c>
      <c r="T530" s="15" t="str">
        <f>VLOOKUP(R530,产品分类!$C$2:$D$1278,2,0)</f>
        <v>办公用品</v>
      </c>
    </row>
    <row r="531" spans="1:20">
      <c r="A531" s="8">
        <f>DATE(2012,12,31)-755</f>
        <v>40519</v>
      </c>
      <c r="B531" s="8">
        <f>DATE(2012,12,31)-755</f>
        <v>40519</v>
      </c>
      <c r="C531" s="9" t="s">
        <v>889</v>
      </c>
      <c r="D531">
        <v>10021341766</v>
      </c>
      <c r="E531" t="s">
        <v>47</v>
      </c>
      <c r="F531" t="s">
        <v>97</v>
      </c>
      <c r="G531" t="s">
        <v>98</v>
      </c>
      <c r="H531" t="s">
        <v>99</v>
      </c>
      <c r="I531" t="s">
        <v>98</v>
      </c>
      <c r="J531" t="s">
        <v>668</v>
      </c>
      <c r="K531" s="3">
        <v>100727534225</v>
      </c>
      <c r="L531" s="10">
        <v>40520</v>
      </c>
      <c r="M531">
        <v>1085.16</v>
      </c>
      <c r="N531" s="11">
        <v>12</v>
      </c>
      <c r="O531" s="12">
        <v>89.99</v>
      </c>
      <c r="P531" s="12">
        <v>42</v>
      </c>
      <c r="Q531" s="13">
        <v>-311.54</v>
      </c>
      <c r="R531" s="36" t="s">
        <v>891</v>
      </c>
      <c r="S531" s="7">
        <f t="shared" si="40"/>
        <v>1</v>
      </c>
      <c r="T531" s="15" t="str">
        <f>VLOOKUP(R531,产品分类!$C$2:$D$1278,2,0)</f>
        <v>家具产品</v>
      </c>
    </row>
    <row r="532" spans="1:20">
      <c r="A532" s="8">
        <f>DATE(2012,12,31)-971</f>
        <v>40303</v>
      </c>
      <c r="B532" s="8">
        <f>DATE(2012,12,31)-971</f>
        <v>40303</v>
      </c>
      <c r="C532" s="9" t="s">
        <v>667</v>
      </c>
      <c r="D532">
        <v>10021267248</v>
      </c>
      <c r="E532" t="s">
        <v>47</v>
      </c>
      <c r="F532" t="s">
        <v>171</v>
      </c>
      <c r="G532" t="s">
        <v>172</v>
      </c>
      <c r="H532" t="s">
        <v>788</v>
      </c>
      <c r="I532" t="s">
        <v>789</v>
      </c>
      <c r="J532" t="s">
        <v>668</v>
      </c>
      <c r="K532" s="3">
        <v>100332078839</v>
      </c>
      <c r="L532" s="10">
        <v>40304</v>
      </c>
      <c r="M532">
        <v>83.87</v>
      </c>
      <c r="N532" s="11">
        <v>14</v>
      </c>
      <c r="O532" s="12">
        <v>5.58</v>
      </c>
      <c r="P532" s="12">
        <v>5.3</v>
      </c>
      <c r="Q532" s="13">
        <v>-28.83</v>
      </c>
      <c r="R532" s="36" t="s">
        <v>892</v>
      </c>
      <c r="S532" s="7">
        <f t="shared" si="40"/>
        <v>1</v>
      </c>
      <c r="T532" s="15" t="str">
        <f>VLOOKUP(R532,产品分类!$C$2:$D$1278,2,0)</f>
        <v>家具产品</v>
      </c>
    </row>
    <row r="533" spans="1:20">
      <c r="A533" s="8">
        <f>DATE(2012,12,31)-401</f>
        <v>40873</v>
      </c>
      <c r="B533" s="8">
        <f>DATE(2012,12,31)-401</f>
        <v>40873</v>
      </c>
      <c r="C533" s="9" t="s">
        <v>893</v>
      </c>
      <c r="D533">
        <v>10021264096</v>
      </c>
      <c r="E533" t="s">
        <v>47</v>
      </c>
      <c r="F533" t="s">
        <v>171</v>
      </c>
      <c r="G533" t="s">
        <v>172</v>
      </c>
      <c r="H533" t="s">
        <v>788</v>
      </c>
      <c r="I533" t="s">
        <v>789</v>
      </c>
      <c r="J533" t="s">
        <v>668</v>
      </c>
      <c r="K533" s="3">
        <v>100130891306</v>
      </c>
      <c r="L533" s="10">
        <v>40878</v>
      </c>
      <c r="M533">
        <v>76.6</v>
      </c>
      <c r="N533" s="11">
        <v>16</v>
      </c>
      <c r="O533" s="12">
        <v>4.24</v>
      </c>
      <c r="P533" s="12">
        <v>5.41</v>
      </c>
      <c r="Q533" s="13">
        <v>-48.507</v>
      </c>
      <c r="R533" s="36" t="s">
        <v>445</v>
      </c>
      <c r="S533" s="7">
        <f t="shared" si="40"/>
        <v>5</v>
      </c>
      <c r="T533" s="15" t="str">
        <f>VLOOKUP(R533,产品分类!$C$2:$D$1278,2,0)</f>
        <v>数码电子</v>
      </c>
    </row>
    <row r="534" spans="1:20">
      <c r="A534" s="8">
        <f>DATE(2012,12,31)-929</f>
        <v>40345</v>
      </c>
      <c r="B534" s="8">
        <f>DATE(2012,12,31)-929</f>
        <v>40345</v>
      </c>
      <c r="C534" s="9" t="s">
        <v>734</v>
      </c>
      <c r="D534">
        <v>10021285431</v>
      </c>
      <c r="E534" t="s">
        <v>47</v>
      </c>
      <c r="F534" t="s">
        <v>527</v>
      </c>
      <c r="G534" t="s">
        <v>528</v>
      </c>
      <c r="H534" t="s">
        <v>529</v>
      </c>
      <c r="I534" t="s">
        <v>530</v>
      </c>
      <c r="J534" t="s">
        <v>668</v>
      </c>
      <c r="K534" s="3">
        <v>10031856749</v>
      </c>
      <c r="L534" s="10">
        <v>40347</v>
      </c>
      <c r="M534">
        <v>134.81</v>
      </c>
      <c r="N534" s="11">
        <v>46</v>
      </c>
      <c r="O534" s="12">
        <v>3.15</v>
      </c>
      <c r="P534" s="12">
        <v>0.49</v>
      </c>
      <c r="Q534" s="13">
        <v>52.36</v>
      </c>
      <c r="R534" s="36" t="s">
        <v>888</v>
      </c>
      <c r="S534" s="7">
        <f t="shared" si="40"/>
        <v>2</v>
      </c>
      <c r="T534" s="15" t="str">
        <f>VLOOKUP(R534,产品分类!$C$2:$D$1278,2,0)</f>
        <v>办公用品</v>
      </c>
    </row>
    <row r="535" spans="1:20">
      <c r="A535" s="8">
        <f>DATE(2012,12,31)-929</f>
        <v>40345</v>
      </c>
      <c r="B535" s="8">
        <f>DATE(2012,12,31)-929</f>
        <v>40345</v>
      </c>
      <c r="C535" s="9" t="s">
        <v>734</v>
      </c>
      <c r="D535">
        <v>10021255031</v>
      </c>
      <c r="E535" t="s">
        <v>47</v>
      </c>
      <c r="F535" t="s">
        <v>171</v>
      </c>
      <c r="G535" t="s">
        <v>172</v>
      </c>
      <c r="H535" t="s">
        <v>788</v>
      </c>
      <c r="I535" t="s">
        <v>789</v>
      </c>
      <c r="J535" t="s">
        <v>668</v>
      </c>
      <c r="K535" s="3">
        <v>100323639359</v>
      </c>
      <c r="L535" s="10">
        <v>40352</v>
      </c>
      <c r="M535">
        <v>5488.5265</v>
      </c>
      <c r="N535" s="11">
        <v>34</v>
      </c>
      <c r="O535" s="12">
        <v>195.99</v>
      </c>
      <c r="P535" s="12">
        <v>4.2</v>
      </c>
      <c r="Q535" s="13">
        <v>1382.445</v>
      </c>
      <c r="R535" s="36" t="s">
        <v>894</v>
      </c>
      <c r="S535" s="7">
        <f t="shared" si="40"/>
        <v>7</v>
      </c>
      <c r="T535" s="15" t="str">
        <f>VLOOKUP(R535,产品分类!$C$2:$D$1278,2,0)</f>
        <v>家具产品</v>
      </c>
    </row>
    <row r="536" spans="1:20">
      <c r="A536" s="8">
        <f>DATE(2012,12,31)-1275</f>
        <v>39999</v>
      </c>
      <c r="B536" s="8">
        <f>DATE(2012,12,31)-1275</f>
        <v>39999</v>
      </c>
      <c r="C536" s="9" t="s">
        <v>158</v>
      </c>
      <c r="D536">
        <v>10021369638</v>
      </c>
      <c r="E536" t="s">
        <v>47</v>
      </c>
      <c r="F536" t="s">
        <v>171</v>
      </c>
      <c r="G536" t="s">
        <v>172</v>
      </c>
      <c r="H536" t="s">
        <v>788</v>
      </c>
      <c r="I536" t="s">
        <v>789</v>
      </c>
      <c r="J536" t="s">
        <v>668</v>
      </c>
      <c r="K536" s="3">
        <v>100428379344</v>
      </c>
      <c r="L536" s="10">
        <v>40004</v>
      </c>
      <c r="M536">
        <v>79.42</v>
      </c>
      <c r="N536" s="11">
        <v>8</v>
      </c>
      <c r="O536" s="12">
        <v>8.88</v>
      </c>
      <c r="P536" s="12">
        <v>6.28</v>
      </c>
      <c r="Q536" s="13">
        <v>-15.456</v>
      </c>
      <c r="R536" s="36" t="s">
        <v>895</v>
      </c>
      <c r="S536" s="7">
        <f t="shared" si="40"/>
        <v>5</v>
      </c>
      <c r="T536" s="15" t="str">
        <f>VLOOKUP(R536,产品分类!$C$2:$D$1278,2,0)</f>
        <v>办公用品</v>
      </c>
    </row>
    <row r="537" spans="1:20">
      <c r="A537" s="8">
        <f>DATE(2012,12,31)-1275</f>
        <v>39999</v>
      </c>
      <c r="B537" s="8">
        <f>DATE(2012,12,31)-1275</f>
        <v>39999</v>
      </c>
      <c r="C537" s="9" t="s">
        <v>158</v>
      </c>
      <c r="D537">
        <v>10021341791</v>
      </c>
      <c r="E537" t="s">
        <v>47</v>
      </c>
      <c r="F537" t="s">
        <v>177</v>
      </c>
      <c r="G537" t="s">
        <v>178</v>
      </c>
      <c r="H537" t="s">
        <v>795</v>
      </c>
      <c r="I537" t="s">
        <v>796</v>
      </c>
      <c r="J537" t="s">
        <v>668</v>
      </c>
      <c r="K537" s="3">
        <v>100427541443</v>
      </c>
      <c r="L537" s="10">
        <v>40008</v>
      </c>
      <c r="M537">
        <v>75.6</v>
      </c>
      <c r="N537" s="11">
        <v>26</v>
      </c>
      <c r="O537" s="12">
        <v>2.88</v>
      </c>
      <c r="P537" s="12">
        <v>0.99</v>
      </c>
      <c r="Q537" s="13">
        <v>17.14</v>
      </c>
      <c r="R537" s="36" t="s">
        <v>896</v>
      </c>
      <c r="S537" s="7">
        <f t="shared" si="40"/>
        <v>9</v>
      </c>
      <c r="T537" s="15" t="str">
        <f>VLOOKUP(R537,产品分类!$C$2:$D$1278,2,0)</f>
        <v>办公用品</v>
      </c>
    </row>
    <row r="538" spans="1:20">
      <c r="A538" s="8">
        <f>DATE(2012,12,31)-218</f>
        <v>41056</v>
      </c>
      <c r="B538" s="8">
        <f>DATE(2012,12,31)-218</f>
        <v>41056</v>
      </c>
      <c r="C538" s="9" t="s">
        <v>897</v>
      </c>
      <c r="D538">
        <v>10021254654</v>
      </c>
      <c r="E538" t="s">
        <v>47</v>
      </c>
      <c r="F538" t="s">
        <v>342</v>
      </c>
      <c r="G538" t="s">
        <v>343</v>
      </c>
      <c r="H538" t="s">
        <v>344</v>
      </c>
      <c r="I538" t="s">
        <v>345</v>
      </c>
      <c r="J538" t="s">
        <v>668</v>
      </c>
      <c r="K538" s="3">
        <v>100422551023</v>
      </c>
      <c r="L538" s="10">
        <v>41058</v>
      </c>
      <c r="M538">
        <v>139.95</v>
      </c>
      <c r="N538" s="11">
        <v>36</v>
      </c>
      <c r="O538" s="12">
        <v>3.58</v>
      </c>
      <c r="P538" s="12">
        <v>5.47</v>
      </c>
      <c r="Q538" s="13">
        <v>-128.593</v>
      </c>
      <c r="R538" s="36" t="s">
        <v>320</v>
      </c>
      <c r="S538" s="7">
        <f t="shared" si="40"/>
        <v>2</v>
      </c>
      <c r="T538" s="15" t="str">
        <f>VLOOKUP(R538,产品分类!$C$2:$D$1278,2,0)</f>
        <v>办公用品</v>
      </c>
    </row>
    <row r="539" spans="1:20">
      <c r="A539" s="8">
        <f>DATE(2012,12,31)-218</f>
        <v>41056</v>
      </c>
      <c r="B539" s="8">
        <f>DATE(2012,12,31)-218</f>
        <v>41056</v>
      </c>
      <c r="C539" s="9" t="s">
        <v>897</v>
      </c>
      <c r="D539">
        <v>10021369227</v>
      </c>
      <c r="E539" t="s">
        <v>47</v>
      </c>
      <c r="F539" t="s">
        <v>61</v>
      </c>
      <c r="G539" t="s">
        <v>62</v>
      </c>
      <c r="H539" t="s">
        <v>454</v>
      </c>
      <c r="I539" t="s">
        <v>455</v>
      </c>
      <c r="J539" t="s">
        <v>668</v>
      </c>
      <c r="K539" s="3">
        <v>100129908336</v>
      </c>
      <c r="L539" s="10">
        <v>41058</v>
      </c>
      <c r="M539">
        <v>5207.5</v>
      </c>
      <c r="N539" s="11">
        <v>24</v>
      </c>
      <c r="O539" s="12">
        <v>216.6</v>
      </c>
      <c r="P539" s="12">
        <v>64.2</v>
      </c>
      <c r="Q539" s="13">
        <v>166.44</v>
      </c>
      <c r="R539" s="36" t="s">
        <v>898</v>
      </c>
      <c r="S539" s="7">
        <f t="shared" si="40"/>
        <v>2</v>
      </c>
      <c r="T539" s="15" t="str">
        <f>VLOOKUP(R539,产品分类!$C$2:$D$1278,2,0)</f>
        <v>数码电子</v>
      </c>
    </row>
    <row r="540" spans="1:20">
      <c r="A540" s="16">
        <f>DATE(2012,12,31)-1376</f>
        <v>39898</v>
      </c>
      <c r="B540" s="16">
        <f>DATE(2012,12,31)-1376</f>
        <v>39898</v>
      </c>
      <c r="C540" s="9" t="s">
        <v>899</v>
      </c>
      <c r="D540">
        <v>10021343667</v>
      </c>
      <c r="E540" t="s">
        <v>47</v>
      </c>
      <c r="F540" t="s">
        <v>61</v>
      </c>
      <c r="G540" t="s">
        <v>62</v>
      </c>
      <c r="H540" t="s">
        <v>454</v>
      </c>
      <c r="I540" t="s">
        <v>455</v>
      </c>
      <c r="J540" t="s">
        <v>668</v>
      </c>
      <c r="K540" s="3">
        <v>100929143371</v>
      </c>
      <c r="L540" s="10">
        <v>39900</v>
      </c>
      <c r="M540">
        <v>271.11</v>
      </c>
      <c r="N540" s="17">
        <v>41</v>
      </c>
      <c r="O540" s="5">
        <v>6.68</v>
      </c>
      <c r="P540" s="5">
        <v>1.5</v>
      </c>
      <c r="Q540" s="6">
        <v>64.79</v>
      </c>
      <c r="R540" s="37" t="s">
        <v>900</v>
      </c>
      <c r="S540" s="7">
        <f t="shared" si="40"/>
        <v>2</v>
      </c>
      <c r="T540" s="15" t="str">
        <f>VLOOKUP(R540,产品分类!$C$2:$D$1278,2,0)</f>
        <v>数码电子</v>
      </c>
    </row>
    <row r="541" spans="1:20">
      <c r="A541" s="8">
        <f t="shared" ref="A541:B543" si="42">DATE(2012,12,31)-212</f>
        <v>41062</v>
      </c>
      <c r="B541" s="8">
        <f t="shared" si="42"/>
        <v>41062</v>
      </c>
      <c r="C541" s="9" t="s">
        <v>433</v>
      </c>
      <c r="D541">
        <v>10021256768</v>
      </c>
      <c r="E541" t="s">
        <v>47</v>
      </c>
      <c r="F541" t="s">
        <v>61</v>
      </c>
      <c r="G541" t="s">
        <v>62</v>
      </c>
      <c r="H541" t="s">
        <v>454</v>
      </c>
      <c r="I541" t="s">
        <v>455</v>
      </c>
      <c r="J541" t="s">
        <v>668</v>
      </c>
      <c r="K541" s="3">
        <v>100925505581</v>
      </c>
      <c r="L541" s="10">
        <v>41067</v>
      </c>
      <c r="M541">
        <v>95.73</v>
      </c>
      <c r="N541" s="11">
        <v>41</v>
      </c>
      <c r="O541" s="12">
        <v>2.08</v>
      </c>
      <c r="P541" s="12">
        <v>5.33</v>
      </c>
      <c r="Q541" s="13">
        <v>-151.15</v>
      </c>
      <c r="R541" s="36" t="s">
        <v>901</v>
      </c>
      <c r="S541" s="7">
        <f t="shared" si="40"/>
        <v>5</v>
      </c>
      <c r="T541" s="15" t="str">
        <f>VLOOKUP(R541,产品分类!$C$2:$D$1278,2,0)</f>
        <v>家具产品</v>
      </c>
    </row>
    <row r="542" spans="1:20">
      <c r="A542" s="8">
        <f t="shared" si="42"/>
        <v>41062</v>
      </c>
      <c r="B542" s="8">
        <f t="shared" si="42"/>
        <v>41062</v>
      </c>
      <c r="C542" s="9" t="s">
        <v>433</v>
      </c>
      <c r="D542">
        <v>10021268747</v>
      </c>
      <c r="E542" t="s">
        <v>47</v>
      </c>
      <c r="F542" t="s">
        <v>61</v>
      </c>
      <c r="G542" t="s">
        <v>62</v>
      </c>
      <c r="H542" t="s">
        <v>454</v>
      </c>
      <c r="I542" t="s">
        <v>455</v>
      </c>
      <c r="J542" t="s">
        <v>668</v>
      </c>
      <c r="K542" s="3">
        <v>100332413269</v>
      </c>
      <c r="L542" s="10">
        <v>41067</v>
      </c>
      <c r="M542">
        <v>7338.79</v>
      </c>
      <c r="N542" s="11">
        <v>39</v>
      </c>
      <c r="O542" s="12">
        <v>204.1</v>
      </c>
      <c r="P542" s="12">
        <v>13.99</v>
      </c>
      <c r="Q542" s="13">
        <v>4031.62</v>
      </c>
      <c r="R542" s="36" t="s">
        <v>902</v>
      </c>
      <c r="S542" s="7">
        <f t="shared" si="40"/>
        <v>5</v>
      </c>
      <c r="T542" s="15" t="str">
        <f>VLOOKUP(R542,产品分类!$C$2:$D$1278,2,0)</f>
        <v>办公用品</v>
      </c>
    </row>
    <row r="543" spans="1:20">
      <c r="A543" s="8">
        <f t="shared" si="42"/>
        <v>41062</v>
      </c>
      <c r="B543" s="8">
        <f t="shared" si="42"/>
        <v>41062</v>
      </c>
      <c r="C543" s="9" t="s">
        <v>433</v>
      </c>
      <c r="D543">
        <v>10021336520</v>
      </c>
      <c r="E543" t="s">
        <v>47</v>
      </c>
      <c r="F543" t="s">
        <v>83</v>
      </c>
      <c r="G543" t="s">
        <v>84</v>
      </c>
      <c r="H543" t="s">
        <v>85</v>
      </c>
      <c r="I543" t="s">
        <v>86</v>
      </c>
      <c r="J543" t="s">
        <v>668</v>
      </c>
      <c r="K543" s="3">
        <v>100919057351</v>
      </c>
      <c r="L543" s="10">
        <v>41062</v>
      </c>
      <c r="M543">
        <v>12569.31</v>
      </c>
      <c r="N543" s="11">
        <v>47</v>
      </c>
      <c r="O543" s="12">
        <v>279.81</v>
      </c>
      <c r="P543" s="12">
        <v>23.19</v>
      </c>
      <c r="Q543" s="13">
        <v>3160.63</v>
      </c>
      <c r="R543" s="36" t="s">
        <v>720</v>
      </c>
      <c r="S543" s="7">
        <f t="shared" si="40"/>
        <v>0</v>
      </c>
      <c r="T543" s="15" t="str">
        <f>VLOOKUP(R543,产品分类!$C$2:$D$1278,2,0)</f>
        <v>办公用品</v>
      </c>
    </row>
    <row r="544" spans="1:20">
      <c r="A544" s="8">
        <f>DATE(2012,12,31)-87</f>
        <v>41187</v>
      </c>
      <c r="B544" s="8">
        <f>DATE(2012,12,31)-87</f>
        <v>41187</v>
      </c>
      <c r="C544" s="9" t="s">
        <v>250</v>
      </c>
      <c r="D544">
        <v>10021258133</v>
      </c>
      <c r="E544" t="s">
        <v>47</v>
      </c>
      <c r="F544" t="s">
        <v>61</v>
      </c>
      <c r="G544" t="s">
        <v>62</v>
      </c>
      <c r="H544" t="s">
        <v>454</v>
      </c>
      <c r="I544" t="s">
        <v>455</v>
      </c>
      <c r="J544" t="s">
        <v>668</v>
      </c>
      <c r="K544" s="3">
        <v>10045673234</v>
      </c>
      <c r="L544" s="10">
        <v>41187</v>
      </c>
      <c r="M544">
        <v>62.54</v>
      </c>
      <c r="N544" s="11">
        <v>3</v>
      </c>
      <c r="O544" s="12">
        <v>15.99</v>
      </c>
      <c r="P544" s="12">
        <v>13.18</v>
      </c>
      <c r="Q544" s="13">
        <v>-30.7395</v>
      </c>
      <c r="R544" s="36" t="s">
        <v>511</v>
      </c>
      <c r="S544" s="7">
        <f t="shared" si="40"/>
        <v>0</v>
      </c>
      <c r="T544" s="15" t="str">
        <f>VLOOKUP(R544,产品分类!$C$2:$D$1278,2,0)</f>
        <v>数码电子</v>
      </c>
    </row>
    <row r="545" spans="1:20">
      <c r="A545" s="8">
        <f>DATE(2012,12,31)-87</f>
        <v>41187</v>
      </c>
      <c r="B545" s="8">
        <f>DATE(2012,12,31)-87</f>
        <v>41187</v>
      </c>
      <c r="C545" s="9" t="s">
        <v>250</v>
      </c>
      <c r="D545">
        <v>10021348326</v>
      </c>
      <c r="E545" t="s">
        <v>47</v>
      </c>
      <c r="F545" t="s">
        <v>61</v>
      </c>
      <c r="G545" t="s">
        <v>62</v>
      </c>
      <c r="H545" t="s">
        <v>454</v>
      </c>
      <c r="I545" t="s">
        <v>455</v>
      </c>
      <c r="J545" t="s">
        <v>668</v>
      </c>
      <c r="K545" s="3">
        <v>100131487188</v>
      </c>
      <c r="L545" s="10">
        <v>41188</v>
      </c>
      <c r="M545">
        <v>2750.107</v>
      </c>
      <c r="N545" s="11">
        <v>24</v>
      </c>
      <c r="O545" s="12">
        <v>125.99</v>
      </c>
      <c r="P545" s="12">
        <v>7.69</v>
      </c>
      <c r="Q545" s="13">
        <v>600.417</v>
      </c>
      <c r="R545" s="36" t="s">
        <v>903</v>
      </c>
      <c r="S545" s="7">
        <f t="shared" si="40"/>
        <v>1</v>
      </c>
      <c r="T545" s="15" t="str">
        <f>VLOOKUP(R545,产品分类!$C$2:$D$1278,2,0)</f>
        <v>家具产品</v>
      </c>
    </row>
    <row r="546" spans="1:20">
      <c r="A546" s="8">
        <f>DATE(2012,12,31)-22</f>
        <v>41252</v>
      </c>
      <c r="B546" s="8">
        <f>DATE(2012,12,31)-22</f>
        <v>41252</v>
      </c>
      <c r="C546" s="9" t="s">
        <v>904</v>
      </c>
      <c r="D546">
        <v>10021332046</v>
      </c>
      <c r="E546" t="s">
        <v>47</v>
      </c>
      <c r="F546" t="s">
        <v>61</v>
      </c>
      <c r="G546" t="s">
        <v>62</v>
      </c>
      <c r="H546" t="s">
        <v>454</v>
      </c>
      <c r="I546" t="s">
        <v>455</v>
      </c>
      <c r="J546" t="s">
        <v>668</v>
      </c>
      <c r="K546" s="3">
        <v>10041932744</v>
      </c>
      <c r="L546" s="10">
        <v>41254</v>
      </c>
      <c r="M546">
        <v>177.95</v>
      </c>
      <c r="N546" s="11">
        <v>27</v>
      </c>
      <c r="O546" s="12">
        <v>6.48</v>
      </c>
      <c r="P546" s="12">
        <v>6</v>
      </c>
      <c r="Q546" s="13">
        <v>-61.75</v>
      </c>
      <c r="R546" s="36" t="s">
        <v>905</v>
      </c>
      <c r="S546" s="7">
        <f t="shared" si="40"/>
        <v>2</v>
      </c>
      <c r="T546" s="15" t="str">
        <f>VLOOKUP(R546,产品分类!$C$2:$D$1278,2,0)</f>
        <v>办公用品</v>
      </c>
    </row>
    <row r="547" spans="1:20">
      <c r="A547" s="16">
        <f>DATE(2012,12,31)-22</f>
        <v>41252</v>
      </c>
      <c r="B547" s="16">
        <f>DATE(2012,12,31)-22</f>
        <v>41252</v>
      </c>
      <c r="C547" s="9" t="s">
        <v>904</v>
      </c>
      <c r="D547">
        <v>10021257845</v>
      </c>
      <c r="E547" t="s">
        <v>47</v>
      </c>
      <c r="F547" t="s">
        <v>55</v>
      </c>
      <c r="G547" t="s">
        <v>56</v>
      </c>
      <c r="H547" t="s">
        <v>57</v>
      </c>
      <c r="I547" t="s">
        <v>58</v>
      </c>
      <c r="J547" t="s">
        <v>668</v>
      </c>
      <c r="K547" s="3">
        <v>100126714668</v>
      </c>
      <c r="L547" s="10">
        <v>41254</v>
      </c>
      <c r="M547">
        <v>99.53</v>
      </c>
      <c r="N547" s="17">
        <v>24</v>
      </c>
      <c r="O547" s="5">
        <v>3.8</v>
      </c>
      <c r="P547" s="5">
        <v>1.49</v>
      </c>
      <c r="Q547" s="6">
        <v>18.2835</v>
      </c>
      <c r="R547" s="37" t="s">
        <v>648</v>
      </c>
      <c r="S547" s="7">
        <f t="shared" si="40"/>
        <v>2</v>
      </c>
      <c r="T547" s="15" t="str">
        <f>VLOOKUP(R547,产品分类!$C$2:$D$1278,2,0)</f>
        <v>家具产品</v>
      </c>
    </row>
    <row r="548" spans="1:20">
      <c r="A548" s="8">
        <f>DATE(2012,12,31)-350</f>
        <v>40924</v>
      </c>
      <c r="B548" s="8">
        <f>DATE(2012,12,31)-350</f>
        <v>40924</v>
      </c>
      <c r="C548" s="9" t="s">
        <v>388</v>
      </c>
      <c r="D548">
        <v>10021349606</v>
      </c>
      <c r="E548" t="s">
        <v>47</v>
      </c>
      <c r="F548" t="s">
        <v>55</v>
      </c>
      <c r="G548" t="s">
        <v>56</v>
      </c>
      <c r="H548" t="s">
        <v>57</v>
      </c>
      <c r="I548" t="s">
        <v>58</v>
      </c>
      <c r="J548" t="s">
        <v>668</v>
      </c>
      <c r="K548" s="3">
        <v>100931881991</v>
      </c>
      <c r="L548" s="10">
        <v>40925</v>
      </c>
      <c r="M548">
        <v>106.78</v>
      </c>
      <c r="N548" s="11">
        <v>29</v>
      </c>
      <c r="O548" s="12">
        <v>3.28</v>
      </c>
      <c r="P548" s="12">
        <v>5</v>
      </c>
      <c r="Q548" s="13">
        <v>-98.05</v>
      </c>
      <c r="R548" s="36" t="s">
        <v>906</v>
      </c>
      <c r="S548" s="7">
        <f t="shared" si="40"/>
        <v>1</v>
      </c>
      <c r="T548" s="15" t="str">
        <f>VLOOKUP(R548,产品分类!$C$2:$D$1278,2,0)</f>
        <v>数码电子</v>
      </c>
    </row>
    <row r="549" spans="1:20">
      <c r="A549" s="8">
        <f>DATE(2012,12,31)-1063</f>
        <v>40211</v>
      </c>
      <c r="B549" s="8">
        <f>DATE(2012,12,31)-1063</f>
        <v>40211</v>
      </c>
      <c r="C549" s="9" t="s">
        <v>907</v>
      </c>
      <c r="D549">
        <v>10021373030</v>
      </c>
      <c r="E549" t="s">
        <v>47</v>
      </c>
      <c r="F549" t="s">
        <v>72</v>
      </c>
      <c r="G549" t="s">
        <v>73</v>
      </c>
      <c r="H549" t="s">
        <v>74</v>
      </c>
      <c r="I549" t="s">
        <v>75</v>
      </c>
      <c r="J549" t="s">
        <v>668</v>
      </c>
      <c r="K549" s="3">
        <v>10047960224</v>
      </c>
      <c r="L549" s="10">
        <v>40211</v>
      </c>
      <c r="M549">
        <v>79.37</v>
      </c>
      <c r="N549" s="11">
        <v>25</v>
      </c>
      <c r="O549" s="12">
        <v>3.29</v>
      </c>
      <c r="P549" s="12">
        <v>1.35</v>
      </c>
      <c r="Q549" s="13">
        <v>6.14</v>
      </c>
      <c r="R549" s="36" t="s">
        <v>908</v>
      </c>
      <c r="S549" s="7">
        <f t="shared" si="40"/>
        <v>0</v>
      </c>
      <c r="T549" s="15" t="str">
        <f>VLOOKUP(R549,产品分类!$C$2:$D$1278,2,0)</f>
        <v>办公用品</v>
      </c>
    </row>
    <row r="550" spans="1:20">
      <c r="A550" s="8">
        <f>DATE(2012,12,31)-825</f>
        <v>40449</v>
      </c>
      <c r="B550" s="8">
        <f>DATE(2012,12,31)-825</f>
        <v>40449</v>
      </c>
      <c r="C550" s="9" t="s">
        <v>909</v>
      </c>
      <c r="D550">
        <v>10021323806</v>
      </c>
      <c r="E550" t="s">
        <v>47</v>
      </c>
      <c r="F550" t="s">
        <v>114</v>
      </c>
      <c r="G550" t="s">
        <v>115</v>
      </c>
      <c r="H550" t="s">
        <v>910</v>
      </c>
      <c r="I550" t="s">
        <v>911</v>
      </c>
      <c r="J550" t="s">
        <v>668</v>
      </c>
      <c r="K550" s="3">
        <v>10085149452</v>
      </c>
      <c r="L550" s="10">
        <v>40451</v>
      </c>
      <c r="M550">
        <v>1143.35</v>
      </c>
      <c r="N550" s="11">
        <v>38</v>
      </c>
      <c r="O550" s="12">
        <v>29.18</v>
      </c>
      <c r="P550" s="12">
        <v>8.55</v>
      </c>
      <c r="Q550" s="13">
        <v>411.1</v>
      </c>
      <c r="R550" s="36" t="s">
        <v>912</v>
      </c>
      <c r="S550" s="7">
        <f t="shared" si="40"/>
        <v>2</v>
      </c>
      <c r="T550" s="15" t="str">
        <f>VLOOKUP(R550,产品分类!$C$2:$D$1278,2,0)</f>
        <v>办公用品</v>
      </c>
    </row>
    <row r="551" spans="1:20">
      <c r="A551" s="8">
        <f>DATE(2012,12,31)-1208</f>
        <v>40066</v>
      </c>
      <c r="B551" s="8">
        <f>DATE(2012,12,31)-1208</f>
        <v>40066</v>
      </c>
      <c r="C551" s="9" t="s">
        <v>913</v>
      </c>
      <c r="D551">
        <v>10021323709</v>
      </c>
      <c r="E551" t="s">
        <v>47</v>
      </c>
      <c r="F551" t="s">
        <v>55</v>
      </c>
      <c r="G551" t="s">
        <v>56</v>
      </c>
      <c r="H551" t="s">
        <v>57</v>
      </c>
      <c r="I551" t="s">
        <v>58</v>
      </c>
      <c r="J551" t="s">
        <v>668</v>
      </c>
      <c r="K551" s="3">
        <v>100932254861</v>
      </c>
      <c r="L551" s="10">
        <v>40066</v>
      </c>
      <c r="M551">
        <v>1463.0965</v>
      </c>
      <c r="N551" s="11">
        <v>14</v>
      </c>
      <c r="O551" s="12">
        <v>115.99</v>
      </c>
      <c r="P551" s="12">
        <v>2.5</v>
      </c>
      <c r="Q551" s="13">
        <v>162.666</v>
      </c>
      <c r="R551" s="36" t="s">
        <v>914</v>
      </c>
      <c r="S551" s="7">
        <f t="shared" si="40"/>
        <v>0</v>
      </c>
      <c r="T551" s="15" t="str">
        <f>VLOOKUP(R551,产品分类!$C$2:$D$1278,2,0)</f>
        <v>家具产品</v>
      </c>
    </row>
    <row r="552" spans="1:20">
      <c r="A552" s="8">
        <f>DATE(2012,12,31)-1208</f>
        <v>40066</v>
      </c>
      <c r="B552" s="8">
        <f>DATE(2012,12,31)-1208</f>
        <v>40066</v>
      </c>
      <c r="C552" s="9" t="s">
        <v>913</v>
      </c>
      <c r="D552">
        <v>10021373455</v>
      </c>
      <c r="E552" t="s">
        <v>47</v>
      </c>
      <c r="F552" t="s">
        <v>527</v>
      </c>
      <c r="G552" t="s">
        <v>528</v>
      </c>
      <c r="H552" t="s">
        <v>529</v>
      </c>
      <c r="I552" t="s">
        <v>530</v>
      </c>
      <c r="J552" t="s">
        <v>668</v>
      </c>
      <c r="K552" s="3">
        <v>1004438753</v>
      </c>
      <c r="L552" s="10">
        <v>40067</v>
      </c>
      <c r="M552">
        <v>246.3</v>
      </c>
      <c r="N552" s="11">
        <v>38</v>
      </c>
      <c r="O552" s="12">
        <v>5.98</v>
      </c>
      <c r="P552" s="12">
        <v>5.79</v>
      </c>
      <c r="Q552" s="13">
        <v>-67.49</v>
      </c>
      <c r="R552" s="36" t="s">
        <v>915</v>
      </c>
      <c r="S552" s="7">
        <f t="shared" si="40"/>
        <v>1</v>
      </c>
      <c r="T552" s="15" t="str">
        <f>VLOOKUP(R552,产品分类!$C$2:$D$1278,2,0)</f>
        <v>家具产品</v>
      </c>
    </row>
    <row r="553" spans="1:20">
      <c r="A553" s="8">
        <f>DATE(2012,12,31)-677</f>
        <v>40597</v>
      </c>
      <c r="B553" s="8">
        <f>DATE(2012,12,31)-677</f>
        <v>40597</v>
      </c>
      <c r="C553" s="9" t="s">
        <v>916</v>
      </c>
      <c r="D553">
        <v>10021328297</v>
      </c>
      <c r="E553" t="s">
        <v>47</v>
      </c>
      <c r="F553" t="s">
        <v>183</v>
      </c>
      <c r="G553" t="s">
        <v>184</v>
      </c>
      <c r="H553" t="s">
        <v>185</v>
      </c>
      <c r="I553" t="s">
        <v>186</v>
      </c>
      <c r="J553" t="s">
        <v>668</v>
      </c>
      <c r="K553" s="3">
        <v>100929743951</v>
      </c>
      <c r="L553" s="10">
        <v>40599</v>
      </c>
      <c r="M553">
        <v>353.62</v>
      </c>
      <c r="N553" s="11">
        <v>27</v>
      </c>
      <c r="O553" s="12">
        <v>12.97</v>
      </c>
      <c r="P553" s="12">
        <v>1.49</v>
      </c>
      <c r="Q553" s="13">
        <v>140.148</v>
      </c>
      <c r="R553" s="36" t="s">
        <v>917</v>
      </c>
      <c r="S553" s="7">
        <f t="shared" si="40"/>
        <v>2</v>
      </c>
      <c r="T553" s="15" t="str">
        <f>VLOOKUP(R553,产品分类!$C$2:$D$1278,2,0)</f>
        <v>家具产品</v>
      </c>
    </row>
    <row r="554" spans="1:20">
      <c r="A554" s="8">
        <f>DATE(2012,12,31)-612</f>
        <v>40662</v>
      </c>
      <c r="B554" s="8">
        <f>DATE(2012,12,31)-612</f>
        <v>40662</v>
      </c>
      <c r="C554" s="9" t="s">
        <v>431</v>
      </c>
      <c r="D554">
        <v>10021373506</v>
      </c>
      <c r="E554" t="s">
        <v>47</v>
      </c>
      <c r="F554" t="s">
        <v>177</v>
      </c>
      <c r="G554" t="s">
        <v>178</v>
      </c>
      <c r="H554" t="s">
        <v>795</v>
      </c>
      <c r="I554" t="s">
        <v>796</v>
      </c>
      <c r="J554" t="s">
        <v>668</v>
      </c>
      <c r="K554" s="3">
        <v>100128672528</v>
      </c>
      <c r="L554" s="10">
        <v>40664</v>
      </c>
      <c r="M554">
        <v>76.16</v>
      </c>
      <c r="N554" s="11">
        <v>12</v>
      </c>
      <c r="O554" s="12">
        <v>5.98</v>
      </c>
      <c r="P554" s="12">
        <v>5.2</v>
      </c>
      <c r="Q554" s="13">
        <v>-24.03</v>
      </c>
      <c r="R554" s="36" t="s">
        <v>918</v>
      </c>
      <c r="S554" s="7">
        <f t="shared" si="40"/>
        <v>2</v>
      </c>
      <c r="T554" s="15" t="str">
        <f>VLOOKUP(R554,产品分类!$C$2:$D$1278,2,0)</f>
        <v>数码电子</v>
      </c>
    </row>
    <row r="555" spans="1:20">
      <c r="A555" s="8">
        <f>DATE(2012,12,31)-1364</f>
        <v>39910</v>
      </c>
      <c r="B555" s="8">
        <f>DATE(2012,12,31)-1364</f>
        <v>39910</v>
      </c>
      <c r="C555" s="9" t="s">
        <v>708</v>
      </c>
      <c r="D555">
        <v>10021318082</v>
      </c>
      <c r="E555" t="s">
        <v>47</v>
      </c>
      <c r="F555" t="s">
        <v>97</v>
      </c>
      <c r="G555" t="s">
        <v>98</v>
      </c>
      <c r="H555" t="s">
        <v>99</v>
      </c>
      <c r="I555" t="s">
        <v>98</v>
      </c>
      <c r="J555" t="s">
        <v>668</v>
      </c>
      <c r="K555" s="3">
        <v>100128665517</v>
      </c>
      <c r="L555" s="10">
        <v>39911</v>
      </c>
      <c r="M555">
        <v>244.85</v>
      </c>
      <c r="N555" s="11">
        <v>14</v>
      </c>
      <c r="O555" s="12">
        <v>17.67</v>
      </c>
      <c r="P555" s="12">
        <v>8.99</v>
      </c>
      <c r="Q555" s="13">
        <v>38.06</v>
      </c>
      <c r="R555" s="36" t="s">
        <v>491</v>
      </c>
      <c r="S555" s="7">
        <f t="shared" si="40"/>
        <v>1</v>
      </c>
      <c r="T555" s="15" t="str">
        <f>VLOOKUP(R555,产品分类!$C$2:$D$1278,2,0)</f>
        <v>办公用品</v>
      </c>
    </row>
    <row r="556" spans="1:20">
      <c r="A556" s="8">
        <f t="shared" ref="A556:B559" si="43">DATE(2012,12,31)-951</f>
        <v>40323</v>
      </c>
      <c r="B556" s="8">
        <f t="shared" si="43"/>
        <v>40323</v>
      </c>
      <c r="C556" s="9" t="s">
        <v>919</v>
      </c>
      <c r="D556">
        <v>10021316347</v>
      </c>
      <c r="E556" t="s">
        <v>47</v>
      </c>
      <c r="F556" t="s">
        <v>304</v>
      </c>
      <c r="G556" t="s">
        <v>305</v>
      </c>
      <c r="H556" t="s">
        <v>306</v>
      </c>
      <c r="I556" t="s">
        <v>307</v>
      </c>
      <c r="J556" t="s">
        <v>668</v>
      </c>
      <c r="K556" s="3">
        <v>10094412451</v>
      </c>
      <c r="L556" s="10">
        <v>40325</v>
      </c>
      <c r="M556">
        <v>268.09</v>
      </c>
      <c r="N556" s="11">
        <v>34</v>
      </c>
      <c r="O556" s="12">
        <v>8.32</v>
      </c>
      <c r="P556" s="12">
        <v>2.38</v>
      </c>
      <c r="Q556" s="13">
        <v>-63.76</v>
      </c>
      <c r="R556" s="36" t="s">
        <v>920</v>
      </c>
      <c r="S556" s="7">
        <f t="shared" si="40"/>
        <v>2</v>
      </c>
      <c r="T556" s="15" t="str">
        <f>VLOOKUP(R556,产品分类!$C$2:$D$1278,2,0)</f>
        <v>家具产品</v>
      </c>
    </row>
    <row r="557" spans="1:20">
      <c r="A557" s="8">
        <f t="shared" si="43"/>
        <v>40323</v>
      </c>
      <c r="B557" s="8">
        <f t="shared" si="43"/>
        <v>40323</v>
      </c>
      <c r="C557" s="9" t="s">
        <v>919</v>
      </c>
      <c r="D557">
        <v>10021278191</v>
      </c>
      <c r="E557" t="s">
        <v>47</v>
      </c>
      <c r="F557" t="s">
        <v>171</v>
      </c>
      <c r="G557" t="s">
        <v>172</v>
      </c>
      <c r="H557" t="s">
        <v>788</v>
      </c>
      <c r="I557" t="s">
        <v>789</v>
      </c>
      <c r="J557" t="s">
        <v>668</v>
      </c>
      <c r="K557" s="3">
        <v>100430144323</v>
      </c>
      <c r="L557" s="10">
        <v>40324</v>
      </c>
      <c r="M557">
        <v>557.03</v>
      </c>
      <c r="N557" s="11">
        <v>12</v>
      </c>
      <c r="O557" s="12">
        <v>45.19</v>
      </c>
      <c r="P557" s="12">
        <v>1.99</v>
      </c>
      <c r="Q557" s="13">
        <v>8.95</v>
      </c>
      <c r="R557" s="36" t="s">
        <v>921</v>
      </c>
      <c r="S557" s="7">
        <f t="shared" si="40"/>
        <v>1</v>
      </c>
      <c r="T557" s="15" t="str">
        <f>VLOOKUP(R557,产品分类!$C$2:$D$1278,2,0)</f>
        <v>家具产品</v>
      </c>
    </row>
    <row r="558" spans="1:20">
      <c r="A558" s="8">
        <f t="shared" si="43"/>
        <v>40323</v>
      </c>
      <c r="B558" s="8">
        <f t="shared" si="43"/>
        <v>40323</v>
      </c>
      <c r="C558" s="9" t="s">
        <v>919</v>
      </c>
      <c r="D558">
        <v>10021309672</v>
      </c>
      <c r="E558" t="s">
        <v>47</v>
      </c>
      <c r="F558" t="s">
        <v>61</v>
      </c>
      <c r="G558" t="s">
        <v>62</v>
      </c>
      <c r="H558" t="s">
        <v>454</v>
      </c>
      <c r="I558" t="s">
        <v>455</v>
      </c>
      <c r="J558" t="s">
        <v>668</v>
      </c>
      <c r="K558" s="3">
        <v>100113188036</v>
      </c>
      <c r="L558" s="10">
        <v>40324</v>
      </c>
      <c r="M558">
        <v>26.53</v>
      </c>
      <c r="N558" s="11">
        <v>3</v>
      </c>
      <c r="O558" s="12">
        <v>6.68</v>
      </c>
      <c r="P558" s="12">
        <v>6.92</v>
      </c>
      <c r="Q558" s="13">
        <v>-15</v>
      </c>
      <c r="R558" s="36" t="s">
        <v>922</v>
      </c>
      <c r="S558" s="7">
        <f t="shared" si="40"/>
        <v>1</v>
      </c>
      <c r="T558" s="15" t="str">
        <f>VLOOKUP(R558,产品分类!$C$2:$D$1278,2,0)</f>
        <v>家具产品</v>
      </c>
    </row>
    <row r="559" spans="1:20">
      <c r="A559" s="8">
        <f t="shared" si="43"/>
        <v>40323</v>
      </c>
      <c r="B559" s="8">
        <f t="shared" si="43"/>
        <v>40323</v>
      </c>
      <c r="C559" s="9" t="s">
        <v>919</v>
      </c>
      <c r="D559">
        <v>10021332184</v>
      </c>
      <c r="E559" t="s">
        <v>47</v>
      </c>
      <c r="F559" t="s">
        <v>152</v>
      </c>
      <c r="G559" t="s">
        <v>153</v>
      </c>
      <c r="H559" t="s">
        <v>154</v>
      </c>
      <c r="I559" t="s">
        <v>155</v>
      </c>
      <c r="J559" t="s">
        <v>668</v>
      </c>
      <c r="K559" s="3">
        <v>10084517382</v>
      </c>
      <c r="L559" s="10">
        <v>40324</v>
      </c>
      <c r="M559">
        <v>5133.9235</v>
      </c>
      <c r="N559" s="11">
        <v>34</v>
      </c>
      <c r="O559" s="12">
        <v>175.99</v>
      </c>
      <c r="P559" s="12">
        <v>4.99</v>
      </c>
      <c r="Q559" s="13">
        <v>1313.946</v>
      </c>
      <c r="R559" s="36" t="s">
        <v>485</v>
      </c>
      <c r="S559" s="7">
        <f t="shared" si="40"/>
        <v>1</v>
      </c>
      <c r="T559" s="15" t="str">
        <f>VLOOKUP(R559,产品分类!$C$2:$D$1278,2,0)</f>
        <v>数码电子</v>
      </c>
    </row>
    <row r="560" spans="1:20">
      <c r="A560" s="8">
        <f>DATE(2012,12,31)-757</f>
        <v>40517</v>
      </c>
      <c r="B560" s="8">
        <f>DATE(2012,12,31)-757</f>
        <v>40517</v>
      </c>
      <c r="C560" s="9" t="s">
        <v>101</v>
      </c>
      <c r="D560">
        <v>10021250396</v>
      </c>
      <c r="E560" t="s">
        <v>47</v>
      </c>
      <c r="F560" t="s">
        <v>152</v>
      </c>
      <c r="G560" t="s">
        <v>153</v>
      </c>
      <c r="H560" t="s">
        <v>154</v>
      </c>
      <c r="I560" t="s">
        <v>155</v>
      </c>
      <c r="J560" t="s">
        <v>668</v>
      </c>
      <c r="K560" s="3">
        <v>100810245882</v>
      </c>
      <c r="L560" s="10">
        <v>40517</v>
      </c>
      <c r="M560">
        <v>92.14</v>
      </c>
      <c r="N560" s="11">
        <v>11</v>
      </c>
      <c r="O560" s="12">
        <v>8.12</v>
      </c>
      <c r="P560" s="12">
        <v>2.83</v>
      </c>
      <c r="Q560" s="13">
        <v>-40.25</v>
      </c>
      <c r="R560" s="36" t="s">
        <v>923</v>
      </c>
      <c r="S560" s="7">
        <f t="shared" si="40"/>
        <v>0</v>
      </c>
      <c r="T560" s="15" t="str">
        <f>VLOOKUP(R560,产品分类!$C$2:$D$1278,2,0)</f>
        <v>办公用品</v>
      </c>
    </row>
    <row r="561" spans="1:20">
      <c r="A561" s="8">
        <f>DATE(2012,12,31)-757</f>
        <v>40517</v>
      </c>
      <c r="B561" s="8">
        <f>DATE(2012,12,31)-757</f>
        <v>40517</v>
      </c>
      <c r="C561" s="9" t="s">
        <v>101</v>
      </c>
      <c r="D561">
        <v>10021369290</v>
      </c>
      <c r="E561" t="s">
        <v>47</v>
      </c>
      <c r="F561" t="s">
        <v>72</v>
      </c>
      <c r="G561" t="s">
        <v>73</v>
      </c>
      <c r="H561" t="s">
        <v>74</v>
      </c>
      <c r="I561" t="s">
        <v>75</v>
      </c>
      <c r="J561" t="s">
        <v>668</v>
      </c>
      <c r="K561" s="3">
        <v>100330144549</v>
      </c>
      <c r="L561" s="10">
        <v>40519</v>
      </c>
      <c r="M561">
        <v>257.43</v>
      </c>
      <c r="N561" s="11">
        <v>40</v>
      </c>
      <c r="O561" s="12">
        <v>6.48</v>
      </c>
      <c r="P561" s="12">
        <v>8.73</v>
      </c>
      <c r="Q561" s="13">
        <v>-200.63</v>
      </c>
      <c r="R561" s="36" t="s">
        <v>924</v>
      </c>
      <c r="S561" s="7">
        <f t="shared" si="40"/>
        <v>2</v>
      </c>
      <c r="T561" s="15" t="str">
        <f>VLOOKUP(R561,产品分类!$C$2:$D$1278,2,0)</f>
        <v>数码电子</v>
      </c>
    </row>
    <row r="562" spans="1:20">
      <c r="A562" s="16">
        <f>DATE(2012,12,31)-1348</f>
        <v>39926</v>
      </c>
      <c r="B562" s="16">
        <f>DATE(2012,12,31)-1348</f>
        <v>39926</v>
      </c>
      <c r="C562" s="9" t="s">
        <v>899</v>
      </c>
      <c r="D562">
        <v>10021351414</v>
      </c>
      <c r="E562" t="s">
        <v>47</v>
      </c>
      <c r="F562" t="s">
        <v>230</v>
      </c>
      <c r="G562" t="s">
        <v>231</v>
      </c>
      <c r="H562" t="s">
        <v>870</v>
      </c>
      <c r="I562" t="s">
        <v>871</v>
      </c>
      <c r="J562" t="s">
        <v>668</v>
      </c>
      <c r="K562" s="3">
        <v>100132485297</v>
      </c>
      <c r="L562" s="10">
        <v>39926</v>
      </c>
      <c r="M562">
        <v>6.13</v>
      </c>
      <c r="N562" s="17">
        <v>2</v>
      </c>
      <c r="O562" s="5">
        <v>2.89</v>
      </c>
      <c r="P562" s="5">
        <v>0.49</v>
      </c>
      <c r="Q562" s="6">
        <v>-2.83</v>
      </c>
      <c r="R562" s="37" t="s">
        <v>925</v>
      </c>
      <c r="S562" s="7">
        <f t="shared" si="40"/>
        <v>0</v>
      </c>
      <c r="T562" s="15" t="str">
        <f>VLOOKUP(R562,产品分类!$C$2:$D$1278,2,0)</f>
        <v>办公用品</v>
      </c>
    </row>
    <row r="563" spans="1:20">
      <c r="A563" s="8">
        <f>DATE(2012,12,31)-106</f>
        <v>41168</v>
      </c>
      <c r="B563" s="8">
        <f>DATE(2012,12,31)-106</f>
        <v>41168</v>
      </c>
      <c r="C563" s="9" t="s">
        <v>448</v>
      </c>
      <c r="D563">
        <v>10021342043</v>
      </c>
      <c r="E563" t="s">
        <v>47</v>
      </c>
      <c r="F563" t="s">
        <v>83</v>
      </c>
      <c r="G563" t="s">
        <v>84</v>
      </c>
      <c r="H563" t="s">
        <v>85</v>
      </c>
      <c r="I563" t="s">
        <v>86</v>
      </c>
      <c r="J563" t="s">
        <v>668</v>
      </c>
      <c r="K563" s="3">
        <v>100111863227</v>
      </c>
      <c r="L563" s="10">
        <v>41170</v>
      </c>
      <c r="M563">
        <v>221.86</v>
      </c>
      <c r="N563" s="11">
        <v>40</v>
      </c>
      <c r="O563" s="12">
        <v>4.48</v>
      </c>
      <c r="P563" s="12">
        <v>49</v>
      </c>
      <c r="Q563" s="13">
        <v>-1845.66</v>
      </c>
      <c r="R563" s="36" t="s">
        <v>337</v>
      </c>
      <c r="S563" s="7">
        <f t="shared" si="40"/>
        <v>2</v>
      </c>
      <c r="T563" s="15" t="str">
        <f>VLOOKUP(R563,产品分类!$C$2:$D$1278,2,0)</f>
        <v>数码电子</v>
      </c>
    </row>
    <row r="564" spans="1:20">
      <c r="A564" s="8">
        <f>DATE(2012,12,31)-106</f>
        <v>41168</v>
      </c>
      <c r="B564" s="8">
        <f>DATE(2012,12,31)-106</f>
        <v>41168</v>
      </c>
      <c r="C564" s="9" t="s">
        <v>448</v>
      </c>
      <c r="D564">
        <v>10021294175</v>
      </c>
      <c r="E564" t="s">
        <v>47</v>
      </c>
      <c r="F564" t="s">
        <v>132</v>
      </c>
      <c r="G564" t="s">
        <v>133</v>
      </c>
      <c r="H564" t="s">
        <v>134</v>
      </c>
      <c r="I564" t="s">
        <v>133</v>
      </c>
      <c r="J564" t="s">
        <v>668</v>
      </c>
      <c r="K564" s="3">
        <v>100811181242</v>
      </c>
      <c r="L564" s="10">
        <v>41170</v>
      </c>
      <c r="M564">
        <v>78.26</v>
      </c>
      <c r="N564" s="11">
        <v>25</v>
      </c>
      <c r="O564" s="12">
        <v>2.61</v>
      </c>
      <c r="P564" s="12">
        <v>0.5</v>
      </c>
      <c r="Q564" s="13">
        <v>35.09</v>
      </c>
      <c r="R564" s="36" t="s">
        <v>624</v>
      </c>
      <c r="S564" s="7">
        <f t="shared" si="40"/>
        <v>2</v>
      </c>
      <c r="T564" s="15" t="str">
        <f>VLOOKUP(R564,产品分类!$C$2:$D$1278,2,0)</f>
        <v>数码电子</v>
      </c>
    </row>
    <row r="565" spans="1:20">
      <c r="A565" s="8">
        <f>DATE(2012,12,31)-679</f>
        <v>40595</v>
      </c>
      <c r="B565" s="8">
        <f>DATE(2012,12,31)-679</f>
        <v>40595</v>
      </c>
      <c r="C565" s="9" t="s">
        <v>926</v>
      </c>
      <c r="D565">
        <v>10021336411</v>
      </c>
      <c r="E565" t="s">
        <v>47</v>
      </c>
      <c r="F565" t="s">
        <v>102</v>
      </c>
      <c r="G565" t="s">
        <v>103</v>
      </c>
      <c r="H565" t="s">
        <v>104</v>
      </c>
      <c r="I565" t="s">
        <v>105</v>
      </c>
      <c r="J565" t="s">
        <v>668</v>
      </c>
      <c r="K565" s="3">
        <v>100818202782</v>
      </c>
      <c r="L565" s="10">
        <v>40601</v>
      </c>
      <c r="M565">
        <v>1225.41</v>
      </c>
      <c r="N565" s="11">
        <v>43</v>
      </c>
      <c r="O565" s="12">
        <v>28.28</v>
      </c>
      <c r="P565" s="12">
        <v>13.99</v>
      </c>
      <c r="Q565" s="13">
        <v>-138.02</v>
      </c>
      <c r="R565" s="36" t="s">
        <v>927</v>
      </c>
      <c r="S565" s="7">
        <f t="shared" si="40"/>
        <v>6</v>
      </c>
      <c r="T565" s="15" t="str">
        <f>VLOOKUP(R565,产品分类!$C$2:$D$1278,2,0)</f>
        <v>办公用品</v>
      </c>
    </row>
    <row r="566" spans="1:20">
      <c r="A566" s="8">
        <f t="shared" ref="A566:B568" si="44">DATE(2012,12,31)-1184</f>
        <v>40090</v>
      </c>
      <c r="B566" s="8">
        <f t="shared" si="44"/>
        <v>40090</v>
      </c>
      <c r="C566" s="9" t="s">
        <v>928</v>
      </c>
      <c r="D566">
        <v>10021253758</v>
      </c>
      <c r="E566" t="s">
        <v>47</v>
      </c>
      <c r="F566" t="s">
        <v>102</v>
      </c>
      <c r="G566" t="s">
        <v>103</v>
      </c>
      <c r="H566" t="s">
        <v>104</v>
      </c>
      <c r="I566" t="s">
        <v>105</v>
      </c>
      <c r="J566" t="s">
        <v>668</v>
      </c>
      <c r="K566" s="3">
        <v>100920426411</v>
      </c>
      <c r="L566" s="10">
        <v>40092</v>
      </c>
      <c r="M566">
        <v>1184.45</v>
      </c>
      <c r="N566" s="11">
        <v>19</v>
      </c>
      <c r="O566" s="12">
        <v>60.98</v>
      </c>
      <c r="P566" s="12">
        <v>49</v>
      </c>
      <c r="Q566" s="13">
        <v>-552.1</v>
      </c>
      <c r="R566" s="36" t="s">
        <v>568</v>
      </c>
      <c r="S566" s="7">
        <f t="shared" si="40"/>
        <v>2</v>
      </c>
      <c r="T566" s="15" t="str">
        <f>VLOOKUP(R566,产品分类!$C$2:$D$1278,2,0)</f>
        <v>家具产品</v>
      </c>
    </row>
    <row r="567" spans="1:20">
      <c r="A567" s="8">
        <f t="shared" si="44"/>
        <v>40090</v>
      </c>
      <c r="B567" s="8">
        <f t="shared" si="44"/>
        <v>40090</v>
      </c>
      <c r="C567" s="9" t="s">
        <v>928</v>
      </c>
      <c r="D567">
        <v>10021295741</v>
      </c>
      <c r="E567" t="s">
        <v>47</v>
      </c>
      <c r="F567" t="s">
        <v>304</v>
      </c>
      <c r="G567" t="s">
        <v>305</v>
      </c>
      <c r="H567" t="s">
        <v>306</v>
      </c>
      <c r="I567" t="s">
        <v>307</v>
      </c>
      <c r="J567" t="s">
        <v>668</v>
      </c>
      <c r="K567" s="3">
        <v>100417840343</v>
      </c>
      <c r="L567" s="10">
        <v>40092</v>
      </c>
      <c r="M567">
        <v>25409.63</v>
      </c>
      <c r="N567" s="11">
        <v>20</v>
      </c>
      <c r="O567" s="12">
        <v>1270.99</v>
      </c>
      <c r="P567" s="12">
        <v>19.99</v>
      </c>
      <c r="Q567" s="13">
        <v>11535.282</v>
      </c>
      <c r="R567" s="36" t="s">
        <v>929</v>
      </c>
      <c r="S567" s="7">
        <f t="shared" si="40"/>
        <v>2</v>
      </c>
      <c r="T567" s="15" t="str">
        <f>VLOOKUP(R567,产品分类!$C$2:$D$1278,2,0)</f>
        <v>数码电子</v>
      </c>
    </row>
    <row r="568" spans="1:20">
      <c r="A568" s="8">
        <f t="shared" si="44"/>
        <v>40090</v>
      </c>
      <c r="B568" s="8">
        <f t="shared" si="44"/>
        <v>40090</v>
      </c>
      <c r="C568" s="9" t="s">
        <v>928</v>
      </c>
      <c r="D568">
        <v>10021264630</v>
      </c>
      <c r="E568" t="s">
        <v>47</v>
      </c>
      <c r="F568" t="s">
        <v>171</v>
      </c>
      <c r="G568" t="s">
        <v>172</v>
      </c>
      <c r="H568" t="s">
        <v>788</v>
      </c>
      <c r="I568" t="s">
        <v>789</v>
      </c>
      <c r="J568" t="s">
        <v>668</v>
      </c>
      <c r="K568" s="3">
        <v>100431205883</v>
      </c>
      <c r="L568" s="10">
        <v>40092</v>
      </c>
      <c r="M568">
        <v>7308.283</v>
      </c>
      <c r="N568" s="11">
        <v>43</v>
      </c>
      <c r="O568" s="12">
        <v>205.99</v>
      </c>
      <c r="P568" s="12">
        <v>8.99</v>
      </c>
      <c r="Q568" s="13">
        <v>1680.228</v>
      </c>
      <c r="R568" s="36" t="s">
        <v>930</v>
      </c>
      <c r="S568" s="7">
        <f t="shared" si="40"/>
        <v>2</v>
      </c>
      <c r="T568" s="15" t="str">
        <f>VLOOKUP(R568,产品分类!$C$2:$D$1278,2,0)</f>
        <v>办公用品</v>
      </c>
    </row>
    <row r="569" spans="1:20">
      <c r="A569" s="8">
        <f t="shared" ref="A569:B571" si="45">DATE(2012,12,31)-250</f>
        <v>41024</v>
      </c>
      <c r="B569" s="8">
        <f t="shared" si="45"/>
        <v>41024</v>
      </c>
      <c r="C569" s="9" t="s">
        <v>931</v>
      </c>
      <c r="D569">
        <v>10021352292</v>
      </c>
      <c r="E569" t="s">
        <v>47</v>
      </c>
      <c r="F569" t="s">
        <v>171</v>
      </c>
      <c r="G569" t="s">
        <v>172</v>
      </c>
      <c r="H569" t="s">
        <v>788</v>
      </c>
      <c r="I569" t="s">
        <v>789</v>
      </c>
      <c r="J569" t="s">
        <v>668</v>
      </c>
      <c r="K569" s="3">
        <v>100332519479</v>
      </c>
      <c r="L569" s="10">
        <v>41024</v>
      </c>
      <c r="M569">
        <v>3064.27</v>
      </c>
      <c r="N569" s="11">
        <v>9</v>
      </c>
      <c r="O569" s="12">
        <v>363.25</v>
      </c>
      <c r="P569" s="12">
        <v>19.99</v>
      </c>
      <c r="Q569" s="13">
        <v>294.39</v>
      </c>
      <c r="R569" s="36" t="s">
        <v>192</v>
      </c>
      <c r="S569" s="7">
        <f t="shared" si="40"/>
        <v>0</v>
      </c>
      <c r="T569" s="15" t="str">
        <f>VLOOKUP(R569,产品分类!$C$2:$D$1278,2,0)</f>
        <v>办公用品</v>
      </c>
    </row>
    <row r="570" spans="1:20">
      <c r="A570" s="8">
        <f t="shared" si="45"/>
        <v>41024</v>
      </c>
      <c r="B570" s="8">
        <f t="shared" si="45"/>
        <v>41024</v>
      </c>
      <c r="C570" s="9" t="s">
        <v>931</v>
      </c>
      <c r="D570">
        <v>10021256509</v>
      </c>
      <c r="E570" t="s">
        <v>47</v>
      </c>
      <c r="F570" t="s">
        <v>171</v>
      </c>
      <c r="G570" t="s">
        <v>172</v>
      </c>
      <c r="H570" t="s">
        <v>788</v>
      </c>
      <c r="I570" t="s">
        <v>789</v>
      </c>
      <c r="J570" t="s">
        <v>668</v>
      </c>
      <c r="K570" s="3">
        <v>100125319127</v>
      </c>
      <c r="L570" s="10">
        <v>41026</v>
      </c>
      <c r="M570">
        <v>475.72</v>
      </c>
      <c r="N570" s="11">
        <v>22</v>
      </c>
      <c r="O570" s="12">
        <v>19.98</v>
      </c>
      <c r="P570" s="12">
        <v>10.49</v>
      </c>
      <c r="Q570" s="13">
        <v>-10.4</v>
      </c>
      <c r="R570" s="36" t="s">
        <v>932</v>
      </c>
      <c r="S570" s="7">
        <f t="shared" si="40"/>
        <v>2</v>
      </c>
      <c r="T570" s="15" t="str">
        <f>VLOOKUP(R570,产品分类!$C$2:$D$1278,2,0)</f>
        <v>数码电子</v>
      </c>
    </row>
    <row r="571" spans="1:20">
      <c r="A571" s="8">
        <f t="shared" si="45"/>
        <v>41024</v>
      </c>
      <c r="B571" s="8">
        <f t="shared" si="45"/>
        <v>41024</v>
      </c>
      <c r="C571" s="9" t="s">
        <v>931</v>
      </c>
      <c r="D571">
        <v>10021343268</v>
      </c>
      <c r="E571" t="s">
        <v>47</v>
      </c>
      <c r="F571" t="s">
        <v>171</v>
      </c>
      <c r="G571" t="s">
        <v>172</v>
      </c>
      <c r="H571" t="s">
        <v>933</v>
      </c>
      <c r="I571" t="s">
        <v>934</v>
      </c>
      <c r="J571" t="s">
        <v>668</v>
      </c>
      <c r="K571" s="3">
        <v>100928721451</v>
      </c>
      <c r="L571" s="10">
        <v>41025</v>
      </c>
      <c r="M571">
        <v>123.91</v>
      </c>
      <c r="N571" s="11">
        <v>15</v>
      </c>
      <c r="O571" s="12">
        <v>8.34</v>
      </c>
      <c r="P571" s="12">
        <v>0.96</v>
      </c>
      <c r="Q571" s="13">
        <v>39.04</v>
      </c>
      <c r="R571" s="36" t="s">
        <v>935</v>
      </c>
      <c r="S571" s="7">
        <f t="shared" si="40"/>
        <v>1</v>
      </c>
      <c r="T571" s="15" t="str">
        <f>VLOOKUP(R571,产品分类!$C$2:$D$1278,2,0)</f>
        <v>办公用品</v>
      </c>
    </row>
    <row r="572" spans="1:20">
      <c r="A572" s="16">
        <f>DATE(2012,12,31)-956</f>
        <v>40318</v>
      </c>
      <c r="B572" s="16">
        <f>DATE(2012,12,31)-956</f>
        <v>40318</v>
      </c>
      <c r="C572" s="9" t="s">
        <v>592</v>
      </c>
      <c r="D572">
        <v>10021249932</v>
      </c>
      <c r="E572" t="s">
        <v>47</v>
      </c>
      <c r="F572" t="s">
        <v>177</v>
      </c>
      <c r="G572" t="s">
        <v>178</v>
      </c>
      <c r="H572" t="s">
        <v>795</v>
      </c>
      <c r="I572" t="s">
        <v>796</v>
      </c>
      <c r="J572" t="s">
        <v>668</v>
      </c>
      <c r="K572" s="3">
        <v>100912516411</v>
      </c>
      <c r="L572" s="10">
        <v>40318</v>
      </c>
      <c r="M572">
        <v>700.46</v>
      </c>
      <c r="N572" s="17">
        <v>14</v>
      </c>
      <c r="O572" s="5">
        <v>48.04</v>
      </c>
      <c r="P572" s="5">
        <v>7.23</v>
      </c>
      <c r="Q572" s="6">
        <v>254.31</v>
      </c>
      <c r="R572" s="37" t="s">
        <v>936</v>
      </c>
      <c r="S572" s="7">
        <f t="shared" si="40"/>
        <v>0</v>
      </c>
      <c r="T572" s="15" t="str">
        <f>VLOOKUP(R572,产品分类!$C$2:$D$1278,2,0)</f>
        <v>办公用品</v>
      </c>
    </row>
    <row r="573" spans="1:20">
      <c r="A573" s="8">
        <f>DATE(2012,12,31)-742</f>
        <v>40532</v>
      </c>
      <c r="B573" s="8">
        <f>DATE(2012,12,31)-742</f>
        <v>40532</v>
      </c>
      <c r="C573" s="9" t="s">
        <v>937</v>
      </c>
      <c r="D573">
        <v>10021253573</v>
      </c>
      <c r="E573" t="s">
        <v>47</v>
      </c>
      <c r="F573" t="s">
        <v>127</v>
      </c>
      <c r="G573" t="s">
        <v>128</v>
      </c>
      <c r="H573" t="s">
        <v>129</v>
      </c>
      <c r="I573" t="s">
        <v>130</v>
      </c>
      <c r="J573" t="s">
        <v>668</v>
      </c>
      <c r="K573" s="3">
        <v>100119566517</v>
      </c>
      <c r="L573" s="10">
        <v>40533</v>
      </c>
      <c r="M573">
        <v>2537.88</v>
      </c>
      <c r="N573" s="11">
        <v>42</v>
      </c>
      <c r="O573" s="12">
        <v>60.89</v>
      </c>
      <c r="P573" s="12">
        <v>32.41</v>
      </c>
      <c r="Q573" s="13">
        <v>-377.25</v>
      </c>
      <c r="R573" s="36" t="s">
        <v>519</v>
      </c>
      <c r="S573" s="7">
        <f t="shared" si="40"/>
        <v>1</v>
      </c>
      <c r="T573" s="15" t="str">
        <f>VLOOKUP(R573,产品分类!$C$2:$D$1278,2,0)</f>
        <v>家具产品</v>
      </c>
    </row>
    <row r="574" spans="1:20">
      <c r="A574" s="8">
        <f t="shared" ref="A574:B576" si="46">DATE(2012,12,31)-135</f>
        <v>41139</v>
      </c>
      <c r="B574" s="8">
        <f t="shared" si="46"/>
        <v>41139</v>
      </c>
      <c r="C574" s="9" t="s">
        <v>726</v>
      </c>
      <c r="D574">
        <v>10021284965</v>
      </c>
      <c r="E574" t="s">
        <v>47</v>
      </c>
      <c r="F574" t="s">
        <v>61</v>
      </c>
      <c r="G574" t="s">
        <v>62</v>
      </c>
      <c r="H574" t="s">
        <v>454</v>
      </c>
      <c r="I574" t="s">
        <v>455</v>
      </c>
      <c r="J574" t="s">
        <v>668</v>
      </c>
      <c r="K574" s="3">
        <v>100929259211</v>
      </c>
      <c r="L574" s="10">
        <v>41139</v>
      </c>
      <c r="M574">
        <v>218.12</v>
      </c>
      <c r="N574" s="11">
        <v>36</v>
      </c>
      <c r="O574" s="12">
        <v>4.48</v>
      </c>
      <c r="P574" s="12">
        <v>49</v>
      </c>
      <c r="Q574" s="13">
        <v>-1642.65</v>
      </c>
      <c r="R574" s="36" t="s">
        <v>337</v>
      </c>
      <c r="S574" s="7">
        <f t="shared" si="40"/>
        <v>0</v>
      </c>
      <c r="T574" s="15" t="str">
        <f>VLOOKUP(R574,产品分类!$C$2:$D$1278,2,0)</f>
        <v>数码电子</v>
      </c>
    </row>
    <row r="575" spans="1:20">
      <c r="A575" s="8">
        <f t="shared" si="46"/>
        <v>41139</v>
      </c>
      <c r="B575" s="8">
        <f t="shared" si="46"/>
        <v>41139</v>
      </c>
      <c r="C575" s="9" t="s">
        <v>726</v>
      </c>
      <c r="D575">
        <v>10021345405</v>
      </c>
      <c r="E575" t="s">
        <v>47</v>
      </c>
      <c r="F575" t="s">
        <v>83</v>
      </c>
      <c r="G575" t="s">
        <v>84</v>
      </c>
      <c r="H575" t="s">
        <v>85</v>
      </c>
      <c r="I575" t="s">
        <v>86</v>
      </c>
      <c r="J575" t="s">
        <v>668</v>
      </c>
      <c r="K575" s="3">
        <v>100330156429</v>
      </c>
      <c r="L575" s="10">
        <v>41141</v>
      </c>
      <c r="M575">
        <v>729.83</v>
      </c>
      <c r="N575" s="11">
        <v>34</v>
      </c>
      <c r="O575" s="12">
        <v>22.38</v>
      </c>
      <c r="P575" s="12">
        <v>15.1</v>
      </c>
      <c r="Q575" s="13">
        <v>-135.102</v>
      </c>
      <c r="R575" s="36" t="s">
        <v>938</v>
      </c>
      <c r="S575" s="7">
        <f t="shared" si="40"/>
        <v>2</v>
      </c>
      <c r="T575" s="15" t="str">
        <f>VLOOKUP(R575,产品分类!$C$2:$D$1278,2,0)</f>
        <v>办公用品</v>
      </c>
    </row>
    <row r="576" spans="1:20">
      <c r="A576" s="8">
        <f t="shared" si="46"/>
        <v>41139</v>
      </c>
      <c r="B576" s="8">
        <f t="shared" si="46"/>
        <v>41139</v>
      </c>
      <c r="C576" s="9" t="s">
        <v>726</v>
      </c>
      <c r="D576">
        <v>10021351920</v>
      </c>
      <c r="E576" t="s">
        <v>47</v>
      </c>
      <c r="F576" t="s">
        <v>61</v>
      </c>
      <c r="G576" t="s">
        <v>62</v>
      </c>
      <c r="H576" t="s">
        <v>454</v>
      </c>
      <c r="I576" t="s">
        <v>455</v>
      </c>
      <c r="J576" t="s">
        <v>668</v>
      </c>
      <c r="K576" s="3">
        <v>100332508589</v>
      </c>
      <c r="L576" s="10">
        <v>41140</v>
      </c>
      <c r="M576">
        <v>1083.19</v>
      </c>
      <c r="N576" s="11">
        <v>36</v>
      </c>
      <c r="O576" s="12">
        <v>29.99</v>
      </c>
      <c r="P576" s="12">
        <v>5.5</v>
      </c>
      <c r="Q576" s="13">
        <v>214.61</v>
      </c>
      <c r="R576" s="36" t="s">
        <v>939</v>
      </c>
      <c r="S576" s="7">
        <f t="shared" si="40"/>
        <v>1</v>
      </c>
      <c r="T576" s="15" t="str">
        <f>VLOOKUP(R576,产品分类!$C$2:$D$1278,2,0)</f>
        <v>办公用品</v>
      </c>
    </row>
    <row r="577" spans="1:20">
      <c r="A577" s="8">
        <f>DATE(2012,12,31)-1029</f>
        <v>40245</v>
      </c>
      <c r="B577" s="8">
        <f>DATE(2012,12,31)-1029</f>
        <v>40245</v>
      </c>
      <c r="C577" s="9" t="s">
        <v>940</v>
      </c>
      <c r="D577">
        <v>10021336791</v>
      </c>
      <c r="E577" t="s">
        <v>47</v>
      </c>
      <c r="F577" t="s">
        <v>61</v>
      </c>
      <c r="G577" t="s">
        <v>62</v>
      </c>
      <c r="H577" t="s">
        <v>454</v>
      </c>
      <c r="I577" t="s">
        <v>455</v>
      </c>
      <c r="J577" t="s">
        <v>668</v>
      </c>
      <c r="K577" s="3">
        <v>100820595162</v>
      </c>
      <c r="L577" s="10">
        <v>40245</v>
      </c>
      <c r="M577">
        <v>820.284</v>
      </c>
      <c r="N577" s="11">
        <v>8</v>
      </c>
      <c r="O577" s="12">
        <v>115.99</v>
      </c>
      <c r="P577" s="12">
        <v>2.5</v>
      </c>
      <c r="Q577" s="13">
        <v>-180.202</v>
      </c>
      <c r="R577" s="36" t="s">
        <v>914</v>
      </c>
      <c r="S577" s="7">
        <f t="shared" si="40"/>
        <v>0</v>
      </c>
      <c r="T577" s="15" t="str">
        <f>VLOOKUP(R577,产品分类!$C$2:$D$1278,2,0)</f>
        <v>家具产品</v>
      </c>
    </row>
    <row r="578" spans="1:20">
      <c r="A578" s="8">
        <f>DATE(2012,12,31)-656</f>
        <v>40618</v>
      </c>
      <c r="B578" s="8">
        <f>DATE(2012,12,31)-656</f>
        <v>40618</v>
      </c>
      <c r="C578" s="9" t="s">
        <v>689</v>
      </c>
      <c r="D578">
        <v>10021356307</v>
      </c>
      <c r="E578" t="s">
        <v>47</v>
      </c>
      <c r="F578" t="s">
        <v>171</v>
      </c>
      <c r="G578" t="s">
        <v>172</v>
      </c>
      <c r="H578" t="s">
        <v>933</v>
      </c>
      <c r="I578" t="s">
        <v>934</v>
      </c>
      <c r="J578" t="s">
        <v>668</v>
      </c>
      <c r="K578" s="3">
        <v>100132871298</v>
      </c>
      <c r="L578" s="10">
        <v>40618</v>
      </c>
      <c r="M578">
        <v>370.72</v>
      </c>
      <c r="N578" s="11">
        <v>24</v>
      </c>
      <c r="O578" s="12">
        <v>15.7</v>
      </c>
      <c r="P578" s="12">
        <v>11.25</v>
      </c>
      <c r="Q578" s="13">
        <v>-156.76</v>
      </c>
      <c r="R578" s="36" t="s">
        <v>261</v>
      </c>
      <c r="S578" s="7">
        <f t="shared" si="40"/>
        <v>0</v>
      </c>
      <c r="T578" s="15" t="str">
        <f>VLOOKUP(R578,产品分类!$C$2:$D$1278,2,0)</f>
        <v>家具产品</v>
      </c>
    </row>
    <row r="579" spans="1:20">
      <c r="A579" s="8">
        <f>DATE(2012,12,31)-918</f>
        <v>40356</v>
      </c>
      <c r="B579" s="8">
        <f>DATE(2012,12,31)-918</f>
        <v>40356</v>
      </c>
      <c r="C579" s="9" t="s">
        <v>941</v>
      </c>
      <c r="D579">
        <v>10021326765</v>
      </c>
      <c r="E579" t="s">
        <v>47</v>
      </c>
      <c r="F579" t="s">
        <v>177</v>
      </c>
      <c r="G579" t="s">
        <v>178</v>
      </c>
      <c r="H579" t="s">
        <v>795</v>
      </c>
      <c r="I579" t="s">
        <v>796</v>
      </c>
      <c r="J579" t="s">
        <v>668</v>
      </c>
      <c r="K579" s="3">
        <v>100932847411</v>
      </c>
      <c r="L579" s="10">
        <v>40357</v>
      </c>
      <c r="M579">
        <v>225.14</v>
      </c>
      <c r="N579" s="11">
        <v>11</v>
      </c>
      <c r="O579" s="12">
        <v>20.15</v>
      </c>
      <c r="P579" s="12">
        <v>8.99</v>
      </c>
      <c r="Q579" s="13">
        <v>-42.61</v>
      </c>
      <c r="R579" s="36" t="s">
        <v>942</v>
      </c>
      <c r="S579" s="7">
        <f t="shared" ref="S579:S642" si="47">+L579-B579</f>
        <v>1</v>
      </c>
      <c r="T579" s="15" t="str">
        <f>VLOOKUP(R579,产品分类!$C$2:$D$1278,2,0)</f>
        <v>办公用品</v>
      </c>
    </row>
    <row r="580" spans="1:20">
      <c r="A580" s="8">
        <f>DATE(2012,12,31)-918</f>
        <v>40356</v>
      </c>
      <c r="B580" s="8">
        <f>DATE(2012,12,31)-918</f>
        <v>40356</v>
      </c>
      <c r="C580" s="9" t="s">
        <v>941</v>
      </c>
      <c r="D580">
        <v>10021357299</v>
      </c>
      <c r="E580" t="s">
        <v>47</v>
      </c>
      <c r="F580" t="s">
        <v>230</v>
      </c>
      <c r="G580" t="s">
        <v>231</v>
      </c>
      <c r="H580" t="s">
        <v>870</v>
      </c>
      <c r="I580" t="s">
        <v>871</v>
      </c>
      <c r="J580" t="s">
        <v>668</v>
      </c>
      <c r="K580" s="3">
        <v>100932873341</v>
      </c>
      <c r="L580" s="10">
        <v>40357</v>
      </c>
      <c r="M580">
        <v>1559.7755</v>
      </c>
      <c r="N580" s="11">
        <v>22</v>
      </c>
      <c r="O580" s="12">
        <v>85.99</v>
      </c>
      <c r="P580" s="12">
        <v>0.99</v>
      </c>
      <c r="Q580" s="13">
        <v>-247.181</v>
      </c>
      <c r="R580" s="36" t="s">
        <v>228</v>
      </c>
      <c r="S580" s="7">
        <f t="shared" si="47"/>
        <v>1</v>
      </c>
      <c r="T580" s="15" t="str">
        <f>VLOOKUP(R580,产品分类!$C$2:$D$1278,2,0)</f>
        <v>数码电子</v>
      </c>
    </row>
    <row r="581" spans="1:20">
      <c r="A581" s="8">
        <f>DATE(2012,12,31)-280</f>
        <v>40994</v>
      </c>
      <c r="B581" s="8">
        <f>DATE(2012,12,31)-280</f>
        <v>40994</v>
      </c>
      <c r="C581" s="9" t="s">
        <v>943</v>
      </c>
      <c r="D581">
        <v>10021321668</v>
      </c>
      <c r="E581" t="s">
        <v>47</v>
      </c>
      <c r="F581" t="s">
        <v>91</v>
      </c>
      <c r="G581" t="s">
        <v>92</v>
      </c>
      <c r="H581" t="s">
        <v>774</v>
      </c>
      <c r="I581" t="s">
        <v>775</v>
      </c>
      <c r="J581" t="s">
        <v>668</v>
      </c>
      <c r="K581" s="3">
        <v>100132832426</v>
      </c>
      <c r="L581" s="10">
        <v>40996</v>
      </c>
      <c r="M581">
        <v>1032.97</v>
      </c>
      <c r="N581" s="11">
        <v>39</v>
      </c>
      <c r="O581" s="12">
        <v>28.48</v>
      </c>
      <c r="P581" s="12">
        <v>1.99</v>
      </c>
      <c r="Q581" s="13">
        <v>397.15</v>
      </c>
      <c r="R581" s="36" t="s">
        <v>409</v>
      </c>
      <c r="S581" s="7">
        <f t="shared" si="47"/>
        <v>2</v>
      </c>
      <c r="T581" s="15" t="str">
        <f>VLOOKUP(R581,产品分类!$C$2:$D$1278,2,0)</f>
        <v>办公用品</v>
      </c>
    </row>
    <row r="582" spans="1:20">
      <c r="A582" s="16">
        <f>DATE(2012,12,31)-280</f>
        <v>40994</v>
      </c>
      <c r="B582" s="16">
        <f>DATE(2012,12,31)-280</f>
        <v>40994</v>
      </c>
      <c r="C582" s="9" t="s">
        <v>943</v>
      </c>
      <c r="D582">
        <v>10021355329</v>
      </c>
      <c r="E582" t="s">
        <v>47</v>
      </c>
      <c r="F582" t="s">
        <v>91</v>
      </c>
      <c r="G582" t="s">
        <v>92</v>
      </c>
      <c r="H582" t="s">
        <v>774</v>
      </c>
      <c r="I582" t="s">
        <v>775</v>
      </c>
      <c r="J582" t="s">
        <v>668</v>
      </c>
      <c r="K582" s="3">
        <v>100432866663</v>
      </c>
      <c r="L582" s="10">
        <v>40995</v>
      </c>
      <c r="M582">
        <v>324.83</v>
      </c>
      <c r="N582" s="17">
        <v>13</v>
      </c>
      <c r="O582" s="5">
        <v>20.98</v>
      </c>
      <c r="P582" s="5">
        <v>45</v>
      </c>
      <c r="Q582" s="6">
        <v>-426.54</v>
      </c>
      <c r="R582" s="37" t="s">
        <v>944</v>
      </c>
      <c r="S582" s="7">
        <f t="shared" si="47"/>
        <v>1</v>
      </c>
      <c r="T582" s="15" t="str">
        <f>VLOOKUP(R582,产品分类!$C$2:$D$1278,2,0)</f>
        <v>数码电子</v>
      </c>
    </row>
    <row r="583" spans="1:20">
      <c r="A583" s="8">
        <f>DATE(2012,12,31)-283</f>
        <v>40991</v>
      </c>
      <c r="B583" s="8">
        <f>DATE(2012,12,31)-283</f>
        <v>40991</v>
      </c>
      <c r="C583" s="9" t="s">
        <v>945</v>
      </c>
      <c r="D583">
        <v>10021305495</v>
      </c>
      <c r="E583" t="s">
        <v>47</v>
      </c>
      <c r="F583" t="s">
        <v>127</v>
      </c>
      <c r="G583" t="s">
        <v>128</v>
      </c>
      <c r="H583" t="s">
        <v>129</v>
      </c>
      <c r="I583" t="s">
        <v>130</v>
      </c>
      <c r="J583" t="s">
        <v>668</v>
      </c>
      <c r="K583" s="3">
        <v>100432796373</v>
      </c>
      <c r="L583" s="10">
        <v>40993</v>
      </c>
      <c r="M583">
        <v>316.35</v>
      </c>
      <c r="N583" s="11">
        <v>21</v>
      </c>
      <c r="O583" s="12">
        <v>15.68</v>
      </c>
      <c r="P583" s="12">
        <v>3.73</v>
      </c>
      <c r="Q583" s="13">
        <v>117.91</v>
      </c>
      <c r="R583" s="36" t="s">
        <v>756</v>
      </c>
      <c r="S583" s="7">
        <f t="shared" si="47"/>
        <v>2</v>
      </c>
      <c r="T583" s="15" t="str">
        <f>VLOOKUP(R583,产品分类!$C$2:$D$1278,2,0)</f>
        <v>办公用品</v>
      </c>
    </row>
    <row r="584" spans="1:20">
      <c r="A584" s="8">
        <f>DATE(2012,12,31)-970</f>
        <v>40304</v>
      </c>
      <c r="B584" s="8">
        <f>DATE(2012,12,31)-970</f>
        <v>40304</v>
      </c>
      <c r="C584" s="9" t="s">
        <v>291</v>
      </c>
      <c r="D584">
        <v>10021313687</v>
      </c>
      <c r="E584" t="s">
        <v>47</v>
      </c>
      <c r="F584" t="s">
        <v>91</v>
      </c>
      <c r="G584" t="s">
        <v>92</v>
      </c>
      <c r="H584" t="s">
        <v>774</v>
      </c>
      <c r="I584" t="s">
        <v>775</v>
      </c>
      <c r="J584" t="s">
        <v>668</v>
      </c>
      <c r="K584" s="3">
        <v>100932815381</v>
      </c>
      <c r="L584" s="10">
        <v>40307</v>
      </c>
      <c r="M584">
        <v>63.52</v>
      </c>
      <c r="N584" s="11">
        <v>14</v>
      </c>
      <c r="O584" s="12">
        <v>4.84</v>
      </c>
      <c r="P584" s="12">
        <v>0.71</v>
      </c>
      <c r="Q584" s="13">
        <v>8.66</v>
      </c>
      <c r="R584" s="36" t="s">
        <v>946</v>
      </c>
      <c r="S584" s="7">
        <f t="shared" si="47"/>
        <v>3</v>
      </c>
      <c r="T584" s="15" t="str">
        <f>VLOOKUP(R584,产品分类!$C$2:$D$1278,2,0)</f>
        <v>数码电子</v>
      </c>
    </row>
    <row r="585" spans="1:20">
      <c r="A585" s="8">
        <f>DATE(2012,12,31)-970</f>
        <v>40304</v>
      </c>
      <c r="B585" s="8">
        <f>DATE(2012,12,31)-970</f>
        <v>40304</v>
      </c>
      <c r="C585" s="9" t="s">
        <v>291</v>
      </c>
      <c r="D585">
        <v>10021326690</v>
      </c>
      <c r="E585" t="s">
        <v>47</v>
      </c>
      <c r="F585" t="s">
        <v>61</v>
      </c>
      <c r="G585" t="s">
        <v>62</v>
      </c>
      <c r="H585" t="s">
        <v>454</v>
      </c>
      <c r="I585" t="s">
        <v>455</v>
      </c>
      <c r="J585" t="s">
        <v>668</v>
      </c>
      <c r="K585" s="3">
        <v>100123942776</v>
      </c>
      <c r="L585" s="10">
        <v>40305</v>
      </c>
      <c r="M585">
        <v>1512.25</v>
      </c>
      <c r="N585" s="11">
        <v>44</v>
      </c>
      <c r="O585" s="12">
        <v>34.58</v>
      </c>
      <c r="P585" s="12">
        <v>8.99</v>
      </c>
      <c r="Q585" s="13">
        <v>195.48</v>
      </c>
      <c r="R585" s="36" t="s">
        <v>260</v>
      </c>
      <c r="S585" s="7">
        <f t="shared" si="47"/>
        <v>1</v>
      </c>
      <c r="T585" s="15" t="str">
        <f>VLOOKUP(R585,产品分类!$C$2:$D$1278,2,0)</f>
        <v>数码电子</v>
      </c>
    </row>
    <row r="586" spans="1:20">
      <c r="A586" s="16">
        <f>DATE(2012,12,31)-728</f>
        <v>40546</v>
      </c>
      <c r="B586" s="16">
        <f>DATE(2012,12,31)-728</f>
        <v>40546</v>
      </c>
      <c r="C586" s="9" t="s">
        <v>394</v>
      </c>
      <c r="D586">
        <v>10021292156</v>
      </c>
      <c r="E586" t="s">
        <v>47</v>
      </c>
      <c r="F586" t="s">
        <v>97</v>
      </c>
      <c r="G586" t="s">
        <v>98</v>
      </c>
      <c r="H586" t="s">
        <v>99</v>
      </c>
      <c r="I586" t="s">
        <v>98</v>
      </c>
      <c r="J586" t="s">
        <v>668</v>
      </c>
      <c r="K586" s="3">
        <v>10091459001</v>
      </c>
      <c r="L586" s="10">
        <v>40547</v>
      </c>
      <c r="M586">
        <v>1441.61</v>
      </c>
      <c r="N586" s="17">
        <v>38</v>
      </c>
      <c r="O586" s="5">
        <v>37.94</v>
      </c>
      <c r="P586" s="5">
        <v>5.08</v>
      </c>
      <c r="Q586" s="6">
        <v>624.84</v>
      </c>
      <c r="R586" s="37" t="s">
        <v>947</v>
      </c>
      <c r="S586" s="7">
        <f t="shared" si="47"/>
        <v>1</v>
      </c>
      <c r="T586" s="15" t="str">
        <f>VLOOKUP(R586,产品分类!$C$2:$D$1278,2,0)</f>
        <v>办公用品</v>
      </c>
    </row>
    <row r="587" spans="1:20">
      <c r="A587" s="16">
        <f>DATE(2012,12,31)-928</f>
        <v>40346</v>
      </c>
      <c r="B587" s="16">
        <f>DATE(2012,12,31)-928</f>
        <v>40346</v>
      </c>
      <c r="C587" s="9" t="s">
        <v>948</v>
      </c>
      <c r="D587">
        <v>10021357370</v>
      </c>
      <c r="E587" t="s">
        <v>47</v>
      </c>
      <c r="F587" t="s">
        <v>48</v>
      </c>
      <c r="G587" t="s">
        <v>49</v>
      </c>
      <c r="H587" t="s">
        <v>50</v>
      </c>
      <c r="I587" t="s">
        <v>51</v>
      </c>
      <c r="J587" t="s">
        <v>668</v>
      </c>
      <c r="K587" s="3">
        <v>10016824316</v>
      </c>
      <c r="L587" s="10">
        <v>40347</v>
      </c>
      <c r="M587">
        <v>1038.4</v>
      </c>
      <c r="N587" s="17">
        <v>18</v>
      </c>
      <c r="O587" s="5">
        <v>56.96</v>
      </c>
      <c r="P587" s="5">
        <v>13.22</v>
      </c>
      <c r="Q587" s="6">
        <v>112.36</v>
      </c>
      <c r="R587" s="37" t="s">
        <v>949</v>
      </c>
      <c r="S587" s="7">
        <f t="shared" si="47"/>
        <v>1</v>
      </c>
      <c r="T587" s="15" t="str">
        <f>VLOOKUP(R587,产品分类!$C$2:$D$1278,2,0)</f>
        <v>家具产品</v>
      </c>
    </row>
    <row r="588" spans="1:20">
      <c r="A588" s="16">
        <f>DATE(2012,12,31)-928</f>
        <v>40346</v>
      </c>
      <c r="B588" s="16">
        <f>DATE(2012,12,31)-928</f>
        <v>40346</v>
      </c>
      <c r="C588" s="9" t="s">
        <v>948</v>
      </c>
      <c r="D588">
        <v>10021363074</v>
      </c>
      <c r="E588" t="s">
        <v>47</v>
      </c>
      <c r="F588" t="s">
        <v>122</v>
      </c>
      <c r="G588" t="s">
        <v>123</v>
      </c>
      <c r="H588" t="s">
        <v>124</v>
      </c>
      <c r="I588" t="s">
        <v>125</v>
      </c>
      <c r="J588" t="s">
        <v>668</v>
      </c>
      <c r="K588" s="3">
        <v>100121754966</v>
      </c>
      <c r="L588" s="10">
        <v>40347</v>
      </c>
      <c r="M588">
        <v>305.82</v>
      </c>
      <c r="N588" s="17">
        <v>1</v>
      </c>
      <c r="O588" s="5">
        <v>279.48</v>
      </c>
      <c r="P588" s="5">
        <v>35</v>
      </c>
      <c r="Q588" s="6">
        <v>-232.24</v>
      </c>
      <c r="R588" s="37" t="s">
        <v>950</v>
      </c>
      <c r="S588" s="7">
        <f t="shared" si="47"/>
        <v>1</v>
      </c>
      <c r="T588" s="15" t="str">
        <f>VLOOKUP(R588,产品分类!$C$2:$D$1278,2,0)</f>
        <v>数码电子</v>
      </c>
    </row>
    <row r="589" spans="1:20">
      <c r="A589" s="16">
        <f>DATE(2012,12,31)-944</f>
        <v>40330</v>
      </c>
      <c r="B589" s="16">
        <f>DATE(2012,12,31)-944</f>
        <v>40330</v>
      </c>
      <c r="C589" s="9" t="s">
        <v>762</v>
      </c>
      <c r="D589">
        <v>10021271452</v>
      </c>
      <c r="E589" t="s">
        <v>47</v>
      </c>
      <c r="F589" t="s">
        <v>102</v>
      </c>
      <c r="G589" t="s">
        <v>103</v>
      </c>
      <c r="H589" t="s">
        <v>104</v>
      </c>
      <c r="I589" t="s">
        <v>105</v>
      </c>
      <c r="J589" t="s">
        <v>668</v>
      </c>
      <c r="K589" s="3">
        <v>10018312376</v>
      </c>
      <c r="L589" s="10">
        <v>40332</v>
      </c>
      <c r="M589">
        <v>763.12</v>
      </c>
      <c r="N589" s="17">
        <v>21</v>
      </c>
      <c r="O589" s="5">
        <v>34.76</v>
      </c>
      <c r="P589" s="5">
        <v>5.49</v>
      </c>
      <c r="Q589" s="6">
        <v>140.33</v>
      </c>
      <c r="R589" s="37" t="s">
        <v>951</v>
      </c>
      <c r="S589" s="7">
        <f t="shared" si="47"/>
        <v>2</v>
      </c>
      <c r="T589" s="15" t="str">
        <f>VLOOKUP(R589,产品分类!$C$2:$D$1278,2,0)</f>
        <v>数码电子</v>
      </c>
    </row>
    <row r="590" spans="1:20">
      <c r="A590" s="8">
        <f>DATE(2012,12,31)-944</f>
        <v>40330</v>
      </c>
      <c r="B590" s="8">
        <f>DATE(2012,12,31)-944</f>
        <v>40330</v>
      </c>
      <c r="C590" s="9" t="s">
        <v>762</v>
      </c>
      <c r="D590">
        <v>10021353843</v>
      </c>
      <c r="E590" t="s">
        <v>47</v>
      </c>
      <c r="F590" t="s">
        <v>102</v>
      </c>
      <c r="G590" t="s">
        <v>103</v>
      </c>
      <c r="H590" t="s">
        <v>104</v>
      </c>
      <c r="I590" t="s">
        <v>105</v>
      </c>
      <c r="J590" t="s">
        <v>668</v>
      </c>
      <c r="K590" s="3">
        <v>100432021354</v>
      </c>
      <c r="L590" s="10">
        <v>40337</v>
      </c>
      <c r="M590">
        <v>19269.05</v>
      </c>
      <c r="N590" s="11">
        <v>38</v>
      </c>
      <c r="O590" s="12">
        <v>500.98</v>
      </c>
      <c r="P590" s="12">
        <v>41.44</v>
      </c>
      <c r="Q590" s="13">
        <v>4127.79</v>
      </c>
      <c r="R590" s="36" t="s">
        <v>952</v>
      </c>
      <c r="S590" s="7">
        <f t="shared" si="47"/>
        <v>7</v>
      </c>
      <c r="T590" s="15" t="str">
        <f>VLOOKUP(R590,产品分类!$C$2:$D$1278,2,0)</f>
        <v>办公用品</v>
      </c>
    </row>
    <row r="591" spans="1:20">
      <c r="A591" s="8">
        <f>DATE(2012,12,31)-779</f>
        <v>40495</v>
      </c>
      <c r="B591" s="8">
        <f>DATE(2012,12,31)-779</f>
        <v>40495</v>
      </c>
      <c r="C591" s="9" t="s">
        <v>953</v>
      </c>
      <c r="D591">
        <v>10021277137</v>
      </c>
      <c r="E591" t="s">
        <v>47</v>
      </c>
      <c r="F591" t="s">
        <v>102</v>
      </c>
      <c r="G591" t="s">
        <v>103</v>
      </c>
      <c r="H591" t="s">
        <v>104</v>
      </c>
      <c r="I591" t="s">
        <v>105</v>
      </c>
      <c r="J591" t="s">
        <v>668</v>
      </c>
      <c r="K591" s="3">
        <v>100331090179</v>
      </c>
      <c r="L591" s="10">
        <v>40496</v>
      </c>
      <c r="M591">
        <v>3367.24</v>
      </c>
      <c r="N591" s="11">
        <v>44</v>
      </c>
      <c r="O591" s="12">
        <v>79.52</v>
      </c>
      <c r="P591" s="12">
        <v>48.2</v>
      </c>
      <c r="Q591" s="13">
        <v>-1183.69</v>
      </c>
      <c r="R591" s="36" t="s">
        <v>954</v>
      </c>
      <c r="S591" s="7">
        <f t="shared" si="47"/>
        <v>1</v>
      </c>
      <c r="T591" s="15" t="str">
        <f>VLOOKUP(R591,产品分类!$C$2:$D$1278,2,0)</f>
        <v>办公用品</v>
      </c>
    </row>
    <row r="592" spans="1:20">
      <c r="A592" s="8">
        <f>DATE(2012,12,31)-779</f>
        <v>40495</v>
      </c>
      <c r="B592" s="8">
        <f>DATE(2012,12,31)-779</f>
        <v>40495</v>
      </c>
      <c r="C592" s="9" t="s">
        <v>953</v>
      </c>
      <c r="D592">
        <v>10021373204</v>
      </c>
      <c r="E592" t="s">
        <v>47</v>
      </c>
      <c r="F592" t="s">
        <v>102</v>
      </c>
      <c r="G592" t="s">
        <v>103</v>
      </c>
      <c r="H592" t="s">
        <v>104</v>
      </c>
      <c r="I592" t="s">
        <v>105</v>
      </c>
      <c r="J592" t="s">
        <v>668</v>
      </c>
      <c r="K592" s="3">
        <v>100131785727</v>
      </c>
      <c r="L592" s="10">
        <v>40496</v>
      </c>
      <c r="M592">
        <v>5723.24</v>
      </c>
      <c r="N592" s="11">
        <v>37</v>
      </c>
      <c r="O592" s="12">
        <v>145.98</v>
      </c>
      <c r="P592" s="12">
        <v>51.92</v>
      </c>
      <c r="Q592" s="13">
        <v>-194.967</v>
      </c>
      <c r="R592" s="36" t="s">
        <v>955</v>
      </c>
      <c r="S592" s="7">
        <f t="shared" si="47"/>
        <v>1</v>
      </c>
      <c r="T592" s="15" t="str">
        <f>VLOOKUP(R592,产品分类!$C$2:$D$1278,2,0)</f>
        <v>办公用品</v>
      </c>
    </row>
    <row r="593" spans="1:20">
      <c r="A593" s="8">
        <f>DATE(2012,12,31)-1014</f>
        <v>40260</v>
      </c>
      <c r="B593" s="8">
        <f>DATE(2012,12,31)-1014</f>
        <v>40260</v>
      </c>
      <c r="C593" s="9" t="s">
        <v>956</v>
      </c>
      <c r="D593">
        <v>10021398661</v>
      </c>
      <c r="E593" t="s">
        <v>47</v>
      </c>
      <c r="F593" t="s">
        <v>102</v>
      </c>
      <c r="G593" t="s">
        <v>103</v>
      </c>
      <c r="H593" t="s">
        <v>104</v>
      </c>
      <c r="I593" t="s">
        <v>105</v>
      </c>
      <c r="J593" t="s">
        <v>668</v>
      </c>
      <c r="K593" s="3">
        <v>100117086648</v>
      </c>
      <c r="L593" s="10">
        <v>40261</v>
      </c>
      <c r="M593">
        <v>188.07</v>
      </c>
      <c r="N593" s="11">
        <v>27</v>
      </c>
      <c r="O593" s="12">
        <v>6.48</v>
      </c>
      <c r="P593" s="12">
        <v>7.86</v>
      </c>
      <c r="Q593" s="13">
        <v>-101.85</v>
      </c>
      <c r="R593" s="36" t="s">
        <v>957</v>
      </c>
      <c r="S593" s="7">
        <f t="shared" si="47"/>
        <v>1</v>
      </c>
      <c r="T593" s="15" t="str">
        <f>VLOOKUP(R593,产品分类!$C$2:$D$1278,2,0)</f>
        <v>办公用品</v>
      </c>
    </row>
    <row r="594" spans="1:20">
      <c r="A594" s="8">
        <f>DATE(2012,12,31)-86</f>
        <v>41188</v>
      </c>
      <c r="B594" s="8">
        <f>DATE(2012,12,31)-86</f>
        <v>41188</v>
      </c>
      <c r="C594" s="9" t="s">
        <v>497</v>
      </c>
      <c r="D594">
        <v>10021372947</v>
      </c>
      <c r="E594" t="s">
        <v>47</v>
      </c>
      <c r="F594" t="s">
        <v>171</v>
      </c>
      <c r="G594" t="s">
        <v>172</v>
      </c>
      <c r="H594" t="s">
        <v>933</v>
      </c>
      <c r="I594" t="s">
        <v>934</v>
      </c>
      <c r="J594" t="s">
        <v>668</v>
      </c>
      <c r="K594" s="3">
        <v>100929304381</v>
      </c>
      <c r="L594" s="10">
        <v>41190</v>
      </c>
      <c r="M594">
        <v>118.38</v>
      </c>
      <c r="N594" s="11">
        <v>16</v>
      </c>
      <c r="O594" s="12">
        <v>7.1</v>
      </c>
      <c r="P594" s="12">
        <v>6.05</v>
      </c>
      <c r="Q594" s="13">
        <v>-42.458</v>
      </c>
      <c r="R594" s="36" t="s">
        <v>958</v>
      </c>
      <c r="S594" s="7">
        <f t="shared" si="47"/>
        <v>2</v>
      </c>
      <c r="T594" s="15" t="str">
        <f>VLOOKUP(R594,产品分类!$C$2:$D$1278,2,0)</f>
        <v>办公用品</v>
      </c>
    </row>
    <row r="595" spans="1:20">
      <c r="A595" s="8">
        <f t="shared" ref="A595:B597" si="48">DATE(2012,12,31)-233</f>
        <v>41041</v>
      </c>
      <c r="B595" s="8">
        <f t="shared" si="48"/>
        <v>41041</v>
      </c>
      <c r="C595" s="9" t="s">
        <v>417</v>
      </c>
      <c r="D595">
        <v>10021393736</v>
      </c>
      <c r="E595" t="s">
        <v>47</v>
      </c>
      <c r="F595" t="s">
        <v>61</v>
      </c>
      <c r="G595" t="s">
        <v>62</v>
      </c>
      <c r="H595" t="s">
        <v>454</v>
      </c>
      <c r="I595" t="s">
        <v>455</v>
      </c>
      <c r="J595" t="s">
        <v>668</v>
      </c>
      <c r="K595" s="3">
        <v>100132026638</v>
      </c>
      <c r="L595" s="10">
        <v>41043</v>
      </c>
      <c r="M595">
        <v>54.43</v>
      </c>
      <c r="N595" s="11">
        <v>8</v>
      </c>
      <c r="O595" s="12">
        <v>6.48</v>
      </c>
      <c r="P595" s="12">
        <v>6.74</v>
      </c>
      <c r="Q595" s="13">
        <v>-31.63</v>
      </c>
      <c r="R595" s="36" t="s">
        <v>959</v>
      </c>
      <c r="S595" s="7">
        <f t="shared" si="47"/>
        <v>2</v>
      </c>
      <c r="T595" s="15" t="str">
        <f>VLOOKUP(R595,产品分类!$C$2:$D$1278,2,0)</f>
        <v>家具产品</v>
      </c>
    </row>
    <row r="596" spans="1:20">
      <c r="A596" s="8">
        <f t="shared" si="48"/>
        <v>41041</v>
      </c>
      <c r="B596" s="8">
        <f t="shared" si="48"/>
        <v>41041</v>
      </c>
      <c r="C596" s="9" t="s">
        <v>417</v>
      </c>
      <c r="D596">
        <v>10021351221</v>
      </c>
      <c r="E596" t="s">
        <v>47</v>
      </c>
      <c r="F596" t="s">
        <v>48</v>
      </c>
      <c r="G596" t="s">
        <v>49</v>
      </c>
      <c r="H596" t="s">
        <v>50</v>
      </c>
      <c r="I596" t="s">
        <v>51</v>
      </c>
      <c r="J596" t="s">
        <v>668</v>
      </c>
      <c r="K596" s="3">
        <v>100932212811</v>
      </c>
      <c r="L596" s="10">
        <v>41041</v>
      </c>
      <c r="M596">
        <v>124.94</v>
      </c>
      <c r="N596" s="11">
        <v>47</v>
      </c>
      <c r="O596" s="12">
        <v>2.78</v>
      </c>
      <c r="P596" s="12">
        <v>1.34</v>
      </c>
      <c r="Q596" s="13">
        <v>-2.4</v>
      </c>
      <c r="R596" s="36" t="s">
        <v>452</v>
      </c>
      <c r="S596" s="7">
        <f t="shared" si="47"/>
        <v>0</v>
      </c>
      <c r="T596" s="15" t="str">
        <f>VLOOKUP(R596,产品分类!$C$2:$D$1278,2,0)</f>
        <v>家具产品</v>
      </c>
    </row>
    <row r="597" spans="1:20">
      <c r="A597" s="8">
        <f t="shared" si="48"/>
        <v>41041</v>
      </c>
      <c r="B597" s="8">
        <f t="shared" si="48"/>
        <v>41041</v>
      </c>
      <c r="C597" s="9" t="s">
        <v>417</v>
      </c>
      <c r="D597">
        <v>10021332788</v>
      </c>
      <c r="E597" t="s">
        <v>47</v>
      </c>
      <c r="F597" t="s">
        <v>152</v>
      </c>
      <c r="G597" t="s">
        <v>153</v>
      </c>
      <c r="H597" t="s">
        <v>154</v>
      </c>
      <c r="I597" t="s">
        <v>155</v>
      </c>
      <c r="J597" t="s">
        <v>668</v>
      </c>
      <c r="K597" s="3">
        <v>100412882063</v>
      </c>
      <c r="L597" s="10">
        <v>41044</v>
      </c>
      <c r="M597">
        <v>78.46</v>
      </c>
      <c r="N597" s="11">
        <v>30</v>
      </c>
      <c r="O597" s="12">
        <v>2.62</v>
      </c>
      <c r="P597" s="12">
        <v>0.8</v>
      </c>
      <c r="Q597" s="13">
        <v>18.57</v>
      </c>
      <c r="R597" s="36" t="s">
        <v>960</v>
      </c>
      <c r="S597" s="7">
        <f t="shared" si="47"/>
        <v>3</v>
      </c>
      <c r="T597" s="15" t="str">
        <f>VLOOKUP(R597,产品分类!$C$2:$D$1278,2,0)</f>
        <v>家具产品</v>
      </c>
    </row>
    <row r="598" spans="1:20">
      <c r="A598" s="8">
        <f>DATE(2012,12,31)-569</f>
        <v>40705</v>
      </c>
      <c r="B598" s="8">
        <f>DATE(2012,12,31)-569</f>
        <v>40705</v>
      </c>
      <c r="C598" s="9" t="s">
        <v>288</v>
      </c>
      <c r="D598">
        <v>10021286837</v>
      </c>
      <c r="E598" t="s">
        <v>47</v>
      </c>
      <c r="F598" t="s">
        <v>66</v>
      </c>
      <c r="G598" t="s">
        <v>67</v>
      </c>
      <c r="H598" t="s">
        <v>68</v>
      </c>
      <c r="I598" t="s">
        <v>69</v>
      </c>
      <c r="J598" t="s">
        <v>668</v>
      </c>
      <c r="K598" s="3">
        <v>100131150596</v>
      </c>
      <c r="L598" s="10">
        <v>40705</v>
      </c>
      <c r="M598">
        <v>646.07</v>
      </c>
      <c r="N598" s="11">
        <v>22</v>
      </c>
      <c r="O598" s="12">
        <v>28.48</v>
      </c>
      <c r="P598" s="12">
        <v>1.99</v>
      </c>
      <c r="Q598" s="13">
        <v>237.75</v>
      </c>
      <c r="R598" s="36" t="s">
        <v>409</v>
      </c>
      <c r="S598" s="7">
        <f t="shared" si="47"/>
        <v>0</v>
      </c>
      <c r="T598" s="15" t="str">
        <f>VLOOKUP(R598,产品分类!$C$2:$D$1278,2,0)</f>
        <v>办公用品</v>
      </c>
    </row>
    <row r="599" spans="1:20">
      <c r="A599" s="8">
        <f>DATE(2012,12,31)-182</f>
        <v>41092</v>
      </c>
      <c r="B599" s="8">
        <f>DATE(2012,12,31)-182</f>
        <v>41092</v>
      </c>
      <c r="C599" s="9" t="s">
        <v>309</v>
      </c>
      <c r="D599">
        <v>10021337005</v>
      </c>
      <c r="E599" t="s">
        <v>47</v>
      </c>
      <c r="F599" t="s">
        <v>66</v>
      </c>
      <c r="G599" t="s">
        <v>67</v>
      </c>
      <c r="H599" t="s">
        <v>68</v>
      </c>
      <c r="I599" t="s">
        <v>69</v>
      </c>
      <c r="J599" t="s">
        <v>668</v>
      </c>
      <c r="K599" s="3">
        <v>10094776421</v>
      </c>
      <c r="L599" s="10">
        <v>41093</v>
      </c>
      <c r="M599">
        <v>128.28</v>
      </c>
      <c r="N599" s="11">
        <v>21</v>
      </c>
      <c r="O599" s="12">
        <v>6.3</v>
      </c>
      <c r="P599" s="12">
        <v>0.5</v>
      </c>
      <c r="Q599" s="13">
        <v>53.58</v>
      </c>
      <c r="R599" s="36" t="s">
        <v>961</v>
      </c>
      <c r="S599" s="7">
        <f t="shared" si="47"/>
        <v>1</v>
      </c>
      <c r="T599" s="15" t="str">
        <f>VLOOKUP(R599,产品分类!$C$2:$D$1278,2,0)</f>
        <v>办公用品</v>
      </c>
    </row>
    <row r="600" spans="1:20">
      <c r="A600" s="8">
        <f t="shared" ref="A600:B603" si="49">DATE(2012,12,31)-133</f>
        <v>41141</v>
      </c>
      <c r="B600" s="8">
        <f t="shared" si="49"/>
        <v>41141</v>
      </c>
      <c r="C600" s="9" t="s">
        <v>421</v>
      </c>
      <c r="D600">
        <v>10021252767</v>
      </c>
      <c r="E600" t="s">
        <v>47</v>
      </c>
      <c r="F600" t="s">
        <v>66</v>
      </c>
      <c r="G600" t="s">
        <v>67</v>
      </c>
      <c r="H600" t="s">
        <v>68</v>
      </c>
      <c r="I600" t="s">
        <v>69</v>
      </c>
      <c r="J600" t="s">
        <v>668</v>
      </c>
      <c r="K600" s="3">
        <v>100113625067</v>
      </c>
      <c r="L600" s="10">
        <v>41142</v>
      </c>
      <c r="M600">
        <v>1691.51</v>
      </c>
      <c r="N600" s="11">
        <v>42</v>
      </c>
      <c r="O600" s="12">
        <v>42.76</v>
      </c>
      <c r="P600" s="12">
        <v>6.22</v>
      </c>
      <c r="Q600" s="13">
        <v>285.16</v>
      </c>
      <c r="R600" s="36" t="s">
        <v>296</v>
      </c>
      <c r="S600" s="7">
        <f t="shared" si="47"/>
        <v>1</v>
      </c>
      <c r="T600" s="15" t="str">
        <f>VLOOKUP(R600,产品分类!$C$2:$D$1278,2,0)</f>
        <v>家具产品</v>
      </c>
    </row>
    <row r="601" spans="1:20">
      <c r="A601" s="8">
        <f t="shared" si="49"/>
        <v>41141</v>
      </c>
      <c r="B601" s="8">
        <f t="shared" si="49"/>
        <v>41141</v>
      </c>
      <c r="C601" s="9" t="s">
        <v>421</v>
      </c>
      <c r="D601">
        <v>10021341324</v>
      </c>
      <c r="E601" t="s">
        <v>47</v>
      </c>
      <c r="F601" t="s">
        <v>72</v>
      </c>
      <c r="G601" t="s">
        <v>73</v>
      </c>
      <c r="H601" t="s">
        <v>74</v>
      </c>
      <c r="I601" t="s">
        <v>75</v>
      </c>
      <c r="J601" t="s">
        <v>668</v>
      </c>
      <c r="K601" s="3">
        <v>100827021242</v>
      </c>
      <c r="L601" s="10">
        <v>41144</v>
      </c>
      <c r="M601">
        <v>122.93</v>
      </c>
      <c r="N601" s="11">
        <v>12</v>
      </c>
      <c r="O601" s="12">
        <v>9.78</v>
      </c>
      <c r="P601" s="12">
        <v>5.76</v>
      </c>
      <c r="Q601" s="13">
        <v>-6.83</v>
      </c>
      <c r="R601" s="36" t="s">
        <v>962</v>
      </c>
      <c r="S601" s="7">
        <f t="shared" si="47"/>
        <v>3</v>
      </c>
      <c r="T601" s="15" t="str">
        <f>VLOOKUP(R601,产品分类!$C$2:$D$1278,2,0)</f>
        <v>家具产品</v>
      </c>
    </row>
    <row r="602" spans="1:20">
      <c r="A602" s="8">
        <f t="shared" si="49"/>
        <v>41141</v>
      </c>
      <c r="B602" s="8">
        <f t="shared" si="49"/>
        <v>41141</v>
      </c>
      <c r="C602" s="9" t="s">
        <v>421</v>
      </c>
      <c r="D602">
        <v>10021250465</v>
      </c>
      <c r="E602" t="s">
        <v>47</v>
      </c>
      <c r="F602" t="s">
        <v>72</v>
      </c>
      <c r="G602" t="s">
        <v>73</v>
      </c>
      <c r="H602" t="s">
        <v>74</v>
      </c>
      <c r="I602" t="s">
        <v>75</v>
      </c>
      <c r="J602" t="s">
        <v>668</v>
      </c>
      <c r="K602" s="3">
        <v>100910703351</v>
      </c>
      <c r="L602" s="10">
        <v>41142</v>
      </c>
      <c r="M602">
        <v>47.86</v>
      </c>
      <c r="N602" s="11">
        <v>4</v>
      </c>
      <c r="O602" s="12">
        <v>9.48</v>
      </c>
      <c r="P602" s="12">
        <v>7.29</v>
      </c>
      <c r="Q602" s="13">
        <v>-17.32</v>
      </c>
      <c r="R602" s="36" t="s">
        <v>839</v>
      </c>
      <c r="S602" s="7">
        <f t="shared" si="47"/>
        <v>1</v>
      </c>
      <c r="T602" s="15" t="str">
        <f>VLOOKUP(R602,产品分类!$C$2:$D$1278,2,0)</f>
        <v>办公用品</v>
      </c>
    </row>
    <row r="603" spans="1:20">
      <c r="A603" s="8">
        <f t="shared" si="49"/>
        <v>41141</v>
      </c>
      <c r="B603" s="8">
        <f t="shared" si="49"/>
        <v>41141</v>
      </c>
      <c r="C603" s="9" t="s">
        <v>421</v>
      </c>
      <c r="D603">
        <v>10021259060</v>
      </c>
      <c r="E603" t="s">
        <v>47</v>
      </c>
      <c r="F603" t="s">
        <v>72</v>
      </c>
      <c r="G603" t="s">
        <v>73</v>
      </c>
      <c r="H603" t="s">
        <v>74</v>
      </c>
      <c r="I603" t="s">
        <v>75</v>
      </c>
      <c r="J603" t="s">
        <v>668</v>
      </c>
      <c r="K603" s="3">
        <v>100127488858</v>
      </c>
      <c r="L603" s="10">
        <v>41143</v>
      </c>
      <c r="M603">
        <v>3607.8505</v>
      </c>
      <c r="N603" s="11">
        <v>39</v>
      </c>
      <c r="O603" s="12">
        <v>110.99</v>
      </c>
      <c r="P603" s="12">
        <v>8.99</v>
      </c>
      <c r="Q603" s="13">
        <v>784.494</v>
      </c>
      <c r="R603" s="36" t="s">
        <v>852</v>
      </c>
      <c r="S603" s="7">
        <f t="shared" si="47"/>
        <v>2</v>
      </c>
      <c r="T603" s="15" t="str">
        <f>VLOOKUP(R603,产品分类!$C$2:$D$1278,2,0)</f>
        <v>家具产品</v>
      </c>
    </row>
    <row r="604" spans="1:20">
      <c r="A604" s="16">
        <f>DATE(2012,12,31)-182</f>
        <v>41092</v>
      </c>
      <c r="B604" s="16">
        <f>DATE(2012,12,31)-182</f>
        <v>41092</v>
      </c>
      <c r="C604" s="9" t="s">
        <v>887</v>
      </c>
      <c r="D604">
        <v>10021285937</v>
      </c>
      <c r="E604" t="s">
        <v>47</v>
      </c>
      <c r="F604" t="s">
        <v>78</v>
      </c>
      <c r="G604" t="s">
        <v>79</v>
      </c>
      <c r="H604" t="s">
        <v>80</v>
      </c>
      <c r="I604" t="s">
        <v>81</v>
      </c>
      <c r="J604" t="s">
        <v>668</v>
      </c>
      <c r="K604" s="3">
        <v>100730312515</v>
      </c>
      <c r="L604" s="10">
        <v>41096</v>
      </c>
      <c r="M604">
        <v>42.5</v>
      </c>
      <c r="N604" s="17">
        <v>3</v>
      </c>
      <c r="O604" s="5">
        <v>11.66</v>
      </c>
      <c r="P604" s="5">
        <v>8.99</v>
      </c>
      <c r="Q604" s="6">
        <v>-28.43</v>
      </c>
      <c r="R604" s="37" t="s">
        <v>963</v>
      </c>
      <c r="S604" s="7">
        <f t="shared" si="47"/>
        <v>4</v>
      </c>
      <c r="T604" s="15" t="str">
        <f>VLOOKUP(R604,产品分类!$C$2:$D$1278,2,0)</f>
        <v>家具产品</v>
      </c>
    </row>
    <row r="605" spans="1:20">
      <c r="A605" s="8">
        <f>DATE(2012,12,31)-452</f>
        <v>40822</v>
      </c>
      <c r="B605" s="8">
        <f>DATE(2012,12,31)-452</f>
        <v>40822</v>
      </c>
      <c r="C605" s="9" t="s">
        <v>964</v>
      </c>
      <c r="D605">
        <v>10021336484</v>
      </c>
      <c r="E605" t="s">
        <v>47</v>
      </c>
      <c r="F605" t="s">
        <v>230</v>
      </c>
      <c r="G605" t="s">
        <v>231</v>
      </c>
      <c r="H605" t="s">
        <v>870</v>
      </c>
      <c r="I605" t="s">
        <v>871</v>
      </c>
      <c r="J605" t="s">
        <v>668</v>
      </c>
      <c r="K605" s="3">
        <v>100418696983</v>
      </c>
      <c r="L605" s="10">
        <v>40824</v>
      </c>
      <c r="M605">
        <v>391.42</v>
      </c>
      <c r="N605" s="11">
        <v>38</v>
      </c>
      <c r="O605" s="12">
        <v>9.99</v>
      </c>
      <c r="P605" s="12">
        <v>5.12</v>
      </c>
      <c r="Q605" s="13">
        <v>25.03</v>
      </c>
      <c r="R605" s="36" t="s">
        <v>965</v>
      </c>
      <c r="S605" s="7">
        <f t="shared" si="47"/>
        <v>2</v>
      </c>
      <c r="T605" s="15" t="str">
        <f>VLOOKUP(R605,产品分类!$C$2:$D$1278,2,0)</f>
        <v>家具产品</v>
      </c>
    </row>
    <row r="606" spans="1:20">
      <c r="A606" s="8">
        <f>DATE(2012,12,31)-583</f>
        <v>40691</v>
      </c>
      <c r="B606" s="8">
        <f>DATE(2012,12,31)-583</f>
        <v>40691</v>
      </c>
      <c r="C606" s="9" t="s">
        <v>966</v>
      </c>
      <c r="D606">
        <v>10021253219</v>
      </c>
      <c r="E606" t="s">
        <v>47</v>
      </c>
      <c r="F606" t="s">
        <v>230</v>
      </c>
      <c r="G606" t="s">
        <v>231</v>
      </c>
      <c r="H606" t="s">
        <v>870</v>
      </c>
      <c r="I606" t="s">
        <v>871</v>
      </c>
      <c r="J606" t="s">
        <v>668</v>
      </c>
      <c r="K606" s="3">
        <v>100314561689</v>
      </c>
      <c r="L606" s="10">
        <v>40693</v>
      </c>
      <c r="M606">
        <v>14.76</v>
      </c>
      <c r="N606" s="11">
        <v>5</v>
      </c>
      <c r="O606" s="12">
        <v>2.88</v>
      </c>
      <c r="P606" s="12">
        <v>0.5</v>
      </c>
      <c r="Q606" s="13">
        <v>1.32</v>
      </c>
      <c r="R606" s="36" t="s">
        <v>967</v>
      </c>
      <c r="S606" s="7">
        <f t="shared" si="47"/>
        <v>2</v>
      </c>
      <c r="T606" s="15" t="str">
        <f>VLOOKUP(R606,产品分类!$C$2:$D$1278,2,0)</f>
        <v>数码电子</v>
      </c>
    </row>
    <row r="607" spans="1:20">
      <c r="A607" s="8">
        <f>DATE(2012,12,31)-720</f>
        <v>40554</v>
      </c>
      <c r="B607" s="8">
        <f>DATE(2012,12,31)-720</f>
        <v>40554</v>
      </c>
      <c r="C607" s="9" t="s">
        <v>968</v>
      </c>
      <c r="D607">
        <v>10021335796</v>
      </c>
      <c r="E607" t="s">
        <v>47</v>
      </c>
      <c r="F607" t="s">
        <v>114</v>
      </c>
      <c r="G607" t="s">
        <v>115</v>
      </c>
      <c r="H607" t="s">
        <v>910</v>
      </c>
      <c r="I607" t="s">
        <v>911</v>
      </c>
      <c r="J607" t="s">
        <v>668</v>
      </c>
      <c r="K607" s="3">
        <v>100717168395</v>
      </c>
      <c r="L607" s="10">
        <v>40556</v>
      </c>
      <c r="M607">
        <v>6403.39</v>
      </c>
      <c r="N607" s="11">
        <v>48</v>
      </c>
      <c r="O607" s="12">
        <v>130.98</v>
      </c>
      <c r="P607" s="12">
        <v>54.74</v>
      </c>
      <c r="Q607" s="13">
        <v>-824.15</v>
      </c>
      <c r="R607" s="36" t="s">
        <v>142</v>
      </c>
      <c r="S607" s="7">
        <f t="shared" si="47"/>
        <v>2</v>
      </c>
      <c r="T607" s="15" t="str">
        <f>VLOOKUP(R607,产品分类!$C$2:$D$1278,2,0)</f>
        <v>数码电子</v>
      </c>
    </row>
    <row r="608" spans="1:20">
      <c r="A608" s="8">
        <f>DATE(2012,12,31)-720</f>
        <v>40554</v>
      </c>
      <c r="B608" s="8">
        <f>DATE(2012,12,31)-720</f>
        <v>40554</v>
      </c>
      <c r="C608" s="9" t="s">
        <v>968</v>
      </c>
      <c r="D608">
        <v>10021343674</v>
      </c>
      <c r="E608" t="s">
        <v>47</v>
      </c>
      <c r="F608" t="s">
        <v>434</v>
      </c>
      <c r="G608" t="s">
        <v>435</v>
      </c>
      <c r="H608" t="s">
        <v>436</v>
      </c>
      <c r="I608" t="s">
        <v>437</v>
      </c>
      <c r="J608" t="s">
        <v>668</v>
      </c>
      <c r="K608" s="3">
        <v>100129145207</v>
      </c>
      <c r="L608" s="10">
        <v>40554</v>
      </c>
      <c r="M608">
        <v>757.91</v>
      </c>
      <c r="N608" s="11">
        <v>23</v>
      </c>
      <c r="O608" s="12">
        <v>30.97</v>
      </c>
      <c r="P608" s="12">
        <v>4</v>
      </c>
      <c r="Q608" s="13">
        <v>-16.05</v>
      </c>
      <c r="R608" s="36" t="s">
        <v>969</v>
      </c>
      <c r="S608" s="7">
        <f t="shared" si="47"/>
        <v>0</v>
      </c>
      <c r="T608" s="15" t="str">
        <f>VLOOKUP(R608,产品分类!$C$2:$D$1278,2,0)</f>
        <v>家具产品</v>
      </c>
    </row>
    <row r="609" spans="1:20">
      <c r="A609" s="8">
        <f>DATE(2012,12,31)-326</f>
        <v>40948</v>
      </c>
      <c r="B609" s="8">
        <f>DATE(2012,12,31)-326</f>
        <v>40948</v>
      </c>
      <c r="C609" s="9" t="s">
        <v>970</v>
      </c>
      <c r="D609">
        <v>10021252152</v>
      </c>
      <c r="E609" t="s">
        <v>47</v>
      </c>
      <c r="F609" t="s">
        <v>122</v>
      </c>
      <c r="G609" t="s">
        <v>123</v>
      </c>
      <c r="H609" t="s">
        <v>124</v>
      </c>
      <c r="I609" t="s">
        <v>125</v>
      </c>
      <c r="J609" t="s">
        <v>668</v>
      </c>
      <c r="K609" s="3">
        <v>10015195578</v>
      </c>
      <c r="L609" s="10">
        <v>40952</v>
      </c>
      <c r="M609">
        <v>381.6</v>
      </c>
      <c r="N609" s="11">
        <v>2</v>
      </c>
      <c r="O609" s="12">
        <v>193.17</v>
      </c>
      <c r="P609" s="12">
        <v>19.99</v>
      </c>
      <c r="Q609" s="13">
        <v>-319.02</v>
      </c>
      <c r="R609" s="36" t="s">
        <v>212</v>
      </c>
      <c r="S609" s="7">
        <f t="shared" si="47"/>
        <v>4</v>
      </c>
      <c r="T609" s="15" t="str">
        <f>VLOOKUP(R609,产品分类!$C$2:$D$1278,2,0)</f>
        <v>家具产品</v>
      </c>
    </row>
    <row r="610" spans="1:20">
      <c r="A610" s="8">
        <f>DATE(2012,12,31)-1038</f>
        <v>40236</v>
      </c>
      <c r="B610" s="8">
        <f>DATE(2012,12,31)-1038</f>
        <v>40236</v>
      </c>
      <c r="C610" s="9" t="s">
        <v>712</v>
      </c>
      <c r="D610">
        <v>10021267074</v>
      </c>
      <c r="E610" t="s">
        <v>47</v>
      </c>
      <c r="F610" t="s">
        <v>91</v>
      </c>
      <c r="G610" t="s">
        <v>92</v>
      </c>
      <c r="H610" t="s">
        <v>774</v>
      </c>
      <c r="I610" t="s">
        <v>775</v>
      </c>
      <c r="J610" t="s">
        <v>668</v>
      </c>
      <c r="K610" s="3">
        <v>100832075922</v>
      </c>
      <c r="L610" s="10">
        <v>40236</v>
      </c>
      <c r="M610">
        <v>138.85</v>
      </c>
      <c r="N610" s="11">
        <v>19</v>
      </c>
      <c r="O610" s="12">
        <v>7.1</v>
      </c>
      <c r="P610" s="12">
        <v>6.05</v>
      </c>
      <c r="Q610" s="13">
        <v>-49.3465</v>
      </c>
      <c r="R610" s="36" t="s">
        <v>958</v>
      </c>
      <c r="S610" s="7">
        <f t="shared" si="47"/>
        <v>0</v>
      </c>
      <c r="T610" s="15" t="str">
        <f>VLOOKUP(R610,产品分类!$C$2:$D$1278,2,0)</f>
        <v>办公用品</v>
      </c>
    </row>
    <row r="611" spans="1:20">
      <c r="A611" s="16">
        <f>DATE(2012,12,31)-1453</f>
        <v>39821</v>
      </c>
      <c r="B611" s="16">
        <f>DATE(2012,12,31)-1453</f>
        <v>39821</v>
      </c>
      <c r="C611" s="9" t="s">
        <v>830</v>
      </c>
      <c r="D611">
        <v>10021265127</v>
      </c>
      <c r="E611" t="s">
        <v>47</v>
      </c>
      <c r="F611" t="s">
        <v>55</v>
      </c>
      <c r="G611" t="s">
        <v>56</v>
      </c>
      <c r="H611" t="s">
        <v>57</v>
      </c>
      <c r="I611" t="s">
        <v>58</v>
      </c>
      <c r="J611" t="s">
        <v>668</v>
      </c>
      <c r="K611" s="3">
        <v>10037368529</v>
      </c>
      <c r="L611" s="10">
        <v>39821</v>
      </c>
      <c r="M611">
        <v>64.29</v>
      </c>
      <c r="N611" s="17">
        <v>16</v>
      </c>
      <c r="O611" s="5">
        <v>4.13</v>
      </c>
      <c r="P611" s="5">
        <v>0.99</v>
      </c>
      <c r="Q611" s="6">
        <v>14.42</v>
      </c>
      <c r="R611" s="37" t="s">
        <v>971</v>
      </c>
      <c r="S611" s="7">
        <f t="shared" si="47"/>
        <v>0</v>
      </c>
      <c r="T611" s="15" t="str">
        <f>VLOOKUP(R611,产品分类!$C$2:$D$1278,2,0)</f>
        <v>办公用品</v>
      </c>
    </row>
    <row r="612" spans="1:20">
      <c r="A612" s="8">
        <f>DATE(2012,12,31)-1453</f>
        <v>39821</v>
      </c>
      <c r="B612" s="8">
        <f>DATE(2012,12,31)-1453</f>
        <v>39821</v>
      </c>
      <c r="C612" s="9" t="s">
        <v>830</v>
      </c>
      <c r="D612">
        <v>10021252113</v>
      </c>
      <c r="E612" t="s">
        <v>47</v>
      </c>
      <c r="F612" t="s">
        <v>91</v>
      </c>
      <c r="G612" t="s">
        <v>92</v>
      </c>
      <c r="H612" t="s">
        <v>774</v>
      </c>
      <c r="I612" t="s">
        <v>775</v>
      </c>
      <c r="J612" t="s">
        <v>668</v>
      </c>
      <c r="K612" s="3">
        <v>1004443243</v>
      </c>
      <c r="L612" s="10">
        <v>39821</v>
      </c>
      <c r="M612">
        <v>75.77</v>
      </c>
      <c r="N612" s="11">
        <v>3</v>
      </c>
      <c r="O612" s="12">
        <v>22.72</v>
      </c>
      <c r="P612" s="12">
        <v>8.99</v>
      </c>
      <c r="Q612" s="13">
        <v>64.25</v>
      </c>
      <c r="R612" s="36" t="s">
        <v>972</v>
      </c>
      <c r="S612" s="7">
        <f t="shared" si="47"/>
        <v>0</v>
      </c>
      <c r="T612" s="15" t="str">
        <f>VLOOKUP(R612,产品分类!$C$2:$D$1278,2,0)</f>
        <v>办公用品</v>
      </c>
    </row>
    <row r="613" spans="1:20">
      <c r="A613" s="8">
        <f>DATE(2012,12,31)-948</f>
        <v>40326</v>
      </c>
      <c r="B613" s="8">
        <f>DATE(2012,12,31)-948</f>
        <v>40326</v>
      </c>
      <c r="C613" s="9" t="s">
        <v>705</v>
      </c>
      <c r="D613">
        <v>10021254130</v>
      </c>
      <c r="E613" t="s">
        <v>47</v>
      </c>
      <c r="F613" t="s">
        <v>127</v>
      </c>
      <c r="G613" t="s">
        <v>128</v>
      </c>
      <c r="H613" t="s">
        <v>129</v>
      </c>
      <c r="I613" t="s">
        <v>130</v>
      </c>
      <c r="J613" t="s">
        <v>668</v>
      </c>
      <c r="K613" s="3">
        <v>10074821555</v>
      </c>
      <c r="L613" s="10">
        <v>40328</v>
      </c>
      <c r="M613">
        <v>255.74</v>
      </c>
      <c r="N613" s="11">
        <v>30</v>
      </c>
      <c r="O613" s="12">
        <v>8.5</v>
      </c>
      <c r="P613" s="12">
        <v>1.99</v>
      </c>
      <c r="Q613" s="13">
        <v>37.09</v>
      </c>
      <c r="R613" s="36" t="s">
        <v>973</v>
      </c>
      <c r="S613" s="7">
        <f t="shared" si="47"/>
        <v>2</v>
      </c>
      <c r="T613" s="15" t="str">
        <f>VLOOKUP(R613,产品分类!$C$2:$D$1278,2,0)</f>
        <v>办公用品</v>
      </c>
    </row>
    <row r="614" spans="1:20">
      <c r="A614" s="8">
        <f>DATE(2012,12,31)-323</f>
        <v>40951</v>
      </c>
      <c r="B614" s="8">
        <f>DATE(2012,12,31)-323</f>
        <v>40951</v>
      </c>
      <c r="C614" s="9" t="s">
        <v>974</v>
      </c>
      <c r="D614">
        <v>10021319089</v>
      </c>
      <c r="E614" t="s">
        <v>47</v>
      </c>
      <c r="F614" t="s">
        <v>97</v>
      </c>
      <c r="G614" t="s">
        <v>98</v>
      </c>
      <c r="H614" t="s">
        <v>99</v>
      </c>
      <c r="I614" t="s">
        <v>98</v>
      </c>
      <c r="J614" t="s">
        <v>668</v>
      </c>
      <c r="K614" s="3">
        <v>10098153841</v>
      </c>
      <c r="L614" s="10">
        <v>40952</v>
      </c>
      <c r="M614">
        <v>639.71</v>
      </c>
      <c r="N614" s="11">
        <v>43</v>
      </c>
      <c r="O614" s="12">
        <v>14.2</v>
      </c>
      <c r="P614" s="12">
        <v>5.3</v>
      </c>
      <c r="Q614" s="13">
        <v>102.53</v>
      </c>
      <c r="R614" s="36" t="s">
        <v>975</v>
      </c>
      <c r="S614" s="7">
        <f t="shared" si="47"/>
        <v>1</v>
      </c>
      <c r="T614" s="15" t="str">
        <f>VLOOKUP(R614,产品分类!$C$2:$D$1278,2,0)</f>
        <v>家具产品</v>
      </c>
    </row>
    <row r="615" spans="1:20">
      <c r="A615" s="8">
        <f>DATE(2012,12,31)-303</f>
        <v>40971</v>
      </c>
      <c r="B615" s="8">
        <f>DATE(2012,12,31)-303</f>
        <v>40971</v>
      </c>
      <c r="C615" s="9" t="s">
        <v>976</v>
      </c>
      <c r="D615">
        <v>10021249313</v>
      </c>
      <c r="E615" t="s">
        <v>47</v>
      </c>
      <c r="F615" t="s">
        <v>171</v>
      </c>
      <c r="G615" t="s">
        <v>172</v>
      </c>
      <c r="H615" t="s">
        <v>933</v>
      </c>
      <c r="I615" t="s">
        <v>934</v>
      </c>
      <c r="J615" t="s">
        <v>668</v>
      </c>
      <c r="K615" s="3">
        <v>10015241477</v>
      </c>
      <c r="L615" s="10">
        <v>40972</v>
      </c>
      <c r="M615">
        <v>409.16</v>
      </c>
      <c r="N615" s="11">
        <v>18</v>
      </c>
      <c r="O615" s="12">
        <v>22.72</v>
      </c>
      <c r="P615" s="12">
        <v>8.99</v>
      </c>
      <c r="Q615" s="13">
        <v>21.96</v>
      </c>
      <c r="R615" s="36" t="s">
        <v>972</v>
      </c>
      <c r="S615" s="7">
        <f t="shared" si="47"/>
        <v>1</v>
      </c>
      <c r="T615" s="15" t="str">
        <f>VLOOKUP(R615,产品分类!$C$2:$D$1278,2,0)</f>
        <v>办公用品</v>
      </c>
    </row>
    <row r="616" spans="1:20">
      <c r="A616" s="8">
        <f>DATE(2012,12,31)-303</f>
        <v>40971</v>
      </c>
      <c r="B616" s="8">
        <f>DATE(2012,12,31)-303</f>
        <v>40971</v>
      </c>
      <c r="C616" s="9" t="s">
        <v>976</v>
      </c>
      <c r="D616">
        <v>10021256268</v>
      </c>
      <c r="E616" t="s">
        <v>47</v>
      </c>
      <c r="F616" t="s">
        <v>177</v>
      </c>
      <c r="G616" t="s">
        <v>178</v>
      </c>
      <c r="H616" t="s">
        <v>795</v>
      </c>
      <c r="I616" t="s">
        <v>796</v>
      </c>
      <c r="J616" t="s">
        <v>668</v>
      </c>
      <c r="K616" s="3">
        <v>100924193471</v>
      </c>
      <c r="L616" s="10">
        <v>40973</v>
      </c>
      <c r="M616">
        <v>2508.316</v>
      </c>
      <c r="N616" s="11">
        <v>46</v>
      </c>
      <c r="O616" s="12">
        <v>65.99</v>
      </c>
      <c r="P616" s="12">
        <v>8.99</v>
      </c>
      <c r="Q616" s="13">
        <v>456.813</v>
      </c>
      <c r="R616" s="36" t="s">
        <v>730</v>
      </c>
      <c r="S616" s="7">
        <f t="shared" si="47"/>
        <v>2</v>
      </c>
      <c r="T616" s="15" t="str">
        <f>VLOOKUP(R616,产品分类!$C$2:$D$1278,2,0)</f>
        <v>办公用品</v>
      </c>
    </row>
    <row r="617" spans="1:20">
      <c r="A617" s="8">
        <f>DATE(2012,12,31)-648</f>
        <v>40626</v>
      </c>
      <c r="B617" s="8">
        <f>DATE(2012,12,31)-648</f>
        <v>40626</v>
      </c>
      <c r="C617" s="9" t="s">
        <v>977</v>
      </c>
      <c r="D617">
        <v>10021385899</v>
      </c>
      <c r="E617" t="s">
        <v>47</v>
      </c>
      <c r="F617" t="s">
        <v>342</v>
      </c>
      <c r="G617" t="s">
        <v>343</v>
      </c>
      <c r="H617" t="s">
        <v>344</v>
      </c>
      <c r="I617" t="s">
        <v>345</v>
      </c>
      <c r="J617" t="s">
        <v>668</v>
      </c>
      <c r="K617" s="3">
        <v>10012548768</v>
      </c>
      <c r="L617" s="10">
        <v>40628</v>
      </c>
      <c r="M617">
        <v>253.89</v>
      </c>
      <c r="N617" s="11">
        <v>45</v>
      </c>
      <c r="O617" s="12">
        <v>5.58</v>
      </c>
      <c r="P617" s="12">
        <v>5.3</v>
      </c>
      <c r="Q617" s="13">
        <v>-83.66</v>
      </c>
      <c r="R617" s="36" t="s">
        <v>892</v>
      </c>
      <c r="S617" s="7">
        <f t="shared" si="47"/>
        <v>2</v>
      </c>
      <c r="T617" s="15" t="str">
        <f>VLOOKUP(R617,产品分类!$C$2:$D$1278,2,0)</f>
        <v>家具产品</v>
      </c>
    </row>
    <row r="618" spans="1:20">
      <c r="A618" s="8">
        <f t="shared" ref="A618:B621" si="50">DATE(2012,12,31)-90</f>
        <v>41184</v>
      </c>
      <c r="B618" s="8">
        <f t="shared" si="50"/>
        <v>41184</v>
      </c>
      <c r="C618" s="9" t="s">
        <v>442</v>
      </c>
      <c r="D618">
        <v>10021344972</v>
      </c>
      <c r="E618" t="s">
        <v>47</v>
      </c>
      <c r="F618" t="s">
        <v>61</v>
      </c>
      <c r="G618" t="s">
        <v>62</v>
      </c>
      <c r="H618" t="s">
        <v>454</v>
      </c>
      <c r="I618" t="s">
        <v>455</v>
      </c>
      <c r="J618" t="s">
        <v>668</v>
      </c>
      <c r="K618" s="3">
        <v>100129848478</v>
      </c>
      <c r="L618" s="10">
        <v>41185</v>
      </c>
      <c r="M618">
        <v>1556.87</v>
      </c>
      <c r="N618" s="11">
        <v>22</v>
      </c>
      <c r="O618" s="12">
        <v>68.81</v>
      </c>
      <c r="P618" s="12">
        <v>60</v>
      </c>
      <c r="Q618" s="13">
        <v>-521.42</v>
      </c>
      <c r="R618" s="36" t="s">
        <v>390</v>
      </c>
      <c r="S618" s="7">
        <f t="shared" si="47"/>
        <v>1</v>
      </c>
      <c r="T618" s="15" t="str">
        <f>VLOOKUP(R618,产品分类!$C$2:$D$1278,2,0)</f>
        <v>办公用品</v>
      </c>
    </row>
    <row r="619" spans="1:20">
      <c r="A619" s="8">
        <f t="shared" si="50"/>
        <v>41184</v>
      </c>
      <c r="B619" s="8">
        <f t="shared" si="50"/>
        <v>41184</v>
      </c>
      <c r="C619" s="9" t="s">
        <v>442</v>
      </c>
      <c r="D619">
        <v>10021320448</v>
      </c>
      <c r="E619" t="s">
        <v>47</v>
      </c>
      <c r="F619" t="s">
        <v>61</v>
      </c>
      <c r="G619" t="s">
        <v>62</v>
      </c>
      <c r="H619" t="s">
        <v>454</v>
      </c>
      <c r="I619" t="s">
        <v>455</v>
      </c>
      <c r="J619" t="s">
        <v>668</v>
      </c>
      <c r="K619" s="3">
        <v>10044605113</v>
      </c>
      <c r="L619" s="10">
        <v>41186</v>
      </c>
      <c r="M619">
        <v>195.98</v>
      </c>
      <c r="N619" s="11">
        <v>33</v>
      </c>
      <c r="O619" s="12">
        <v>5.98</v>
      </c>
      <c r="P619" s="12">
        <v>5.35</v>
      </c>
      <c r="Q619" s="13">
        <v>-71.47</v>
      </c>
      <c r="R619" s="36" t="s">
        <v>978</v>
      </c>
      <c r="S619" s="7">
        <f t="shared" si="47"/>
        <v>2</v>
      </c>
      <c r="T619" s="15" t="str">
        <f>VLOOKUP(R619,产品分类!$C$2:$D$1278,2,0)</f>
        <v>家具产品</v>
      </c>
    </row>
    <row r="620" spans="1:20">
      <c r="A620" s="8">
        <f t="shared" si="50"/>
        <v>41184</v>
      </c>
      <c r="B620" s="8">
        <f t="shared" si="50"/>
        <v>41184</v>
      </c>
      <c r="C620" s="9" t="s">
        <v>442</v>
      </c>
      <c r="D620">
        <v>10021343783</v>
      </c>
      <c r="E620" t="s">
        <v>47</v>
      </c>
      <c r="F620" t="s">
        <v>61</v>
      </c>
      <c r="G620" t="s">
        <v>62</v>
      </c>
      <c r="H620" t="s">
        <v>454</v>
      </c>
      <c r="I620" t="s">
        <v>455</v>
      </c>
      <c r="J620" t="s">
        <v>668</v>
      </c>
      <c r="K620" s="3">
        <v>100929170651</v>
      </c>
      <c r="L620" s="10">
        <v>41186</v>
      </c>
      <c r="M620">
        <v>9235.97</v>
      </c>
      <c r="N620" s="11">
        <v>32</v>
      </c>
      <c r="O620" s="12">
        <v>300.65</v>
      </c>
      <c r="P620" s="12">
        <v>24.49</v>
      </c>
      <c r="Q620" s="13">
        <v>2848.17</v>
      </c>
      <c r="R620" s="36" t="s">
        <v>979</v>
      </c>
      <c r="S620" s="7">
        <f t="shared" si="47"/>
        <v>2</v>
      </c>
      <c r="T620" s="15" t="str">
        <f>VLOOKUP(R620,产品分类!$C$2:$D$1278,2,0)</f>
        <v>办公用品</v>
      </c>
    </row>
    <row r="621" spans="1:20">
      <c r="A621" s="8">
        <f t="shared" si="50"/>
        <v>41184</v>
      </c>
      <c r="B621" s="8">
        <f t="shared" si="50"/>
        <v>41184</v>
      </c>
      <c r="C621" s="9" t="s">
        <v>442</v>
      </c>
      <c r="D621">
        <v>10021265117</v>
      </c>
      <c r="E621" t="s">
        <v>47</v>
      </c>
      <c r="F621" t="s">
        <v>61</v>
      </c>
      <c r="G621" t="s">
        <v>62</v>
      </c>
      <c r="H621" t="s">
        <v>454</v>
      </c>
      <c r="I621" t="s">
        <v>455</v>
      </c>
      <c r="J621" t="s">
        <v>668</v>
      </c>
      <c r="K621" s="3">
        <v>10012514378</v>
      </c>
      <c r="L621" s="10">
        <v>41186</v>
      </c>
      <c r="M621">
        <v>274.38</v>
      </c>
      <c r="N621" s="11">
        <v>48</v>
      </c>
      <c r="O621" s="12">
        <v>5.78</v>
      </c>
      <c r="P621" s="12">
        <v>5.37</v>
      </c>
      <c r="Q621" s="13">
        <v>-94.82</v>
      </c>
      <c r="R621" s="36" t="s">
        <v>252</v>
      </c>
      <c r="S621" s="7">
        <f t="shared" si="47"/>
        <v>2</v>
      </c>
      <c r="T621" s="15" t="str">
        <f>VLOOKUP(R621,产品分类!$C$2:$D$1278,2,0)</f>
        <v>办公用品</v>
      </c>
    </row>
    <row r="622" spans="1:20">
      <c r="A622" s="8">
        <f>DATE(2012,12,31)-139</f>
        <v>41135</v>
      </c>
      <c r="B622" s="8">
        <f>DATE(2012,12,31)-139</f>
        <v>41135</v>
      </c>
      <c r="C622" s="9" t="s">
        <v>388</v>
      </c>
      <c r="D622">
        <v>10021351415</v>
      </c>
      <c r="E622" t="s">
        <v>47</v>
      </c>
      <c r="F622" t="s">
        <v>434</v>
      </c>
      <c r="G622" t="s">
        <v>435</v>
      </c>
      <c r="H622" t="s">
        <v>436</v>
      </c>
      <c r="I622" t="s">
        <v>437</v>
      </c>
      <c r="J622" t="s">
        <v>668</v>
      </c>
      <c r="K622" s="3">
        <v>100432485323</v>
      </c>
      <c r="L622" s="10">
        <v>41137</v>
      </c>
      <c r="M622">
        <v>17.72</v>
      </c>
      <c r="N622" s="11">
        <v>8</v>
      </c>
      <c r="O622" s="12">
        <v>1.74</v>
      </c>
      <c r="P622" s="12">
        <v>4.08</v>
      </c>
      <c r="Q622" s="13">
        <v>-15.34</v>
      </c>
      <c r="R622" s="36" t="s">
        <v>980</v>
      </c>
      <c r="S622" s="7">
        <f t="shared" si="47"/>
        <v>2</v>
      </c>
      <c r="T622" s="15" t="str">
        <f>VLOOKUP(R622,产品分类!$C$2:$D$1278,2,0)</f>
        <v>办公用品</v>
      </c>
    </row>
    <row r="623" spans="1:20">
      <c r="A623" s="8">
        <f>DATE(2012,12,31)-1263</f>
        <v>40011</v>
      </c>
      <c r="B623" s="8">
        <f>DATE(2012,12,31)-1263</f>
        <v>40011</v>
      </c>
      <c r="C623" s="9" t="s">
        <v>119</v>
      </c>
      <c r="D623">
        <v>10021265213</v>
      </c>
      <c r="E623" t="s">
        <v>47</v>
      </c>
      <c r="F623" t="s">
        <v>183</v>
      </c>
      <c r="G623" t="s">
        <v>184</v>
      </c>
      <c r="H623" t="s">
        <v>185</v>
      </c>
      <c r="I623" t="s">
        <v>186</v>
      </c>
      <c r="J623" t="s">
        <v>668</v>
      </c>
      <c r="K623" s="3">
        <v>100925577221</v>
      </c>
      <c r="L623" s="10">
        <v>40013</v>
      </c>
      <c r="M623">
        <v>1505.57</v>
      </c>
      <c r="N623" s="11">
        <v>47</v>
      </c>
      <c r="O623" s="12">
        <v>30.53</v>
      </c>
      <c r="P623" s="12">
        <v>19.99</v>
      </c>
      <c r="Q623" s="13">
        <v>-54.63</v>
      </c>
      <c r="R623" s="36" t="s">
        <v>981</v>
      </c>
      <c r="S623" s="7">
        <f t="shared" si="47"/>
        <v>2</v>
      </c>
      <c r="T623" s="15" t="str">
        <f>VLOOKUP(R623,产品分类!$C$2:$D$1278,2,0)</f>
        <v>办公用品</v>
      </c>
    </row>
    <row r="624" spans="1:20">
      <c r="A624" s="8">
        <f>DATE(2012,12,31)-534</f>
        <v>40740</v>
      </c>
      <c r="B624" s="8">
        <f>DATE(2012,12,31)-534</f>
        <v>40740</v>
      </c>
      <c r="C624" s="9" t="s">
        <v>982</v>
      </c>
      <c r="D624">
        <v>10021330859</v>
      </c>
      <c r="E624" t="s">
        <v>47</v>
      </c>
      <c r="F624" t="s">
        <v>72</v>
      </c>
      <c r="G624" t="s">
        <v>73</v>
      </c>
      <c r="H624" t="s">
        <v>74</v>
      </c>
      <c r="I624" t="s">
        <v>75</v>
      </c>
      <c r="J624" t="s">
        <v>668</v>
      </c>
      <c r="K624" s="3">
        <v>100825528882</v>
      </c>
      <c r="L624" s="10">
        <v>40742</v>
      </c>
      <c r="M624">
        <v>1165.33</v>
      </c>
      <c r="N624" s="11">
        <v>28</v>
      </c>
      <c r="O624" s="12">
        <v>40.97</v>
      </c>
      <c r="P624" s="12">
        <v>8.99</v>
      </c>
      <c r="Q624" s="13">
        <v>154.85</v>
      </c>
      <c r="R624" s="36" t="s">
        <v>983</v>
      </c>
      <c r="S624" s="7">
        <f t="shared" si="47"/>
        <v>2</v>
      </c>
      <c r="T624" s="15" t="str">
        <f>VLOOKUP(R624,产品分类!$C$2:$D$1278,2,0)</f>
        <v>办公用品</v>
      </c>
    </row>
    <row r="625" spans="1:20">
      <c r="A625" s="8">
        <f>DATE(2012,12,31)-1189</f>
        <v>40085</v>
      </c>
      <c r="B625" s="8">
        <f>DATE(2012,12,31)-1189</f>
        <v>40085</v>
      </c>
      <c r="C625" s="9" t="s">
        <v>188</v>
      </c>
      <c r="D625">
        <v>10021292545</v>
      </c>
      <c r="E625" t="s">
        <v>47</v>
      </c>
      <c r="F625" t="s">
        <v>122</v>
      </c>
      <c r="G625" t="s">
        <v>123</v>
      </c>
      <c r="H625" t="s">
        <v>124</v>
      </c>
      <c r="I625" t="s">
        <v>125</v>
      </c>
      <c r="J625" t="s">
        <v>668</v>
      </c>
      <c r="K625" s="3">
        <v>100932792791</v>
      </c>
      <c r="L625" s="10">
        <v>40086</v>
      </c>
      <c r="M625">
        <v>49.04</v>
      </c>
      <c r="N625" s="11">
        <v>6</v>
      </c>
      <c r="O625" s="12">
        <v>7.38</v>
      </c>
      <c r="P625" s="12">
        <v>5.21</v>
      </c>
      <c r="Q625" s="13">
        <v>7.74</v>
      </c>
      <c r="R625" s="36" t="s">
        <v>163</v>
      </c>
      <c r="S625" s="7">
        <f t="shared" si="47"/>
        <v>1</v>
      </c>
      <c r="T625" s="15" t="str">
        <f>VLOOKUP(R625,产品分类!$C$2:$D$1278,2,0)</f>
        <v>家具产品</v>
      </c>
    </row>
    <row r="626" spans="1:20">
      <c r="A626" s="8">
        <f>DATE(2012,12,31)-1035</f>
        <v>40239</v>
      </c>
      <c r="B626" s="8">
        <f>DATE(2012,12,31)-1035</f>
        <v>40239</v>
      </c>
      <c r="C626" s="9" t="s">
        <v>984</v>
      </c>
      <c r="D626">
        <v>10021329565</v>
      </c>
      <c r="E626" t="s">
        <v>47</v>
      </c>
      <c r="F626" t="s">
        <v>122</v>
      </c>
      <c r="G626" t="s">
        <v>123</v>
      </c>
      <c r="H626" t="s">
        <v>124</v>
      </c>
      <c r="I626" t="s">
        <v>125</v>
      </c>
      <c r="J626" t="s">
        <v>668</v>
      </c>
      <c r="K626" s="3">
        <v>100717418865</v>
      </c>
      <c r="L626" s="10">
        <v>40241</v>
      </c>
      <c r="M626">
        <v>215.76</v>
      </c>
      <c r="N626" s="11">
        <v>21</v>
      </c>
      <c r="O626" s="12">
        <v>10.9</v>
      </c>
      <c r="P626" s="12">
        <v>7.46</v>
      </c>
      <c r="Q626" s="13">
        <v>-97.75</v>
      </c>
      <c r="R626" s="36" t="s">
        <v>985</v>
      </c>
      <c r="S626" s="7">
        <f t="shared" si="47"/>
        <v>2</v>
      </c>
      <c r="T626" s="15" t="str">
        <f>VLOOKUP(R626,产品分类!$C$2:$D$1278,2,0)</f>
        <v>数码电子</v>
      </c>
    </row>
    <row r="627" spans="1:20">
      <c r="A627" s="8">
        <f>DATE(2012,12,31)-436</f>
        <v>40838</v>
      </c>
      <c r="B627" s="8">
        <f>DATE(2012,12,31)-436</f>
        <v>40838</v>
      </c>
      <c r="C627" s="9" t="s">
        <v>945</v>
      </c>
      <c r="D627">
        <v>10021324097</v>
      </c>
      <c r="E627" t="s">
        <v>47</v>
      </c>
      <c r="F627" t="s">
        <v>61</v>
      </c>
      <c r="G627" t="s">
        <v>62</v>
      </c>
      <c r="H627" t="s">
        <v>454</v>
      </c>
      <c r="I627" t="s">
        <v>455</v>
      </c>
      <c r="J627" t="s">
        <v>668</v>
      </c>
      <c r="K627" s="3">
        <v>10097406851</v>
      </c>
      <c r="L627" s="10">
        <v>40839</v>
      </c>
      <c r="M627">
        <v>640.21</v>
      </c>
      <c r="N627" s="11">
        <v>4</v>
      </c>
      <c r="O627" s="12">
        <v>150.98</v>
      </c>
      <c r="P627" s="12">
        <v>39.25</v>
      </c>
      <c r="Q627" s="13">
        <v>-388.5167</v>
      </c>
      <c r="R627" s="36" t="s">
        <v>986</v>
      </c>
      <c r="S627" s="7">
        <f t="shared" si="47"/>
        <v>1</v>
      </c>
      <c r="T627" s="15" t="str">
        <f>VLOOKUP(R627,产品分类!$C$2:$D$1278,2,0)</f>
        <v>办公用品</v>
      </c>
    </row>
    <row r="628" spans="1:20">
      <c r="A628" s="8">
        <f t="shared" ref="A628:B630" si="51">DATE(2012,12,31)-1337</f>
        <v>39937</v>
      </c>
      <c r="B628" s="8">
        <f t="shared" si="51"/>
        <v>39937</v>
      </c>
      <c r="C628" s="9" t="s">
        <v>987</v>
      </c>
      <c r="D628">
        <v>10021304573</v>
      </c>
      <c r="E628" t="s">
        <v>47</v>
      </c>
      <c r="F628" t="s">
        <v>61</v>
      </c>
      <c r="G628" t="s">
        <v>62</v>
      </c>
      <c r="H628" t="s">
        <v>454</v>
      </c>
      <c r="I628" t="s">
        <v>455</v>
      </c>
      <c r="J628" t="s">
        <v>668</v>
      </c>
      <c r="K628" s="3">
        <v>100430728154</v>
      </c>
      <c r="L628" s="10">
        <v>39939</v>
      </c>
      <c r="M628">
        <v>179.45</v>
      </c>
      <c r="N628" s="11">
        <v>35</v>
      </c>
      <c r="O628" s="12">
        <v>5.34</v>
      </c>
      <c r="P628" s="12">
        <v>5.63</v>
      </c>
      <c r="Q628" s="13">
        <v>-116.3455</v>
      </c>
      <c r="R628" s="36" t="s">
        <v>988</v>
      </c>
      <c r="S628" s="7">
        <f t="shared" si="47"/>
        <v>2</v>
      </c>
      <c r="T628" s="15" t="str">
        <f>VLOOKUP(R628,产品分类!$C$2:$D$1278,2,0)</f>
        <v>办公用品</v>
      </c>
    </row>
    <row r="629" spans="1:20">
      <c r="A629" s="8">
        <f t="shared" si="51"/>
        <v>39937</v>
      </c>
      <c r="B629" s="8">
        <f t="shared" si="51"/>
        <v>39937</v>
      </c>
      <c r="C629" s="9" t="s">
        <v>987</v>
      </c>
      <c r="D629">
        <v>10021278314</v>
      </c>
      <c r="E629" t="s">
        <v>47</v>
      </c>
      <c r="F629" t="s">
        <v>114</v>
      </c>
      <c r="G629" t="s">
        <v>115</v>
      </c>
      <c r="H629" t="s">
        <v>910</v>
      </c>
      <c r="I629" t="s">
        <v>911</v>
      </c>
      <c r="J629" t="s">
        <v>668</v>
      </c>
      <c r="K629" s="3">
        <v>100429766253</v>
      </c>
      <c r="L629" s="10">
        <v>39938</v>
      </c>
      <c r="M629">
        <v>7987.43</v>
      </c>
      <c r="N629" s="11">
        <v>49</v>
      </c>
      <c r="O629" s="12">
        <v>160.98</v>
      </c>
      <c r="P629" s="12">
        <v>30</v>
      </c>
      <c r="Q629" s="13">
        <v>1304.9</v>
      </c>
      <c r="R629" s="36" t="s">
        <v>764</v>
      </c>
      <c r="S629" s="7">
        <f t="shared" si="47"/>
        <v>1</v>
      </c>
      <c r="T629" s="15" t="str">
        <f>VLOOKUP(R629,产品分类!$C$2:$D$1278,2,0)</f>
        <v>家具产品</v>
      </c>
    </row>
    <row r="630" spans="1:20">
      <c r="A630" s="8">
        <f t="shared" si="51"/>
        <v>39937</v>
      </c>
      <c r="B630" s="8">
        <f t="shared" si="51"/>
        <v>39937</v>
      </c>
      <c r="C630" s="9" t="s">
        <v>987</v>
      </c>
      <c r="D630">
        <v>10021398190</v>
      </c>
      <c r="E630" t="s">
        <v>47</v>
      </c>
      <c r="F630" t="s">
        <v>97</v>
      </c>
      <c r="G630" t="s">
        <v>98</v>
      </c>
      <c r="H630" t="s">
        <v>99</v>
      </c>
      <c r="I630" t="s">
        <v>98</v>
      </c>
      <c r="J630" t="s">
        <v>668</v>
      </c>
      <c r="K630" s="3">
        <v>10014104407</v>
      </c>
      <c r="L630" s="10">
        <v>39937</v>
      </c>
      <c r="M630">
        <v>2455.276</v>
      </c>
      <c r="N630" s="11">
        <v>42</v>
      </c>
      <c r="O630" s="12">
        <v>65.99</v>
      </c>
      <c r="P630" s="12">
        <v>5.63</v>
      </c>
      <c r="Q630" s="13">
        <v>693.063</v>
      </c>
      <c r="R630" s="36" t="s">
        <v>733</v>
      </c>
      <c r="S630" s="7">
        <f t="shared" si="47"/>
        <v>0</v>
      </c>
      <c r="T630" s="15" t="str">
        <f>VLOOKUP(R630,产品分类!$C$2:$D$1278,2,0)</f>
        <v>家具产品</v>
      </c>
    </row>
    <row r="631" spans="1:20">
      <c r="A631" s="8">
        <f>DATE(2012,12,31)-318</f>
        <v>40956</v>
      </c>
      <c r="B631" s="8">
        <f>DATE(2012,12,31)-318</f>
        <v>40956</v>
      </c>
      <c r="C631" s="9" t="s">
        <v>358</v>
      </c>
      <c r="D631">
        <v>10021292121</v>
      </c>
      <c r="E631" t="s">
        <v>47</v>
      </c>
      <c r="F631" t="s">
        <v>171</v>
      </c>
      <c r="G631" t="s">
        <v>172</v>
      </c>
      <c r="H631" t="s">
        <v>933</v>
      </c>
      <c r="I631" t="s">
        <v>934</v>
      </c>
      <c r="J631" t="s">
        <v>668</v>
      </c>
      <c r="K631" s="3">
        <v>100831901042</v>
      </c>
      <c r="L631" s="10">
        <v>40958</v>
      </c>
      <c r="M631">
        <v>2592.432</v>
      </c>
      <c r="N631" s="11">
        <v>20</v>
      </c>
      <c r="O631" s="12">
        <v>155.99</v>
      </c>
      <c r="P631" s="12">
        <v>3.9</v>
      </c>
      <c r="Q631" s="13">
        <v>428.472</v>
      </c>
      <c r="R631" s="36" t="s">
        <v>724</v>
      </c>
      <c r="S631" s="7">
        <f t="shared" si="47"/>
        <v>2</v>
      </c>
      <c r="T631" s="15" t="str">
        <f>VLOOKUP(R631,产品分类!$C$2:$D$1278,2,0)</f>
        <v>家具产品</v>
      </c>
    </row>
    <row r="632" spans="1:20">
      <c r="A632" s="16">
        <f>DATE(2012,12,31)-185</f>
        <v>41089</v>
      </c>
      <c r="B632" s="16">
        <f>DATE(2012,12,31)-185</f>
        <v>41089</v>
      </c>
      <c r="C632" s="9" t="s">
        <v>989</v>
      </c>
      <c r="D632">
        <v>10021331677</v>
      </c>
      <c r="E632" t="s">
        <v>47</v>
      </c>
      <c r="F632" t="s">
        <v>66</v>
      </c>
      <c r="G632" t="s">
        <v>67</v>
      </c>
      <c r="H632" t="s">
        <v>68</v>
      </c>
      <c r="I632" t="s">
        <v>69</v>
      </c>
      <c r="J632" t="s">
        <v>668</v>
      </c>
      <c r="K632" s="3">
        <v>10044839024</v>
      </c>
      <c r="L632" s="10">
        <v>41093</v>
      </c>
      <c r="M632">
        <v>7441.29</v>
      </c>
      <c r="N632" s="17">
        <v>46</v>
      </c>
      <c r="O632" s="5">
        <v>165.98</v>
      </c>
      <c r="P632" s="5">
        <v>19.99</v>
      </c>
      <c r="Q632" s="6">
        <v>2665.396</v>
      </c>
      <c r="R632" s="37" t="s">
        <v>990</v>
      </c>
      <c r="S632" s="7">
        <f t="shared" si="47"/>
        <v>4</v>
      </c>
      <c r="T632" s="15" t="str">
        <f>VLOOKUP(R632,产品分类!$C$2:$D$1278,2,0)</f>
        <v>家具产品</v>
      </c>
    </row>
    <row r="633" spans="1:20">
      <c r="A633" s="8">
        <f>DATE(2012,12,31)-590</f>
        <v>40684</v>
      </c>
      <c r="B633" s="8">
        <f>DATE(2012,12,31)-590</f>
        <v>40684</v>
      </c>
      <c r="C633" s="9" t="s">
        <v>991</v>
      </c>
      <c r="D633">
        <v>10021288352</v>
      </c>
      <c r="E633" t="s">
        <v>47</v>
      </c>
      <c r="F633" t="s">
        <v>66</v>
      </c>
      <c r="G633" t="s">
        <v>67</v>
      </c>
      <c r="H633" t="s">
        <v>68</v>
      </c>
      <c r="I633" t="s">
        <v>69</v>
      </c>
      <c r="J633" t="s">
        <v>668</v>
      </c>
      <c r="K633" s="3">
        <v>100411856423</v>
      </c>
      <c r="L633" s="10">
        <v>40684</v>
      </c>
      <c r="M633">
        <v>313.43</v>
      </c>
      <c r="N633" s="11">
        <v>12</v>
      </c>
      <c r="O633" s="12">
        <v>25.38</v>
      </c>
      <c r="P633" s="12">
        <v>8.99</v>
      </c>
      <c r="Q633" s="13">
        <v>104.03</v>
      </c>
      <c r="R633" s="36" t="s">
        <v>992</v>
      </c>
      <c r="S633" s="7">
        <f t="shared" si="47"/>
        <v>0</v>
      </c>
      <c r="T633" s="15" t="str">
        <f>VLOOKUP(R633,产品分类!$C$2:$D$1278,2,0)</f>
        <v>数码电子</v>
      </c>
    </row>
    <row r="634" spans="1:20">
      <c r="A634" s="8">
        <f>DATE(2012,12,31)-590</f>
        <v>40684</v>
      </c>
      <c r="B634" s="8">
        <f>DATE(2012,12,31)-590</f>
        <v>40684</v>
      </c>
      <c r="C634" s="9" t="s">
        <v>991</v>
      </c>
      <c r="D634">
        <v>10021302697</v>
      </c>
      <c r="E634" t="s">
        <v>47</v>
      </c>
      <c r="F634" t="s">
        <v>152</v>
      </c>
      <c r="G634" t="s">
        <v>153</v>
      </c>
      <c r="H634" t="s">
        <v>154</v>
      </c>
      <c r="I634" t="s">
        <v>155</v>
      </c>
      <c r="J634" t="s">
        <v>668</v>
      </c>
      <c r="K634" s="3">
        <v>100918784931</v>
      </c>
      <c r="L634" s="10">
        <v>40684</v>
      </c>
      <c r="M634">
        <v>390.11</v>
      </c>
      <c r="N634" s="11">
        <v>17</v>
      </c>
      <c r="O634" s="12">
        <v>21.38</v>
      </c>
      <c r="P634" s="12">
        <v>8.99</v>
      </c>
      <c r="Q634" s="13">
        <v>-19.92</v>
      </c>
      <c r="R634" s="36" t="s">
        <v>993</v>
      </c>
      <c r="S634" s="7">
        <f t="shared" si="47"/>
        <v>0</v>
      </c>
      <c r="T634" s="15" t="str">
        <f>VLOOKUP(R634,产品分类!$C$2:$D$1278,2,0)</f>
        <v>数码电子</v>
      </c>
    </row>
    <row r="635" spans="1:20">
      <c r="A635" s="8">
        <f>DATE(2012,12,31)-1188</f>
        <v>40086</v>
      </c>
      <c r="B635" s="8">
        <f>DATE(2012,12,31)-1188</f>
        <v>40086</v>
      </c>
      <c r="C635" s="9" t="s">
        <v>448</v>
      </c>
      <c r="D635">
        <v>10021370042</v>
      </c>
      <c r="E635" t="s">
        <v>47</v>
      </c>
      <c r="F635" t="s">
        <v>48</v>
      </c>
      <c r="G635" t="s">
        <v>49</v>
      </c>
      <c r="H635" t="s">
        <v>50</v>
      </c>
      <c r="I635" t="s">
        <v>51</v>
      </c>
      <c r="J635" t="s">
        <v>668</v>
      </c>
      <c r="K635" s="3">
        <v>100930800271</v>
      </c>
      <c r="L635" s="10">
        <v>40086</v>
      </c>
      <c r="M635">
        <v>992.95</v>
      </c>
      <c r="N635" s="11">
        <v>47</v>
      </c>
      <c r="O635" s="12">
        <v>21.38</v>
      </c>
      <c r="P635" s="12">
        <v>8.99</v>
      </c>
      <c r="Q635" s="13">
        <v>-65.21</v>
      </c>
      <c r="R635" s="36" t="s">
        <v>993</v>
      </c>
      <c r="S635" s="7">
        <f t="shared" si="47"/>
        <v>0</v>
      </c>
      <c r="T635" s="15" t="str">
        <f>VLOOKUP(R635,产品分类!$C$2:$D$1278,2,0)</f>
        <v>数码电子</v>
      </c>
    </row>
    <row r="636" spans="1:20">
      <c r="A636" s="16">
        <f>DATE(2012,12,31)-1429</f>
        <v>39845</v>
      </c>
      <c r="B636" s="16">
        <f>DATE(2012,12,31)-1429</f>
        <v>39845</v>
      </c>
      <c r="C636" s="9" t="s">
        <v>989</v>
      </c>
      <c r="D636">
        <v>10021369230</v>
      </c>
      <c r="E636" t="s">
        <v>47</v>
      </c>
      <c r="F636" t="s">
        <v>152</v>
      </c>
      <c r="G636" t="s">
        <v>153</v>
      </c>
      <c r="H636" t="s">
        <v>154</v>
      </c>
      <c r="I636" t="s">
        <v>155</v>
      </c>
      <c r="J636" t="s">
        <v>668</v>
      </c>
      <c r="K636" s="3">
        <v>100929929271</v>
      </c>
      <c r="L636" s="10">
        <v>39850</v>
      </c>
      <c r="M636">
        <v>55.45</v>
      </c>
      <c r="N636" s="17">
        <v>17</v>
      </c>
      <c r="O636" s="5">
        <v>3.08</v>
      </c>
      <c r="P636" s="5">
        <v>0.5</v>
      </c>
      <c r="Q636" s="6">
        <v>21.42</v>
      </c>
      <c r="R636" s="37" t="s">
        <v>994</v>
      </c>
      <c r="S636" s="7">
        <f t="shared" si="47"/>
        <v>5</v>
      </c>
      <c r="T636" s="15" t="str">
        <f>VLOOKUP(R636,产品分类!$C$2:$D$1278,2,0)</f>
        <v>办公用品</v>
      </c>
    </row>
    <row r="637" spans="1:20">
      <c r="A637" s="8">
        <f>DATE(2012,12,31)-813</f>
        <v>40461</v>
      </c>
      <c r="B637" s="8">
        <f>DATE(2012,12,31)-813</f>
        <v>40461</v>
      </c>
      <c r="C637" s="9" t="s">
        <v>995</v>
      </c>
      <c r="D637">
        <v>10021293246</v>
      </c>
      <c r="E637" t="s">
        <v>47</v>
      </c>
      <c r="F637" t="s">
        <v>66</v>
      </c>
      <c r="G637" t="s">
        <v>67</v>
      </c>
      <c r="H637" t="s">
        <v>68</v>
      </c>
      <c r="I637" t="s">
        <v>69</v>
      </c>
      <c r="J637" t="s">
        <v>668</v>
      </c>
      <c r="K637" s="3">
        <v>10045581713</v>
      </c>
      <c r="L637" s="10">
        <v>40463</v>
      </c>
      <c r="M637">
        <v>279.29</v>
      </c>
      <c r="N637" s="11">
        <v>39</v>
      </c>
      <c r="O637" s="12">
        <v>7.59</v>
      </c>
      <c r="P637" s="12">
        <v>4</v>
      </c>
      <c r="Q637" s="13">
        <v>14.15</v>
      </c>
      <c r="R637" s="36" t="s">
        <v>996</v>
      </c>
      <c r="S637" s="7">
        <f t="shared" si="47"/>
        <v>2</v>
      </c>
      <c r="T637" s="15" t="str">
        <f>VLOOKUP(R637,产品分类!$C$2:$D$1278,2,0)</f>
        <v>家具产品</v>
      </c>
    </row>
    <row r="638" spans="1:20">
      <c r="A638" s="8">
        <f>DATE(2012,12,31)-1043</f>
        <v>40231</v>
      </c>
      <c r="B638" s="8">
        <f>DATE(2012,12,31)-1043</f>
        <v>40231</v>
      </c>
      <c r="C638" s="9" t="s">
        <v>997</v>
      </c>
      <c r="D638">
        <v>10021293090</v>
      </c>
      <c r="E638" t="s">
        <v>47</v>
      </c>
      <c r="F638" t="s">
        <v>72</v>
      </c>
      <c r="G638" t="s">
        <v>73</v>
      </c>
      <c r="H638" t="s">
        <v>74</v>
      </c>
      <c r="I638" t="s">
        <v>75</v>
      </c>
      <c r="J638" t="s">
        <v>668</v>
      </c>
      <c r="K638" s="3">
        <v>10094384741</v>
      </c>
      <c r="L638" s="10">
        <v>40232</v>
      </c>
      <c r="M638">
        <v>325.24</v>
      </c>
      <c r="N638" s="11">
        <v>50</v>
      </c>
      <c r="O638" s="12">
        <v>6.54</v>
      </c>
      <c r="P638" s="12">
        <v>5.27</v>
      </c>
      <c r="Q638" s="13">
        <v>-79.419</v>
      </c>
      <c r="R638" s="36" t="s">
        <v>196</v>
      </c>
      <c r="S638" s="7">
        <f t="shared" si="47"/>
        <v>1</v>
      </c>
      <c r="T638" s="15" t="str">
        <f>VLOOKUP(R638,产品分类!$C$2:$D$1278,2,0)</f>
        <v>办公用品</v>
      </c>
    </row>
    <row r="639" spans="1:20">
      <c r="A639" s="8">
        <f>DATE(2012,12,31)-434</f>
        <v>40840</v>
      </c>
      <c r="B639" s="8">
        <f>DATE(2012,12,31)-434</f>
        <v>40840</v>
      </c>
      <c r="C639" s="9" t="s">
        <v>830</v>
      </c>
      <c r="D639">
        <v>10021343423</v>
      </c>
      <c r="E639" t="s">
        <v>47</v>
      </c>
      <c r="F639" t="s">
        <v>78</v>
      </c>
      <c r="G639" t="s">
        <v>79</v>
      </c>
      <c r="H639" t="s">
        <v>80</v>
      </c>
      <c r="I639" t="s">
        <v>81</v>
      </c>
      <c r="J639" t="s">
        <v>668</v>
      </c>
      <c r="K639" s="3">
        <v>100928774931</v>
      </c>
      <c r="L639" s="10">
        <v>40845</v>
      </c>
      <c r="M639">
        <v>6077.11</v>
      </c>
      <c r="N639" s="11">
        <v>43</v>
      </c>
      <c r="O639" s="12">
        <v>146.34</v>
      </c>
      <c r="P639" s="12">
        <v>43.75</v>
      </c>
      <c r="Q639" s="13">
        <v>-353.659878</v>
      </c>
      <c r="R639" s="36" t="s">
        <v>998</v>
      </c>
      <c r="S639" s="7">
        <f t="shared" si="47"/>
        <v>5</v>
      </c>
      <c r="T639" s="15" t="str">
        <f>VLOOKUP(R639,产品分类!$C$2:$D$1278,2,0)</f>
        <v>办公用品</v>
      </c>
    </row>
    <row r="640" spans="1:20">
      <c r="A640" s="8">
        <f>DATE(2012,12,31)-1342</f>
        <v>39932</v>
      </c>
      <c r="B640" s="8">
        <f>DATE(2012,12,31)-1342</f>
        <v>39932</v>
      </c>
      <c r="C640" s="9" t="s">
        <v>763</v>
      </c>
      <c r="D640">
        <v>10021256407</v>
      </c>
      <c r="E640" t="s">
        <v>47</v>
      </c>
      <c r="F640" t="s">
        <v>72</v>
      </c>
      <c r="G640" t="s">
        <v>73</v>
      </c>
      <c r="H640" t="s">
        <v>74</v>
      </c>
      <c r="I640" t="s">
        <v>75</v>
      </c>
      <c r="J640" t="s">
        <v>668</v>
      </c>
      <c r="K640" s="3">
        <v>100924987721</v>
      </c>
      <c r="L640" s="10">
        <v>39933</v>
      </c>
      <c r="M640">
        <v>2841.4395</v>
      </c>
      <c r="N640" s="11">
        <v>28</v>
      </c>
      <c r="O640" s="12">
        <v>125.99</v>
      </c>
      <c r="P640" s="12">
        <v>7.69</v>
      </c>
      <c r="Q640" s="13">
        <v>374.625</v>
      </c>
      <c r="R640" s="36" t="s">
        <v>999</v>
      </c>
      <c r="S640" s="7">
        <f t="shared" si="47"/>
        <v>1</v>
      </c>
      <c r="T640" s="15" t="str">
        <f>VLOOKUP(R640,产品分类!$C$2:$D$1278,2,0)</f>
        <v>办公用品</v>
      </c>
    </row>
    <row r="641" spans="1:20">
      <c r="A641" s="8">
        <f>DATE(2012,12,31)-290</f>
        <v>40984</v>
      </c>
      <c r="B641" s="8">
        <f>DATE(2012,12,31)-290</f>
        <v>40984</v>
      </c>
      <c r="C641" s="9" t="s">
        <v>639</v>
      </c>
      <c r="D641">
        <v>10021334336</v>
      </c>
      <c r="E641" t="s">
        <v>47</v>
      </c>
      <c r="F641" t="s">
        <v>78</v>
      </c>
      <c r="G641" t="s">
        <v>79</v>
      </c>
      <c r="H641" t="s">
        <v>80</v>
      </c>
      <c r="I641" t="s">
        <v>81</v>
      </c>
      <c r="J641" t="s">
        <v>668</v>
      </c>
      <c r="K641" s="3">
        <v>100111198226</v>
      </c>
      <c r="L641" s="10">
        <v>40985</v>
      </c>
      <c r="M641">
        <v>887.94</v>
      </c>
      <c r="N641" s="11">
        <v>7</v>
      </c>
      <c r="O641" s="12">
        <v>120.97</v>
      </c>
      <c r="P641" s="12">
        <v>7.11</v>
      </c>
      <c r="Q641" s="13">
        <v>49.45</v>
      </c>
      <c r="R641" s="36" t="s">
        <v>1000</v>
      </c>
      <c r="S641" s="7">
        <f t="shared" si="47"/>
        <v>1</v>
      </c>
      <c r="T641" s="15" t="str">
        <f>VLOOKUP(R641,产品分类!$C$2:$D$1278,2,0)</f>
        <v>家具产品</v>
      </c>
    </row>
    <row r="642" spans="1:20">
      <c r="A642" s="8">
        <f>DATE(2012,12,31)-1374</f>
        <v>39900</v>
      </c>
      <c r="B642" s="8">
        <f>DATE(2012,12,31)-1374</f>
        <v>39900</v>
      </c>
      <c r="C642" s="9" t="s">
        <v>1001</v>
      </c>
      <c r="D642">
        <v>10021286507</v>
      </c>
      <c r="E642" t="s">
        <v>47</v>
      </c>
      <c r="F642" t="s">
        <v>230</v>
      </c>
      <c r="G642" t="s">
        <v>231</v>
      </c>
      <c r="H642" t="s">
        <v>870</v>
      </c>
      <c r="I642" t="s">
        <v>871</v>
      </c>
      <c r="J642" t="s">
        <v>668</v>
      </c>
      <c r="K642" s="3">
        <v>100712773055</v>
      </c>
      <c r="L642" s="10">
        <v>39901</v>
      </c>
      <c r="M642">
        <v>294.78</v>
      </c>
      <c r="N642" s="11">
        <v>42</v>
      </c>
      <c r="O642" s="12">
        <v>6.68</v>
      </c>
      <c r="P642" s="12">
        <v>6.93</v>
      </c>
      <c r="Q642" s="13">
        <v>-113.45</v>
      </c>
      <c r="R642" s="36" t="s">
        <v>1002</v>
      </c>
      <c r="S642" s="7">
        <f t="shared" si="47"/>
        <v>1</v>
      </c>
      <c r="T642" s="15" t="str">
        <f>VLOOKUP(R642,产品分类!$C$2:$D$1278,2,0)</f>
        <v>办公用品</v>
      </c>
    </row>
    <row r="643" spans="1:20">
      <c r="A643" s="8">
        <f>DATE(2012,12,31)-1080</f>
        <v>40194</v>
      </c>
      <c r="B643" s="8">
        <f>DATE(2012,12,31)-1080</f>
        <v>40194</v>
      </c>
      <c r="C643" s="9" t="s">
        <v>119</v>
      </c>
      <c r="D643">
        <v>10021254653</v>
      </c>
      <c r="E643" t="s">
        <v>47</v>
      </c>
      <c r="F643" t="s">
        <v>230</v>
      </c>
      <c r="G643" t="s">
        <v>231</v>
      </c>
      <c r="H643" t="s">
        <v>870</v>
      </c>
      <c r="I643" t="s">
        <v>871</v>
      </c>
      <c r="J643" t="s">
        <v>668</v>
      </c>
      <c r="K643" s="3">
        <v>100422551014</v>
      </c>
      <c r="L643" s="10">
        <v>40196</v>
      </c>
      <c r="M643">
        <v>126.38</v>
      </c>
      <c r="N643" s="11">
        <v>33</v>
      </c>
      <c r="O643" s="12">
        <v>4</v>
      </c>
      <c r="P643" s="12">
        <v>1.3</v>
      </c>
      <c r="Q643" s="13">
        <v>26.64</v>
      </c>
      <c r="R643" s="36" t="s">
        <v>1003</v>
      </c>
      <c r="S643" s="7">
        <f t="shared" ref="S643:S706" si="52">+L643-B643</f>
        <v>2</v>
      </c>
      <c r="T643" s="15" t="str">
        <f>VLOOKUP(R643,产品分类!$C$2:$D$1278,2,0)</f>
        <v>数码电子</v>
      </c>
    </row>
    <row r="644" spans="1:20">
      <c r="A644" s="8">
        <f>DATE(2012,12,31)-1080</f>
        <v>40194</v>
      </c>
      <c r="B644" s="8">
        <f>DATE(2012,12,31)-1080</f>
        <v>40194</v>
      </c>
      <c r="C644" s="9" t="s">
        <v>119</v>
      </c>
      <c r="D644">
        <v>10021386590</v>
      </c>
      <c r="E644" t="s">
        <v>47</v>
      </c>
      <c r="F644" t="s">
        <v>78</v>
      </c>
      <c r="G644" t="s">
        <v>79</v>
      </c>
      <c r="H644" t="s">
        <v>80</v>
      </c>
      <c r="I644" t="s">
        <v>81</v>
      </c>
      <c r="J644" t="s">
        <v>668</v>
      </c>
      <c r="K644" s="3">
        <v>100311340939</v>
      </c>
      <c r="L644" s="10">
        <v>40195</v>
      </c>
      <c r="M644">
        <v>33.1</v>
      </c>
      <c r="N644" s="11">
        <v>4</v>
      </c>
      <c r="O644" s="12">
        <v>6.48</v>
      </c>
      <c r="P644" s="12">
        <v>8.74</v>
      </c>
      <c r="Q644" s="13">
        <v>-24.15</v>
      </c>
      <c r="R644" s="36" t="s">
        <v>194</v>
      </c>
      <c r="S644" s="7">
        <f t="shared" si="52"/>
        <v>1</v>
      </c>
      <c r="T644" s="15" t="str">
        <f>VLOOKUP(R644,产品分类!$C$2:$D$1278,2,0)</f>
        <v>办公用品</v>
      </c>
    </row>
    <row r="645" spans="1:20">
      <c r="A645" s="8">
        <f>DATE(2012,12,31)-1099</f>
        <v>40175</v>
      </c>
      <c r="B645" s="8">
        <f>DATE(2012,12,31)-1099</f>
        <v>40175</v>
      </c>
      <c r="C645" s="9" t="s">
        <v>837</v>
      </c>
      <c r="D645">
        <v>10021297397</v>
      </c>
      <c r="E645" t="s">
        <v>47</v>
      </c>
      <c r="F645" t="s">
        <v>473</v>
      </c>
      <c r="G645" t="s">
        <v>474</v>
      </c>
      <c r="H645" t="s">
        <v>475</v>
      </c>
      <c r="I645" t="s">
        <v>476</v>
      </c>
      <c r="J645" t="s">
        <v>668</v>
      </c>
      <c r="K645" s="3">
        <v>100824606192</v>
      </c>
      <c r="L645" s="10">
        <v>40177</v>
      </c>
      <c r="M645">
        <v>3730.54</v>
      </c>
      <c r="N645" s="11">
        <v>32</v>
      </c>
      <c r="O645" s="12">
        <v>119.99</v>
      </c>
      <c r="P645" s="12">
        <v>16.8</v>
      </c>
      <c r="Q645" s="13">
        <v>1369.09</v>
      </c>
      <c r="R645" s="36" t="s">
        <v>1004</v>
      </c>
      <c r="S645" s="7">
        <f t="shared" si="52"/>
        <v>2</v>
      </c>
      <c r="T645" s="15" t="str">
        <f>VLOOKUP(R645,产品分类!$C$2:$D$1278,2,0)</f>
        <v>家具产品</v>
      </c>
    </row>
    <row r="646" spans="1:20">
      <c r="A646" s="8">
        <f t="shared" ref="A646:B648" si="53">DATE(2012,12,31)-110</f>
        <v>41164</v>
      </c>
      <c r="B646" s="8">
        <f t="shared" si="53"/>
        <v>41164</v>
      </c>
      <c r="C646" s="9" t="s">
        <v>861</v>
      </c>
      <c r="D646">
        <v>10021331189</v>
      </c>
      <c r="E646" t="s">
        <v>47</v>
      </c>
      <c r="F646" t="s">
        <v>91</v>
      </c>
      <c r="G646" t="s">
        <v>92</v>
      </c>
      <c r="H646" t="s">
        <v>774</v>
      </c>
      <c r="I646" t="s">
        <v>775</v>
      </c>
      <c r="J646" t="s">
        <v>668</v>
      </c>
      <c r="K646" s="3">
        <v>10041473654</v>
      </c>
      <c r="L646" s="10">
        <v>41169</v>
      </c>
      <c r="M646">
        <v>282.71</v>
      </c>
      <c r="N646" s="11">
        <v>45</v>
      </c>
      <c r="O646" s="12">
        <v>6.48</v>
      </c>
      <c r="P646" s="12">
        <v>6.74</v>
      </c>
      <c r="Q646" s="13">
        <v>-141.44</v>
      </c>
      <c r="R646" s="36" t="s">
        <v>959</v>
      </c>
      <c r="S646" s="7">
        <f t="shared" si="52"/>
        <v>5</v>
      </c>
      <c r="T646" s="15" t="str">
        <f>VLOOKUP(R646,产品分类!$C$2:$D$1278,2,0)</f>
        <v>家具产品</v>
      </c>
    </row>
    <row r="647" spans="1:20">
      <c r="A647" s="8">
        <f t="shared" si="53"/>
        <v>41164</v>
      </c>
      <c r="B647" s="8">
        <f t="shared" si="53"/>
        <v>41164</v>
      </c>
      <c r="C647" s="9" t="s">
        <v>861</v>
      </c>
      <c r="D647">
        <v>10021292633</v>
      </c>
      <c r="E647" t="s">
        <v>47</v>
      </c>
      <c r="F647" t="s">
        <v>91</v>
      </c>
      <c r="G647" t="s">
        <v>92</v>
      </c>
      <c r="H647" t="s">
        <v>774</v>
      </c>
      <c r="I647" t="s">
        <v>775</v>
      </c>
      <c r="J647" t="s">
        <v>668</v>
      </c>
      <c r="K647" s="3">
        <v>1001342308</v>
      </c>
      <c r="L647" s="10">
        <v>41171</v>
      </c>
      <c r="M647">
        <v>724.13</v>
      </c>
      <c r="N647" s="11">
        <v>48</v>
      </c>
      <c r="O647" s="12">
        <v>14.81</v>
      </c>
      <c r="P647" s="12">
        <v>13.32</v>
      </c>
      <c r="Q647" s="13">
        <v>-250.53</v>
      </c>
      <c r="R647" s="36" t="s">
        <v>676</v>
      </c>
      <c r="S647" s="7">
        <f t="shared" si="52"/>
        <v>7</v>
      </c>
      <c r="T647" s="15" t="str">
        <f>VLOOKUP(R647,产品分类!$C$2:$D$1278,2,0)</f>
        <v>办公用品</v>
      </c>
    </row>
    <row r="648" spans="1:20">
      <c r="A648" s="8">
        <f t="shared" si="53"/>
        <v>41164</v>
      </c>
      <c r="B648" s="8">
        <f t="shared" si="53"/>
        <v>41164</v>
      </c>
      <c r="C648" s="9" t="s">
        <v>861</v>
      </c>
      <c r="D648">
        <v>10021300628</v>
      </c>
      <c r="E648" t="s">
        <v>47</v>
      </c>
      <c r="F648" t="s">
        <v>91</v>
      </c>
      <c r="G648" t="s">
        <v>92</v>
      </c>
      <c r="H648" t="s">
        <v>774</v>
      </c>
      <c r="I648" t="s">
        <v>775</v>
      </c>
      <c r="J648" t="s">
        <v>668</v>
      </c>
      <c r="K648" s="3">
        <v>1009860321</v>
      </c>
      <c r="L648" s="10">
        <v>41171</v>
      </c>
      <c r="M648">
        <v>294.66</v>
      </c>
      <c r="N648" s="11">
        <v>15</v>
      </c>
      <c r="O648" s="12">
        <v>20.24</v>
      </c>
      <c r="P648" s="12">
        <v>6.67</v>
      </c>
      <c r="Q648" s="13">
        <v>86.33</v>
      </c>
      <c r="R648" s="36" t="s">
        <v>1005</v>
      </c>
      <c r="S648" s="7">
        <f t="shared" si="52"/>
        <v>7</v>
      </c>
      <c r="T648" s="15" t="str">
        <f>VLOOKUP(R648,产品分类!$C$2:$D$1278,2,0)</f>
        <v>办公用品</v>
      </c>
    </row>
    <row r="649" spans="1:20">
      <c r="A649" s="8">
        <f>DATE(2012,12,31)-397</f>
        <v>40877</v>
      </c>
      <c r="B649" s="8">
        <f>DATE(2012,12,31)-397</f>
        <v>40877</v>
      </c>
      <c r="C649" s="9" t="s">
        <v>1006</v>
      </c>
      <c r="D649">
        <v>10021388167</v>
      </c>
      <c r="E649" t="s">
        <v>47</v>
      </c>
      <c r="F649" t="s">
        <v>55</v>
      </c>
      <c r="G649" t="s">
        <v>56</v>
      </c>
      <c r="H649" t="s">
        <v>57</v>
      </c>
      <c r="I649" t="s">
        <v>58</v>
      </c>
      <c r="J649" t="s">
        <v>668</v>
      </c>
      <c r="K649" s="3">
        <v>100125638178</v>
      </c>
      <c r="L649" s="10">
        <v>40878</v>
      </c>
      <c r="M649">
        <v>1765.05</v>
      </c>
      <c r="N649" s="11">
        <v>40</v>
      </c>
      <c r="O649" s="12">
        <v>43.41</v>
      </c>
      <c r="P649" s="12">
        <v>2.99</v>
      </c>
      <c r="Q649" s="13">
        <v>749.2155</v>
      </c>
      <c r="R649" s="36" t="s">
        <v>1007</v>
      </c>
      <c r="S649" s="7">
        <f t="shared" si="52"/>
        <v>1</v>
      </c>
      <c r="T649" s="15" t="str">
        <f>VLOOKUP(R649,产品分类!$C$2:$D$1278,2,0)</f>
        <v>家具产品</v>
      </c>
    </row>
    <row r="650" spans="1:20">
      <c r="A650" s="8">
        <f>DATE(2012,12,31)-778</f>
        <v>40496</v>
      </c>
      <c r="B650" s="8">
        <f>DATE(2012,12,31)-778</f>
        <v>40496</v>
      </c>
      <c r="C650" s="9" t="s">
        <v>838</v>
      </c>
      <c r="D650">
        <v>10021293033</v>
      </c>
      <c r="E650" t="s">
        <v>47</v>
      </c>
      <c r="F650" t="s">
        <v>91</v>
      </c>
      <c r="G650" t="s">
        <v>92</v>
      </c>
      <c r="H650" t="s">
        <v>774</v>
      </c>
      <c r="I650" t="s">
        <v>775</v>
      </c>
      <c r="J650" t="s">
        <v>668</v>
      </c>
      <c r="K650" s="3">
        <v>10013973567</v>
      </c>
      <c r="L650" s="10">
        <v>40497</v>
      </c>
      <c r="M650">
        <v>7384.54</v>
      </c>
      <c r="N650" s="11">
        <v>28</v>
      </c>
      <c r="O650" s="12">
        <v>280.98</v>
      </c>
      <c r="P650" s="12">
        <v>81.98</v>
      </c>
      <c r="Q650" s="13">
        <v>-2301.5278</v>
      </c>
      <c r="R650" s="36" t="s">
        <v>395</v>
      </c>
      <c r="S650" s="7">
        <f t="shared" si="52"/>
        <v>1</v>
      </c>
      <c r="T650" s="15" t="str">
        <f>VLOOKUP(R650,产品分类!$C$2:$D$1278,2,0)</f>
        <v>数码电子</v>
      </c>
    </row>
    <row r="651" spans="1:20">
      <c r="A651" s="8">
        <f>DATE(2012,12,31)-119</f>
        <v>41155</v>
      </c>
      <c r="B651" s="8">
        <f>DATE(2012,12,31)-119</f>
        <v>41155</v>
      </c>
      <c r="C651" s="9" t="s">
        <v>423</v>
      </c>
      <c r="D651">
        <v>10021345428</v>
      </c>
      <c r="E651" t="s">
        <v>47</v>
      </c>
      <c r="F651" t="s">
        <v>55</v>
      </c>
      <c r="G651" t="s">
        <v>56</v>
      </c>
      <c r="H651" t="s">
        <v>57</v>
      </c>
      <c r="I651" t="s">
        <v>58</v>
      </c>
      <c r="J651" t="s">
        <v>668</v>
      </c>
      <c r="K651" s="3">
        <v>100130158797</v>
      </c>
      <c r="L651" s="10">
        <v>41157</v>
      </c>
      <c r="M651">
        <v>2325.42</v>
      </c>
      <c r="N651" s="11">
        <v>25</v>
      </c>
      <c r="O651" s="12">
        <v>90.48</v>
      </c>
      <c r="P651" s="12">
        <v>19.99</v>
      </c>
      <c r="Q651" s="13">
        <v>739.91</v>
      </c>
      <c r="R651" s="36" t="s">
        <v>1008</v>
      </c>
      <c r="S651" s="7">
        <f t="shared" si="52"/>
        <v>2</v>
      </c>
      <c r="T651" s="15" t="str">
        <f>VLOOKUP(R651,产品分类!$C$2:$D$1278,2,0)</f>
        <v>办公用品</v>
      </c>
    </row>
    <row r="652" spans="1:20">
      <c r="A652" s="8">
        <f>DATE(2012,12,31)-1194</f>
        <v>40080</v>
      </c>
      <c r="B652" s="8">
        <f>DATE(2012,12,31)-1194</f>
        <v>40080</v>
      </c>
      <c r="C652" s="9" t="s">
        <v>781</v>
      </c>
      <c r="D652">
        <v>10021268485</v>
      </c>
      <c r="E652" t="s">
        <v>47</v>
      </c>
      <c r="F652" t="s">
        <v>91</v>
      </c>
      <c r="G652" t="s">
        <v>92</v>
      </c>
      <c r="H652" t="s">
        <v>774</v>
      </c>
      <c r="I652" t="s">
        <v>775</v>
      </c>
      <c r="J652" t="s">
        <v>668</v>
      </c>
      <c r="K652" s="3">
        <v>100832398942</v>
      </c>
      <c r="L652" s="10">
        <v>40082</v>
      </c>
      <c r="M652">
        <v>3021.64</v>
      </c>
      <c r="N652" s="11">
        <v>44</v>
      </c>
      <c r="O652" s="12">
        <v>70.98</v>
      </c>
      <c r="P652" s="12">
        <v>30</v>
      </c>
      <c r="Q652" s="13">
        <v>-720.2</v>
      </c>
      <c r="R652" s="36" t="s">
        <v>1009</v>
      </c>
      <c r="S652" s="7">
        <f t="shared" si="52"/>
        <v>2</v>
      </c>
      <c r="T652" s="15" t="str">
        <f>VLOOKUP(R652,产品分类!$C$2:$D$1278,2,0)</f>
        <v>数码电子</v>
      </c>
    </row>
    <row r="653" spans="1:20">
      <c r="A653" s="8">
        <f>DATE(2012,12,31)-928</f>
        <v>40346</v>
      </c>
      <c r="B653" s="8">
        <f>DATE(2012,12,31)-928</f>
        <v>40346</v>
      </c>
      <c r="C653" s="9" t="s">
        <v>1010</v>
      </c>
      <c r="D653">
        <v>10021320202</v>
      </c>
      <c r="E653" t="s">
        <v>47</v>
      </c>
      <c r="F653" t="s">
        <v>122</v>
      </c>
      <c r="G653" t="s">
        <v>123</v>
      </c>
      <c r="H653" t="s">
        <v>124</v>
      </c>
      <c r="I653" t="s">
        <v>125</v>
      </c>
      <c r="J653" t="s">
        <v>668</v>
      </c>
      <c r="K653" s="3">
        <v>100417706243</v>
      </c>
      <c r="L653" s="10">
        <v>40348</v>
      </c>
      <c r="M653">
        <v>66.88</v>
      </c>
      <c r="N653" s="11">
        <v>8</v>
      </c>
      <c r="O653" s="12">
        <v>8.33</v>
      </c>
      <c r="P653" s="12">
        <v>1.99</v>
      </c>
      <c r="Q653" s="13">
        <v>-17.01</v>
      </c>
      <c r="R653" s="36" t="s">
        <v>1011</v>
      </c>
      <c r="S653" s="7">
        <f t="shared" si="52"/>
        <v>2</v>
      </c>
      <c r="T653" s="15" t="str">
        <f>VLOOKUP(R653,产品分类!$C$2:$D$1278,2,0)</f>
        <v>家具产品</v>
      </c>
    </row>
    <row r="654" spans="1:20">
      <c r="A654" s="16">
        <f>DATE(2012,12,31)-928</f>
        <v>40346</v>
      </c>
      <c r="B654" s="16">
        <f>DATE(2012,12,31)-928</f>
        <v>40346</v>
      </c>
      <c r="C654" s="9" t="s">
        <v>1010</v>
      </c>
      <c r="D654">
        <v>10021262993</v>
      </c>
      <c r="E654" t="s">
        <v>47</v>
      </c>
      <c r="F654" t="s">
        <v>132</v>
      </c>
      <c r="G654" t="s">
        <v>133</v>
      </c>
      <c r="H654" t="s">
        <v>134</v>
      </c>
      <c r="I654" t="s">
        <v>133</v>
      </c>
      <c r="J654" t="s">
        <v>668</v>
      </c>
      <c r="K654" s="3">
        <v>100930447481</v>
      </c>
      <c r="L654" s="10">
        <v>40350</v>
      </c>
      <c r="M654">
        <v>447.34</v>
      </c>
      <c r="N654" s="17">
        <v>29</v>
      </c>
      <c r="O654" s="5">
        <v>15.67</v>
      </c>
      <c r="P654" s="5">
        <v>1.39</v>
      </c>
      <c r="Q654" s="6">
        <v>203.01</v>
      </c>
      <c r="R654" s="37" t="s">
        <v>1012</v>
      </c>
      <c r="S654" s="7">
        <f t="shared" si="52"/>
        <v>4</v>
      </c>
      <c r="T654" s="15" t="str">
        <f>VLOOKUP(R654,产品分类!$C$2:$D$1278,2,0)</f>
        <v>家具产品</v>
      </c>
    </row>
    <row r="655" spans="1:20">
      <c r="A655" s="8">
        <f>DATE(2012,12,31)-1087</f>
        <v>40187</v>
      </c>
      <c r="B655" s="8">
        <f>DATE(2012,12,31)-1087</f>
        <v>40187</v>
      </c>
      <c r="C655" s="9" t="s">
        <v>893</v>
      </c>
      <c r="D655">
        <v>10021347280</v>
      </c>
      <c r="E655" t="s">
        <v>47</v>
      </c>
      <c r="F655" t="s">
        <v>102</v>
      </c>
      <c r="G655" t="s">
        <v>103</v>
      </c>
      <c r="H655" t="s">
        <v>104</v>
      </c>
      <c r="I655" t="s">
        <v>105</v>
      </c>
      <c r="J655" t="s">
        <v>668</v>
      </c>
      <c r="K655" s="3">
        <v>100330992809</v>
      </c>
      <c r="L655" s="10">
        <v>40187</v>
      </c>
      <c r="M655">
        <v>16172.44</v>
      </c>
      <c r="N655" s="11">
        <v>32</v>
      </c>
      <c r="O655" s="12">
        <v>500.98</v>
      </c>
      <c r="P655" s="12">
        <v>28.14</v>
      </c>
      <c r="Q655" s="13">
        <v>7176.12</v>
      </c>
      <c r="R655" s="36" t="s">
        <v>248</v>
      </c>
      <c r="S655" s="7">
        <f t="shared" si="52"/>
        <v>0</v>
      </c>
      <c r="T655" s="15" t="str">
        <f>VLOOKUP(R655,产品分类!$C$2:$D$1278,2,0)</f>
        <v>家具产品</v>
      </c>
    </row>
    <row r="656" spans="1:20">
      <c r="A656" s="8">
        <f>DATE(2012,12,31)-834</f>
        <v>40440</v>
      </c>
      <c r="B656" s="8">
        <f>DATE(2012,12,31)-834</f>
        <v>40440</v>
      </c>
      <c r="C656" s="9" t="s">
        <v>467</v>
      </c>
      <c r="D656">
        <v>10021248921</v>
      </c>
      <c r="E656" t="s">
        <v>47</v>
      </c>
      <c r="F656" t="s">
        <v>603</v>
      </c>
      <c r="G656" t="s">
        <v>604</v>
      </c>
      <c r="H656" t="s">
        <v>605</v>
      </c>
      <c r="I656" t="s">
        <v>606</v>
      </c>
      <c r="J656" t="s">
        <v>668</v>
      </c>
      <c r="K656" s="3">
        <v>10014918116</v>
      </c>
      <c r="L656" s="10">
        <v>40442</v>
      </c>
      <c r="M656">
        <v>89.55</v>
      </c>
      <c r="N656" s="11">
        <v>9</v>
      </c>
      <c r="O656" s="12">
        <v>4.48</v>
      </c>
      <c r="P656" s="12">
        <v>49</v>
      </c>
      <c r="Q656" s="13">
        <v>-375.64</v>
      </c>
      <c r="R656" s="36" t="s">
        <v>337</v>
      </c>
      <c r="S656" s="7">
        <f t="shared" si="52"/>
        <v>2</v>
      </c>
      <c r="T656" s="15" t="str">
        <f>VLOOKUP(R656,产品分类!$C$2:$D$1278,2,0)</f>
        <v>数码电子</v>
      </c>
    </row>
    <row r="657" spans="1:20">
      <c r="A657" s="8">
        <f>DATE(2012,12,31)-674</f>
        <v>40600</v>
      </c>
      <c r="B657" s="8">
        <f>DATE(2012,12,31)-674</f>
        <v>40600</v>
      </c>
      <c r="C657" s="9" t="s">
        <v>497</v>
      </c>
      <c r="D657">
        <v>10021298662</v>
      </c>
      <c r="E657" t="s">
        <v>47</v>
      </c>
      <c r="F657" t="s">
        <v>208</v>
      </c>
      <c r="G657" t="s">
        <v>209</v>
      </c>
      <c r="H657" t="s">
        <v>210</v>
      </c>
      <c r="I657" t="s">
        <v>211</v>
      </c>
      <c r="J657" t="s">
        <v>668</v>
      </c>
      <c r="K657" s="3">
        <v>100312359479</v>
      </c>
      <c r="L657" s="10">
        <v>40601</v>
      </c>
      <c r="M657">
        <v>65.61</v>
      </c>
      <c r="N657" s="11">
        <v>9</v>
      </c>
      <c r="O657" s="12">
        <v>7.28</v>
      </c>
      <c r="P657" s="12">
        <v>3.52</v>
      </c>
      <c r="Q657" s="13">
        <v>-39.74</v>
      </c>
      <c r="R657" s="36" t="s">
        <v>1013</v>
      </c>
      <c r="S657" s="7">
        <f t="shared" si="52"/>
        <v>1</v>
      </c>
      <c r="T657" s="15" t="str">
        <f>VLOOKUP(R657,产品分类!$C$2:$D$1278,2,0)</f>
        <v>办公用品</v>
      </c>
    </row>
    <row r="658" spans="1:20">
      <c r="A658" s="8">
        <f>DATE(2012,12,31)-674</f>
        <v>40600</v>
      </c>
      <c r="B658" s="8">
        <f>DATE(2012,12,31)-674</f>
        <v>40600</v>
      </c>
      <c r="C658" s="9" t="s">
        <v>497</v>
      </c>
      <c r="D658">
        <v>10021341183</v>
      </c>
      <c r="E658" t="s">
        <v>47</v>
      </c>
      <c r="F658" t="s">
        <v>527</v>
      </c>
      <c r="G658" t="s">
        <v>528</v>
      </c>
      <c r="H658" t="s">
        <v>529</v>
      </c>
      <c r="I658" t="s">
        <v>530</v>
      </c>
      <c r="J658" t="s">
        <v>668</v>
      </c>
      <c r="K658" s="3">
        <v>100426825223</v>
      </c>
      <c r="L658" s="10">
        <v>40600</v>
      </c>
      <c r="M658">
        <v>309.62</v>
      </c>
      <c r="N658" s="11">
        <v>21</v>
      </c>
      <c r="O658" s="12">
        <v>14.03</v>
      </c>
      <c r="P658" s="12">
        <v>9.37</v>
      </c>
      <c r="Q658" s="13">
        <v>-80.2</v>
      </c>
      <c r="R658" s="36" t="s">
        <v>1014</v>
      </c>
      <c r="S658" s="7">
        <f t="shared" si="52"/>
        <v>0</v>
      </c>
      <c r="T658" s="15" t="str">
        <f>VLOOKUP(R658,产品分类!$C$2:$D$1278,2,0)</f>
        <v>数码电子</v>
      </c>
    </row>
    <row r="659" spans="1:20">
      <c r="A659" s="8">
        <f t="shared" ref="A659:B661" si="54">DATE(2012,12,31)-1199</f>
        <v>40075</v>
      </c>
      <c r="B659" s="8">
        <f t="shared" si="54"/>
        <v>40075</v>
      </c>
      <c r="C659" s="9" t="s">
        <v>1015</v>
      </c>
      <c r="D659">
        <v>10021261665</v>
      </c>
      <c r="E659" t="s">
        <v>47</v>
      </c>
      <c r="F659" t="s">
        <v>171</v>
      </c>
      <c r="G659" t="s">
        <v>172</v>
      </c>
      <c r="H659" t="s">
        <v>933</v>
      </c>
      <c r="I659" t="s">
        <v>934</v>
      </c>
      <c r="J659" t="s">
        <v>668</v>
      </c>
      <c r="K659" s="3">
        <v>100129598296</v>
      </c>
      <c r="L659" s="10">
        <v>40075</v>
      </c>
      <c r="M659">
        <v>920</v>
      </c>
      <c r="N659" s="11">
        <v>30</v>
      </c>
      <c r="O659" s="12">
        <v>30.73</v>
      </c>
      <c r="P659" s="12">
        <v>4</v>
      </c>
      <c r="Q659" s="13">
        <v>-45.07</v>
      </c>
      <c r="R659" s="36" t="s">
        <v>1016</v>
      </c>
      <c r="S659" s="7">
        <f t="shared" si="52"/>
        <v>0</v>
      </c>
      <c r="T659" s="15" t="str">
        <f>VLOOKUP(R659,产品分类!$C$2:$D$1278,2,0)</f>
        <v>办公用品</v>
      </c>
    </row>
    <row r="660" spans="1:20">
      <c r="A660" s="8">
        <f t="shared" si="54"/>
        <v>40075</v>
      </c>
      <c r="B660" s="8">
        <f t="shared" si="54"/>
        <v>40075</v>
      </c>
      <c r="C660" s="9" t="s">
        <v>1015</v>
      </c>
      <c r="D660">
        <v>10021295530</v>
      </c>
      <c r="E660" t="s">
        <v>47</v>
      </c>
      <c r="F660" t="s">
        <v>527</v>
      </c>
      <c r="G660" t="s">
        <v>528</v>
      </c>
      <c r="H660" t="s">
        <v>529</v>
      </c>
      <c r="I660" t="s">
        <v>530</v>
      </c>
      <c r="J660" t="s">
        <v>668</v>
      </c>
      <c r="K660" s="3">
        <v>100817483872</v>
      </c>
      <c r="L660" s="10">
        <v>40077</v>
      </c>
      <c r="M660">
        <v>104.2</v>
      </c>
      <c r="N660" s="11">
        <v>7</v>
      </c>
      <c r="O660" s="12">
        <v>14.56</v>
      </c>
      <c r="P660" s="12">
        <v>3.5</v>
      </c>
      <c r="Q660" s="13">
        <v>-8.53</v>
      </c>
      <c r="R660" s="36" t="s">
        <v>1017</v>
      </c>
      <c r="S660" s="7">
        <f t="shared" si="52"/>
        <v>2</v>
      </c>
      <c r="T660" s="15" t="str">
        <f>VLOOKUP(R660,产品分类!$C$2:$D$1278,2,0)</f>
        <v>家具产品</v>
      </c>
    </row>
    <row r="661" spans="1:20">
      <c r="A661" s="8">
        <f t="shared" si="54"/>
        <v>40075</v>
      </c>
      <c r="B661" s="8">
        <f t="shared" si="54"/>
        <v>40075</v>
      </c>
      <c r="C661" s="9" t="s">
        <v>1015</v>
      </c>
      <c r="D661">
        <v>10021334435</v>
      </c>
      <c r="E661" t="s">
        <v>47</v>
      </c>
      <c r="F661" t="s">
        <v>171</v>
      </c>
      <c r="G661" t="s">
        <v>172</v>
      </c>
      <c r="H661" t="s">
        <v>933</v>
      </c>
      <c r="I661" t="s">
        <v>934</v>
      </c>
      <c r="J661" t="s">
        <v>668</v>
      </c>
      <c r="K661" s="3">
        <v>100111299666</v>
      </c>
      <c r="L661" s="10">
        <v>40077</v>
      </c>
      <c r="M661">
        <v>3563.88</v>
      </c>
      <c r="N661" s="11">
        <v>11</v>
      </c>
      <c r="O661" s="12">
        <v>299.99</v>
      </c>
      <c r="P661" s="12">
        <v>11.64</v>
      </c>
      <c r="Q661" s="13">
        <v>285.95</v>
      </c>
      <c r="R661" s="36" t="s">
        <v>1018</v>
      </c>
      <c r="S661" s="7">
        <f t="shared" si="52"/>
        <v>2</v>
      </c>
      <c r="T661" s="15" t="str">
        <f>VLOOKUP(R661,产品分类!$C$2:$D$1278,2,0)</f>
        <v>办公用品</v>
      </c>
    </row>
    <row r="662" spans="1:20">
      <c r="A662" s="8">
        <f t="shared" ref="A662:B665" si="55">DATE(2012,12,31)-1328</f>
        <v>39946</v>
      </c>
      <c r="B662" s="8">
        <f t="shared" si="55"/>
        <v>39946</v>
      </c>
      <c r="C662" s="9" t="s">
        <v>1019</v>
      </c>
      <c r="D662">
        <v>10021347350</v>
      </c>
      <c r="E662" t="s">
        <v>47</v>
      </c>
      <c r="F662" t="s">
        <v>171</v>
      </c>
      <c r="G662" t="s">
        <v>172</v>
      </c>
      <c r="H662" t="s">
        <v>933</v>
      </c>
      <c r="I662" t="s">
        <v>934</v>
      </c>
      <c r="J662" t="s">
        <v>668</v>
      </c>
      <c r="K662" s="3">
        <v>100830998812</v>
      </c>
      <c r="L662" s="10">
        <v>39947</v>
      </c>
      <c r="M662">
        <v>1590.163</v>
      </c>
      <c r="N662" s="11">
        <v>33</v>
      </c>
      <c r="O662" s="12">
        <v>55.99</v>
      </c>
      <c r="P662" s="12">
        <v>5</v>
      </c>
      <c r="Q662" s="13">
        <v>-57.541</v>
      </c>
      <c r="R662" s="36" t="s">
        <v>1020</v>
      </c>
      <c r="S662" s="7">
        <f t="shared" si="52"/>
        <v>1</v>
      </c>
      <c r="T662" s="15" t="str">
        <f>VLOOKUP(R662,产品分类!$C$2:$D$1278,2,0)</f>
        <v>办公用品</v>
      </c>
    </row>
    <row r="663" spans="1:20">
      <c r="A663" s="8">
        <f t="shared" si="55"/>
        <v>39946</v>
      </c>
      <c r="B663" s="8">
        <f t="shared" si="55"/>
        <v>39946</v>
      </c>
      <c r="C663" s="9" t="s">
        <v>1019</v>
      </c>
      <c r="D663">
        <v>10021352632</v>
      </c>
      <c r="E663" t="s">
        <v>47</v>
      </c>
      <c r="F663" t="s">
        <v>177</v>
      </c>
      <c r="G663" t="s">
        <v>178</v>
      </c>
      <c r="H663" t="s">
        <v>795</v>
      </c>
      <c r="I663" t="s">
        <v>796</v>
      </c>
      <c r="J663" t="s">
        <v>668</v>
      </c>
      <c r="K663" s="3">
        <v>100432533923</v>
      </c>
      <c r="L663" s="10">
        <v>39947</v>
      </c>
      <c r="M663">
        <v>482.93</v>
      </c>
      <c r="N663" s="11">
        <v>34</v>
      </c>
      <c r="O663" s="12">
        <v>13.9</v>
      </c>
      <c r="P663" s="12">
        <v>7.59</v>
      </c>
      <c r="Q663" s="13">
        <v>-67.59</v>
      </c>
      <c r="R663" s="36" t="s">
        <v>1021</v>
      </c>
      <c r="S663" s="7">
        <f t="shared" si="52"/>
        <v>1</v>
      </c>
      <c r="T663" s="15" t="str">
        <f>VLOOKUP(R663,产品分类!$C$2:$D$1278,2,0)</f>
        <v>办公用品</v>
      </c>
    </row>
    <row r="664" spans="1:20">
      <c r="A664" s="16">
        <f t="shared" si="55"/>
        <v>39946</v>
      </c>
      <c r="B664" s="16">
        <f t="shared" si="55"/>
        <v>39946</v>
      </c>
      <c r="C664" s="9" t="s">
        <v>1019</v>
      </c>
      <c r="D664">
        <v>10021266269</v>
      </c>
      <c r="E664" t="s">
        <v>47</v>
      </c>
      <c r="F664" t="s">
        <v>183</v>
      </c>
      <c r="G664" t="s">
        <v>184</v>
      </c>
      <c r="H664" t="s">
        <v>185</v>
      </c>
      <c r="I664" t="s">
        <v>186</v>
      </c>
      <c r="J664" t="s">
        <v>668</v>
      </c>
      <c r="K664" s="3">
        <v>100331765369</v>
      </c>
      <c r="L664" s="10">
        <v>39947</v>
      </c>
      <c r="M664">
        <v>1203.73</v>
      </c>
      <c r="N664" s="17">
        <v>7</v>
      </c>
      <c r="O664" s="5">
        <v>162.93</v>
      </c>
      <c r="P664" s="5">
        <v>19.99</v>
      </c>
      <c r="Q664" s="6">
        <v>293.14</v>
      </c>
      <c r="R664" s="37" t="s">
        <v>778</v>
      </c>
      <c r="S664" s="7">
        <f t="shared" si="52"/>
        <v>1</v>
      </c>
      <c r="T664" s="15" t="str">
        <f>VLOOKUP(R664,产品分类!$C$2:$D$1278,2,0)</f>
        <v>办公用品</v>
      </c>
    </row>
    <row r="665" spans="1:20">
      <c r="A665" s="16">
        <f t="shared" si="55"/>
        <v>39946</v>
      </c>
      <c r="B665" s="16">
        <f t="shared" si="55"/>
        <v>39946</v>
      </c>
      <c r="C665" s="9" t="s">
        <v>1019</v>
      </c>
      <c r="D665">
        <v>10021269402</v>
      </c>
      <c r="E665" t="s">
        <v>47</v>
      </c>
      <c r="F665" t="s">
        <v>342</v>
      </c>
      <c r="G665" t="s">
        <v>343</v>
      </c>
      <c r="H665" t="s">
        <v>344</v>
      </c>
      <c r="I665" t="s">
        <v>345</v>
      </c>
      <c r="J665" t="s">
        <v>52</v>
      </c>
      <c r="K665" s="3">
        <v>100132443626</v>
      </c>
      <c r="L665" s="10">
        <v>39948</v>
      </c>
      <c r="M665">
        <v>75.19</v>
      </c>
      <c r="N665" s="17">
        <v>6</v>
      </c>
      <c r="O665" s="5">
        <v>11.58</v>
      </c>
      <c r="P665" s="5">
        <v>5.72</v>
      </c>
      <c r="Q665" s="6">
        <v>-6.61</v>
      </c>
      <c r="R665" s="37" t="s">
        <v>1022</v>
      </c>
      <c r="S665" s="7">
        <f t="shared" si="52"/>
        <v>2</v>
      </c>
      <c r="T665" s="15" t="str">
        <f>VLOOKUP(R665,产品分类!$C$2:$D$1278,2,0)</f>
        <v>办公用品</v>
      </c>
    </row>
    <row r="666" spans="1:20">
      <c r="A666" s="8">
        <f>DATE(2012,12,31)-421</f>
        <v>40853</v>
      </c>
      <c r="B666" s="8">
        <f>DATE(2012,12,31)-421</f>
        <v>40853</v>
      </c>
      <c r="C666" s="9" t="s">
        <v>913</v>
      </c>
      <c r="D666">
        <v>10021293239</v>
      </c>
      <c r="E666" t="s">
        <v>47</v>
      </c>
      <c r="F666" t="s">
        <v>61</v>
      </c>
      <c r="G666" t="s">
        <v>62</v>
      </c>
      <c r="H666" t="s">
        <v>454</v>
      </c>
      <c r="I666" t="s">
        <v>455</v>
      </c>
      <c r="J666" t="s">
        <v>52</v>
      </c>
      <c r="K666" s="3">
        <v>10075534715</v>
      </c>
      <c r="L666" s="10">
        <v>40854</v>
      </c>
      <c r="M666">
        <v>152.44</v>
      </c>
      <c r="N666" s="11">
        <v>20</v>
      </c>
      <c r="O666" s="12">
        <v>7.7</v>
      </c>
      <c r="P666" s="12">
        <v>3.68</v>
      </c>
      <c r="Q666" s="13">
        <v>-16.64</v>
      </c>
      <c r="R666" s="36" t="s">
        <v>1023</v>
      </c>
      <c r="S666" s="7">
        <f t="shared" si="52"/>
        <v>1</v>
      </c>
      <c r="T666" s="15" t="str">
        <f>VLOOKUP(R666,产品分类!$C$2:$D$1278,2,0)</f>
        <v>家具产品</v>
      </c>
    </row>
    <row r="667" spans="1:20">
      <c r="A667" s="8">
        <f>DATE(2012,12,31)-1353</f>
        <v>39921</v>
      </c>
      <c r="B667" s="8">
        <f>DATE(2012,12,31)-1353</f>
        <v>39921</v>
      </c>
      <c r="C667" s="9" t="s">
        <v>1024</v>
      </c>
      <c r="D667">
        <v>10021338040</v>
      </c>
      <c r="E667" t="s">
        <v>47</v>
      </c>
      <c r="F667" t="s">
        <v>61</v>
      </c>
      <c r="G667" t="s">
        <v>62</v>
      </c>
      <c r="H667" t="s">
        <v>454</v>
      </c>
      <c r="I667" t="s">
        <v>455</v>
      </c>
      <c r="J667" t="s">
        <v>52</v>
      </c>
      <c r="K667" s="3">
        <v>100313725309</v>
      </c>
      <c r="L667" s="10">
        <v>39922</v>
      </c>
      <c r="M667">
        <v>3041.33</v>
      </c>
      <c r="N667" s="11">
        <v>23</v>
      </c>
      <c r="O667" s="12">
        <v>130.98</v>
      </c>
      <c r="P667" s="12">
        <v>30</v>
      </c>
      <c r="Q667" s="13">
        <v>-260.41</v>
      </c>
      <c r="R667" s="36" t="s">
        <v>1025</v>
      </c>
      <c r="S667" s="7">
        <f t="shared" si="52"/>
        <v>1</v>
      </c>
      <c r="T667" s="15" t="str">
        <f>VLOOKUP(R667,产品分类!$C$2:$D$1278,2,0)</f>
        <v>办公用品</v>
      </c>
    </row>
    <row r="668" spans="1:20">
      <c r="A668" s="8">
        <f>DATE(2012,12,31)-768</f>
        <v>40506</v>
      </c>
      <c r="B668" s="8">
        <f>DATE(2012,12,31)-768</f>
        <v>40506</v>
      </c>
      <c r="C668" s="9" t="s">
        <v>525</v>
      </c>
      <c r="D668">
        <v>10021267965</v>
      </c>
      <c r="E668" t="s">
        <v>47</v>
      </c>
      <c r="F668" t="s">
        <v>61</v>
      </c>
      <c r="G668" t="s">
        <v>62</v>
      </c>
      <c r="H668" t="s">
        <v>454</v>
      </c>
      <c r="I668" t="s">
        <v>455</v>
      </c>
      <c r="J668" t="s">
        <v>52</v>
      </c>
      <c r="K668" s="3">
        <v>100432124404</v>
      </c>
      <c r="L668" s="10">
        <v>40508</v>
      </c>
      <c r="M668">
        <v>17.89</v>
      </c>
      <c r="N668" s="11">
        <v>4</v>
      </c>
      <c r="O668" s="12">
        <v>3.98</v>
      </c>
      <c r="P668" s="12">
        <v>0.7</v>
      </c>
      <c r="Q668" s="13">
        <v>-1.15</v>
      </c>
      <c r="R668" s="36" t="s">
        <v>1026</v>
      </c>
      <c r="S668" s="7">
        <f t="shared" si="52"/>
        <v>2</v>
      </c>
      <c r="T668" s="15" t="str">
        <f>VLOOKUP(R668,产品分类!$C$2:$D$1278,2,0)</f>
        <v>数码电子</v>
      </c>
    </row>
    <row r="669" spans="1:20">
      <c r="A669" s="8">
        <f t="shared" ref="A669:B672" si="56">DATE(2012,12,31)-488</f>
        <v>40786</v>
      </c>
      <c r="B669" s="8">
        <f t="shared" si="56"/>
        <v>40786</v>
      </c>
      <c r="C669" s="9" t="s">
        <v>543</v>
      </c>
      <c r="D669">
        <v>10021293394</v>
      </c>
      <c r="E669" t="s">
        <v>47</v>
      </c>
      <c r="F669" t="s">
        <v>61</v>
      </c>
      <c r="G669" t="s">
        <v>62</v>
      </c>
      <c r="H669" t="s">
        <v>454</v>
      </c>
      <c r="I669" t="s">
        <v>455</v>
      </c>
      <c r="J669" t="s">
        <v>52</v>
      </c>
      <c r="K669" s="3">
        <v>10049220403</v>
      </c>
      <c r="L669" s="10">
        <v>40787</v>
      </c>
      <c r="M669">
        <v>1210.0515</v>
      </c>
      <c r="N669" s="11">
        <v>11</v>
      </c>
      <c r="O669" s="12">
        <v>125.99</v>
      </c>
      <c r="P669" s="12">
        <v>7.69</v>
      </c>
      <c r="Q669" s="13">
        <v>-104.247</v>
      </c>
      <c r="R669" s="36" t="s">
        <v>903</v>
      </c>
      <c r="S669" s="7">
        <f t="shared" si="52"/>
        <v>1</v>
      </c>
      <c r="T669" s="15" t="str">
        <f>VLOOKUP(R669,产品分类!$C$2:$D$1278,2,0)</f>
        <v>家具产品</v>
      </c>
    </row>
    <row r="670" spans="1:20">
      <c r="A670" s="8">
        <f t="shared" si="56"/>
        <v>40786</v>
      </c>
      <c r="B670" s="8">
        <f t="shared" si="56"/>
        <v>40786</v>
      </c>
      <c r="C670" s="9" t="s">
        <v>543</v>
      </c>
      <c r="D670">
        <v>10021333766</v>
      </c>
      <c r="E670" t="s">
        <v>47</v>
      </c>
      <c r="F670" t="s">
        <v>61</v>
      </c>
      <c r="G670" t="s">
        <v>62</v>
      </c>
      <c r="H670" t="s">
        <v>454</v>
      </c>
      <c r="I670" t="s">
        <v>455</v>
      </c>
      <c r="J670" t="s">
        <v>52</v>
      </c>
      <c r="K670" s="3">
        <v>100914175201</v>
      </c>
      <c r="L670" s="10">
        <v>40788</v>
      </c>
      <c r="M670">
        <v>187.83</v>
      </c>
      <c r="N670" s="11">
        <v>50</v>
      </c>
      <c r="O670" s="12">
        <v>3.75</v>
      </c>
      <c r="P670" s="12">
        <v>0.5</v>
      </c>
      <c r="Q670" s="13">
        <v>85.96</v>
      </c>
      <c r="R670" s="36" t="s">
        <v>1027</v>
      </c>
      <c r="S670" s="7">
        <f t="shared" si="52"/>
        <v>2</v>
      </c>
      <c r="T670" s="15" t="str">
        <f>VLOOKUP(R670,产品分类!$C$2:$D$1278,2,0)</f>
        <v>数码电子</v>
      </c>
    </row>
    <row r="671" spans="1:20">
      <c r="A671" s="8">
        <f t="shared" si="56"/>
        <v>40786</v>
      </c>
      <c r="B671" s="8">
        <f t="shared" si="56"/>
        <v>40786</v>
      </c>
      <c r="C671" s="9" t="s">
        <v>543</v>
      </c>
      <c r="D671">
        <v>10021339254</v>
      </c>
      <c r="E671" t="s">
        <v>47</v>
      </c>
      <c r="F671" t="s">
        <v>61</v>
      </c>
      <c r="G671" t="s">
        <v>62</v>
      </c>
      <c r="H671" t="s">
        <v>454</v>
      </c>
      <c r="I671" t="s">
        <v>455</v>
      </c>
      <c r="J671" t="s">
        <v>52</v>
      </c>
      <c r="K671" s="3">
        <v>100924999971</v>
      </c>
      <c r="L671" s="10">
        <v>40788</v>
      </c>
      <c r="M671">
        <v>49.59</v>
      </c>
      <c r="N671" s="11">
        <v>3</v>
      </c>
      <c r="O671" s="12">
        <v>12.28</v>
      </c>
      <c r="P671" s="12">
        <v>6.47</v>
      </c>
      <c r="Q671" s="13">
        <v>-8.38</v>
      </c>
      <c r="R671" s="36" t="s">
        <v>874</v>
      </c>
      <c r="S671" s="7">
        <f t="shared" si="52"/>
        <v>2</v>
      </c>
      <c r="T671" s="15" t="str">
        <f>VLOOKUP(R671,产品分类!$C$2:$D$1278,2,0)</f>
        <v>办公用品</v>
      </c>
    </row>
    <row r="672" spans="1:20">
      <c r="A672" s="8">
        <f t="shared" si="56"/>
        <v>40786</v>
      </c>
      <c r="B672" s="8">
        <f t="shared" si="56"/>
        <v>40786</v>
      </c>
      <c r="C672" s="9" t="s">
        <v>543</v>
      </c>
      <c r="D672">
        <v>10021321858</v>
      </c>
      <c r="E672" t="s">
        <v>47</v>
      </c>
      <c r="F672" t="s">
        <v>183</v>
      </c>
      <c r="G672" t="s">
        <v>184</v>
      </c>
      <c r="H672" t="s">
        <v>185</v>
      </c>
      <c r="I672" t="s">
        <v>186</v>
      </c>
      <c r="J672" t="s">
        <v>52</v>
      </c>
      <c r="K672" s="3">
        <v>100432833074</v>
      </c>
      <c r="L672" s="10">
        <v>40787</v>
      </c>
      <c r="M672">
        <v>4253.009</v>
      </c>
      <c r="N672" s="11">
        <v>30</v>
      </c>
      <c r="O672" s="12">
        <v>155.99</v>
      </c>
      <c r="P672" s="12">
        <v>8.99</v>
      </c>
      <c r="Q672" s="13">
        <v>1115.694</v>
      </c>
      <c r="R672" s="36" t="s">
        <v>469</v>
      </c>
      <c r="S672" s="7">
        <f t="shared" si="52"/>
        <v>1</v>
      </c>
      <c r="T672" s="15" t="str">
        <f>VLOOKUP(R672,产品分类!$C$2:$D$1278,2,0)</f>
        <v>办公用品</v>
      </c>
    </row>
    <row r="673" spans="1:20">
      <c r="A673" s="8">
        <f>DATE(2012,12,31)-285</f>
        <v>40989</v>
      </c>
      <c r="B673" s="8">
        <f>DATE(2012,12,31)-285</f>
        <v>40989</v>
      </c>
      <c r="C673" s="9" t="s">
        <v>1028</v>
      </c>
      <c r="D673">
        <v>10021317377</v>
      </c>
      <c r="E673" t="s">
        <v>47</v>
      </c>
      <c r="F673" t="s">
        <v>61</v>
      </c>
      <c r="G673" t="s">
        <v>62</v>
      </c>
      <c r="H673" t="s">
        <v>454</v>
      </c>
      <c r="I673" t="s">
        <v>455</v>
      </c>
      <c r="J673" t="s">
        <v>52</v>
      </c>
      <c r="K673" s="3">
        <v>100132827288</v>
      </c>
      <c r="L673" s="10">
        <v>40991</v>
      </c>
      <c r="M673">
        <v>123.85</v>
      </c>
      <c r="N673" s="11">
        <v>16</v>
      </c>
      <c r="O673" s="12">
        <v>7.98</v>
      </c>
      <c r="P673" s="12">
        <v>6.5</v>
      </c>
      <c r="Q673" s="13">
        <v>-71.44</v>
      </c>
      <c r="R673" s="36" t="s">
        <v>1029</v>
      </c>
      <c r="S673" s="7">
        <f t="shared" si="52"/>
        <v>2</v>
      </c>
      <c r="T673" s="15" t="str">
        <f>VLOOKUP(R673,产品分类!$C$2:$D$1278,2,0)</f>
        <v>家具产品</v>
      </c>
    </row>
    <row r="674" spans="1:20">
      <c r="A674" s="8">
        <f>DATE(2012,12,31)-3</f>
        <v>41271</v>
      </c>
      <c r="B674" s="8">
        <f>DATE(2012,12,31)-3</f>
        <v>41271</v>
      </c>
      <c r="C674" s="9" t="s">
        <v>811</v>
      </c>
      <c r="D674">
        <v>10021309652</v>
      </c>
      <c r="E674" t="s">
        <v>47</v>
      </c>
      <c r="F674" t="s">
        <v>97</v>
      </c>
      <c r="G674" t="s">
        <v>98</v>
      </c>
      <c r="H674" t="s">
        <v>99</v>
      </c>
      <c r="I674" t="s">
        <v>98</v>
      </c>
      <c r="J674" t="s">
        <v>52</v>
      </c>
      <c r="K674" s="3">
        <v>100832810222</v>
      </c>
      <c r="L674" s="10">
        <v>41273</v>
      </c>
      <c r="M674">
        <v>2116.7</v>
      </c>
      <c r="N674" s="11">
        <v>30</v>
      </c>
      <c r="O674" s="12">
        <v>67.28</v>
      </c>
      <c r="P674" s="12">
        <v>19.99</v>
      </c>
      <c r="Q674" s="13">
        <v>488.818</v>
      </c>
      <c r="R674" s="36" t="s">
        <v>862</v>
      </c>
      <c r="S674" s="7">
        <f t="shared" si="52"/>
        <v>2</v>
      </c>
      <c r="T674" s="15" t="str">
        <f>VLOOKUP(R674,产品分类!$C$2:$D$1278,2,0)</f>
        <v>办公用品</v>
      </c>
    </row>
    <row r="675" spans="1:20">
      <c r="A675" s="8">
        <f>DATE(2012,12,31)-1188</f>
        <v>40086</v>
      </c>
      <c r="B675" s="8">
        <f>DATE(2012,12,31)-1188</f>
        <v>40086</v>
      </c>
      <c r="C675" s="9" t="s">
        <v>222</v>
      </c>
      <c r="D675">
        <v>10021279292</v>
      </c>
      <c r="E675" t="s">
        <v>47</v>
      </c>
      <c r="F675" t="s">
        <v>66</v>
      </c>
      <c r="G675" t="s">
        <v>67</v>
      </c>
      <c r="H675" t="s">
        <v>68</v>
      </c>
      <c r="I675" t="s">
        <v>69</v>
      </c>
      <c r="J675" t="s">
        <v>52</v>
      </c>
      <c r="K675" s="3">
        <v>100932781451</v>
      </c>
      <c r="L675" s="10">
        <v>40088</v>
      </c>
      <c r="M675">
        <v>180.38</v>
      </c>
      <c r="N675" s="11">
        <v>29</v>
      </c>
      <c r="O675" s="12">
        <v>6.48</v>
      </c>
      <c r="P675" s="12">
        <v>7.49</v>
      </c>
      <c r="Q675" s="13">
        <v>-119.32</v>
      </c>
      <c r="R675" s="36" t="s">
        <v>1030</v>
      </c>
      <c r="S675" s="7">
        <f t="shared" si="52"/>
        <v>2</v>
      </c>
      <c r="T675" s="15" t="str">
        <f>VLOOKUP(R675,产品分类!$C$2:$D$1278,2,0)</f>
        <v>办公用品</v>
      </c>
    </row>
    <row r="676" spans="1:20">
      <c r="A676" s="8">
        <f>DATE(2012,12,31)-1027</f>
        <v>40247</v>
      </c>
      <c r="B676" s="8">
        <f>DATE(2012,12,31)-1027</f>
        <v>40247</v>
      </c>
      <c r="C676" s="9" t="s">
        <v>121</v>
      </c>
      <c r="D676">
        <v>10021317968</v>
      </c>
      <c r="E676" t="s">
        <v>47</v>
      </c>
      <c r="F676" t="s">
        <v>61</v>
      </c>
      <c r="G676" t="s">
        <v>62</v>
      </c>
      <c r="H676" t="s">
        <v>454</v>
      </c>
      <c r="I676" t="s">
        <v>455</v>
      </c>
      <c r="J676" t="s">
        <v>52</v>
      </c>
      <c r="K676" s="3">
        <v>100132829006</v>
      </c>
      <c r="L676" s="10">
        <v>40248</v>
      </c>
      <c r="M676">
        <v>314.21</v>
      </c>
      <c r="N676" s="11">
        <v>49</v>
      </c>
      <c r="O676" s="12">
        <v>5.88</v>
      </c>
      <c r="P676" s="12">
        <v>3.04</v>
      </c>
      <c r="Q676" s="13">
        <v>49.77</v>
      </c>
      <c r="R676" s="36" t="s">
        <v>1031</v>
      </c>
      <c r="S676" s="7">
        <f t="shared" si="52"/>
        <v>1</v>
      </c>
      <c r="T676" s="15" t="str">
        <f>VLOOKUP(R676,产品分类!$C$2:$D$1278,2,0)</f>
        <v>办公用品</v>
      </c>
    </row>
    <row r="677" spans="1:20">
      <c r="A677" s="8">
        <f>DATE(2012,12,31)-268</f>
        <v>41006</v>
      </c>
      <c r="B677" s="8">
        <f>DATE(2012,12,31)-268</f>
        <v>41006</v>
      </c>
      <c r="C677" s="9" t="s">
        <v>366</v>
      </c>
      <c r="D677">
        <v>10021362906</v>
      </c>
      <c r="E677" t="s">
        <v>47</v>
      </c>
      <c r="F677" t="s">
        <v>102</v>
      </c>
      <c r="G677" t="s">
        <v>103</v>
      </c>
      <c r="H677" t="s">
        <v>104</v>
      </c>
      <c r="I677" t="s">
        <v>105</v>
      </c>
      <c r="J677" t="s">
        <v>52</v>
      </c>
      <c r="K677" s="3">
        <v>100832888182</v>
      </c>
      <c r="L677" s="10">
        <v>41007</v>
      </c>
      <c r="M677">
        <v>10.39</v>
      </c>
      <c r="N677" s="11">
        <v>2</v>
      </c>
      <c r="O677" s="12">
        <v>4.71</v>
      </c>
      <c r="P677" s="12">
        <v>0.7</v>
      </c>
      <c r="Q677" s="13">
        <v>-7.97</v>
      </c>
      <c r="R677" s="36" t="s">
        <v>487</v>
      </c>
      <c r="S677" s="7">
        <f t="shared" si="52"/>
        <v>1</v>
      </c>
      <c r="T677" s="15" t="str">
        <f>VLOOKUP(R677,产品分类!$C$2:$D$1278,2,0)</f>
        <v>家具产品</v>
      </c>
    </row>
    <row r="678" spans="1:20">
      <c r="A678" s="16">
        <f>DATE(2012,12,31)-1045</f>
        <v>40229</v>
      </c>
      <c r="B678" s="16">
        <f>DATE(2012,12,31)-1045</f>
        <v>40229</v>
      </c>
      <c r="C678" s="9" t="s">
        <v>899</v>
      </c>
      <c r="D678">
        <v>10021278764</v>
      </c>
      <c r="E678" t="s">
        <v>47</v>
      </c>
      <c r="F678" t="s">
        <v>61</v>
      </c>
      <c r="G678" t="s">
        <v>62</v>
      </c>
      <c r="H678" t="s">
        <v>454</v>
      </c>
      <c r="I678" t="s">
        <v>455</v>
      </c>
      <c r="J678" t="s">
        <v>52</v>
      </c>
      <c r="K678" s="3">
        <v>100132779606</v>
      </c>
      <c r="L678" s="10">
        <v>40233</v>
      </c>
      <c r="M678">
        <v>48.57</v>
      </c>
      <c r="N678" s="17">
        <v>16</v>
      </c>
      <c r="O678" s="5">
        <v>2.94</v>
      </c>
      <c r="P678" s="5">
        <v>0.7</v>
      </c>
      <c r="Q678" s="6">
        <v>4.21</v>
      </c>
      <c r="R678" s="37" t="s">
        <v>1032</v>
      </c>
      <c r="S678" s="7">
        <f t="shared" si="52"/>
        <v>4</v>
      </c>
      <c r="T678" s="15" t="str">
        <f>VLOOKUP(R678,产品分类!$C$2:$D$1278,2,0)</f>
        <v>办公用品</v>
      </c>
    </row>
    <row r="679" spans="1:20">
      <c r="A679" s="8">
        <f>DATE(2012,12,31)-178</f>
        <v>41096</v>
      </c>
      <c r="B679" s="8">
        <f>DATE(2012,12,31)-178</f>
        <v>41096</v>
      </c>
      <c r="C679" s="9" t="s">
        <v>377</v>
      </c>
      <c r="D679">
        <v>10021290431</v>
      </c>
      <c r="E679" t="s">
        <v>47</v>
      </c>
      <c r="F679" t="s">
        <v>97</v>
      </c>
      <c r="G679" t="s">
        <v>98</v>
      </c>
      <c r="H679" t="s">
        <v>99</v>
      </c>
      <c r="I679" t="s">
        <v>98</v>
      </c>
      <c r="J679" t="s">
        <v>52</v>
      </c>
      <c r="K679" s="3">
        <v>100330525519</v>
      </c>
      <c r="L679" s="10">
        <v>41097</v>
      </c>
      <c r="M679">
        <v>342.97</v>
      </c>
      <c r="N679" s="11">
        <v>40</v>
      </c>
      <c r="O679" s="12">
        <v>8.75</v>
      </c>
      <c r="P679" s="12">
        <v>8.54</v>
      </c>
      <c r="Q679" s="13">
        <v>-131.63</v>
      </c>
      <c r="R679" s="36" t="s">
        <v>1033</v>
      </c>
      <c r="S679" s="7">
        <f t="shared" si="52"/>
        <v>1</v>
      </c>
      <c r="T679" s="15" t="str">
        <f>VLOOKUP(R679,产品分类!$C$2:$D$1278,2,0)</f>
        <v>办公用品</v>
      </c>
    </row>
    <row r="680" spans="1:20">
      <c r="A680" s="8">
        <f>DATE(2012,12,31)-1007</f>
        <v>40267</v>
      </c>
      <c r="B680" s="8">
        <f>DATE(2012,12,31)-1007</f>
        <v>40267</v>
      </c>
      <c r="C680" s="9" t="s">
        <v>837</v>
      </c>
      <c r="D680">
        <v>10021277101</v>
      </c>
      <c r="E680" t="s">
        <v>47</v>
      </c>
      <c r="F680" t="s">
        <v>208</v>
      </c>
      <c r="G680" t="s">
        <v>209</v>
      </c>
      <c r="H680" t="s">
        <v>210</v>
      </c>
      <c r="I680" t="s">
        <v>211</v>
      </c>
      <c r="J680" t="s">
        <v>52</v>
      </c>
      <c r="K680" s="3">
        <v>100932416581</v>
      </c>
      <c r="L680" s="10">
        <v>40271</v>
      </c>
      <c r="M680">
        <v>352.55</v>
      </c>
      <c r="N680" s="11">
        <v>29</v>
      </c>
      <c r="O680" s="12">
        <v>12.97</v>
      </c>
      <c r="P680" s="12">
        <v>1.49</v>
      </c>
      <c r="Q680" s="13">
        <v>128.9875</v>
      </c>
      <c r="R680" s="36" t="s">
        <v>917</v>
      </c>
      <c r="S680" s="7">
        <f t="shared" si="52"/>
        <v>4</v>
      </c>
      <c r="T680" s="15" t="str">
        <f>VLOOKUP(R680,产品分类!$C$2:$D$1278,2,0)</f>
        <v>家具产品</v>
      </c>
    </row>
    <row r="681" spans="1:20">
      <c r="A681" s="8">
        <f>DATE(2012,12,31)-1007</f>
        <v>40267</v>
      </c>
      <c r="B681" s="8">
        <f>DATE(2012,12,31)-1007</f>
        <v>40267</v>
      </c>
      <c r="C681" s="9" t="s">
        <v>837</v>
      </c>
      <c r="D681">
        <v>10021260212</v>
      </c>
      <c r="E681" t="s">
        <v>47</v>
      </c>
      <c r="F681" t="s">
        <v>66</v>
      </c>
      <c r="G681" t="s">
        <v>67</v>
      </c>
      <c r="H681" t="s">
        <v>68</v>
      </c>
      <c r="I681" t="s">
        <v>69</v>
      </c>
      <c r="J681" t="s">
        <v>52</v>
      </c>
      <c r="K681" s="3">
        <v>100726900175</v>
      </c>
      <c r="L681" s="10">
        <v>40274</v>
      </c>
      <c r="M681">
        <v>719.64</v>
      </c>
      <c r="N681" s="11">
        <v>32</v>
      </c>
      <c r="O681" s="12">
        <v>20.89</v>
      </c>
      <c r="P681" s="12">
        <v>11.52</v>
      </c>
      <c r="Q681" s="13">
        <v>-245.62</v>
      </c>
      <c r="R681" s="36" t="s">
        <v>844</v>
      </c>
      <c r="S681" s="7">
        <f t="shared" si="52"/>
        <v>7</v>
      </c>
      <c r="T681" s="15" t="str">
        <f>VLOOKUP(R681,产品分类!$C$2:$D$1278,2,0)</f>
        <v>办公用品</v>
      </c>
    </row>
    <row r="682" spans="1:20">
      <c r="A682" s="8">
        <f>DATE(2012,12,31)-628</f>
        <v>40646</v>
      </c>
      <c r="B682" s="8">
        <f>DATE(2012,12,31)-628</f>
        <v>40646</v>
      </c>
      <c r="C682" s="9" t="s">
        <v>1034</v>
      </c>
      <c r="D682">
        <v>10021292479</v>
      </c>
      <c r="E682" t="s">
        <v>47</v>
      </c>
      <c r="F682" t="s">
        <v>72</v>
      </c>
      <c r="G682" t="s">
        <v>73</v>
      </c>
      <c r="H682" t="s">
        <v>1035</v>
      </c>
      <c r="I682" t="s">
        <v>1036</v>
      </c>
      <c r="J682" t="s">
        <v>52</v>
      </c>
      <c r="K682" s="3">
        <v>100414703924</v>
      </c>
      <c r="L682" s="10">
        <v>40647</v>
      </c>
      <c r="M682">
        <v>117.4</v>
      </c>
      <c r="N682" s="11">
        <v>41</v>
      </c>
      <c r="O682" s="12">
        <v>2.88</v>
      </c>
      <c r="P682" s="12">
        <v>0.5</v>
      </c>
      <c r="Q682" s="13">
        <v>48.63</v>
      </c>
      <c r="R682" s="36" t="s">
        <v>967</v>
      </c>
      <c r="S682" s="7">
        <f t="shared" si="52"/>
        <v>1</v>
      </c>
      <c r="T682" s="15" t="str">
        <f>VLOOKUP(R682,产品分类!$C$2:$D$1278,2,0)</f>
        <v>数码电子</v>
      </c>
    </row>
    <row r="683" spans="1:20">
      <c r="A683" s="8">
        <f>DATE(2012,12,31)-18</f>
        <v>41256</v>
      </c>
      <c r="B683" s="8">
        <f>DATE(2012,12,31)-18</f>
        <v>41256</v>
      </c>
      <c r="C683" s="9" t="s">
        <v>785</v>
      </c>
      <c r="D683">
        <v>10021377780</v>
      </c>
      <c r="E683" t="s">
        <v>47</v>
      </c>
      <c r="F683" t="s">
        <v>122</v>
      </c>
      <c r="G683" t="s">
        <v>123</v>
      </c>
      <c r="H683" t="s">
        <v>124</v>
      </c>
      <c r="I683" t="s">
        <v>125</v>
      </c>
      <c r="J683" t="s">
        <v>52</v>
      </c>
      <c r="K683" s="3">
        <v>100932205251</v>
      </c>
      <c r="L683" s="10">
        <v>41258</v>
      </c>
      <c r="M683">
        <v>135.928</v>
      </c>
      <c r="N683" s="11">
        <v>4</v>
      </c>
      <c r="O683" s="12">
        <v>31.76</v>
      </c>
      <c r="P683" s="12">
        <v>45.51</v>
      </c>
      <c r="Q683" s="13">
        <v>-126.47</v>
      </c>
      <c r="R683" s="36" t="s">
        <v>576</v>
      </c>
      <c r="S683" s="7">
        <f t="shared" si="52"/>
        <v>2</v>
      </c>
      <c r="T683" s="15" t="str">
        <f>VLOOKUP(R683,产品分类!$C$2:$D$1278,2,0)</f>
        <v>办公用品</v>
      </c>
    </row>
    <row r="684" spans="1:20">
      <c r="A684" s="8">
        <f>DATE(2012,12,31)-1205</f>
        <v>40069</v>
      </c>
      <c r="B684" s="8">
        <f>DATE(2012,12,31)-1205</f>
        <v>40069</v>
      </c>
      <c r="C684" s="9" t="s">
        <v>826</v>
      </c>
      <c r="D684">
        <v>10021377736</v>
      </c>
      <c r="E684" t="s">
        <v>47</v>
      </c>
      <c r="F684" t="s">
        <v>83</v>
      </c>
      <c r="G684" t="s">
        <v>84</v>
      </c>
      <c r="H684" t="s">
        <v>1037</v>
      </c>
      <c r="I684" t="s">
        <v>1038</v>
      </c>
      <c r="J684" t="s">
        <v>52</v>
      </c>
      <c r="K684" s="3">
        <v>100320747479</v>
      </c>
      <c r="L684" s="10">
        <v>40070</v>
      </c>
      <c r="M684">
        <v>1560.617</v>
      </c>
      <c r="N684" s="11">
        <v>28</v>
      </c>
      <c r="O684" s="12">
        <v>65.99</v>
      </c>
      <c r="P684" s="12">
        <v>8.99</v>
      </c>
      <c r="Q684" s="13">
        <v>214.29</v>
      </c>
      <c r="R684" s="36" t="s">
        <v>148</v>
      </c>
      <c r="S684" s="7">
        <f t="shared" si="52"/>
        <v>1</v>
      </c>
      <c r="T684" s="15" t="str">
        <f>VLOOKUP(R684,产品分类!$C$2:$D$1278,2,0)</f>
        <v>数码电子</v>
      </c>
    </row>
    <row r="685" spans="1:20">
      <c r="A685" s="8">
        <f>DATE(2012,12,31)-375</f>
        <v>40899</v>
      </c>
      <c r="B685" s="8">
        <f>DATE(2012,12,31)-375</f>
        <v>40899</v>
      </c>
      <c r="C685" s="9" t="s">
        <v>193</v>
      </c>
      <c r="D685">
        <v>10021322564</v>
      </c>
      <c r="E685" t="s">
        <v>47</v>
      </c>
      <c r="F685" t="s">
        <v>342</v>
      </c>
      <c r="G685" t="s">
        <v>343</v>
      </c>
      <c r="H685" t="s">
        <v>344</v>
      </c>
      <c r="I685" t="s">
        <v>345</v>
      </c>
      <c r="J685" t="s">
        <v>52</v>
      </c>
      <c r="K685" s="3">
        <v>10011640027</v>
      </c>
      <c r="L685" s="10">
        <v>40901</v>
      </c>
      <c r="M685">
        <v>6746.312</v>
      </c>
      <c r="N685" s="11">
        <v>48</v>
      </c>
      <c r="O685" s="12">
        <v>179.29</v>
      </c>
      <c r="P685" s="12">
        <v>29.21</v>
      </c>
      <c r="Q685" s="13">
        <v>-433.290143</v>
      </c>
      <c r="R685" s="36" t="s">
        <v>629</v>
      </c>
      <c r="S685" s="7">
        <f t="shared" si="52"/>
        <v>2</v>
      </c>
      <c r="T685" s="15" t="str">
        <f>VLOOKUP(R685,产品分类!$C$2:$D$1278,2,0)</f>
        <v>办公用品</v>
      </c>
    </row>
    <row r="686" spans="1:20">
      <c r="A686" s="8">
        <f>DATE(2012,12,31)-375</f>
        <v>40899</v>
      </c>
      <c r="B686" s="8">
        <f>DATE(2012,12,31)-375</f>
        <v>40899</v>
      </c>
      <c r="C686" s="9" t="s">
        <v>193</v>
      </c>
      <c r="D686">
        <v>10021315699</v>
      </c>
      <c r="E686" t="s">
        <v>47</v>
      </c>
      <c r="F686" t="s">
        <v>253</v>
      </c>
      <c r="G686" t="s">
        <v>254</v>
      </c>
      <c r="H686" t="s">
        <v>255</v>
      </c>
      <c r="I686" t="s">
        <v>256</v>
      </c>
      <c r="J686" t="s">
        <v>52</v>
      </c>
      <c r="K686" s="3">
        <v>10087220612</v>
      </c>
      <c r="L686" s="10">
        <v>40900</v>
      </c>
      <c r="M686">
        <v>311.38</v>
      </c>
      <c r="N686" s="11">
        <v>26</v>
      </c>
      <c r="O686" s="12">
        <v>11.58</v>
      </c>
      <c r="P686" s="12">
        <v>5.72</v>
      </c>
      <c r="Q686" s="13">
        <v>34.12</v>
      </c>
      <c r="R686" s="36" t="s">
        <v>1022</v>
      </c>
      <c r="S686" s="7">
        <f t="shared" si="52"/>
        <v>1</v>
      </c>
      <c r="T686" s="15" t="str">
        <f>VLOOKUP(R686,产品分类!$C$2:$D$1278,2,0)</f>
        <v>办公用品</v>
      </c>
    </row>
    <row r="687" spans="1:20">
      <c r="A687" s="8">
        <f>DATE(2012,12,31)-987</f>
        <v>40287</v>
      </c>
      <c r="B687" s="8">
        <f>DATE(2012,12,31)-987</f>
        <v>40287</v>
      </c>
      <c r="C687" s="9" t="s">
        <v>1039</v>
      </c>
      <c r="D687">
        <v>10021372813</v>
      </c>
      <c r="E687" t="s">
        <v>47</v>
      </c>
      <c r="F687" t="s">
        <v>61</v>
      </c>
      <c r="G687" t="s">
        <v>62</v>
      </c>
      <c r="H687" t="s">
        <v>454</v>
      </c>
      <c r="I687" t="s">
        <v>455</v>
      </c>
      <c r="J687" t="s">
        <v>52</v>
      </c>
      <c r="K687" s="3">
        <v>100331488079</v>
      </c>
      <c r="L687" s="10">
        <v>40288</v>
      </c>
      <c r="M687">
        <v>126.87</v>
      </c>
      <c r="N687" s="11">
        <v>4</v>
      </c>
      <c r="O687" s="12">
        <v>32.98</v>
      </c>
      <c r="P687" s="12">
        <v>5.5</v>
      </c>
      <c r="Q687" s="13">
        <v>-125.99</v>
      </c>
      <c r="R687" s="36" t="s">
        <v>1040</v>
      </c>
      <c r="S687" s="7">
        <f t="shared" si="52"/>
        <v>1</v>
      </c>
      <c r="T687" s="15" t="str">
        <f>VLOOKUP(R687,产品分类!$C$2:$D$1278,2,0)</f>
        <v>数码电子</v>
      </c>
    </row>
    <row r="688" spans="1:20">
      <c r="A688" s="8">
        <f t="shared" ref="A688:B690" si="57">DATE(2012,12,31)-361</f>
        <v>40913</v>
      </c>
      <c r="B688" s="8">
        <f t="shared" si="57"/>
        <v>40913</v>
      </c>
      <c r="C688" s="9" t="s">
        <v>1041</v>
      </c>
      <c r="D688">
        <v>10021376968</v>
      </c>
      <c r="E688" t="s">
        <v>47</v>
      </c>
      <c r="F688" t="s">
        <v>78</v>
      </c>
      <c r="G688" t="s">
        <v>79</v>
      </c>
      <c r="H688" t="s">
        <v>80</v>
      </c>
      <c r="I688" t="s">
        <v>81</v>
      </c>
      <c r="J688" t="s">
        <v>52</v>
      </c>
      <c r="K688" s="3">
        <v>100130925236</v>
      </c>
      <c r="L688" s="10">
        <v>40920</v>
      </c>
      <c r="M688">
        <v>41.94</v>
      </c>
      <c r="N688" s="11">
        <v>4</v>
      </c>
      <c r="O688" s="12">
        <v>8.04</v>
      </c>
      <c r="P688" s="12">
        <v>8.94</v>
      </c>
      <c r="Q688" s="13">
        <v>-26.174</v>
      </c>
      <c r="R688" s="36" t="s">
        <v>1042</v>
      </c>
      <c r="S688" s="7">
        <f t="shared" si="52"/>
        <v>7</v>
      </c>
      <c r="T688" s="15" t="str">
        <f>VLOOKUP(R688,产品分类!$C$2:$D$1278,2,0)</f>
        <v>家具产品</v>
      </c>
    </row>
    <row r="689" spans="1:20">
      <c r="A689" s="8">
        <f t="shared" si="57"/>
        <v>40913</v>
      </c>
      <c r="B689" s="8">
        <f t="shared" si="57"/>
        <v>40913</v>
      </c>
      <c r="C689" s="9" t="s">
        <v>1041</v>
      </c>
      <c r="D689">
        <v>10021315399</v>
      </c>
      <c r="E689" t="s">
        <v>47</v>
      </c>
      <c r="F689" t="s">
        <v>208</v>
      </c>
      <c r="G689" t="s">
        <v>209</v>
      </c>
      <c r="H689" t="s">
        <v>210</v>
      </c>
      <c r="I689" t="s">
        <v>211</v>
      </c>
      <c r="J689" t="s">
        <v>52</v>
      </c>
      <c r="K689" s="3">
        <v>100112243576</v>
      </c>
      <c r="L689" s="10">
        <v>40920</v>
      </c>
      <c r="M689">
        <v>89.25</v>
      </c>
      <c r="N689" s="11">
        <v>17</v>
      </c>
      <c r="O689" s="12">
        <v>4.91</v>
      </c>
      <c r="P689" s="12">
        <v>0.5</v>
      </c>
      <c r="Q689" s="13">
        <v>40.88</v>
      </c>
      <c r="R689" s="36" t="s">
        <v>427</v>
      </c>
      <c r="S689" s="7">
        <f t="shared" si="52"/>
        <v>7</v>
      </c>
      <c r="T689" s="15" t="str">
        <f>VLOOKUP(R689,产品分类!$C$2:$D$1278,2,0)</f>
        <v>数码电子</v>
      </c>
    </row>
    <row r="690" spans="1:20">
      <c r="A690" s="8">
        <f t="shared" si="57"/>
        <v>40913</v>
      </c>
      <c r="B690" s="8">
        <f t="shared" si="57"/>
        <v>40913</v>
      </c>
      <c r="C690" s="9" t="s">
        <v>1041</v>
      </c>
      <c r="D690">
        <v>10021401999</v>
      </c>
      <c r="E690" t="s">
        <v>47</v>
      </c>
      <c r="F690" t="s">
        <v>61</v>
      </c>
      <c r="G690" t="s">
        <v>62</v>
      </c>
      <c r="H690" t="s">
        <v>454</v>
      </c>
      <c r="I690" t="s">
        <v>455</v>
      </c>
      <c r="J690" t="s">
        <v>52</v>
      </c>
      <c r="K690" s="3">
        <v>100928553341</v>
      </c>
      <c r="L690" s="10">
        <v>40918</v>
      </c>
      <c r="M690">
        <v>79.81</v>
      </c>
      <c r="N690" s="11">
        <v>7</v>
      </c>
      <c r="O690" s="12">
        <v>11.55</v>
      </c>
      <c r="P690" s="12">
        <v>2.36</v>
      </c>
      <c r="Q690" s="13">
        <v>-4.28</v>
      </c>
      <c r="R690" s="36" t="s">
        <v>1043</v>
      </c>
      <c r="S690" s="7">
        <f t="shared" si="52"/>
        <v>5</v>
      </c>
      <c r="T690" s="15" t="str">
        <f>VLOOKUP(R690,产品分类!$C$2:$D$1278,2,0)</f>
        <v>家具产品</v>
      </c>
    </row>
    <row r="691" spans="1:20">
      <c r="A691" s="8">
        <f>DATE(2012,12,31)-339</f>
        <v>40935</v>
      </c>
      <c r="B691" s="8">
        <f>DATE(2012,12,31)-339</f>
        <v>40935</v>
      </c>
      <c r="C691" s="9" t="s">
        <v>575</v>
      </c>
      <c r="D691">
        <v>10021286976</v>
      </c>
      <c r="E691" t="s">
        <v>47</v>
      </c>
      <c r="F691" t="s">
        <v>97</v>
      </c>
      <c r="G691" t="s">
        <v>98</v>
      </c>
      <c r="H691" t="s">
        <v>99</v>
      </c>
      <c r="I691" t="s">
        <v>98</v>
      </c>
      <c r="J691" t="s">
        <v>52</v>
      </c>
      <c r="K691" s="3">
        <v>100331230399</v>
      </c>
      <c r="L691" s="10">
        <v>40936</v>
      </c>
      <c r="M691">
        <v>463.83</v>
      </c>
      <c r="N691" s="11">
        <v>13</v>
      </c>
      <c r="O691" s="12">
        <v>33.98</v>
      </c>
      <c r="P691" s="12">
        <v>1.99</v>
      </c>
      <c r="Q691" s="13">
        <v>103.26</v>
      </c>
      <c r="R691" s="36" t="s">
        <v>1044</v>
      </c>
      <c r="S691" s="7">
        <f t="shared" si="52"/>
        <v>1</v>
      </c>
      <c r="T691" s="15" t="str">
        <f>VLOOKUP(R691,产品分类!$C$2:$D$1278,2,0)</f>
        <v>办公用品</v>
      </c>
    </row>
    <row r="692" spans="1:20">
      <c r="A692" s="8">
        <f>DATE(2012,12,31)-251</f>
        <v>41023</v>
      </c>
      <c r="B692" s="8">
        <f>DATE(2012,12,31)-251</f>
        <v>41023</v>
      </c>
      <c r="C692" s="9" t="s">
        <v>250</v>
      </c>
      <c r="D692">
        <v>10021249552</v>
      </c>
      <c r="E692" t="s">
        <v>47</v>
      </c>
      <c r="F692" t="s">
        <v>66</v>
      </c>
      <c r="G692" t="s">
        <v>67</v>
      </c>
      <c r="H692" t="s">
        <v>68</v>
      </c>
      <c r="I692" t="s">
        <v>69</v>
      </c>
      <c r="J692" t="s">
        <v>52</v>
      </c>
      <c r="K692" s="3">
        <v>10019795686</v>
      </c>
      <c r="L692" s="10">
        <v>41026</v>
      </c>
      <c r="M692">
        <v>55.38</v>
      </c>
      <c r="N692" s="11">
        <v>7</v>
      </c>
      <c r="O692" s="12">
        <v>6.48</v>
      </c>
      <c r="P692" s="12">
        <v>7.37</v>
      </c>
      <c r="Q692" s="13">
        <v>-25.95</v>
      </c>
      <c r="R692" s="36" t="s">
        <v>1045</v>
      </c>
      <c r="S692" s="7">
        <f t="shared" si="52"/>
        <v>3</v>
      </c>
      <c r="T692" s="15" t="str">
        <f>VLOOKUP(R692,产品分类!$C$2:$D$1278,2,0)</f>
        <v>数码电子</v>
      </c>
    </row>
    <row r="693" spans="1:20">
      <c r="A693" s="8">
        <f>DATE(2012,12,31)-1164</f>
        <v>40110</v>
      </c>
      <c r="B693" s="8">
        <f>DATE(2012,12,31)-1164</f>
        <v>40110</v>
      </c>
      <c r="C693" s="9" t="s">
        <v>358</v>
      </c>
      <c r="D693">
        <v>10021300393</v>
      </c>
      <c r="E693" t="s">
        <v>47</v>
      </c>
      <c r="F693" t="s">
        <v>152</v>
      </c>
      <c r="G693" t="s">
        <v>153</v>
      </c>
      <c r="H693" t="s">
        <v>154</v>
      </c>
      <c r="I693" t="s">
        <v>155</v>
      </c>
      <c r="J693" t="s">
        <v>52</v>
      </c>
      <c r="K693" s="3">
        <v>100329382259</v>
      </c>
      <c r="L693" s="10">
        <v>40110</v>
      </c>
      <c r="M693">
        <v>9.4</v>
      </c>
      <c r="N693" s="11">
        <v>3</v>
      </c>
      <c r="O693" s="12">
        <v>2.52</v>
      </c>
      <c r="P693" s="12">
        <v>1.92</v>
      </c>
      <c r="Q693" s="13">
        <v>-7.6</v>
      </c>
      <c r="R693" s="36" t="s">
        <v>1046</v>
      </c>
      <c r="S693" s="7">
        <f t="shared" si="52"/>
        <v>0</v>
      </c>
      <c r="T693" s="15" t="str">
        <f>VLOOKUP(R693,产品分类!$C$2:$D$1278,2,0)</f>
        <v>家具产品</v>
      </c>
    </row>
    <row r="694" spans="1:20">
      <c r="A694" s="16">
        <f>DATE(2012,12,31)-1332</f>
        <v>39942</v>
      </c>
      <c r="B694" s="16">
        <f>DATE(2012,12,31)-1332</f>
        <v>39942</v>
      </c>
      <c r="C694" s="9" t="s">
        <v>675</v>
      </c>
      <c r="D694">
        <v>10021263471</v>
      </c>
      <c r="E694" t="s">
        <v>47</v>
      </c>
      <c r="F694" t="s">
        <v>66</v>
      </c>
      <c r="G694" t="s">
        <v>67</v>
      </c>
      <c r="H694" t="s">
        <v>68</v>
      </c>
      <c r="I694" t="s">
        <v>69</v>
      </c>
      <c r="J694" t="s">
        <v>52</v>
      </c>
      <c r="K694" s="3">
        <v>100830519552</v>
      </c>
      <c r="L694" s="10">
        <v>39942</v>
      </c>
      <c r="M694">
        <v>159.43</v>
      </c>
      <c r="N694" s="17">
        <v>24</v>
      </c>
      <c r="O694" s="5">
        <v>6.48</v>
      </c>
      <c r="P694" s="5">
        <v>8.73</v>
      </c>
      <c r="Q694" s="6">
        <v>-120.59</v>
      </c>
      <c r="R694" s="37" t="s">
        <v>924</v>
      </c>
      <c r="S694" s="7">
        <f t="shared" si="52"/>
        <v>0</v>
      </c>
      <c r="T694" s="15" t="str">
        <f>VLOOKUP(R694,产品分类!$C$2:$D$1278,2,0)</f>
        <v>数码电子</v>
      </c>
    </row>
    <row r="695" spans="1:20">
      <c r="A695" s="8">
        <f>DATE(2012,12,31)-51</f>
        <v>41223</v>
      </c>
      <c r="B695" s="8">
        <f>DATE(2012,12,31)-51</f>
        <v>41223</v>
      </c>
      <c r="C695" s="9" t="s">
        <v>1047</v>
      </c>
      <c r="D695">
        <v>10021386894</v>
      </c>
      <c r="E695" t="s">
        <v>47</v>
      </c>
      <c r="F695" t="s">
        <v>66</v>
      </c>
      <c r="G695" t="s">
        <v>67</v>
      </c>
      <c r="H695" t="s">
        <v>68</v>
      </c>
      <c r="I695" t="s">
        <v>69</v>
      </c>
      <c r="J695" t="s">
        <v>52</v>
      </c>
      <c r="K695" s="3">
        <v>100413805184</v>
      </c>
      <c r="L695" s="10">
        <v>41227</v>
      </c>
      <c r="M695">
        <v>4901.99</v>
      </c>
      <c r="N695" s="11">
        <v>16</v>
      </c>
      <c r="O695" s="12">
        <v>315.98</v>
      </c>
      <c r="P695" s="12">
        <v>19.99</v>
      </c>
      <c r="Q695" s="13">
        <v>1724.6755</v>
      </c>
      <c r="R695" s="36" t="s">
        <v>539</v>
      </c>
      <c r="S695" s="7">
        <f t="shared" si="52"/>
        <v>4</v>
      </c>
      <c r="T695" s="15" t="str">
        <f>VLOOKUP(R695,产品分类!$C$2:$D$1278,2,0)</f>
        <v>家具产品</v>
      </c>
    </row>
    <row r="696" spans="1:20">
      <c r="A696" s="8">
        <f>DATE(2012,12,31)-1244</f>
        <v>40030</v>
      </c>
      <c r="B696" s="8">
        <f>DATE(2012,12,31)-1244</f>
        <v>40030</v>
      </c>
      <c r="C696" s="9" t="s">
        <v>380</v>
      </c>
      <c r="D696">
        <v>10021396842</v>
      </c>
      <c r="E696" t="s">
        <v>47</v>
      </c>
      <c r="F696" t="s">
        <v>152</v>
      </c>
      <c r="G696" t="s">
        <v>153</v>
      </c>
      <c r="H696" t="s">
        <v>154</v>
      </c>
      <c r="I696" t="s">
        <v>155</v>
      </c>
      <c r="J696" t="s">
        <v>52</v>
      </c>
      <c r="K696" s="3">
        <v>100925402611</v>
      </c>
      <c r="L696" s="10">
        <v>40031</v>
      </c>
      <c r="M696">
        <v>17248.09</v>
      </c>
      <c r="N696" s="11">
        <v>44</v>
      </c>
      <c r="O696" s="12">
        <v>400.98</v>
      </c>
      <c r="P696" s="12">
        <v>42.52</v>
      </c>
      <c r="Q696" s="13">
        <v>2048.63</v>
      </c>
      <c r="R696" s="36" t="s">
        <v>1048</v>
      </c>
      <c r="S696" s="7">
        <f t="shared" si="52"/>
        <v>1</v>
      </c>
      <c r="T696" s="15" t="str">
        <f>VLOOKUP(R696,产品分类!$C$2:$D$1278,2,0)</f>
        <v>办公用品</v>
      </c>
    </row>
    <row r="697" spans="1:20">
      <c r="A697" s="8">
        <f>DATE(2012,12,31)-569</f>
        <v>40705</v>
      </c>
      <c r="B697" s="8">
        <f>DATE(2012,12,31)-569</f>
        <v>40705</v>
      </c>
      <c r="C697" s="9" t="s">
        <v>1049</v>
      </c>
      <c r="D697">
        <v>10021366527</v>
      </c>
      <c r="E697" t="s">
        <v>47</v>
      </c>
      <c r="F697" t="s">
        <v>72</v>
      </c>
      <c r="G697" t="s">
        <v>73</v>
      </c>
      <c r="H697" t="s">
        <v>1035</v>
      </c>
      <c r="I697" t="s">
        <v>1036</v>
      </c>
      <c r="J697" t="s">
        <v>52</v>
      </c>
      <c r="K697" s="3">
        <v>100424907404</v>
      </c>
      <c r="L697" s="10">
        <v>40707</v>
      </c>
      <c r="M697">
        <v>775.74</v>
      </c>
      <c r="N697" s="11">
        <v>8</v>
      </c>
      <c r="O697" s="12">
        <v>89.99</v>
      </c>
      <c r="P697" s="12">
        <v>42</v>
      </c>
      <c r="Q697" s="13">
        <v>-215.39</v>
      </c>
      <c r="R697" s="36" t="s">
        <v>891</v>
      </c>
      <c r="S697" s="7">
        <f t="shared" si="52"/>
        <v>2</v>
      </c>
      <c r="T697" s="15" t="str">
        <f>VLOOKUP(R697,产品分类!$C$2:$D$1278,2,0)</f>
        <v>家具产品</v>
      </c>
    </row>
    <row r="698" spans="1:20">
      <c r="A698" s="16">
        <f>DATE(2012,12,31)-569</f>
        <v>40705</v>
      </c>
      <c r="B698" s="16">
        <f>DATE(2012,12,31)-569</f>
        <v>40705</v>
      </c>
      <c r="C698" s="9" t="s">
        <v>1049</v>
      </c>
      <c r="D698">
        <v>10021260758</v>
      </c>
      <c r="E698" t="s">
        <v>47</v>
      </c>
      <c r="F698" t="s">
        <v>72</v>
      </c>
      <c r="G698" t="s">
        <v>73</v>
      </c>
      <c r="H698" t="s">
        <v>1035</v>
      </c>
      <c r="I698" t="s">
        <v>1036</v>
      </c>
      <c r="J698" t="s">
        <v>52</v>
      </c>
      <c r="K698" s="3">
        <v>100129034066</v>
      </c>
      <c r="L698" s="10">
        <v>40708</v>
      </c>
      <c r="M698">
        <v>238.34</v>
      </c>
      <c r="N698" s="17">
        <v>26</v>
      </c>
      <c r="O698" s="5">
        <v>9.31</v>
      </c>
      <c r="P698" s="5">
        <v>3.98</v>
      </c>
      <c r="Q698" s="6">
        <v>-19.31</v>
      </c>
      <c r="R698" s="37" t="s">
        <v>314</v>
      </c>
      <c r="S698" s="7">
        <f t="shared" si="52"/>
        <v>3</v>
      </c>
      <c r="T698" s="15" t="str">
        <f>VLOOKUP(R698,产品分类!$C$2:$D$1278,2,0)</f>
        <v>家具产品</v>
      </c>
    </row>
    <row r="699" spans="1:20">
      <c r="A699" s="8">
        <f t="shared" ref="A699:B701" si="58">DATE(2012,12,31)-132</f>
        <v>41142</v>
      </c>
      <c r="B699" s="8">
        <f t="shared" si="58"/>
        <v>41142</v>
      </c>
      <c r="C699" s="9" t="s">
        <v>1050</v>
      </c>
      <c r="D699">
        <v>10021280087</v>
      </c>
      <c r="E699" t="s">
        <v>47</v>
      </c>
      <c r="F699" t="s">
        <v>72</v>
      </c>
      <c r="G699" t="s">
        <v>73</v>
      </c>
      <c r="H699" t="s">
        <v>1035</v>
      </c>
      <c r="I699" t="s">
        <v>1036</v>
      </c>
      <c r="J699" t="s">
        <v>52</v>
      </c>
      <c r="K699" s="3">
        <v>100110513037</v>
      </c>
      <c r="L699" s="10">
        <v>41142</v>
      </c>
      <c r="M699">
        <v>831.52</v>
      </c>
      <c r="N699" s="11">
        <v>25</v>
      </c>
      <c r="O699" s="12">
        <v>35.41</v>
      </c>
      <c r="P699" s="12">
        <v>1.99</v>
      </c>
      <c r="Q699" s="13">
        <v>259.47</v>
      </c>
      <c r="R699" s="36" t="s">
        <v>1051</v>
      </c>
      <c r="S699" s="7">
        <f t="shared" si="52"/>
        <v>0</v>
      </c>
      <c r="T699" s="15" t="str">
        <f>VLOOKUP(R699,产品分类!$C$2:$D$1278,2,0)</f>
        <v>家具产品</v>
      </c>
    </row>
    <row r="700" spans="1:20">
      <c r="A700" s="8">
        <f t="shared" si="58"/>
        <v>41142</v>
      </c>
      <c r="B700" s="8">
        <f t="shared" si="58"/>
        <v>41142</v>
      </c>
      <c r="C700" s="9" t="s">
        <v>1050</v>
      </c>
      <c r="D700">
        <v>10021263662</v>
      </c>
      <c r="E700" t="s">
        <v>47</v>
      </c>
      <c r="F700" t="s">
        <v>78</v>
      </c>
      <c r="G700" t="s">
        <v>79</v>
      </c>
      <c r="H700" t="s">
        <v>80</v>
      </c>
      <c r="I700" t="s">
        <v>81</v>
      </c>
      <c r="J700" t="s">
        <v>52</v>
      </c>
      <c r="K700" s="3">
        <v>100430823383</v>
      </c>
      <c r="L700" s="10">
        <v>41144</v>
      </c>
      <c r="M700">
        <v>1089.87</v>
      </c>
      <c r="N700" s="11">
        <v>10</v>
      </c>
      <c r="O700" s="12">
        <v>125.99</v>
      </c>
      <c r="P700" s="12">
        <v>5.99</v>
      </c>
      <c r="Q700" s="13">
        <v>-124.509</v>
      </c>
      <c r="R700" s="36" t="s">
        <v>1052</v>
      </c>
      <c r="S700" s="7">
        <f t="shared" si="52"/>
        <v>2</v>
      </c>
      <c r="T700" s="15" t="str">
        <f>VLOOKUP(R700,产品分类!$C$2:$D$1278,2,0)</f>
        <v>家具产品</v>
      </c>
    </row>
    <row r="701" spans="1:20">
      <c r="A701" s="16">
        <f t="shared" si="58"/>
        <v>41142</v>
      </c>
      <c r="B701" s="16">
        <f t="shared" si="58"/>
        <v>41142</v>
      </c>
      <c r="C701" s="9" t="s">
        <v>1050</v>
      </c>
      <c r="D701">
        <v>10021261588</v>
      </c>
      <c r="E701" t="s">
        <v>47</v>
      </c>
      <c r="F701" t="s">
        <v>72</v>
      </c>
      <c r="G701" t="s">
        <v>73</v>
      </c>
      <c r="H701" t="s">
        <v>1035</v>
      </c>
      <c r="I701" t="s">
        <v>1036</v>
      </c>
      <c r="J701" t="s">
        <v>52</v>
      </c>
      <c r="K701" s="3">
        <v>100729471025</v>
      </c>
      <c r="L701" s="10">
        <v>41144</v>
      </c>
      <c r="M701">
        <v>121.3</v>
      </c>
      <c r="N701" s="17">
        <v>21</v>
      </c>
      <c r="O701" s="5">
        <v>5.8</v>
      </c>
      <c r="P701" s="5">
        <v>5.59</v>
      </c>
      <c r="Q701" s="6">
        <v>-64.8715</v>
      </c>
      <c r="R701" s="37" t="s">
        <v>1053</v>
      </c>
      <c r="S701" s="7">
        <f t="shared" si="52"/>
        <v>2</v>
      </c>
      <c r="T701" s="15" t="str">
        <f>VLOOKUP(R701,产品分类!$C$2:$D$1278,2,0)</f>
        <v>家具产品</v>
      </c>
    </row>
    <row r="702" spans="1:20">
      <c r="A702" s="8">
        <f>DATE(2012,12,31)-1141</f>
        <v>40133</v>
      </c>
      <c r="B702" s="8">
        <f>DATE(2012,12,31)-1141</f>
        <v>40133</v>
      </c>
      <c r="C702" s="9" t="s">
        <v>1054</v>
      </c>
      <c r="D702">
        <v>10021301647</v>
      </c>
      <c r="E702" t="s">
        <v>47</v>
      </c>
      <c r="F702" t="s">
        <v>230</v>
      </c>
      <c r="G702" t="s">
        <v>231</v>
      </c>
      <c r="H702" t="s">
        <v>870</v>
      </c>
      <c r="I702" t="s">
        <v>871</v>
      </c>
      <c r="J702" t="s">
        <v>52</v>
      </c>
      <c r="K702" s="3">
        <v>10073370205</v>
      </c>
      <c r="L702" s="10">
        <v>40133</v>
      </c>
      <c r="M702">
        <v>168.31</v>
      </c>
      <c r="N702" s="11">
        <v>22</v>
      </c>
      <c r="O702" s="12">
        <v>8.17</v>
      </c>
      <c r="P702" s="12">
        <v>1.69</v>
      </c>
      <c r="Q702" s="13">
        <v>46.49</v>
      </c>
      <c r="R702" s="36" t="s">
        <v>1055</v>
      </c>
      <c r="S702" s="7">
        <f t="shared" si="52"/>
        <v>0</v>
      </c>
      <c r="T702" s="15" t="str">
        <f>VLOOKUP(R702,产品分类!$C$2:$D$1278,2,0)</f>
        <v>办公用品</v>
      </c>
    </row>
    <row r="703" spans="1:20">
      <c r="A703" s="8">
        <f>DATE(2012,12,31)-1141</f>
        <v>40133</v>
      </c>
      <c r="B703" s="8">
        <f>DATE(2012,12,31)-1141</f>
        <v>40133</v>
      </c>
      <c r="C703" s="9" t="s">
        <v>1054</v>
      </c>
      <c r="D703">
        <v>10021347258</v>
      </c>
      <c r="E703" t="s">
        <v>47</v>
      </c>
      <c r="F703" t="s">
        <v>230</v>
      </c>
      <c r="G703" t="s">
        <v>231</v>
      </c>
      <c r="H703" t="s">
        <v>870</v>
      </c>
      <c r="I703" t="s">
        <v>871</v>
      </c>
      <c r="J703" t="s">
        <v>52</v>
      </c>
      <c r="K703" s="3">
        <v>100930989911</v>
      </c>
      <c r="L703" s="10">
        <v>40135</v>
      </c>
      <c r="M703">
        <v>4282.725</v>
      </c>
      <c r="N703" s="11">
        <v>45</v>
      </c>
      <c r="O703" s="12">
        <v>110.99</v>
      </c>
      <c r="P703" s="12">
        <v>2.5</v>
      </c>
      <c r="Q703" s="13">
        <v>1371.744</v>
      </c>
      <c r="R703" s="36" t="s">
        <v>1056</v>
      </c>
      <c r="S703" s="7">
        <f t="shared" si="52"/>
        <v>2</v>
      </c>
      <c r="T703" s="15" t="str">
        <f>VLOOKUP(R703,产品分类!$C$2:$D$1278,2,0)</f>
        <v>家具产品</v>
      </c>
    </row>
    <row r="704" spans="1:20">
      <c r="A704" s="16">
        <f>DATE(2012,12,31)-875</f>
        <v>40399</v>
      </c>
      <c r="B704" s="16">
        <f>DATE(2012,12,31)-875</f>
        <v>40399</v>
      </c>
      <c r="C704" s="9" t="s">
        <v>945</v>
      </c>
      <c r="D704">
        <v>10021334280</v>
      </c>
      <c r="E704" t="s">
        <v>47</v>
      </c>
      <c r="F704" t="s">
        <v>114</v>
      </c>
      <c r="G704" t="s">
        <v>115</v>
      </c>
      <c r="H704" t="s">
        <v>1057</v>
      </c>
      <c r="I704" t="s">
        <v>1058</v>
      </c>
      <c r="J704" t="s">
        <v>52</v>
      </c>
      <c r="K704" s="3">
        <v>100810774362</v>
      </c>
      <c r="L704" s="10">
        <v>40401</v>
      </c>
      <c r="M704">
        <v>109.37</v>
      </c>
      <c r="N704" s="17">
        <v>11</v>
      </c>
      <c r="O704" s="5">
        <v>10.31</v>
      </c>
      <c r="P704" s="5">
        <v>1.79</v>
      </c>
      <c r="Q704" s="6">
        <v>25.96</v>
      </c>
      <c r="R704" s="37" t="s">
        <v>1059</v>
      </c>
      <c r="S704" s="7">
        <f t="shared" si="52"/>
        <v>2</v>
      </c>
      <c r="T704" s="15" t="str">
        <f>VLOOKUP(R704,产品分类!$C$2:$D$1278,2,0)</f>
        <v>办公用品</v>
      </c>
    </row>
    <row r="705" spans="1:20">
      <c r="A705" s="16">
        <f>DATE(2012,12,31)-952</f>
        <v>40322</v>
      </c>
      <c r="B705" s="16">
        <f>DATE(2012,12,31)-952</f>
        <v>40322</v>
      </c>
      <c r="C705" s="9" t="s">
        <v>1060</v>
      </c>
      <c r="D705">
        <v>10021335035</v>
      </c>
      <c r="E705" t="s">
        <v>47</v>
      </c>
      <c r="F705" t="s">
        <v>122</v>
      </c>
      <c r="G705" t="s">
        <v>123</v>
      </c>
      <c r="H705" t="s">
        <v>124</v>
      </c>
      <c r="I705" t="s">
        <v>125</v>
      </c>
      <c r="J705" t="s">
        <v>52</v>
      </c>
      <c r="K705" s="3">
        <v>10016225258</v>
      </c>
      <c r="L705" s="10">
        <v>40325</v>
      </c>
      <c r="M705">
        <v>106.64</v>
      </c>
      <c r="N705" s="17">
        <v>30</v>
      </c>
      <c r="O705" s="5">
        <v>3.68</v>
      </c>
      <c r="P705" s="5">
        <v>1.32</v>
      </c>
      <c r="Q705" s="6">
        <v>-31.95</v>
      </c>
      <c r="R705" s="37" t="s">
        <v>1061</v>
      </c>
      <c r="S705" s="7">
        <f t="shared" si="52"/>
        <v>3</v>
      </c>
      <c r="T705" s="15" t="str">
        <f>VLOOKUP(R705,产品分类!$C$2:$D$1278,2,0)</f>
        <v>办公用品</v>
      </c>
    </row>
    <row r="706" spans="1:20">
      <c r="A706" s="16">
        <f>DATE(2012,12,31)-675</f>
        <v>40599</v>
      </c>
      <c r="B706" s="16">
        <f>DATE(2012,12,31)-675</f>
        <v>40599</v>
      </c>
      <c r="C706" s="9" t="s">
        <v>1062</v>
      </c>
      <c r="D706">
        <v>10021248596</v>
      </c>
      <c r="E706" t="s">
        <v>47</v>
      </c>
      <c r="F706" t="s">
        <v>91</v>
      </c>
      <c r="G706" t="s">
        <v>92</v>
      </c>
      <c r="H706" t="s">
        <v>774</v>
      </c>
      <c r="I706" t="s">
        <v>775</v>
      </c>
      <c r="J706" t="s">
        <v>52</v>
      </c>
      <c r="K706" s="3">
        <v>10013058068</v>
      </c>
      <c r="L706" s="10">
        <v>40601</v>
      </c>
      <c r="M706">
        <v>40.87</v>
      </c>
      <c r="N706" s="17">
        <v>4</v>
      </c>
      <c r="O706" s="5">
        <v>6.48</v>
      </c>
      <c r="P706" s="5">
        <v>8.74</v>
      </c>
      <c r="Q706" s="6">
        <v>-16.38</v>
      </c>
      <c r="R706" s="37" t="s">
        <v>194</v>
      </c>
      <c r="S706" s="7">
        <f t="shared" si="52"/>
        <v>2</v>
      </c>
      <c r="T706" s="15" t="str">
        <f>VLOOKUP(R706,产品分类!$C$2:$D$1278,2,0)</f>
        <v>办公用品</v>
      </c>
    </row>
    <row r="707" spans="1:20">
      <c r="A707" s="8">
        <f>DATE(2012,12,31)-675</f>
        <v>40599</v>
      </c>
      <c r="B707" s="8">
        <f>DATE(2012,12,31)-675</f>
        <v>40599</v>
      </c>
      <c r="C707" s="9" t="s">
        <v>1062</v>
      </c>
      <c r="D707">
        <v>10021333081</v>
      </c>
      <c r="E707" t="s">
        <v>47</v>
      </c>
      <c r="F707" t="s">
        <v>55</v>
      </c>
      <c r="G707" t="s">
        <v>56</v>
      </c>
      <c r="H707" t="s">
        <v>57</v>
      </c>
      <c r="I707" t="s">
        <v>58</v>
      </c>
      <c r="J707" t="s">
        <v>52</v>
      </c>
      <c r="K707" s="3">
        <v>10015899306</v>
      </c>
      <c r="L707" s="10">
        <v>40603</v>
      </c>
      <c r="M707">
        <v>8363.65</v>
      </c>
      <c r="N707" s="11">
        <v>30</v>
      </c>
      <c r="O707" s="12">
        <v>300.98</v>
      </c>
      <c r="P707" s="12">
        <v>64.73</v>
      </c>
      <c r="Q707" s="13">
        <v>763.33</v>
      </c>
      <c r="R707" s="36" t="s">
        <v>1063</v>
      </c>
      <c r="S707" s="7">
        <f t="shared" ref="S707:S770" si="59">+L707-B707</f>
        <v>4</v>
      </c>
      <c r="T707" s="15" t="str">
        <f>VLOOKUP(R707,产品分类!$C$2:$D$1278,2,0)</f>
        <v>办公用品</v>
      </c>
    </row>
    <row r="708" spans="1:20">
      <c r="A708" s="8">
        <f>DATE(2012,12,31)-803</f>
        <v>40471</v>
      </c>
      <c r="B708" s="8">
        <f>DATE(2012,12,31)-803</f>
        <v>40471</v>
      </c>
      <c r="C708" s="9" t="s">
        <v>199</v>
      </c>
      <c r="D708">
        <v>10021387002</v>
      </c>
      <c r="E708" t="s">
        <v>47</v>
      </c>
      <c r="F708" t="s">
        <v>122</v>
      </c>
      <c r="G708" t="s">
        <v>123</v>
      </c>
      <c r="H708" t="s">
        <v>124</v>
      </c>
      <c r="I708" t="s">
        <v>125</v>
      </c>
      <c r="J708" t="s">
        <v>52</v>
      </c>
      <c r="K708" s="3">
        <v>100914954431</v>
      </c>
      <c r="L708" s="10">
        <v>40471</v>
      </c>
      <c r="M708">
        <v>1068.79</v>
      </c>
      <c r="N708" s="11">
        <v>14</v>
      </c>
      <c r="O708" s="12">
        <v>76.72</v>
      </c>
      <c r="P708" s="12">
        <v>19.95</v>
      </c>
      <c r="Q708" s="13">
        <v>56.05</v>
      </c>
      <c r="R708" s="36" t="s">
        <v>1064</v>
      </c>
      <c r="S708" s="7">
        <f t="shared" si="59"/>
        <v>0</v>
      </c>
      <c r="T708" s="15" t="str">
        <f>VLOOKUP(R708,产品分类!$C$2:$D$1278,2,0)</f>
        <v>数码电子</v>
      </c>
    </row>
    <row r="709" spans="1:20">
      <c r="A709" s="8">
        <f>DATE(2012,12,31)-803</f>
        <v>40471</v>
      </c>
      <c r="B709" s="8">
        <f>DATE(2012,12,31)-803</f>
        <v>40471</v>
      </c>
      <c r="C709" s="9" t="s">
        <v>199</v>
      </c>
      <c r="D709">
        <v>10021395157</v>
      </c>
      <c r="E709" t="s">
        <v>47</v>
      </c>
      <c r="F709" t="s">
        <v>91</v>
      </c>
      <c r="G709" t="s">
        <v>92</v>
      </c>
      <c r="H709" t="s">
        <v>774</v>
      </c>
      <c r="I709" t="s">
        <v>775</v>
      </c>
      <c r="J709" t="s">
        <v>52</v>
      </c>
      <c r="K709" s="3">
        <v>10047179493</v>
      </c>
      <c r="L709" s="10">
        <v>40476</v>
      </c>
      <c r="M709">
        <v>287.13</v>
      </c>
      <c r="N709" s="11">
        <v>46</v>
      </c>
      <c r="O709" s="12">
        <v>5.78</v>
      </c>
      <c r="P709" s="12">
        <v>7.96</v>
      </c>
      <c r="Q709" s="13">
        <v>-186.31</v>
      </c>
      <c r="R709" s="36" t="s">
        <v>1065</v>
      </c>
      <c r="S709" s="7">
        <f t="shared" si="59"/>
        <v>5</v>
      </c>
      <c r="T709" s="15" t="str">
        <f>VLOOKUP(R709,产品分类!$C$2:$D$1278,2,0)</f>
        <v>办公用品</v>
      </c>
    </row>
    <row r="710" spans="1:20">
      <c r="A710" s="8">
        <f>DATE(2012,12,31)-109</f>
        <v>41165</v>
      </c>
      <c r="B710" s="8">
        <f>DATE(2012,12,31)-109</f>
        <v>41165</v>
      </c>
      <c r="C710" s="9" t="s">
        <v>1066</v>
      </c>
      <c r="D710">
        <v>10021335270</v>
      </c>
      <c r="E710" t="s">
        <v>47</v>
      </c>
      <c r="F710" t="s">
        <v>132</v>
      </c>
      <c r="G710" t="s">
        <v>133</v>
      </c>
      <c r="H710" t="s">
        <v>134</v>
      </c>
      <c r="I710" t="s">
        <v>133</v>
      </c>
      <c r="J710" t="s">
        <v>52</v>
      </c>
      <c r="K710" s="3">
        <v>10019714667</v>
      </c>
      <c r="L710" s="10">
        <v>41166</v>
      </c>
      <c r="M710">
        <v>4305.79</v>
      </c>
      <c r="N710" s="11">
        <v>30</v>
      </c>
      <c r="O710" s="12">
        <v>142.86</v>
      </c>
      <c r="P710" s="12">
        <v>19.99</v>
      </c>
      <c r="Q710" s="13">
        <v>1020.32</v>
      </c>
      <c r="R710" s="36" t="s">
        <v>1067</v>
      </c>
      <c r="S710" s="7">
        <f t="shared" si="59"/>
        <v>1</v>
      </c>
      <c r="T710" s="15" t="str">
        <f>VLOOKUP(R710,产品分类!$C$2:$D$1278,2,0)</f>
        <v>办公用品</v>
      </c>
    </row>
    <row r="711" spans="1:20">
      <c r="A711" s="8">
        <f>DATE(2012,12,31)-259</f>
        <v>41015</v>
      </c>
      <c r="B711" s="8">
        <f>DATE(2012,12,31)-259</f>
        <v>41015</v>
      </c>
      <c r="C711" s="9" t="s">
        <v>705</v>
      </c>
      <c r="D711">
        <v>10021389077</v>
      </c>
      <c r="E711" t="s">
        <v>47</v>
      </c>
      <c r="F711" t="s">
        <v>102</v>
      </c>
      <c r="G711" t="s">
        <v>103</v>
      </c>
      <c r="H711" t="s">
        <v>104</v>
      </c>
      <c r="I711" t="s">
        <v>105</v>
      </c>
      <c r="J711" t="s">
        <v>52</v>
      </c>
      <c r="K711" s="3">
        <v>100431189783</v>
      </c>
      <c r="L711" s="10">
        <v>41017</v>
      </c>
      <c r="M711">
        <v>79.68</v>
      </c>
      <c r="N711" s="11">
        <v>10</v>
      </c>
      <c r="O711" s="12">
        <v>7.7</v>
      </c>
      <c r="P711" s="12">
        <v>3.68</v>
      </c>
      <c r="Q711" s="13">
        <v>18.24</v>
      </c>
      <c r="R711" s="36" t="s">
        <v>1023</v>
      </c>
      <c r="S711" s="7">
        <f t="shared" si="59"/>
        <v>2</v>
      </c>
      <c r="T711" s="15" t="str">
        <f>VLOOKUP(R711,产品分类!$C$2:$D$1278,2,0)</f>
        <v>家具产品</v>
      </c>
    </row>
    <row r="712" spans="1:20">
      <c r="A712" s="8">
        <f>DATE(2012,12,31)-783</f>
        <v>40491</v>
      </c>
      <c r="B712" s="8">
        <f>DATE(2012,12,31)-783</f>
        <v>40491</v>
      </c>
      <c r="C712" s="9" t="s">
        <v>1068</v>
      </c>
      <c r="D712">
        <v>10021264753</v>
      </c>
      <c r="E712" t="s">
        <v>47</v>
      </c>
      <c r="F712" t="s">
        <v>171</v>
      </c>
      <c r="G712" t="s">
        <v>172</v>
      </c>
      <c r="H712" t="s">
        <v>933</v>
      </c>
      <c r="I712" t="s">
        <v>934</v>
      </c>
      <c r="J712" t="s">
        <v>52</v>
      </c>
      <c r="K712" s="3">
        <v>100131220147</v>
      </c>
      <c r="L712" s="10">
        <v>40493</v>
      </c>
      <c r="M712">
        <v>41.18</v>
      </c>
      <c r="N712" s="11">
        <v>5</v>
      </c>
      <c r="O712" s="12">
        <v>5.44</v>
      </c>
      <c r="P712" s="12">
        <v>7.46</v>
      </c>
      <c r="Q712" s="13">
        <v>-19.3085</v>
      </c>
      <c r="R712" s="36" t="s">
        <v>745</v>
      </c>
      <c r="S712" s="7">
        <f t="shared" si="59"/>
        <v>2</v>
      </c>
      <c r="T712" s="15" t="str">
        <f>VLOOKUP(R712,产品分类!$C$2:$D$1278,2,0)</f>
        <v>办公用品</v>
      </c>
    </row>
    <row r="713" spans="1:20">
      <c r="A713" s="8">
        <f>DATE(2012,12,31)-871</f>
        <v>40403</v>
      </c>
      <c r="B713" s="8">
        <f>DATE(2012,12,31)-871</f>
        <v>40403</v>
      </c>
      <c r="C713" s="9" t="s">
        <v>1069</v>
      </c>
      <c r="D713">
        <v>10021365002</v>
      </c>
      <c r="E713" t="s">
        <v>47</v>
      </c>
      <c r="F713" t="s">
        <v>171</v>
      </c>
      <c r="G713" t="s">
        <v>172</v>
      </c>
      <c r="H713" t="s">
        <v>933</v>
      </c>
      <c r="I713" t="s">
        <v>934</v>
      </c>
      <c r="J713" t="s">
        <v>52</v>
      </c>
      <c r="K713" s="3">
        <v>100418022584</v>
      </c>
      <c r="L713" s="10">
        <v>40405</v>
      </c>
      <c r="M713">
        <v>12.8</v>
      </c>
      <c r="N713" s="11">
        <v>4</v>
      </c>
      <c r="O713" s="12">
        <v>2.88</v>
      </c>
      <c r="P713" s="12">
        <v>0.7</v>
      </c>
      <c r="Q713" s="13">
        <v>-2.21</v>
      </c>
      <c r="R713" s="36" t="s">
        <v>1070</v>
      </c>
      <c r="S713" s="7">
        <f t="shared" si="59"/>
        <v>2</v>
      </c>
      <c r="T713" s="15" t="str">
        <f>VLOOKUP(R713,产品分类!$C$2:$D$1278,2,0)</f>
        <v>办公用品</v>
      </c>
    </row>
    <row r="714" spans="1:20">
      <c r="A714" s="8">
        <f>DATE(2012,12,31)-429</f>
        <v>40845</v>
      </c>
      <c r="B714" s="8">
        <f>DATE(2012,12,31)-429</f>
        <v>40845</v>
      </c>
      <c r="C714" s="9" t="s">
        <v>1071</v>
      </c>
      <c r="D714">
        <v>10021279924</v>
      </c>
      <c r="E714" t="s">
        <v>47</v>
      </c>
      <c r="F714" t="s">
        <v>171</v>
      </c>
      <c r="G714" t="s">
        <v>172</v>
      </c>
      <c r="H714" t="s">
        <v>933</v>
      </c>
      <c r="I714" t="s">
        <v>934</v>
      </c>
      <c r="J714" t="s">
        <v>52</v>
      </c>
      <c r="K714" s="3">
        <v>10049237964</v>
      </c>
      <c r="L714" s="10">
        <v>40845</v>
      </c>
      <c r="M714">
        <v>709.04</v>
      </c>
      <c r="N714" s="11">
        <v>3</v>
      </c>
      <c r="O714" s="12">
        <v>220.98</v>
      </c>
      <c r="P714" s="12">
        <v>64.66</v>
      </c>
      <c r="Q714" s="13">
        <v>-337.92</v>
      </c>
      <c r="R714" s="36" t="s">
        <v>480</v>
      </c>
      <c r="S714" s="7">
        <f t="shared" si="59"/>
        <v>0</v>
      </c>
      <c r="T714" s="15" t="str">
        <f>VLOOKUP(R714,产品分类!$C$2:$D$1278,2,0)</f>
        <v>办公用品</v>
      </c>
    </row>
    <row r="715" spans="1:20">
      <c r="A715" s="8">
        <f>DATE(2012,12,31)-429</f>
        <v>40845</v>
      </c>
      <c r="B715" s="8">
        <f>DATE(2012,12,31)-429</f>
        <v>40845</v>
      </c>
      <c r="C715" s="9" t="s">
        <v>1071</v>
      </c>
      <c r="D715">
        <v>10021318805</v>
      </c>
      <c r="E715" t="s">
        <v>47</v>
      </c>
      <c r="F715" t="s">
        <v>183</v>
      </c>
      <c r="G715" t="s">
        <v>184</v>
      </c>
      <c r="H715" t="s">
        <v>185</v>
      </c>
      <c r="I715" t="s">
        <v>186</v>
      </c>
      <c r="J715" t="s">
        <v>52</v>
      </c>
      <c r="K715" s="3">
        <v>10037766969</v>
      </c>
      <c r="L715" s="10">
        <v>40850</v>
      </c>
      <c r="M715">
        <v>978.77</v>
      </c>
      <c r="N715" s="11">
        <v>25</v>
      </c>
      <c r="O715" s="12">
        <v>38.76</v>
      </c>
      <c r="P715" s="12">
        <v>13.26</v>
      </c>
      <c r="Q715" s="13">
        <v>220.91</v>
      </c>
      <c r="R715" s="36" t="s">
        <v>758</v>
      </c>
      <c r="S715" s="7">
        <f t="shared" si="59"/>
        <v>5</v>
      </c>
      <c r="T715" s="15" t="str">
        <f>VLOOKUP(R715,产品分类!$C$2:$D$1278,2,0)</f>
        <v>家具产品</v>
      </c>
    </row>
    <row r="716" spans="1:20">
      <c r="A716" s="8">
        <f>DATE(2012,12,31)-1009</f>
        <v>40265</v>
      </c>
      <c r="B716" s="8">
        <f>DATE(2012,12,31)-1009</f>
        <v>40265</v>
      </c>
      <c r="C716" s="9" t="s">
        <v>1072</v>
      </c>
      <c r="D716">
        <v>10021346039</v>
      </c>
      <c r="E716" t="s">
        <v>47</v>
      </c>
      <c r="F716" t="s">
        <v>177</v>
      </c>
      <c r="G716" t="s">
        <v>178</v>
      </c>
      <c r="H716" t="s">
        <v>795</v>
      </c>
      <c r="I716" t="s">
        <v>796</v>
      </c>
      <c r="J716" t="s">
        <v>52</v>
      </c>
      <c r="K716" s="3">
        <v>100727560235</v>
      </c>
      <c r="L716" s="10">
        <v>40267</v>
      </c>
      <c r="M716">
        <v>79.58</v>
      </c>
      <c r="N716" s="11">
        <v>2</v>
      </c>
      <c r="O716" s="12">
        <v>37.44</v>
      </c>
      <c r="P716" s="12">
        <v>4.27</v>
      </c>
      <c r="Q716" s="13">
        <v>-38.28</v>
      </c>
      <c r="R716" s="36" t="s">
        <v>1073</v>
      </c>
      <c r="S716" s="7">
        <f t="shared" si="59"/>
        <v>2</v>
      </c>
      <c r="T716" s="15" t="str">
        <f>VLOOKUP(R716,产品分类!$C$2:$D$1278,2,0)</f>
        <v>办公用品</v>
      </c>
    </row>
    <row r="717" spans="1:20">
      <c r="A717" s="8">
        <f>DATE(2012,12,31)-254</f>
        <v>41020</v>
      </c>
      <c r="B717" s="8">
        <f>DATE(2012,12,31)-254</f>
        <v>41020</v>
      </c>
      <c r="C717" s="9" t="s">
        <v>1074</v>
      </c>
      <c r="D717">
        <v>10021249815</v>
      </c>
      <c r="E717" t="s">
        <v>47</v>
      </c>
      <c r="F717" t="s">
        <v>177</v>
      </c>
      <c r="G717" t="s">
        <v>178</v>
      </c>
      <c r="H717" t="s">
        <v>795</v>
      </c>
      <c r="I717" t="s">
        <v>796</v>
      </c>
      <c r="J717" t="s">
        <v>52</v>
      </c>
      <c r="K717" s="3">
        <v>100810084322</v>
      </c>
      <c r="L717" s="10">
        <v>41021</v>
      </c>
      <c r="M717">
        <v>786.675</v>
      </c>
      <c r="N717" s="11">
        <v>7</v>
      </c>
      <c r="O717" s="12">
        <v>125.99</v>
      </c>
      <c r="P717" s="12">
        <v>8.8</v>
      </c>
      <c r="Q717" s="13">
        <v>-315.029</v>
      </c>
      <c r="R717" s="36" t="s">
        <v>570</v>
      </c>
      <c r="S717" s="7">
        <f t="shared" si="59"/>
        <v>1</v>
      </c>
      <c r="T717" s="15" t="str">
        <f>VLOOKUP(R717,产品分类!$C$2:$D$1278,2,0)</f>
        <v>办公用品</v>
      </c>
    </row>
    <row r="718" spans="1:20">
      <c r="A718" s="8">
        <f>DATE(2012,12,31)-235</f>
        <v>41039</v>
      </c>
      <c r="B718" s="8">
        <f>DATE(2012,12,31)-235</f>
        <v>41039</v>
      </c>
      <c r="C718" s="9" t="s">
        <v>1047</v>
      </c>
      <c r="D718">
        <v>10021254630</v>
      </c>
      <c r="E718" t="s">
        <v>47</v>
      </c>
      <c r="F718" t="s">
        <v>83</v>
      </c>
      <c r="G718" t="s">
        <v>84</v>
      </c>
      <c r="H718" t="s">
        <v>1037</v>
      </c>
      <c r="I718" t="s">
        <v>1038</v>
      </c>
      <c r="J718" t="s">
        <v>52</v>
      </c>
      <c r="K718" s="3">
        <v>100422534923</v>
      </c>
      <c r="L718" s="10">
        <v>41040</v>
      </c>
      <c r="M718">
        <v>1991.703</v>
      </c>
      <c r="N718" s="11">
        <v>45</v>
      </c>
      <c r="O718" s="12">
        <v>55.99</v>
      </c>
      <c r="P718" s="12">
        <v>1.25</v>
      </c>
      <c r="Q718" s="13">
        <v>559.107</v>
      </c>
      <c r="R718" s="36" t="s">
        <v>1075</v>
      </c>
      <c r="S718" s="7">
        <f t="shared" si="59"/>
        <v>1</v>
      </c>
      <c r="T718" s="15" t="str">
        <f>VLOOKUP(R718,产品分类!$C$2:$D$1278,2,0)</f>
        <v>数码电子</v>
      </c>
    </row>
    <row r="719" spans="1:20">
      <c r="A719" s="8">
        <f>DATE(2012,12,31)-494</f>
        <v>40780</v>
      </c>
      <c r="B719" s="8">
        <f>DATE(2012,12,31)-494</f>
        <v>40780</v>
      </c>
      <c r="C719" s="9" t="s">
        <v>334</v>
      </c>
      <c r="D719">
        <v>10021251013</v>
      </c>
      <c r="E719" t="s">
        <v>47</v>
      </c>
      <c r="F719" t="s">
        <v>61</v>
      </c>
      <c r="G719" t="s">
        <v>62</v>
      </c>
      <c r="H719" t="s">
        <v>454</v>
      </c>
      <c r="I719" t="s">
        <v>455</v>
      </c>
      <c r="J719" t="s">
        <v>52</v>
      </c>
      <c r="K719" s="3">
        <v>100716617775</v>
      </c>
      <c r="L719" s="10">
        <v>40782</v>
      </c>
      <c r="M719">
        <v>4896.93</v>
      </c>
      <c r="N719" s="11">
        <v>37</v>
      </c>
      <c r="O719" s="12">
        <v>128.24</v>
      </c>
      <c r="P719" s="12">
        <v>12.65</v>
      </c>
      <c r="Q719" s="13">
        <v>1467.82</v>
      </c>
      <c r="R719" s="36" t="s">
        <v>622</v>
      </c>
      <c r="S719" s="7">
        <f t="shared" si="59"/>
        <v>2</v>
      </c>
      <c r="T719" s="15" t="str">
        <f>VLOOKUP(R719,产品分类!$C$2:$D$1278,2,0)</f>
        <v>办公用品</v>
      </c>
    </row>
    <row r="720" spans="1:20">
      <c r="A720" s="8">
        <f>DATE(2012,12,31)-1299</f>
        <v>39975</v>
      </c>
      <c r="B720" s="8">
        <f>DATE(2012,12,31)-1299</f>
        <v>39975</v>
      </c>
      <c r="C720" s="9" t="s">
        <v>1076</v>
      </c>
      <c r="D720">
        <v>10021337366</v>
      </c>
      <c r="E720" t="s">
        <v>47</v>
      </c>
      <c r="F720" t="s">
        <v>61</v>
      </c>
      <c r="G720" t="s">
        <v>62</v>
      </c>
      <c r="H720" t="s">
        <v>454</v>
      </c>
      <c r="I720" t="s">
        <v>455</v>
      </c>
      <c r="J720" t="s">
        <v>52</v>
      </c>
      <c r="K720" s="3">
        <v>100121864658</v>
      </c>
      <c r="L720" s="10">
        <v>39976</v>
      </c>
      <c r="M720">
        <v>569.21</v>
      </c>
      <c r="N720" s="11">
        <v>14</v>
      </c>
      <c r="O720" s="12">
        <v>39.98</v>
      </c>
      <c r="P720" s="12">
        <v>4</v>
      </c>
      <c r="Q720" s="13">
        <v>-38.51</v>
      </c>
      <c r="R720" s="36" t="s">
        <v>771</v>
      </c>
      <c r="S720" s="7">
        <f t="shared" si="59"/>
        <v>1</v>
      </c>
      <c r="T720" s="15" t="str">
        <f>VLOOKUP(R720,产品分类!$C$2:$D$1278,2,0)</f>
        <v>家具产品</v>
      </c>
    </row>
    <row r="721" spans="1:20">
      <c r="A721" s="8">
        <f>DATE(2012,12,31)-671</f>
        <v>40603</v>
      </c>
      <c r="B721" s="8">
        <f>DATE(2012,12,31)-671</f>
        <v>40603</v>
      </c>
      <c r="C721" s="9" t="s">
        <v>811</v>
      </c>
      <c r="D721">
        <v>10021267739</v>
      </c>
      <c r="E721" t="s">
        <v>47</v>
      </c>
      <c r="F721" t="s">
        <v>83</v>
      </c>
      <c r="G721" t="s">
        <v>84</v>
      </c>
      <c r="H721" t="s">
        <v>1037</v>
      </c>
      <c r="I721" t="s">
        <v>1038</v>
      </c>
      <c r="J721" t="s">
        <v>52</v>
      </c>
      <c r="K721" s="3">
        <v>100932109961</v>
      </c>
      <c r="L721" s="10">
        <v>40606</v>
      </c>
      <c r="M721">
        <v>192.8</v>
      </c>
      <c r="N721" s="11">
        <v>24</v>
      </c>
      <c r="O721" s="12">
        <v>8.01</v>
      </c>
      <c r="P721" s="12">
        <v>2.87</v>
      </c>
      <c r="Q721" s="13">
        <v>31</v>
      </c>
      <c r="R721" s="36" t="s">
        <v>677</v>
      </c>
      <c r="S721" s="7">
        <f t="shared" si="59"/>
        <v>3</v>
      </c>
      <c r="T721" s="15" t="str">
        <f>VLOOKUP(R721,产品分类!$C$2:$D$1278,2,0)</f>
        <v>办公用品</v>
      </c>
    </row>
    <row r="722" spans="1:20">
      <c r="A722" s="8">
        <f t="shared" ref="A722:B724" si="60">DATE(2012,12,31)-767</f>
        <v>40507</v>
      </c>
      <c r="B722" s="8">
        <f t="shared" si="60"/>
        <v>40507</v>
      </c>
      <c r="C722" s="9" t="s">
        <v>904</v>
      </c>
      <c r="D722">
        <v>10021297104</v>
      </c>
      <c r="E722" t="s">
        <v>47</v>
      </c>
      <c r="F722" t="s">
        <v>61</v>
      </c>
      <c r="G722" t="s">
        <v>62</v>
      </c>
      <c r="H722" t="s">
        <v>1077</v>
      </c>
      <c r="I722" t="s">
        <v>1078</v>
      </c>
      <c r="J722" t="s">
        <v>52</v>
      </c>
      <c r="K722" s="3">
        <v>100423747494</v>
      </c>
      <c r="L722" s="10">
        <v>40514</v>
      </c>
      <c r="M722">
        <v>900.06</v>
      </c>
      <c r="N722" s="11">
        <v>12</v>
      </c>
      <c r="O722" s="12">
        <v>73.98</v>
      </c>
      <c r="P722" s="12">
        <v>14.52</v>
      </c>
      <c r="Q722" s="13">
        <v>-221.12</v>
      </c>
      <c r="R722" s="36" t="s">
        <v>885</v>
      </c>
      <c r="S722" s="7">
        <f t="shared" si="59"/>
        <v>7</v>
      </c>
      <c r="T722" s="15" t="str">
        <f>VLOOKUP(R722,产品分类!$C$2:$D$1278,2,0)</f>
        <v>办公用品</v>
      </c>
    </row>
    <row r="723" spans="1:20">
      <c r="A723" s="16">
        <f t="shared" si="60"/>
        <v>40507</v>
      </c>
      <c r="B723" s="16">
        <f t="shared" si="60"/>
        <v>40507</v>
      </c>
      <c r="C723" s="9" t="s">
        <v>904</v>
      </c>
      <c r="D723">
        <v>10021299679</v>
      </c>
      <c r="E723" t="s">
        <v>47</v>
      </c>
      <c r="F723" t="s">
        <v>61</v>
      </c>
      <c r="G723" t="s">
        <v>62</v>
      </c>
      <c r="H723" t="s">
        <v>1077</v>
      </c>
      <c r="I723" t="s">
        <v>1078</v>
      </c>
      <c r="J723" t="s">
        <v>52</v>
      </c>
      <c r="K723" s="3">
        <v>100112007956</v>
      </c>
      <c r="L723" s="10">
        <v>40509</v>
      </c>
      <c r="M723">
        <v>2066.63</v>
      </c>
      <c r="N723" s="17">
        <v>14</v>
      </c>
      <c r="O723" s="5">
        <v>140.85</v>
      </c>
      <c r="P723" s="5">
        <v>19.99</v>
      </c>
      <c r="Q723" s="6">
        <v>65.58</v>
      </c>
      <c r="R723" s="37" t="s">
        <v>672</v>
      </c>
      <c r="S723" s="7">
        <f t="shared" si="59"/>
        <v>2</v>
      </c>
      <c r="T723" s="15" t="str">
        <f>VLOOKUP(R723,产品分类!$C$2:$D$1278,2,0)</f>
        <v>办公用品</v>
      </c>
    </row>
    <row r="724" spans="1:20">
      <c r="A724" s="8">
        <f t="shared" si="60"/>
        <v>40507</v>
      </c>
      <c r="B724" s="8">
        <f t="shared" si="60"/>
        <v>40507</v>
      </c>
      <c r="C724" s="9" t="s">
        <v>904</v>
      </c>
      <c r="D724">
        <v>10021294698</v>
      </c>
      <c r="E724" t="s">
        <v>47</v>
      </c>
      <c r="F724" t="s">
        <v>61</v>
      </c>
      <c r="G724" t="s">
        <v>62</v>
      </c>
      <c r="H724" t="s">
        <v>1077</v>
      </c>
      <c r="I724" t="s">
        <v>1078</v>
      </c>
      <c r="J724" t="s">
        <v>52</v>
      </c>
      <c r="K724" s="3">
        <v>10017537657</v>
      </c>
      <c r="L724" s="10">
        <v>40509</v>
      </c>
      <c r="M724">
        <v>24.72</v>
      </c>
      <c r="N724" s="11">
        <v>8</v>
      </c>
      <c r="O724" s="12">
        <v>2.74</v>
      </c>
      <c r="P724" s="12">
        <v>3.5</v>
      </c>
      <c r="Q724" s="13">
        <v>-21.47</v>
      </c>
      <c r="R724" s="36" t="s">
        <v>346</v>
      </c>
      <c r="S724" s="7">
        <f t="shared" si="59"/>
        <v>2</v>
      </c>
      <c r="T724" s="15" t="str">
        <f>VLOOKUP(R724,产品分类!$C$2:$D$1278,2,0)</f>
        <v>数码电子</v>
      </c>
    </row>
    <row r="725" spans="1:20">
      <c r="A725" s="8">
        <f>DATE(2012,12,31)-446</f>
        <v>40828</v>
      </c>
      <c r="B725" s="8">
        <f>DATE(2012,12,31)-446</f>
        <v>40828</v>
      </c>
      <c r="C725" s="9" t="s">
        <v>743</v>
      </c>
      <c r="D725">
        <v>10021349866</v>
      </c>
      <c r="E725" t="s">
        <v>47</v>
      </c>
      <c r="F725" t="s">
        <v>61</v>
      </c>
      <c r="G725" t="s">
        <v>62</v>
      </c>
      <c r="H725" t="s">
        <v>1077</v>
      </c>
      <c r="I725" t="s">
        <v>1078</v>
      </c>
      <c r="J725" t="s">
        <v>52</v>
      </c>
      <c r="K725" s="3">
        <v>100832128392</v>
      </c>
      <c r="L725" s="10">
        <v>40828</v>
      </c>
      <c r="M725">
        <v>339.35</v>
      </c>
      <c r="N725" s="11">
        <v>8</v>
      </c>
      <c r="O725" s="12">
        <v>40.98</v>
      </c>
      <c r="P725" s="12">
        <v>5.33</v>
      </c>
      <c r="Q725" s="13">
        <v>27.88</v>
      </c>
      <c r="R725" s="36" t="s">
        <v>625</v>
      </c>
      <c r="S725" s="7">
        <f t="shared" si="59"/>
        <v>0</v>
      </c>
      <c r="T725" s="15" t="str">
        <f>VLOOKUP(R725,产品分类!$C$2:$D$1278,2,0)</f>
        <v>办公用品</v>
      </c>
    </row>
    <row r="726" spans="1:20">
      <c r="A726" s="8">
        <f>DATE(2012,12,31)-446</f>
        <v>40828</v>
      </c>
      <c r="B726" s="8">
        <f>DATE(2012,12,31)-446</f>
        <v>40828</v>
      </c>
      <c r="C726" s="9" t="s">
        <v>743</v>
      </c>
      <c r="D726">
        <v>10021288364</v>
      </c>
      <c r="E726" t="s">
        <v>47</v>
      </c>
      <c r="F726" t="s">
        <v>66</v>
      </c>
      <c r="G726" t="s">
        <v>67</v>
      </c>
      <c r="H726" t="s">
        <v>68</v>
      </c>
      <c r="I726" t="s">
        <v>69</v>
      </c>
      <c r="J726" t="s">
        <v>52</v>
      </c>
      <c r="K726" s="3">
        <v>100432054664</v>
      </c>
      <c r="L726" s="10">
        <v>40830</v>
      </c>
      <c r="M726">
        <v>33.67</v>
      </c>
      <c r="N726" s="11">
        <v>11</v>
      </c>
      <c r="O726" s="12">
        <v>3.08</v>
      </c>
      <c r="P726" s="12">
        <v>0.99</v>
      </c>
      <c r="Q726" s="13">
        <v>4.08</v>
      </c>
      <c r="R726" s="36" t="s">
        <v>283</v>
      </c>
      <c r="S726" s="7">
        <f t="shared" si="59"/>
        <v>2</v>
      </c>
      <c r="T726" s="15" t="str">
        <f>VLOOKUP(R726,产品分类!$C$2:$D$1278,2,0)</f>
        <v>办公用品</v>
      </c>
    </row>
    <row r="727" spans="1:20">
      <c r="A727" s="8">
        <f>DATE(2012,12,31)-572</f>
        <v>40702</v>
      </c>
      <c r="B727" s="8">
        <f>DATE(2012,12,31)-572</f>
        <v>40702</v>
      </c>
      <c r="C727" s="9" t="s">
        <v>1079</v>
      </c>
      <c r="D727">
        <v>10021267878</v>
      </c>
      <c r="E727" t="s">
        <v>47</v>
      </c>
      <c r="F727" t="s">
        <v>61</v>
      </c>
      <c r="G727" t="s">
        <v>62</v>
      </c>
      <c r="H727" t="s">
        <v>1077</v>
      </c>
      <c r="I727" t="s">
        <v>1078</v>
      </c>
      <c r="J727" t="s">
        <v>52</v>
      </c>
      <c r="K727" s="3">
        <v>100732118645</v>
      </c>
      <c r="L727" s="10">
        <v>40704</v>
      </c>
      <c r="M727">
        <v>1347.63</v>
      </c>
      <c r="N727" s="11">
        <v>48</v>
      </c>
      <c r="O727" s="12">
        <v>28.48</v>
      </c>
      <c r="P727" s="12">
        <v>1.99</v>
      </c>
      <c r="Q727" s="13">
        <v>562.89</v>
      </c>
      <c r="R727" s="36" t="s">
        <v>409</v>
      </c>
      <c r="S727" s="7">
        <f t="shared" si="59"/>
        <v>2</v>
      </c>
      <c r="T727" s="15" t="str">
        <f>VLOOKUP(R727,产品分类!$C$2:$D$1278,2,0)</f>
        <v>办公用品</v>
      </c>
    </row>
    <row r="728" spans="1:20">
      <c r="A728" s="8">
        <f>DATE(2012,12,31)-1315</f>
        <v>39959</v>
      </c>
      <c r="B728" s="8">
        <f>DATE(2012,12,31)-1315</f>
        <v>39959</v>
      </c>
      <c r="C728" s="9" t="s">
        <v>1080</v>
      </c>
      <c r="D728">
        <v>10021290602</v>
      </c>
      <c r="E728" t="s">
        <v>47</v>
      </c>
      <c r="F728" t="s">
        <v>122</v>
      </c>
      <c r="G728" t="s">
        <v>123</v>
      </c>
      <c r="H728" t="s">
        <v>124</v>
      </c>
      <c r="I728" t="s">
        <v>125</v>
      </c>
      <c r="J728" t="s">
        <v>52</v>
      </c>
      <c r="K728" s="3">
        <v>100418382594</v>
      </c>
      <c r="L728" s="10">
        <v>39960</v>
      </c>
      <c r="M728">
        <v>14451.75</v>
      </c>
      <c r="N728" s="11">
        <v>40</v>
      </c>
      <c r="O728" s="12">
        <v>349.45</v>
      </c>
      <c r="P728" s="12">
        <v>60</v>
      </c>
      <c r="Q728" s="13">
        <v>4503.63</v>
      </c>
      <c r="R728" s="36" t="s">
        <v>1081</v>
      </c>
      <c r="S728" s="7">
        <f t="shared" si="59"/>
        <v>1</v>
      </c>
      <c r="T728" s="15" t="str">
        <f>VLOOKUP(R728,产品分类!$C$2:$D$1278,2,0)</f>
        <v>办公用品</v>
      </c>
    </row>
    <row r="729" spans="1:20">
      <c r="A729" s="8">
        <f>DATE(2012,12,31)-630</f>
        <v>40644</v>
      </c>
      <c r="B729" s="8">
        <f>DATE(2012,12,31)-630</f>
        <v>40644</v>
      </c>
      <c r="C729" s="9" t="s">
        <v>90</v>
      </c>
      <c r="D729">
        <v>10021359082</v>
      </c>
      <c r="E729" t="s">
        <v>47</v>
      </c>
      <c r="F729" t="s">
        <v>91</v>
      </c>
      <c r="G729" t="s">
        <v>92</v>
      </c>
      <c r="H729" t="s">
        <v>774</v>
      </c>
      <c r="I729" t="s">
        <v>775</v>
      </c>
      <c r="J729" t="s">
        <v>52</v>
      </c>
      <c r="K729" s="3">
        <v>10072514215</v>
      </c>
      <c r="L729" s="10">
        <v>40646</v>
      </c>
      <c r="M729">
        <v>3821.039</v>
      </c>
      <c r="N729" s="11">
        <v>38</v>
      </c>
      <c r="O729" s="12">
        <v>115.99</v>
      </c>
      <c r="P729" s="12">
        <v>5.99</v>
      </c>
      <c r="Q729" s="13">
        <v>1057.887</v>
      </c>
      <c r="R729" s="36" t="s">
        <v>1082</v>
      </c>
      <c r="S729" s="7">
        <f t="shared" si="59"/>
        <v>2</v>
      </c>
      <c r="T729" s="15" t="str">
        <f>VLOOKUP(R729,产品分类!$C$2:$D$1278,2,0)</f>
        <v>家具产品</v>
      </c>
    </row>
    <row r="730" spans="1:20">
      <c r="A730" s="8">
        <f>DATE(2012,12,31)-159</f>
        <v>41115</v>
      </c>
      <c r="B730" s="8">
        <f>DATE(2012,12,31)-159</f>
        <v>41115</v>
      </c>
      <c r="C730" s="9" t="s">
        <v>1083</v>
      </c>
      <c r="D730">
        <v>10021275866</v>
      </c>
      <c r="E730" t="s">
        <v>47</v>
      </c>
      <c r="F730" t="s">
        <v>171</v>
      </c>
      <c r="G730" t="s">
        <v>172</v>
      </c>
      <c r="H730" t="s">
        <v>933</v>
      </c>
      <c r="I730" t="s">
        <v>934</v>
      </c>
      <c r="J730" t="s">
        <v>52</v>
      </c>
      <c r="K730" s="3">
        <v>100832774412</v>
      </c>
      <c r="L730" s="10">
        <v>41117</v>
      </c>
      <c r="M730">
        <v>1735.3515</v>
      </c>
      <c r="N730" s="11">
        <v>31</v>
      </c>
      <c r="O730" s="12">
        <v>65.99</v>
      </c>
      <c r="P730" s="12">
        <v>8.99</v>
      </c>
      <c r="Q730" s="13">
        <v>258.624</v>
      </c>
      <c r="R730" s="36" t="s">
        <v>730</v>
      </c>
      <c r="S730" s="7">
        <f t="shared" si="59"/>
        <v>2</v>
      </c>
      <c r="T730" s="15" t="str">
        <f>VLOOKUP(R730,产品分类!$C$2:$D$1278,2,0)</f>
        <v>办公用品</v>
      </c>
    </row>
    <row r="731" spans="1:20">
      <c r="A731" s="8">
        <f>DATE(2012,12,31)-426</f>
        <v>40848</v>
      </c>
      <c r="B731" s="8">
        <f>DATE(2012,12,31)-426</f>
        <v>40848</v>
      </c>
      <c r="C731" s="9" t="s">
        <v>1084</v>
      </c>
      <c r="D731">
        <v>10021274431</v>
      </c>
      <c r="E731" t="s">
        <v>47</v>
      </c>
      <c r="F731" t="s">
        <v>171</v>
      </c>
      <c r="G731" t="s">
        <v>172</v>
      </c>
      <c r="H731" t="s">
        <v>933</v>
      </c>
      <c r="I731" t="s">
        <v>934</v>
      </c>
      <c r="J731" t="s">
        <v>52</v>
      </c>
      <c r="K731" s="3">
        <v>100910076881</v>
      </c>
      <c r="L731" s="10">
        <v>40849</v>
      </c>
      <c r="M731">
        <v>4733.7</v>
      </c>
      <c r="N731" s="11">
        <v>36</v>
      </c>
      <c r="O731" s="12">
        <v>120.98</v>
      </c>
      <c r="P731" s="12">
        <v>30</v>
      </c>
      <c r="Q731" s="13">
        <v>624.36</v>
      </c>
      <c r="R731" s="36" t="s">
        <v>750</v>
      </c>
      <c r="S731" s="7">
        <f t="shared" si="59"/>
        <v>1</v>
      </c>
      <c r="T731" s="15" t="str">
        <f>VLOOKUP(R731,产品分类!$C$2:$D$1278,2,0)</f>
        <v>办公用品</v>
      </c>
    </row>
    <row r="732" spans="1:20">
      <c r="A732" s="8">
        <f>DATE(2012,12,31)-426</f>
        <v>40848</v>
      </c>
      <c r="B732" s="8">
        <f>DATE(2012,12,31)-426</f>
        <v>40848</v>
      </c>
      <c r="C732" s="9" t="s">
        <v>1084</v>
      </c>
      <c r="D732">
        <v>10021324355</v>
      </c>
      <c r="E732" t="s">
        <v>47</v>
      </c>
      <c r="F732" t="s">
        <v>127</v>
      </c>
      <c r="G732" t="s">
        <v>128</v>
      </c>
      <c r="H732" t="s">
        <v>129</v>
      </c>
      <c r="I732" t="s">
        <v>130</v>
      </c>
      <c r="J732" t="s">
        <v>52</v>
      </c>
      <c r="K732" s="3">
        <v>10037462119</v>
      </c>
      <c r="L732" s="10">
        <v>40849</v>
      </c>
      <c r="M732">
        <v>2718.07</v>
      </c>
      <c r="N732" s="11">
        <v>14</v>
      </c>
      <c r="O732" s="12">
        <v>209.84</v>
      </c>
      <c r="P732" s="12">
        <v>21.21</v>
      </c>
      <c r="Q732" s="13">
        <v>1107.53</v>
      </c>
      <c r="R732" s="36" t="s">
        <v>1085</v>
      </c>
      <c r="S732" s="7">
        <f t="shared" si="59"/>
        <v>1</v>
      </c>
      <c r="T732" s="15" t="str">
        <f>VLOOKUP(R732,产品分类!$C$2:$D$1278,2,0)</f>
        <v>数码电子</v>
      </c>
    </row>
    <row r="733" spans="1:20">
      <c r="A733" s="8">
        <f>DATE(2012,12,31)-1307</f>
        <v>39967</v>
      </c>
      <c r="B733" s="8">
        <f>DATE(2012,12,31)-1307</f>
        <v>39967</v>
      </c>
      <c r="C733" s="9" t="s">
        <v>837</v>
      </c>
      <c r="D733">
        <v>10021292054</v>
      </c>
      <c r="E733" t="s">
        <v>47</v>
      </c>
      <c r="F733" t="s">
        <v>167</v>
      </c>
      <c r="G733" t="s">
        <v>168</v>
      </c>
      <c r="H733" t="s">
        <v>169</v>
      </c>
      <c r="I733" t="s">
        <v>168</v>
      </c>
      <c r="J733" t="s">
        <v>52</v>
      </c>
      <c r="K733" s="3">
        <v>10081444232</v>
      </c>
      <c r="L733" s="10">
        <v>39969</v>
      </c>
      <c r="M733">
        <v>2508.673</v>
      </c>
      <c r="N733" s="11">
        <v>23</v>
      </c>
      <c r="O733" s="12">
        <v>125.99</v>
      </c>
      <c r="P733" s="12">
        <v>7.69</v>
      </c>
      <c r="Q733" s="13">
        <v>417.465</v>
      </c>
      <c r="R733" s="36" t="s">
        <v>903</v>
      </c>
      <c r="S733" s="7">
        <f t="shared" si="59"/>
        <v>2</v>
      </c>
      <c r="T733" s="15" t="str">
        <f>VLOOKUP(R733,产品分类!$C$2:$D$1278,2,0)</f>
        <v>家具产品</v>
      </c>
    </row>
    <row r="734" spans="1:20">
      <c r="A734" s="8">
        <f>DATE(2012,12,31)-542</f>
        <v>40732</v>
      </c>
      <c r="B734" s="8">
        <f>DATE(2012,12,31)-542</f>
        <v>40732</v>
      </c>
      <c r="C734" s="9" t="s">
        <v>543</v>
      </c>
      <c r="D734">
        <v>10021309705</v>
      </c>
      <c r="E734" t="s">
        <v>47</v>
      </c>
      <c r="F734" t="s">
        <v>61</v>
      </c>
      <c r="G734" t="s">
        <v>62</v>
      </c>
      <c r="H734" t="s">
        <v>1077</v>
      </c>
      <c r="I734" t="s">
        <v>1078</v>
      </c>
      <c r="J734" t="s">
        <v>52</v>
      </c>
      <c r="K734" s="3">
        <v>100717313465</v>
      </c>
      <c r="L734" s="10">
        <v>40734</v>
      </c>
      <c r="M734">
        <v>59.38</v>
      </c>
      <c r="N734" s="11">
        <v>7</v>
      </c>
      <c r="O734" s="12">
        <v>8.69</v>
      </c>
      <c r="P734" s="12">
        <v>2.99</v>
      </c>
      <c r="Q734" s="13">
        <v>-3.0475</v>
      </c>
      <c r="R734" s="36" t="s">
        <v>206</v>
      </c>
      <c r="S734" s="7">
        <f t="shared" si="59"/>
        <v>2</v>
      </c>
      <c r="T734" s="15" t="str">
        <f>VLOOKUP(R734,产品分类!$C$2:$D$1278,2,0)</f>
        <v>数码电子</v>
      </c>
    </row>
    <row r="735" spans="1:20">
      <c r="A735" s="8">
        <f>DATE(2012,12,31)-1431</f>
        <v>39843</v>
      </c>
      <c r="B735" s="8">
        <f>DATE(2012,12,31)-1431</f>
        <v>39843</v>
      </c>
      <c r="C735" s="9" t="s">
        <v>266</v>
      </c>
      <c r="D735">
        <v>10021304617</v>
      </c>
      <c r="E735" t="s">
        <v>47</v>
      </c>
      <c r="F735" t="s">
        <v>61</v>
      </c>
      <c r="G735" t="s">
        <v>62</v>
      </c>
      <c r="H735" t="s">
        <v>1077</v>
      </c>
      <c r="I735" t="s">
        <v>1078</v>
      </c>
      <c r="J735" t="s">
        <v>52</v>
      </c>
      <c r="K735" s="3">
        <v>1004920874</v>
      </c>
      <c r="L735" s="10">
        <v>39845</v>
      </c>
      <c r="M735">
        <v>1285.37</v>
      </c>
      <c r="N735" s="11">
        <v>42</v>
      </c>
      <c r="O735" s="12">
        <v>31.78</v>
      </c>
      <c r="P735" s="12">
        <v>1.99</v>
      </c>
      <c r="Q735" s="13">
        <v>514.07</v>
      </c>
      <c r="R735" s="36" t="s">
        <v>451</v>
      </c>
      <c r="S735" s="7">
        <f t="shared" si="59"/>
        <v>2</v>
      </c>
      <c r="T735" s="15" t="str">
        <f>VLOOKUP(R735,产品分类!$C$2:$D$1278,2,0)</f>
        <v>家具产品</v>
      </c>
    </row>
    <row r="736" spans="1:20">
      <c r="A736" s="8">
        <f t="shared" ref="A736:B738" si="61">DATE(2012,12,31)-1210</f>
        <v>40064</v>
      </c>
      <c r="B736" s="8">
        <f t="shared" si="61"/>
        <v>40064</v>
      </c>
      <c r="C736" s="9" t="s">
        <v>726</v>
      </c>
      <c r="D736">
        <v>10021279243</v>
      </c>
      <c r="E736" t="s">
        <v>47</v>
      </c>
      <c r="F736" t="s">
        <v>78</v>
      </c>
      <c r="G736" t="s">
        <v>79</v>
      </c>
      <c r="H736" t="s">
        <v>80</v>
      </c>
      <c r="I736" t="s">
        <v>81</v>
      </c>
      <c r="J736" t="s">
        <v>52</v>
      </c>
      <c r="K736" s="3">
        <v>100128353568</v>
      </c>
      <c r="L736" s="10">
        <v>40071</v>
      </c>
      <c r="M736">
        <v>212.57</v>
      </c>
      <c r="N736" s="11">
        <v>38</v>
      </c>
      <c r="O736" s="12">
        <v>5.34</v>
      </c>
      <c r="P736" s="12">
        <v>2.99</v>
      </c>
      <c r="Q736" s="13">
        <v>9.486</v>
      </c>
      <c r="R736" s="36" t="s">
        <v>415</v>
      </c>
      <c r="S736" s="7">
        <f t="shared" si="59"/>
        <v>7</v>
      </c>
      <c r="T736" s="15" t="str">
        <f>VLOOKUP(R736,产品分类!$C$2:$D$1278,2,0)</f>
        <v>办公用品</v>
      </c>
    </row>
    <row r="737" spans="1:20">
      <c r="A737" s="8">
        <f t="shared" si="61"/>
        <v>40064</v>
      </c>
      <c r="B737" s="8">
        <f t="shared" si="61"/>
        <v>40064</v>
      </c>
      <c r="C737" s="9" t="s">
        <v>726</v>
      </c>
      <c r="D737">
        <v>10021328543</v>
      </c>
      <c r="E737" t="s">
        <v>47</v>
      </c>
      <c r="F737" t="s">
        <v>177</v>
      </c>
      <c r="G737" t="s">
        <v>178</v>
      </c>
      <c r="H737" t="s">
        <v>795</v>
      </c>
      <c r="I737" t="s">
        <v>796</v>
      </c>
      <c r="J737" t="s">
        <v>52</v>
      </c>
      <c r="K737" s="3">
        <v>10079537655</v>
      </c>
      <c r="L737" s="10">
        <v>40071</v>
      </c>
      <c r="M737">
        <v>1469.48</v>
      </c>
      <c r="N737" s="11">
        <v>10</v>
      </c>
      <c r="O737" s="12">
        <v>140.98</v>
      </c>
      <c r="P737" s="12">
        <v>53.48</v>
      </c>
      <c r="Q737" s="13">
        <v>-263.65</v>
      </c>
      <c r="R737" s="36" t="s">
        <v>1086</v>
      </c>
      <c r="S737" s="7">
        <f t="shared" si="59"/>
        <v>7</v>
      </c>
      <c r="T737" s="15" t="str">
        <f>VLOOKUP(R737,产品分类!$C$2:$D$1278,2,0)</f>
        <v>办公用品</v>
      </c>
    </row>
    <row r="738" spans="1:20">
      <c r="A738" s="8">
        <f t="shared" si="61"/>
        <v>40064</v>
      </c>
      <c r="B738" s="8">
        <f t="shared" si="61"/>
        <v>40064</v>
      </c>
      <c r="C738" s="9" t="s">
        <v>726</v>
      </c>
      <c r="D738">
        <v>10021253750</v>
      </c>
      <c r="E738" t="s">
        <v>47</v>
      </c>
      <c r="F738" t="s">
        <v>48</v>
      </c>
      <c r="G738" t="s">
        <v>49</v>
      </c>
      <c r="H738" t="s">
        <v>50</v>
      </c>
      <c r="I738" t="s">
        <v>51</v>
      </c>
      <c r="J738" t="s">
        <v>52</v>
      </c>
      <c r="K738" s="3">
        <v>100320414829</v>
      </c>
      <c r="L738" s="10">
        <v>40071</v>
      </c>
      <c r="M738">
        <v>4279.24</v>
      </c>
      <c r="N738" s="11">
        <v>25</v>
      </c>
      <c r="O738" s="12">
        <v>205.99</v>
      </c>
      <c r="P738" s="12">
        <v>5.26</v>
      </c>
      <c r="Q738" s="13">
        <v>890.181</v>
      </c>
      <c r="R738" s="36" t="s">
        <v>688</v>
      </c>
      <c r="S738" s="7">
        <f t="shared" si="59"/>
        <v>7</v>
      </c>
      <c r="T738" s="15" t="str">
        <f>VLOOKUP(R738,产品分类!$C$2:$D$1278,2,0)</f>
        <v>办公用品</v>
      </c>
    </row>
    <row r="739" spans="1:20">
      <c r="A739" s="8">
        <f>DATE(2012,12,31)-1003</f>
        <v>40271</v>
      </c>
      <c r="B739" s="8">
        <f>DATE(2012,12,31)-1003</f>
        <v>40271</v>
      </c>
      <c r="C739" s="9" t="s">
        <v>259</v>
      </c>
      <c r="D739">
        <v>10021349978</v>
      </c>
      <c r="E739" t="s">
        <v>47</v>
      </c>
      <c r="F739" t="s">
        <v>152</v>
      </c>
      <c r="G739" t="s">
        <v>153</v>
      </c>
      <c r="H739" t="s">
        <v>154</v>
      </c>
      <c r="I739" t="s">
        <v>155</v>
      </c>
      <c r="J739" t="s">
        <v>52</v>
      </c>
      <c r="K739" s="3">
        <v>100932134791</v>
      </c>
      <c r="L739" s="10">
        <v>40273</v>
      </c>
      <c r="M739">
        <v>1042.25</v>
      </c>
      <c r="N739" s="11">
        <v>8</v>
      </c>
      <c r="O739" s="12">
        <v>131.12</v>
      </c>
      <c r="P739" s="12">
        <v>0.99</v>
      </c>
      <c r="Q739" s="13">
        <v>195.16</v>
      </c>
      <c r="R739" s="36" t="s">
        <v>1087</v>
      </c>
      <c r="S739" s="7">
        <f t="shared" si="59"/>
        <v>2</v>
      </c>
      <c r="T739" s="15" t="str">
        <f>VLOOKUP(R739,产品分类!$C$2:$D$1278,2,0)</f>
        <v>数码电子</v>
      </c>
    </row>
    <row r="740" spans="1:20">
      <c r="A740" s="8">
        <f>DATE(2012,12,31)-1003</f>
        <v>40271</v>
      </c>
      <c r="B740" s="8">
        <f>DATE(2012,12,31)-1003</f>
        <v>40271</v>
      </c>
      <c r="C740" s="9" t="s">
        <v>259</v>
      </c>
      <c r="D740">
        <v>10021280092</v>
      </c>
      <c r="E740" t="s">
        <v>47</v>
      </c>
      <c r="F740" t="s">
        <v>152</v>
      </c>
      <c r="G740" t="s">
        <v>153</v>
      </c>
      <c r="H740" t="s">
        <v>154</v>
      </c>
      <c r="I740" t="s">
        <v>155</v>
      </c>
      <c r="J740" t="s">
        <v>52</v>
      </c>
      <c r="K740" s="3">
        <v>100110589827</v>
      </c>
      <c r="L740" s="10">
        <v>40272</v>
      </c>
      <c r="M740">
        <v>5010.7415</v>
      </c>
      <c r="N740" s="11">
        <v>29</v>
      </c>
      <c r="O740" s="12">
        <v>200.99</v>
      </c>
      <c r="P740" s="12">
        <v>4.2</v>
      </c>
      <c r="Q740" s="13">
        <v>1196.37</v>
      </c>
      <c r="R740" s="36" t="s">
        <v>779</v>
      </c>
      <c r="S740" s="7">
        <f t="shared" si="59"/>
        <v>1</v>
      </c>
      <c r="T740" s="15" t="str">
        <f>VLOOKUP(R740,产品分类!$C$2:$D$1278,2,0)</f>
        <v>家具产品</v>
      </c>
    </row>
    <row r="741" spans="1:20">
      <c r="A741" s="8">
        <f t="shared" ref="A741:B743" si="62">DATE(2012,12,31)-737</f>
        <v>40537</v>
      </c>
      <c r="B741" s="8">
        <f t="shared" si="62"/>
        <v>40537</v>
      </c>
      <c r="C741" s="9" t="s">
        <v>1088</v>
      </c>
      <c r="D741">
        <v>10021336019</v>
      </c>
      <c r="E741" t="s">
        <v>47</v>
      </c>
      <c r="F741" t="s">
        <v>48</v>
      </c>
      <c r="G741" t="s">
        <v>49</v>
      </c>
      <c r="H741" t="s">
        <v>50</v>
      </c>
      <c r="I741" t="s">
        <v>51</v>
      </c>
      <c r="J741" t="s">
        <v>52</v>
      </c>
      <c r="K741" s="3">
        <v>10036750309</v>
      </c>
      <c r="L741" s="10">
        <v>40538</v>
      </c>
      <c r="M741">
        <v>2932.99</v>
      </c>
      <c r="N741" s="11">
        <v>34</v>
      </c>
      <c r="O741" s="12">
        <v>90.98</v>
      </c>
      <c r="P741" s="12">
        <v>56.2</v>
      </c>
      <c r="Q741" s="13">
        <v>-1448.83</v>
      </c>
      <c r="R741" s="36" t="s">
        <v>1089</v>
      </c>
      <c r="S741" s="7">
        <f t="shared" si="59"/>
        <v>1</v>
      </c>
      <c r="T741" s="15" t="str">
        <f>VLOOKUP(R741,产品分类!$C$2:$D$1278,2,0)</f>
        <v>办公用品</v>
      </c>
    </row>
    <row r="742" spans="1:20">
      <c r="A742" s="8">
        <f t="shared" si="62"/>
        <v>40537</v>
      </c>
      <c r="B742" s="8">
        <f t="shared" si="62"/>
        <v>40537</v>
      </c>
      <c r="C742" s="9" t="s">
        <v>1088</v>
      </c>
      <c r="D742">
        <v>10021347651</v>
      </c>
      <c r="E742" t="s">
        <v>47</v>
      </c>
      <c r="F742" t="s">
        <v>72</v>
      </c>
      <c r="G742" t="s">
        <v>73</v>
      </c>
      <c r="H742" t="s">
        <v>1035</v>
      </c>
      <c r="I742" t="s">
        <v>1036</v>
      </c>
      <c r="J742" t="s">
        <v>52</v>
      </c>
      <c r="K742" s="3">
        <v>100131285948</v>
      </c>
      <c r="L742" s="10">
        <v>40539</v>
      </c>
      <c r="M742">
        <v>9194.8</v>
      </c>
      <c r="N742" s="11">
        <v>45</v>
      </c>
      <c r="O742" s="12">
        <v>218.75</v>
      </c>
      <c r="P742" s="12">
        <v>69.64</v>
      </c>
      <c r="Q742" s="13">
        <v>-1760.571</v>
      </c>
      <c r="R742" s="36" t="s">
        <v>456</v>
      </c>
      <c r="S742" s="7">
        <f t="shared" si="59"/>
        <v>2</v>
      </c>
      <c r="T742" s="15" t="str">
        <f>VLOOKUP(R742,产品分类!$C$2:$D$1278,2,0)</f>
        <v>办公用品</v>
      </c>
    </row>
    <row r="743" spans="1:20">
      <c r="A743" s="8">
        <f t="shared" si="62"/>
        <v>40537</v>
      </c>
      <c r="B743" s="8">
        <f t="shared" si="62"/>
        <v>40537</v>
      </c>
      <c r="C743" s="9" t="s">
        <v>1088</v>
      </c>
      <c r="D743">
        <v>10021395362</v>
      </c>
      <c r="E743" t="s">
        <v>47</v>
      </c>
      <c r="F743" t="s">
        <v>78</v>
      </c>
      <c r="G743" t="s">
        <v>79</v>
      </c>
      <c r="H743" t="s">
        <v>80</v>
      </c>
      <c r="I743" t="s">
        <v>81</v>
      </c>
      <c r="J743" t="s">
        <v>52</v>
      </c>
      <c r="K743" s="3">
        <v>100110178256</v>
      </c>
      <c r="L743" s="10">
        <v>40539</v>
      </c>
      <c r="M743">
        <v>2285.12</v>
      </c>
      <c r="N743" s="11">
        <v>17</v>
      </c>
      <c r="O743" s="12">
        <v>140.98</v>
      </c>
      <c r="P743" s="12">
        <v>36.09</v>
      </c>
      <c r="Q743" s="13">
        <v>-455.8</v>
      </c>
      <c r="R743" s="36" t="s">
        <v>1090</v>
      </c>
      <c r="S743" s="7">
        <f t="shared" si="59"/>
        <v>2</v>
      </c>
      <c r="T743" s="15" t="str">
        <f>VLOOKUP(R743,产品分类!$C$2:$D$1278,2,0)</f>
        <v>办公用品</v>
      </c>
    </row>
    <row r="744" spans="1:20">
      <c r="A744" s="8">
        <f t="shared" ref="A744:B746" si="63">DATE(2012,12,31)-679</f>
        <v>40595</v>
      </c>
      <c r="B744" s="8">
        <f t="shared" si="63"/>
        <v>40595</v>
      </c>
      <c r="C744" s="9" t="s">
        <v>1091</v>
      </c>
      <c r="D744">
        <v>10021254086</v>
      </c>
      <c r="E744" t="s">
        <v>47</v>
      </c>
      <c r="F744" t="s">
        <v>230</v>
      </c>
      <c r="G744" t="s">
        <v>231</v>
      </c>
      <c r="H744" t="s">
        <v>870</v>
      </c>
      <c r="I744" t="s">
        <v>871</v>
      </c>
      <c r="J744" t="s">
        <v>52</v>
      </c>
      <c r="K744" s="3">
        <v>100121345276</v>
      </c>
      <c r="L744" s="10">
        <v>40597</v>
      </c>
      <c r="M744">
        <v>525.555</v>
      </c>
      <c r="N744" s="11">
        <v>7</v>
      </c>
      <c r="O744" s="12">
        <v>85.99</v>
      </c>
      <c r="P744" s="12">
        <v>1.25</v>
      </c>
      <c r="Q744" s="13">
        <v>-60.665</v>
      </c>
      <c r="R744" s="36" t="s">
        <v>723</v>
      </c>
      <c r="S744" s="7">
        <f t="shared" si="59"/>
        <v>2</v>
      </c>
      <c r="T744" s="15" t="str">
        <f>VLOOKUP(R744,产品分类!$C$2:$D$1278,2,0)</f>
        <v>办公用品</v>
      </c>
    </row>
    <row r="745" spans="1:20">
      <c r="A745" s="8">
        <f t="shared" si="63"/>
        <v>40595</v>
      </c>
      <c r="B745" s="8">
        <f t="shared" si="63"/>
        <v>40595</v>
      </c>
      <c r="C745" s="9" t="s">
        <v>1091</v>
      </c>
      <c r="D745">
        <v>10021388151</v>
      </c>
      <c r="E745" t="s">
        <v>47</v>
      </c>
      <c r="F745" t="s">
        <v>230</v>
      </c>
      <c r="G745" t="s">
        <v>231</v>
      </c>
      <c r="H745" t="s">
        <v>870</v>
      </c>
      <c r="I745" t="s">
        <v>871</v>
      </c>
      <c r="J745" t="s">
        <v>52</v>
      </c>
      <c r="K745" s="3">
        <v>100325462489</v>
      </c>
      <c r="L745" s="10">
        <v>40598</v>
      </c>
      <c r="M745">
        <v>276.029</v>
      </c>
      <c r="N745" s="11">
        <v>39</v>
      </c>
      <c r="O745" s="12">
        <v>7.99</v>
      </c>
      <c r="P745" s="12">
        <v>5.03</v>
      </c>
      <c r="Q745" s="13">
        <v>-108.185</v>
      </c>
      <c r="R745" s="36" t="s">
        <v>71</v>
      </c>
      <c r="S745" s="7">
        <f t="shared" si="59"/>
        <v>3</v>
      </c>
      <c r="T745" s="15" t="str">
        <f>VLOOKUP(R745,产品分类!$C$2:$D$1278,2,0)</f>
        <v>办公用品</v>
      </c>
    </row>
    <row r="746" spans="1:20">
      <c r="A746" s="8">
        <f t="shared" si="63"/>
        <v>40595</v>
      </c>
      <c r="B746" s="8">
        <f t="shared" si="63"/>
        <v>40595</v>
      </c>
      <c r="C746" s="9" t="s">
        <v>1091</v>
      </c>
      <c r="D746">
        <v>10021345646</v>
      </c>
      <c r="E746" t="s">
        <v>47</v>
      </c>
      <c r="F746" t="s">
        <v>230</v>
      </c>
      <c r="G746" t="s">
        <v>231</v>
      </c>
      <c r="H746" t="s">
        <v>870</v>
      </c>
      <c r="I746" t="s">
        <v>871</v>
      </c>
      <c r="J746" t="s">
        <v>52</v>
      </c>
      <c r="K746" s="3">
        <v>100830199602</v>
      </c>
      <c r="L746" s="10">
        <v>40596</v>
      </c>
      <c r="M746">
        <v>187.204</v>
      </c>
      <c r="N746" s="11">
        <v>1</v>
      </c>
      <c r="O746" s="12">
        <v>205.99</v>
      </c>
      <c r="P746" s="12">
        <v>5.26</v>
      </c>
      <c r="Q746" s="13">
        <v>-796.763</v>
      </c>
      <c r="R746" s="36" t="s">
        <v>688</v>
      </c>
      <c r="S746" s="7">
        <f t="shared" si="59"/>
        <v>1</v>
      </c>
      <c r="T746" s="15" t="str">
        <f>VLOOKUP(R746,产品分类!$C$2:$D$1278,2,0)</f>
        <v>办公用品</v>
      </c>
    </row>
    <row r="747" spans="1:20">
      <c r="A747" s="8">
        <f>DATE(2012,12,31)-814</f>
        <v>40460</v>
      </c>
      <c r="B747" s="8">
        <f>DATE(2012,12,31)-814</f>
        <v>40460</v>
      </c>
      <c r="C747" s="9" t="s">
        <v>1092</v>
      </c>
      <c r="D747">
        <v>10021348040</v>
      </c>
      <c r="E747" t="s">
        <v>47</v>
      </c>
      <c r="F747" t="s">
        <v>122</v>
      </c>
      <c r="G747" t="s">
        <v>123</v>
      </c>
      <c r="H747" t="s">
        <v>124</v>
      </c>
      <c r="I747" t="s">
        <v>125</v>
      </c>
      <c r="J747" t="s">
        <v>52</v>
      </c>
      <c r="K747" s="3">
        <v>100414361933</v>
      </c>
      <c r="L747" s="10">
        <v>40462</v>
      </c>
      <c r="M747">
        <v>434.73</v>
      </c>
      <c r="N747" s="11">
        <v>39</v>
      </c>
      <c r="O747" s="12">
        <v>11.33</v>
      </c>
      <c r="P747" s="12">
        <v>6.12</v>
      </c>
      <c r="Q747" s="13">
        <v>-12.2</v>
      </c>
      <c r="R747" s="36" t="s">
        <v>1093</v>
      </c>
      <c r="S747" s="7">
        <f t="shared" si="59"/>
        <v>2</v>
      </c>
      <c r="T747" s="15" t="str">
        <f>VLOOKUP(R747,产品分类!$C$2:$D$1278,2,0)</f>
        <v>家具产品</v>
      </c>
    </row>
    <row r="748" spans="1:20">
      <c r="A748" s="8">
        <f>DATE(2012,12,31)-814</f>
        <v>40460</v>
      </c>
      <c r="B748" s="8">
        <f>DATE(2012,12,31)-814</f>
        <v>40460</v>
      </c>
      <c r="C748" s="9" t="s">
        <v>1092</v>
      </c>
      <c r="D748">
        <v>10021267113</v>
      </c>
      <c r="E748" t="s">
        <v>47</v>
      </c>
      <c r="F748" t="s">
        <v>83</v>
      </c>
      <c r="G748" t="s">
        <v>84</v>
      </c>
      <c r="H748" t="s">
        <v>1037</v>
      </c>
      <c r="I748" t="s">
        <v>1038</v>
      </c>
      <c r="J748" t="s">
        <v>52</v>
      </c>
      <c r="K748" s="3">
        <v>1001540768</v>
      </c>
      <c r="L748" s="10">
        <v>40467</v>
      </c>
      <c r="M748">
        <v>7017.42</v>
      </c>
      <c r="N748" s="11">
        <v>50</v>
      </c>
      <c r="O748" s="12">
        <v>140.85</v>
      </c>
      <c r="P748" s="12">
        <v>19.99</v>
      </c>
      <c r="Q748" s="13">
        <v>595.2</v>
      </c>
      <c r="R748" s="36" t="s">
        <v>672</v>
      </c>
      <c r="S748" s="7">
        <f t="shared" si="59"/>
        <v>7</v>
      </c>
      <c r="T748" s="15" t="str">
        <f>VLOOKUP(R748,产品分类!$C$2:$D$1278,2,0)</f>
        <v>办公用品</v>
      </c>
    </row>
    <row r="749" spans="1:20">
      <c r="A749" s="8">
        <f>DATE(2012,12,31)-68</f>
        <v>41206</v>
      </c>
      <c r="B749" s="8">
        <f>DATE(2012,12,31)-68</f>
        <v>41206</v>
      </c>
      <c r="C749" s="9" t="s">
        <v>1094</v>
      </c>
      <c r="D749">
        <v>10021320116</v>
      </c>
      <c r="E749" t="s">
        <v>47</v>
      </c>
      <c r="F749" t="s">
        <v>91</v>
      </c>
      <c r="G749" t="s">
        <v>92</v>
      </c>
      <c r="H749" t="s">
        <v>774</v>
      </c>
      <c r="I749" t="s">
        <v>775</v>
      </c>
      <c r="J749" t="s">
        <v>52</v>
      </c>
      <c r="K749" s="3">
        <v>100317342689</v>
      </c>
      <c r="L749" s="10">
        <v>41208</v>
      </c>
      <c r="M749">
        <v>54.28</v>
      </c>
      <c r="N749" s="11">
        <v>6</v>
      </c>
      <c r="O749" s="12">
        <v>6.24</v>
      </c>
      <c r="P749" s="12">
        <v>5.22</v>
      </c>
      <c r="Q749" s="13">
        <v>-11.98</v>
      </c>
      <c r="R749" s="36" t="s">
        <v>368</v>
      </c>
      <c r="S749" s="7">
        <f t="shared" si="59"/>
        <v>2</v>
      </c>
      <c r="T749" s="15" t="str">
        <f>VLOOKUP(R749,产品分类!$C$2:$D$1278,2,0)</f>
        <v>办公用品</v>
      </c>
    </row>
    <row r="750" spans="1:20">
      <c r="A750" s="8">
        <f>DATE(2012,12,31)-1068</f>
        <v>40206</v>
      </c>
      <c r="B750" s="8">
        <f>DATE(2012,12,31)-1068</f>
        <v>40206</v>
      </c>
      <c r="C750" s="9" t="s">
        <v>369</v>
      </c>
      <c r="D750">
        <v>10021331308</v>
      </c>
      <c r="E750" t="s">
        <v>47</v>
      </c>
      <c r="F750" t="s">
        <v>91</v>
      </c>
      <c r="G750" t="s">
        <v>92</v>
      </c>
      <c r="H750" t="s">
        <v>774</v>
      </c>
      <c r="I750" t="s">
        <v>775</v>
      </c>
      <c r="J750" t="s">
        <v>52</v>
      </c>
      <c r="K750" s="3">
        <v>10092313461</v>
      </c>
      <c r="L750" s="10">
        <v>40213</v>
      </c>
      <c r="M750">
        <v>4888.14</v>
      </c>
      <c r="N750" s="11">
        <v>47</v>
      </c>
      <c r="O750" s="12">
        <v>107.53</v>
      </c>
      <c r="P750" s="12">
        <v>5.81</v>
      </c>
      <c r="Q750" s="13">
        <v>1545.09</v>
      </c>
      <c r="R750" s="36" t="s">
        <v>65</v>
      </c>
      <c r="S750" s="7">
        <f t="shared" si="59"/>
        <v>7</v>
      </c>
      <c r="T750" s="15" t="str">
        <f>VLOOKUP(R750,产品分类!$C$2:$D$1278,2,0)</f>
        <v>家具产品</v>
      </c>
    </row>
    <row r="751" spans="1:20">
      <c r="A751" s="8">
        <f>DATE(2012,12,31)-1068</f>
        <v>40206</v>
      </c>
      <c r="B751" s="8">
        <f>DATE(2012,12,31)-1068</f>
        <v>40206</v>
      </c>
      <c r="C751" s="9" t="s">
        <v>369</v>
      </c>
      <c r="D751">
        <v>10021334502</v>
      </c>
      <c r="E751" t="s">
        <v>47</v>
      </c>
      <c r="F751" t="s">
        <v>55</v>
      </c>
      <c r="G751" t="s">
        <v>56</v>
      </c>
      <c r="H751" t="s">
        <v>57</v>
      </c>
      <c r="I751" t="s">
        <v>58</v>
      </c>
      <c r="J751" t="s">
        <v>52</v>
      </c>
      <c r="K751" s="3">
        <v>100414242584</v>
      </c>
      <c r="L751" s="10">
        <v>40213</v>
      </c>
      <c r="M751">
        <v>63.87</v>
      </c>
      <c r="N751" s="11">
        <v>27</v>
      </c>
      <c r="O751" s="12">
        <v>2.18</v>
      </c>
      <c r="P751" s="12">
        <v>7.09</v>
      </c>
      <c r="Q751" s="13">
        <v>-149.93</v>
      </c>
      <c r="R751" s="36" t="s">
        <v>1095</v>
      </c>
      <c r="S751" s="7">
        <f t="shared" si="59"/>
        <v>7</v>
      </c>
      <c r="T751" s="15" t="str">
        <f>VLOOKUP(R751,产品分类!$C$2:$D$1278,2,0)</f>
        <v>办公用品</v>
      </c>
    </row>
    <row r="752" spans="1:20">
      <c r="A752" s="8">
        <f>DATE(2012,12,31)-354</f>
        <v>40920</v>
      </c>
      <c r="B752" s="8">
        <f>DATE(2012,12,31)-354</f>
        <v>40920</v>
      </c>
      <c r="C752" s="9" t="s">
        <v>222</v>
      </c>
      <c r="D752">
        <v>10021294153</v>
      </c>
      <c r="E752" t="s">
        <v>47</v>
      </c>
      <c r="F752" t="s">
        <v>122</v>
      </c>
      <c r="G752" t="s">
        <v>123</v>
      </c>
      <c r="H752" t="s">
        <v>124</v>
      </c>
      <c r="I752" t="s">
        <v>125</v>
      </c>
      <c r="J752" t="s">
        <v>52</v>
      </c>
      <c r="K752" s="3">
        <v>100111141976</v>
      </c>
      <c r="L752" s="10">
        <v>40927</v>
      </c>
      <c r="M752">
        <v>260.12</v>
      </c>
      <c r="N752" s="11">
        <v>30</v>
      </c>
      <c r="O752" s="12">
        <v>8.98</v>
      </c>
      <c r="P752" s="12">
        <v>4.19</v>
      </c>
      <c r="Q752" s="13">
        <v>36.54</v>
      </c>
      <c r="R752" s="36" t="s">
        <v>1096</v>
      </c>
      <c r="S752" s="7">
        <f t="shared" si="59"/>
        <v>7</v>
      </c>
      <c r="T752" s="15" t="str">
        <f>VLOOKUP(R752,产品分类!$C$2:$D$1278,2,0)</f>
        <v>办公用品</v>
      </c>
    </row>
    <row r="753" spans="1:20">
      <c r="A753" s="8">
        <f>DATE(2012,12,31)-164</f>
        <v>41110</v>
      </c>
      <c r="B753" s="8">
        <f>DATE(2012,12,31)-164</f>
        <v>41110</v>
      </c>
      <c r="C753" s="9" t="s">
        <v>689</v>
      </c>
      <c r="D753">
        <v>10021395887</v>
      </c>
      <c r="E753" t="s">
        <v>47</v>
      </c>
      <c r="F753" t="s">
        <v>97</v>
      </c>
      <c r="G753" t="s">
        <v>98</v>
      </c>
      <c r="H753" t="s">
        <v>99</v>
      </c>
      <c r="I753" t="s">
        <v>98</v>
      </c>
      <c r="J753" t="s">
        <v>52</v>
      </c>
      <c r="K753" s="3">
        <v>100315077479</v>
      </c>
      <c r="L753" s="10">
        <v>41117</v>
      </c>
      <c r="M753">
        <v>88.82</v>
      </c>
      <c r="N753" s="11">
        <v>20</v>
      </c>
      <c r="O753" s="12">
        <v>4.13</v>
      </c>
      <c r="P753" s="12">
        <v>0.5</v>
      </c>
      <c r="Q753" s="13">
        <v>38.35</v>
      </c>
      <c r="R753" s="36" t="s">
        <v>691</v>
      </c>
      <c r="S753" s="7">
        <f t="shared" si="59"/>
        <v>7</v>
      </c>
      <c r="T753" s="15" t="str">
        <f>VLOOKUP(R753,产品分类!$C$2:$D$1278,2,0)</f>
        <v>办公用品</v>
      </c>
    </row>
    <row r="754" spans="1:20">
      <c r="A754" s="8">
        <f>DATE(2012,12,31)-164</f>
        <v>41110</v>
      </c>
      <c r="B754" s="8">
        <f>DATE(2012,12,31)-164</f>
        <v>41110</v>
      </c>
      <c r="C754" s="9" t="s">
        <v>689</v>
      </c>
      <c r="D754">
        <v>10021332851</v>
      </c>
      <c r="E754" t="s">
        <v>47</v>
      </c>
      <c r="F754" t="s">
        <v>97</v>
      </c>
      <c r="G754" t="s">
        <v>98</v>
      </c>
      <c r="H754" t="s">
        <v>99</v>
      </c>
      <c r="I754" t="s">
        <v>98</v>
      </c>
      <c r="J754" t="s">
        <v>52</v>
      </c>
      <c r="K754" s="3">
        <v>100412927784</v>
      </c>
      <c r="L754" s="10">
        <v>41119</v>
      </c>
      <c r="M754">
        <v>2392.23</v>
      </c>
      <c r="N754" s="11">
        <v>11</v>
      </c>
      <c r="O754" s="12">
        <v>209.84</v>
      </c>
      <c r="P754" s="12">
        <v>21.21</v>
      </c>
      <c r="Q754" s="13">
        <v>1216.74</v>
      </c>
      <c r="R754" s="36" t="s">
        <v>1085</v>
      </c>
      <c r="S754" s="7">
        <f t="shared" si="59"/>
        <v>9</v>
      </c>
      <c r="T754" s="15" t="str">
        <f>VLOOKUP(R754,产品分类!$C$2:$D$1278,2,0)</f>
        <v>数码电子</v>
      </c>
    </row>
    <row r="755" spans="1:20">
      <c r="A755" s="8">
        <f>DATE(2012,12,31)-358</f>
        <v>40916</v>
      </c>
      <c r="B755" s="8">
        <f>DATE(2012,12,31)-358</f>
        <v>40916</v>
      </c>
      <c r="C755" s="9" t="s">
        <v>1097</v>
      </c>
      <c r="D755">
        <v>10021348908</v>
      </c>
      <c r="E755" t="s">
        <v>47</v>
      </c>
      <c r="F755" t="s">
        <v>102</v>
      </c>
      <c r="G755" t="s">
        <v>103</v>
      </c>
      <c r="H755" t="s">
        <v>104</v>
      </c>
      <c r="I755" t="s">
        <v>105</v>
      </c>
      <c r="J755" t="s">
        <v>52</v>
      </c>
      <c r="K755" s="3">
        <v>100331634139</v>
      </c>
      <c r="L755" s="10">
        <v>40921</v>
      </c>
      <c r="M755">
        <v>48.91</v>
      </c>
      <c r="N755" s="11">
        <v>11</v>
      </c>
      <c r="O755" s="12">
        <v>3.98</v>
      </c>
      <c r="P755" s="12">
        <v>2.97</v>
      </c>
      <c r="Q755" s="13">
        <v>-7.04</v>
      </c>
      <c r="R755" s="36" t="s">
        <v>1098</v>
      </c>
      <c r="S755" s="7">
        <f t="shared" si="59"/>
        <v>5</v>
      </c>
      <c r="T755" s="15" t="str">
        <f>VLOOKUP(R755,产品分类!$C$2:$D$1278,2,0)</f>
        <v>办公用品</v>
      </c>
    </row>
    <row r="756" spans="1:20">
      <c r="A756" s="8">
        <f>DATE(2012,12,31)-1013</f>
        <v>40261</v>
      </c>
      <c r="B756" s="8">
        <f>DATE(2012,12,31)-1013</f>
        <v>40261</v>
      </c>
      <c r="C756" s="9" t="s">
        <v>222</v>
      </c>
      <c r="D756">
        <v>10021261934</v>
      </c>
      <c r="E756" t="s">
        <v>47</v>
      </c>
      <c r="F756" t="s">
        <v>102</v>
      </c>
      <c r="G756" t="s">
        <v>103</v>
      </c>
      <c r="H756" t="s">
        <v>104</v>
      </c>
      <c r="I756" t="s">
        <v>105</v>
      </c>
      <c r="J756" t="s">
        <v>52</v>
      </c>
      <c r="K756" s="3">
        <v>100129752537</v>
      </c>
      <c r="L756" s="10">
        <v>40262</v>
      </c>
      <c r="M756">
        <v>284.62</v>
      </c>
      <c r="N756" s="11">
        <v>14</v>
      </c>
      <c r="O756" s="12">
        <v>20.98</v>
      </c>
      <c r="P756" s="12">
        <v>5.42</v>
      </c>
      <c r="Q756" s="13">
        <v>-27.08</v>
      </c>
      <c r="R756" s="36" t="s">
        <v>659</v>
      </c>
      <c r="S756" s="7">
        <f t="shared" si="59"/>
        <v>1</v>
      </c>
      <c r="T756" s="15" t="str">
        <f>VLOOKUP(R756,产品分类!$C$2:$D$1278,2,0)</f>
        <v>办公用品</v>
      </c>
    </row>
    <row r="757" spans="1:20">
      <c r="A757" s="8">
        <f>DATE(2012,12,31)-1260</f>
        <v>40014</v>
      </c>
      <c r="B757" s="8">
        <f>DATE(2012,12,31)-1260</f>
        <v>40014</v>
      </c>
      <c r="C757" s="9" t="s">
        <v>1099</v>
      </c>
      <c r="D757">
        <v>10021282436</v>
      </c>
      <c r="E757" t="s">
        <v>47</v>
      </c>
      <c r="F757" t="s">
        <v>102</v>
      </c>
      <c r="G757" t="s">
        <v>103</v>
      </c>
      <c r="H757" t="s">
        <v>104</v>
      </c>
      <c r="I757" t="s">
        <v>105</v>
      </c>
      <c r="J757" t="s">
        <v>52</v>
      </c>
      <c r="K757" s="3">
        <v>10014325178</v>
      </c>
      <c r="L757" s="10">
        <v>40016</v>
      </c>
      <c r="M757">
        <v>226.83</v>
      </c>
      <c r="N757" s="11">
        <v>34</v>
      </c>
      <c r="O757" s="12">
        <v>6.48</v>
      </c>
      <c r="P757" s="12">
        <v>6.6</v>
      </c>
      <c r="Q757" s="13">
        <v>-92.05</v>
      </c>
      <c r="R757" s="36" t="s">
        <v>784</v>
      </c>
      <c r="S757" s="7">
        <f t="shared" si="59"/>
        <v>2</v>
      </c>
      <c r="T757" s="15" t="str">
        <f>VLOOKUP(R757,产品分类!$C$2:$D$1278,2,0)</f>
        <v>数码电子</v>
      </c>
    </row>
    <row r="758" spans="1:20">
      <c r="A758" s="8">
        <f>DATE(2012,12,31)-1260</f>
        <v>40014</v>
      </c>
      <c r="B758" s="8">
        <f>DATE(2012,12,31)-1260</f>
        <v>40014</v>
      </c>
      <c r="C758" s="9" t="s">
        <v>1099</v>
      </c>
      <c r="D758">
        <v>10021258996</v>
      </c>
      <c r="E758" t="s">
        <v>47</v>
      </c>
      <c r="F758" t="s">
        <v>102</v>
      </c>
      <c r="G758" t="s">
        <v>103</v>
      </c>
      <c r="H758" t="s">
        <v>104</v>
      </c>
      <c r="I758" t="s">
        <v>105</v>
      </c>
      <c r="J758" t="s">
        <v>52</v>
      </c>
      <c r="K758" s="3">
        <v>100127468238</v>
      </c>
      <c r="L758" s="10">
        <v>40015</v>
      </c>
      <c r="M758">
        <v>278.92</v>
      </c>
      <c r="N758" s="11">
        <v>16</v>
      </c>
      <c r="O758" s="12">
        <v>17.15</v>
      </c>
      <c r="P758" s="12">
        <v>4.96</v>
      </c>
      <c r="Q758" s="13">
        <v>6.11</v>
      </c>
      <c r="R758" s="36" t="s">
        <v>495</v>
      </c>
      <c r="S758" s="7">
        <f t="shared" si="59"/>
        <v>1</v>
      </c>
      <c r="T758" s="15" t="str">
        <f>VLOOKUP(R758,产品分类!$C$2:$D$1278,2,0)</f>
        <v>办公用品</v>
      </c>
    </row>
    <row r="759" spans="1:20">
      <c r="A759" s="8">
        <f>DATE(2012,12,31)-655</f>
        <v>40619</v>
      </c>
      <c r="B759" s="8">
        <f>DATE(2012,12,31)-655</f>
        <v>40619</v>
      </c>
      <c r="C759" s="9" t="s">
        <v>1100</v>
      </c>
      <c r="D759">
        <v>10021282513</v>
      </c>
      <c r="E759" t="s">
        <v>47</v>
      </c>
      <c r="F759" t="s">
        <v>171</v>
      </c>
      <c r="G759" t="s">
        <v>172</v>
      </c>
      <c r="H759" t="s">
        <v>933</v>
      </c>
      <c r="I759" t="s">
        <v>934</v>
      </c>
      <c r="J759" t="s">
        <v>52</v>
      </c>
      <c r="K759" s="3">
        <v>100422552374</v>
      </c>
      <c r="L759" s="10">
        <v>40621</v>
      </c>
      <c r="M759">
        <v>885.94</v>
      </c>
      <c r="N759" s="11">
        <v>2</v>
      </c>
      <c r="O759" s="12">
        <v>449.99</v>
      </c>
      <c r="P759" s="12">
        <v>24.49</v>
      </c>
      <c r="Q759" s="13">
        <v>-2024.079</v>
      </c>
      <c r="R759" s="36" t="s">
        <v>545</v>
      </c>
      <c r="S759" s="7">
        <f t="shared" si="59"/>
        <v>2</v>
      </c>
      <c r="T759" s="15" t="str">
        <f>VLOOKUP(R759,产品分类!$C$2:$D$1278,2,0)</f>
        <v>办公用品</v>
      </c>
    </row>
    <row r="760" spans="1:20">
      <c r="A760" s="8">
        <f>DATE(2012,12,31)-890</f>
        <v>40384</v>
      </c>
      <c r="B760" s="8">
        <f>DATE(2012,12,31)-890</f>
        <v>40384</v>
      </c>
      <c r="C760" s="9" t="s">
        <v>143</v>
      </c>
      <c r="D760">
        <v>10021331469</v>
      </c>
      <c r="E760" t="s">
        <v>47</v>
      </c>
      <c r="F760" t="s">
        <v>171</v>
      </c>
      <c r="G760" t="s">
        <v>172</v>
      </c>
      <c r="H760" t="s">
        <v>933</v>
      </c>
      <c r="I760" t="s">
        <v>934</v>
      </c>
      <c r="J760" t="s">
        <v>52</v>
      </c>
      <c r="K760" s="3">
        <v>10073324215</v>
      </c>
      <c r="L760" s="10">
        <v>40389</v>
      </c>
      <c r="M760">
        <v>29.42</v>
      </c>
      <c r="N760" s="11">
        <v>4</v>
      </c>
      <c r="O760" s="12">
        <v>3.69</v>
      </c>
      <c r="P760" s="12">
        <v>0.5</v>
      </c>
      <c r="Q760" s="13">
        <v>14.43</v>
      </c>
      <c r="R760" s="36" t="s">
        <v>486</v>
      </c>
      <c r="S760" s="7">
        <f t="shared" si="59"/>
        <v>5</v>
      </c>
      <c r="T760" s="15" t="str">
        <f>VLOOKUP(R760,产品分类!$C$2:$D$1278,2,0)</f>
        <v>数码电子</v>
      </c>
    </row>
    <row r="761" spans="1:20">
      <c r="A761" s="8">
        <f>DATE(2012,12,31)-890</f>
        <v>40384</v>
      </c>
      <c r="B761" s="8">
        <f>DATE(2012,12,31)-890</f>
        <v>40384</v>
      </c>
      <c r="C761" s="9" t="s">
        <v>143</v>
      </c>
      <c r="D761">
        <v>10021262694</v>
      </c>
      <c r="E761" t="s">
        <v>47</v>
      </c>
      <c r="F761" t="s">
        <v>171</v>
      </c>
      <c r="G761" t="s">
        <v>172</v>
      </c>
      <c r="H761" t="s">
        <v>933</v>
      </c>
      <c r="I761" t="s">
        <v>934</v>
      </c>
      <c r="J761" t="s">
        <v>52</v>
      </c>
      <c r="K761" s="3">
        <v>100930123911</v>
      </c>
      <c r="L761" s="10">
        <v>40391</v>
      </c>
      <c r="M761">
        <v>46.48</v>
      </c>
      <c r="N761" s="11">
        <v>9</v>
      </c>
      <c r="O761" s="12">
        <v>4.63</v>
      </c>
      <c r="P761" s="12">
        <v>1.93</v>
      </c>
      <c r="Q761" s="13">
        <v>-1.82</v>
      </c>
      <c r="R761" s="36" t="s">
        <v>1101</v>
      </c>
      <c r="S761" s="7">
        <f t="shared" si="59"/>
        <v>7</v>
      </c>
      <c r="T761" s="15" t="str">
        <f>VLOOKUP(R761,产品分类!$C$2:$D$1278,2,0)</f>
        <v>家具产品</v>
      </c>
    </row>
    <row r="762" spans="1:20">
      <c r="A762" s="16">
        <f>DATE(2012,12,31)-1290</f>
        <v>39984</v>
      </c>
      <c r="B762" s="16">
        <f>DATE(2012,12,31)-1290</f>
        <v>39984</v>
      </c>
      <c r="C762" s="9" t="s">
        <v>430</v>
      </c>
      <c r="D762">
        <v>10021311256</v>
      </c>
      <c r="E762" t="s">
        <v>47</v>
      </c>
      <c r="F762" t="s">
        <v>342</v>
      </c>
      <c r="G762" t="s">
        <v>343</v>
      </c>
      <c r="H762" t="s">
        <v>344</v>
      </c>
      <c r="I762" t="s">
        <v>345</v>
      </c>
      <c r="J762" t="s">
        <v>52</v>
      </c>
      <c r="K762" s="3">
        <v>100415960324</v>
      </c>
      <c r="L762" s="10">
        <v>39991</v>
      </c>
      <c r="M762">
        <v>433.68</v>
      </c>
      <c r="N762" s="17">
        <v>42</v>
      </c>
      <c r="O762" s="5">
        <v>10.98</v>
      </c>
      <c r="P762" s="5">
        <v>4.8</v>
      </c>
      <c r="Q762" s="6">
        <v>44.1</v>
      </c>
      <c r="R762" s="37" t="s">
        <v>1102</v>
      </c>
      <c r="S762" s="7">
        <f t="shared" si="59"/>
        <v>7</v>
      </c>
      <c r="T762" s="15" t="str">
        <f>VLOOKUP(R762,产品分类!$C$2:$D$1278,2,0)</f>
        <v>家具产品</v>
      </c>
    </row>
    <row r="763" spans="1:20">
      <c r="A763" s="8">
        <f t="shared" ref="A763:B765" si="64">DATE(2012,12,31)-996</f>
        <v>40278</v>
      </c>
      <c r="B763" s="8">
        <f t="shared" si="64"/>
        <v>40278</v>
      </c>
      <c r="C763" s="9" t="s">
        <v>433</v>
      </c>
      <c r="D763">
        <v>10021333768</v>
      </c>
      <c r="E763" t="s">
        <v>47</v>
      </c>
      <c r="F763" t="s">
        <v>167</v>
      </c>
      <c r="G763" t="s">
        <v>168</v>
      </c>
      <c r="H763" t="s">
        <v>169</v>
      </c>
      <c r="I763" t="s">
        <v>168</v>
      </c>
      <c r="J763" t="s">
        <v>52</v>
      </c>
      <c r="K763" s="3">
        <v>100814194272</v>
      </c>
      <c r="L763" s="10">
        <v>40280</v>
      </c>
      <c r="M763">
        <v>216.08</v>
      </c>
      <c r="N763" s="11">
        <v>32</v>
      </c>
      <c r="O763" s="12">
        <v>6.48</v>
      </c>
      <c r="P763" s="12">
        <v>6.65</v>
      </c>
      <c r="Q763" s="13">
        <v>-84.33</v>
      </c>
      <c r="R763" s="36" t="s">
        <v>1103</v>
      </c>
      <c r="S763" s="7">
        <f t="shared" si="59"/>
        <v>2</v>
      </c>
      <c r="T763" s="15" t="str">
        <f>VLOOKUP(R763,产品分类!$C$2:$D$1278,2,0)</f>
        <v>办公用品</v>
      </c>
    </row>
    <row r="764" spans="1:20">
      <c r="A764" s="8">
        <f t="shared" si="64"/>
        <v>40278</v>
      </c>
      <c r="B764" s="8">
        <f t="shared" si="64"/>
        <v>40278</v>
      </c>
      <c r="C764" s="9" t="s">
        <v>433</v>
      </c>
      <c r="D764">
        <v>10021269093</v>
      </c>
      <c r="E764" t="s">
        <v>47</v>
      </c>
      <c r="F764" t="s">
        <v>177</v>
      </c>
      <c r="G764" t="s">
        <v>178</v>
      </c>
      <c r="H764" t="s">
        <v>795</v>
      </c>
      <c r="I764" t="s">
        <v>796</v>
      </c>
      <c r="J764" t="s">
        <v>52</v>
      </c>
      <c r="K764" s="3">
        <v>100132429226</v>
      </c>
      <c r="L764" s="10">
        <v>40282</v>
      </c>
      <c r="M764">
        <v>339.03</v>
      </c>
      <c r="N764" s="11">
        <v>27</v>
      </c>
      <c r="O764" s="12">
        <v>13.48</v>
      </c>
      <c r="P764" s="12">
        <v>4.51</v>
      </c>
      <c r="Q764" s="13">
        <v>-24.44</v>
      </c>
      <c r="R764" s="36" t="s">
        <v>550</v>
      </c>
      <c r="S764" s="7">
        <f t="shared" si="59"/>
        <v>4</v>
      </c>
      <c r="T764" s="15" t="str">
        <f>VLOOKUP(R764,产品分类!$C$2:$D$1278,2,0)</f>
        <v>办公用品</v>
      </c>
    </row>
    <row r="765" spans="1:20">
      <c r="A765" s="8">
        <f t="shared" si="64"/>
        <v>40278</v>
      </c>
      <c r="B765" s="8">
        <f t="shared" si="64"/>
        <v>40278</v>
      </c>
      <c r="C765" s="9" t="s">
        <v>433</v>
      </c>
      <c r="D765">
        <v>10021281536</v>
      </c>
      <c r="E765" t="s">
        <v>47</v>
      </c>
      <c r="F765" t="s">
        <v>177</v>
      </c>
      <c r="G765" t="s">
        <v>178</v>
      </c>
      <c r="H765" t="s">
        <v>795</v>
      </c>
      <c r="I765" t="s">
        <v>796</v>
      </c>
      <c r="J765" t="s">
        <v>52</v>
      </c>
      <c r="K765" s="3">
        <v>100721994195</v>
      </c>
      <c r="L765" s="10">
        <v>40280</v>
      </c>
      <c r="M765">
        <v>1098.149</v>
      </c>
      <c r="N765" s="11">
        <v>12</v>
      </c>
      <c r="O765" s="12">
        <v>115.99</v>
      </c>
      <c r="P765" s="12">
        <v>5.92</v>
      </c>
      <c r="Q765" s="13">
        <v>-182.974</v>
      </c>
      <c r="R765" s="36" t="s">
        <v>1104</v>
      </c>
      <c r="S765" s="7">
        <f t="shared" si="59"/>
        <v>2</v>
      </c>
      <c r="T765" s="15" t="str">
        <f>VLOOKUP(R765,产品分类!$C$2:$D$1278,2,0)</f>
        <v>办公用品</v>
      </c>
    </row>
    <row r="766" spans="1:20">
      <c r="A766" s="8">
        <f>DATE(2012,12,31)-282</f>
        <v>40992</v>
      </c>
      <c r="B766" s="8">
        <f>DATE(2012,12,31)-282</f>
        <v>40992</v>
      </c>
      <c r="C766" s="9" t="s">
        <v>1105</v>
      </c>
      <c r="D766">
        <v>10021336608</v>
      </c>
      <c r="E766" t="s">
        <v>47</v>
      </c>
      <c r="F766" t="s">
        <v>127</v>
      </c>
      <c r="G766" t="s">
        <v>128</v>
      </c>
      <c r="H766" t="s">
        <v>129</v>
      </c>
      <c r="I766" t="s">
        <v>130</v>
      </c>
      <c r="J766" t="s">
        <v>52</v>
      </c>
      <c r="K766" s="3">
        <v>100919507161</v>
      </c>
      <c r="L766" s="10">
        <v>40994</v>
      </c>
      <c r="M766">
        <v>355.69</v>
      </c>
      <c r="N766" s="11">
        <v>42</v>
      </c>
      <c r="O766" s="12">
        <v>8.74</v>
      </c>
      <c r="P766" s="12">
        <v>8.29</v>
      </c>
      <c r="Q766" s="13">
        <v>-149.46</v>
      </c>
      <c r="R766" s="36" t="s">
        <v>618</v>
      </c>
      <c r="S766" s="7">
        <f t="shared" si="59"/>
        <v>2</v>
      </c>
      <c r="T766" s="15" t="str">
        <f>VLOOKUP(R766,产品分类!$C$2:$D$1278,2,0)</f>
        <v>办公用品</v>
      </c>
    </row>
    <row r="767" spans="1:20">
      <c r="A767" s="8">
        <f>DATE(2012,12,31)-1091</f>
        <v>40183</v>
      </c>
      <c r="B767" s="8">
        <f>DATE(2012,12,31)-1091</f>
        <v>40183</v>
      </c>
      <c r="C767" s="9" t="s">
        <v>1106</v>
      </c>
      <c r="D767">
        <v>10021269196</v>
      </c>
      <c r="E767" t="s">
        <v>47</v>
      </c>
      <c r="F767" t="s">
        <v>342</v>
      </c>
      <c r="G767" t="s">
        <v>343</v>
      </c>
      <c r="H767" t="s">
        <v>344</v>
      </c>
      <c r="I767" t="s">
        <v>345</v>
      </c>
      <c r="J767" t="s">
        <v>52</v>
      </c>
      <c r="K767" s="3">
        <v>100932433321</v>
      </c>
      <c r="L767" s="10">
        <v>40185</v>
      </c>
      <c r="M767">
        <v>49.55</v>
      </c>
      <c r="N767" s="11">
        <v>6</v>
      </c>
      <c r="O767" s="12">
        <v>5.78</v>
      </c>
      <c r="P767" s="12">
        <v>7.64</v>
      </c>
      <c r="Q767" s="13">
        <v>-20.33</v>
      </c>
      <c r="R767" s="36" t="s">
        <v>1107</v>
      </c>
      <c r="S767" s="7">
        <f t="shared" si="59"/>
        <v>2</v>
      </c>
      <c r="T767" s="15" t="str">
        <f>VLOOKUP(R767,产品分类!$C$2:$D$1278,2,0)</f>
        <v>家具产品</v>
      </c>
    </row>
    <row r="768" spans="1:20">
      <c r="A768" s="8">
        <f>DATE(2012,12,31)-1091</f>
        <v>40183</v>
      </c>
      <c r="B768" s="8">
        <f>DATE(2012,12,31)-1091</f>
        <v>40183</v>
      </c>
      <c r="C768" s="9" t="s">
        <v>1106</v>
      </c>
      <c r="D768">
        <v>10021267290</v>
      </c>
      <c r="E768" t="s">
        <v>47</v>
      </c>
      <c r="F768" t="s">
        <v>61</v>
      </c>
      <c r="G768" t="s">
        <v>62</v>
      </c>
      <c r="H768" t="s">
        <v>1077</v>
      </c>
      <c r="I768" t="s">
        <v>1078</v>
      </c>
      <c r="J768" t="s">
        <v>52</v>
      </c>
      <c r="K768" s="3">
        <v>100732081015</v>
      </c>
      <c r="L768" s="10">
        <v>40185</v>
      </c>
      <c r="M768">
        <v>606.56</v>
      </c>
      <c r="N768" s="11">
        <v>15</v>
      </c>
      <c r="O768" s="12">
        <v>45.99</v>
      </c>
      <c r="P768" s="12">
        <v>4.99</v>
      </c>
      <c r="Q768" s="13">
        <v>20.232</v>
      </c>
      <c r="R768" s="36" t="s">
        <v>1108</v>
      </c>
      <c r="S768" s="7">
        <f t="shared" si="59"/>
        <v>2</v>
      </c>
      <c r="T768" s="15" t="str">
        <f>VLOOKUP(R768,产品分类!$C$2:$D$1278,2,0)</f>
        <v>办公用品</v>
      </c>
    </row>
    <row r="769" spans="1:20">
      <c r="A769" s="8">
        <f>DATE(2012,12,31)-785</f>
        <v>40489</v>
      </c>
      <c r="B769" s="8">
        <f>DATE(2012,12,31)-785</f>
        <v>40489</v>
      </c>
      <c r="C769" s="9" t="s">
        <v>1109</v>
      </c>
      <c r="D769">
        <v>10021257666</v>
      </c>
      <c r="E769" t="s">
        <v>47</v>
      </c>
      <c r="F769" t="s">
        <v>61</v>
      </c>
      <c r="G769" t="s">
        <v>62</v>
      </c>
      <c r="H769" t="s">
        <v>1077</v>
      </c>
      <c r="I769" t="s">
        <v>1078</v>
      </c>
      <c r="J769" t="s">
        <v>52</v>
      </c>
      <c r="K769" s="3">
        <v>100426613804</v>
      </c>
      <c r="L769" s="10">
        <v>40490</v>
      </c>
      <c r="M769">
        <v>129.62</v>
      </c>
      <c r="N769" s="11">
        <v>22</v>
      </c>
      <c r="O769" s="12">
        <v>5.88</v>
      </c>
      <c r="P769" s="12">
        <v>3.04</v>
      </c>
      <c r="Q769" s="13">
        <v>4.41</v>
      </c>
      <c r="R769" s="36" t="s">
        <v>1031</v>
      </c>
      <c r="S769" s="7">
        <f t="shared" si="59"/>
        <v>1</v>
      </c>
      <c r="T769" s="15" t="str">
        <f>VLOOKUP(R769,产品分类!$C$2:$D$1278,2,0)</f>
        <v>办公用品</v>
      </c>
    </row>
    <row r="770" spans="1:20">
      <c r="A770" s="8">
        <f>DATE(2012,12,31)-1364</f>
        <v>39910</v>
      </c>
      <c r="B770" s="8">
        <f>DATE(2012,12,31)-1364</f>
        <v>39910</v>
      </c>
      <c r="C770" s="9" t="s">
        <v>1110</v>
      </c>
      <c r="D770">
        <v>10021312121</v>
      </c>
      <c r="E770" t="s">
        <v>47</v>
      </c>
      <c r="F770" t="s">
        <v>61</v>
      </c>
      <c r="G770" t="s">
        <v>62</v>
      </c>
      <c r="H770" t="s">
        <v>1077</v>
      </c>
      <c r="I770" t="s">
        <v>1078</v>
      </c>
      <c r="J770" t="s">
        <v>52</v>
      </c>
      <c r="K770" s="3">
        <v>100929756641</v>
      </c>
      <c r="L770" s="10">
        <v>39915</v>
      </c>
      <c r="M770">
        <v>68.46</v>
      </c>
      <c r="N770" s="11">
        <v>11</v>
      </c>
      <c r="O770" s="12">
        <v>5.58</v>
      </c>
      <c r="P770" s="12">
        <v>5.3</v>
      </c>
      <c r="Q770" s="13">
        <v>-22.48</v>
      </c>
      <c r="R770" s="36" t="s">
        <v>892</v>
      </c>
      <c r="S770" s="7">
        <f t="shared" si="59"/>
        <v>5</v>
      </c>
      <c r="T770" s="15" t="str">
        <f>VLOOKUP(R770,产品分类!$C$2:$D$1278,2,0)</f>
        <v>家具产品</v>
      </c>
    </row>
    <row r="771" spans="1:20">
      <c r="A771" s="8">
        <f>DATE(2012,12,31)-1364</f>
        <v>39910</v>
      </c>
      <c r="B771" s="8">
        <f>DATE(2012,12,31)-1364</f>
        <v>39910</v>
      </c>
      <c r="C771" s="9" t="s">
        <v>1110</v>
      </c>
      <c r="D771">
        <v>10021319058</v>
      </c>
      <c r="E771" t="s">
        <v>47</v>
      </c>
      <c r="F771" t="s">
        <v>253</v>
      </c>
      <c r="G771" t="s">
        <v>254</v>
      </c>
      <c r="H771" t="s">
        <v>255</v>
      </c>
      <c r="I771" t="s">
        <v>256</v>
      </c>
      <c r="J771" t="s">
        <v>52</v>
      </c>
      <c r="K771" s="3">
        <v>10018118598</v>
      </c>
      <c r="L771" s="10">
        <v>39917</v>
      </c>
      <c r="M771">
        <v>885.23</v>
      </c>
      <c r="N771" s="11">
        <v>21</v>
      </c>
      <c r="O771" s="12">
        <v>40.89</v>
      </c>
      <c r="P771" s="12">
        <v>18.98</v>
      </c>
      <c r="Q771" s="13">
        <v>78.98</v>
      </c>
      <c r="R771" s="36" t="s">
        <v>670</v>
      </c>
      <c r="S771" s="7">
        <f t="shared" ref="S771:S834" si="65">+L771-B771</f>
        <v>7</v>
      </c>
      <c r="T771" s="15" t="str">
        <f>VLOOKUP(R771,产品分类!$C$2:$D$1278,2,0)</f>
        <v>办公用品</v>
      </c>
    </row>
    <row r="772" spans="1:20">
      <c r="A772" s="8">
        <f>DATE(2012,12,31)-1089</f>
        <v>40185</v>
      </c>
      <c r="B772" s="8">
        <f>DATE(2012,12,31)-1089</f>
        <v>40185</v>
      </c>
      <c r="C772" s="9" t="s">
        <v>887</v>
      </c>
      <c r="D772">
        <v>10021265236</v>
      </c>
      <c r="E772" t="s">
        <v>47</v>
      </c>
      <c r="F772" t="s">
        <v>253</v>
      </c>
      <c r="G772" t="s">
        <v>254</v>
      </c>
      <c r="H772" t="s">
        <v>255</v>
      </c>
      <c r="I772" t="s">
        <v>256</v>
      </c>
      <c r="J772" t="s">
        <v>52</v>
      </c>
      <c r="K772" s="3">
        <v>100127563007</v>
      </c>
      <c r="L772" s="10">
        <v>40188</v>
      </c>
      <c r="M772">
        <v>116.38</v>
      </c>
      <c r="N772" s="11">
        <v>12</v>
      </c>
      <c r="O772" s="12">
        <v>9.68</v>
      </c>
      <c r="P772" s="12">
        <v>2.03</v>
      </c>
      <c r="Q772" s="13">
        <v>29.68</v>
      </c>
      <c r="R772" s="36" t="s">
        <v>1111</v>
      </c>
      <c r="S772" s="7">
        <f t="shared" si="65"/>
        <v>3</v>
      </c>
      <c r="T772" s="15" t="str">
        <f>VLOOKUP(R772,产品分类!$C$2:$D$1278,2,0)</f>
        <v>办公用品</v>
      </c>
    </row>
    <row r="773" spans="1:20">
      <c r="A773" s="8">
        <f>DATE(2012,12,31)-1129</f>
        <v>40145</v>
      </c>
      <c r="B773" s="8">
        <f>DATE(2012,12,31)-1129</f>
        <v>40145</v>
      </c>
      <c r="C773" s="9" t="s">
        <v>1112</v>
      </c>
      <c r="D773">
        <v>10021252138</v>
      </c>
      <c r="E773" t="s">
        <v>47</v>
      </c>
      <c r="F773" t="s">
        <v>61</v>
      </c>
      <c r="G773" t="s">
        <v>62</v>
      </c>
      <c r="H773" t="s">
        <v>1077</v>
      </c>
      <c r="I773" t="s">
        <v>1078</v>
      </c>
      <c r="J773" t="s">
        <v>52</v>
      </c>
      <c r="K773" s="3">
        <v>10013049338</v>
      </c>
      <c r="L773" s="10">
        <v>40146</v>
      </c>
      <c r="M773">
        <v>129.44</v>
      </c>
      <c r="N773" s="11">
        <v>46</v>
      </c>
      <c r="O773" s="12">
        <v>2.58</v>
      </c>
      <c r="P773" s="12">
        <v>1.3</v>
      </c>
      <c r="Q773" s="13">
        <v>-5.54</v>
      </c>
      <c r="R773" s="36" t="s">
        <v>1113</v>
      </c>
      <c r="S773" s="7">
        <f t="shared" si="65"/>
        <v>1</v>
      </c>
      <c r="T773" s="15" t="str">
        <f>VLOOKUP(R773,产品分类!$C$2:$D$1278,2,0)</f>
        <v>办公用品</v>
      </c>
    </row>
    <row r="774" spans="1:20">
      <c r="A774" s="8">
        <f>DATE(2012,12,31)-1129</f>
        <v>40145</v>
      </c>
      <c r="B774" s="8">
        <f>DATE(2012,12,31)-1129</f>
        <v>40145</v>
      </c>
      <c r="C774" s="9" t="s">
        <v>1112</v>
      </c>
      <c r="D774">
        <v>10021396201</v>
      </c>
      <c r="E774" t="s">
        <v>47</v>
      </c>
      <c r="F774" t="s">
        <v>61</v>
      </c>
      <c r="G774" t="s">
        <v>62</v>
      </c>
      <c r="H774" t="s">
        <v>1077</v>
      </c>
      <c r="I774" t="s">
        <v>1078</v>
      </c>
      <c r="J774" t="s">
        <v>52</v>
      </c>
      <c r="K774" s="3">
        <v>100118471298</v>
      </c>
      <c r="L774" s="10">
        <v>40146</v>
      </c>
      <c r="M774">
        <v>1829.387</v>
      </c>
      <c r="N774" s="11">
        <v>32</v>
      </c>
      <c r="O774" s="12">
        <v>65.99</v>
      </c>
      <c r="P774" s="12">
        <v>3.9</v>
      </c>
      <c r="Q774" s="13">
        <v>482.445</v>
      </c>
      <c r="R774" s="36" t="s">
        <v>1114</v>
      </c>
      <c r="S774" s="7">
        <f t="shared" si="65"/>
        <v>1</v>
      </c>
      <c r="T774" s="15" t="str">
        <f>VLOOKUP(R774,产品分类!$C$2:$D$1278,2,0)</f>
        <v>家具产品</v>
      </c>
    </row>
    <row r="775" spans="1:20">
      <c r="A775" s="8">
        <f t="shared" ref="A775:B777" si="66">DATE(2012,12,31)-738</f>
        <v>40536</v>
      </c>
      <c r="B775" s="8">
        <f t="shared" si="66"/>
        <v>40536</v>
      </c>
      <c r="C775" s="9" t="s">
        <v>858</v>
      </c>
      <c r="D775">
        <v>10021295898</v>
      </c>
      <c r="E775" t="s">
        <v>47</v>
      </c>
      <c r="F775" t="s">
        <v>61</v>
      </c>
      <c r="G775" t="s">
        <v>62</v>
      </c>
      <c r="H775" t="s">
        <v>1077</v>
      </c>
      <c r="I775" t="s">
        <v>1078</v>
      </c>
      <c r="J775" t="s">
        <v>52</v>
      </c>
      <c r="K775" s="3">
        <v>100119219567</v>
      </c>
      <c r="L775" s="10">
        <v>40538</v>
      </c>
      <c r="M775">
        <v>1281.28</v>
      </c>
      <c r="N775" s="11">
        <v>43</v>
      </c>
      <c r="O775" s="12">
        <v>29.17</v>
      </c>
      <c r="P775" s="12">
        <v>6.27</v>
      </c>
      <c r="Q775" s="13">
        <v>415.854</v>
      </c>
      <c r="R775" s="36" t="s">
        <v>1115</v>
      </c>
      <c r="S775" s="7">
        <f t="shared" si="65"/>
        <v>2</v>
      </c>
      <c r="T775" s="15" t="str">
        <f>VLOOKUP(R775,产品分类!$C$2:$D$1278,2,0)</f>
        <v>家具产品</v>
      </c>
    </row>
    <row r="776" spans="1:20">
      <c r="A776" s="8">
        <f t="shared" si="66"/>
        <v>40536</v>
      </c>
      <c r="B776" s="8">
        <f t="shared" si="66"/>
        <v>40536</v>
      </c>
      <c r="C776" s="9" t="s">
        <v>858</v>
      </c>
      <c r="D776">
        <v>10021387012</v>
      </c>
      <c r="E776" t="s">
        <v>47</v>
      </c>
      <c r="F776" t="s">
        <v>61</v>
      </c>
      <c r="G776" t="s">
        <v>62</v>
      </c>
      <c r="H776" t="s">
        <v>1077</v>
      </c>
      <c r="I776" t="s">
        <v>1078</v>
      </c>
      <c r="J776" t="s">
        <v>52</v>
      </c>
      <c r="K776" s="3">
        <v>100115040758</v>
      </c>
      <c r="L776" s="10">
        <v>40537</v>
      </c>
      <c r="M776">
        <v>1940.31</v>
      </c>
      <c r="N776" s="11">
        <v>13</v>
      </c>
      <c r="O776" s="12">
        <v>146.05</v>
      </c>
      <c r="P776" s="12">
        <v>80.2</v>
      </c>
      <c r="Q776" s="13">
        <v>-668.187</v>
      </c>
      <c r="R776" s="36" t="s">
        <v>239</v>
      </c>
      <c r="S776" s="7">
        <f t="shared" si="65"/>
        <v>1</v>
      </c>
      <c r="T776" s="15" t="str">
        <f>VLOOKUP(R776,产品分类!$C$2:$D$1278,2,0)</f>
        <v>办公用品</v>
      </c>
    </row>
    <row r="777" spans="1:20">
      <c r="A777" s="8">
        <f t="shared" si="66"/>
        <v>40536</v>
      </c>
      <c r="B777" s="8">
        <f t="shared" si="66"/>
        <v>40536</v>
      </c>
      <c r="C777" s="9" t="s">
        <v>858</v>
      </c>
      <c r="D777">
        <v>10021293726</v>
      </c>
      <c r="E777" t="s">
        <v>47</v>
      </c>
      <c r="F777" t="s">
        <v>61</v>
      </c>
      <c r="G777" t="s">
        <v>62</v>
      </c>
      <c r="H777" t="s">
        <v>1077</v>
      </c>
      <c r="I777" t="s">
        <v>1078</v>
      </c>
      <c r="J777" t="s">
        <v>52</v>
      </c>
      <c r="K777" s="3">
        <v>10046465793</v>
      </c>
      <c r="L777" s="10">
        <v>40539</v>
      </c>
      <c r="M777">
        <v>430.848</v>
      </c>
      <c r="N777" s="11">
        <v>4</v>
      </c>
      <c r="O777" s="12">
        <v>125.99</v>
      </c>
      <c r="P777" s="12">
        <v>5.63</v>
      </c>
      <c r="Q777" s="13">
        <v>-492.767</v>
      </c>
      <c r="R777" s="36" t="s">
        <v>1116</v>
      </c>
      <c r="S777" s="7">
        <f t="shared" si="65"/>
        <v>3</v>
      </c>
      <c r="T777" s="15" t="str">
        <f>VLOOKUP(R777,产品分类!$C$2:$D$1278,2,0)</f>
        <v>办公用品</v>
      </c>
    </row>
    <row r="778" spans="1:20">
      <c r="A778" s="8">
        <f t="shared" ref="A778:B780" si="67">DATE(2012,12,31)-829</f>
        <v>40445</v>
      </c>
      <c r="B778" s="8">
        <f t="shared" si="67"/>
        <v>40445</v>
      </c>
      <c r="C778" s="9" t="s">
        <v>1117</v>
      </c>
      <c r="D778">
        <v>10021352605</v>
      </c>
      <c r="E778" t="s">
        <v>47</v>
      </c>
      <c r="F778" t="s">
        <v>83</v>
      </c>
      <c r="G778" t="s">
        <v>84</v>
      </c>
      <c r="H778" t="s">
        <v>1037</v>
      </c>
      <c r="I778" t="s">
        <v>1038</v>
      </c>
      <c r="J778" t="s">
        <v>52</v>
      </c>
      <c r="K778" s="3">
        <v>100832532852</v>
      </c>
      <c r="L778" s="10">
        <v>40447</v>
      </c>
      <c r="M778">
        <v>703.54</v>
      </c>
      <c r="N778" s="11">
        <v>15</v>
      </c>
      <c r="O778" s="12">
        <v>48.58</v>
      </c>
      <c r="P778" s="12">
        <v>3.99</v>
      </c>
      <c r="Q778" s="13">
        <v>138.46</v>
      </c>
      <c r="R778" s="36" t="s">
        <v>516</v>
      </c>
      <c r="S778" s="7">
        <f t="shared" si="65"/>
        <v>2</v>
      </c>
      <c r="T778" s="15" t="str">
        <f>VLOOKUP(R778,产品分类!$C$2:$D$1278,2,0)</f>
        <v>数码电子</v>
      </c>
    </row>
    <row r="779" spans="1:20">
      <c r="A779" s="8">
        <f t="shared" si="67"/>
        <v>40445</v>
      </c>
      <c r="B779" s="8">
        <f t="shared" si="67"/>
        <v>40445</v>
      </c>
      <c r="C779" s="9" t="s">
        <v>1117</v>
      </c>
      <c r="D779">
        <v>10021323775</v>
      </c>
      <c r="E779" t="s">
        <v>47</v>
      </c>
      <c r="F779" t="s">
        <v>91</v>
      </c>
      <c r="G779" t="s">
        <v>92</v>
      </c>
      <c r="H779" t="s">
        <v>774</v>
      </c>
      <c r="I779" t="s">
        <v>775</v>
      </c>
      <c r="J779" t="s">
        <v>52</v>
      </c>
      <c r="K779" s="3">
        <v>100132840607</v>
      </c>
      <c r="L779" s="10">
        <v>40448</v>
      </c>
      <c r="M779">
        <v>65.93</v>
      </c>
      <c r="N779" s="11">
        <v>6</v>
      </c>
      <c r="O779" s="12">
        <v>10.31</v>
      </c>
      <c r="P779" s="12">
        <v>1.79</v>
      </c>
      <c r="Q779" s="13">
        <v>11.06</v>
      </c>
      <c r="R779" s="36" t="s">
        <v>1059</v>
      </c>
      <c r="S779" s="7">
        <f t="shared" si="65"/>
        <v>3</v>
      </c>
      <c r="T779" s="15" t="str">
        <f>VLOOKUP(R779,产品分类!$C$2:$D$1278,2,0)</f>
        <v>办公用品</v>
      </c>
    </row>
    <row r="780" spans="1:20">
      <c r="A780" s="8">
        <f t="shared" si="67"/>
        <v>40445</v>
      </c>
      <c r="B780" s="8">
        <f t="shared" si="67"/>
        <v>40445</v>
      </c>
      <c r="C780" s="9" t="s">
        <v>1117</v>
      </c>
      <c r="D780">
        <v>10021361786</v>
      </c>
      <c r="E780" t="s">
        <v>47</v>
      </c>
      <c r="F780" t="s">
        <v>137</v>
      </c>
      <c r="G780" t="s">
        <v>138</v>
      </c>
      <c r="H780" t="s">
        <v>139</v>
      </c>
      <c r="I780" t="s">
        <v>140</v>
      </c>
      <c r="J780" t="s">
        <v>52</v>
      </c>
      <c r="K780" s="3">
        <v>100932886031</v>
      </c>
      <c r="L780" s="10">
        <v>40447</v>
      </c>
      <c r="M780">
        <v>67.3</v>
      </c>
      <c r="N780" s="11">
        <v>27</v>
      </c>
      <c r="O780" s="12">
        <v>2.18</v>
      </c>
      <c r="P780" s="12">
        <v>5</v>
      </c>
      <c r="Q780" s="13">
        <v>-115.38</v>
      </c>
      <c r="R780" s="36" t="s">
        <v>711</v>
      </c>
      <c r="S780" s="7">
        <f t="shared" si="65"/>
        <v>2</v>
      </c>
      <c r="T780" s="15" t="str">
        <f>VLOOKUP(R780,产品分类!$C$2:$D$1278,2,0)</f>
        <v>数码电子</v>
      </c>
    </row>
    <row r="781" spans="1:20">
      <c r="A781" s="8">
        <f>DATE(2012,12,31)-574</f>
        <v>40700</v>
      </c>
      <c r="B781" s="8">
        <f>DATE(2012,12,31)-574</f>
        <v>40700</v>
      </c>
      <c r="C781" s="9" t="s">
        <v>1118</v>
      </c>
      <c r="D781">
        <v>10021405250</v>
      </c>
      <c r="E781" t="s">
        <v>47</v>
      </c>
      <c r="F781" t="s">
        <v>61</v>
      </c>
      <c r="G781" t="s">
        <v>62</v>
      </c>
      <c r="H781" t="s">
        <v>1077</v>
      </c>
      <c r="I781" t="s">
        <v>1078</v>
      </c>
      <c r="J781" t="s">
        <v>52</v>
      </c>
      <c r="K781" s="3">
        <v>100932938781</v>
      </c>
      <c r="L781" s="10">
        <v>40701</v>
      </c>
      <c r="M781">
        <v>120.22</v>
      </c>
      <c r="N781" s="11">
        <v>8</v>
      </c>
      <c r="O781" s="12">
        <v>14.34</v>
      </c>
      <c r="P781" s="12">
        <v>5</v>
      </c>
      <c r="Q781" s="13">
        <v>52.69</v>
      </c>
      <c r="R781" s="36" t="s">
        <v>298</v>
      </c>
      <c r="S781" s="7">
        <f t="shared" si="65"/>
        <v>1</v>
      </c>
      <c r="T781" s="15" t="str">
        <f>VLOOKUP(R781,产品分类!$C$2:$D$1278,2,0)</f>
        <v>办公用品</v>
      </c>
    </row>
    <row r="782" spans="1:20">
      <c r="A782" s="8">
        <f>DATE(2012,12,31)-977</f>
        <v>40297</v>
      </c>
      <c r="B782" s="8">
        <f>DATE(2012,12,31)-977</f>
        <v>40297</v>
      </c>
      <c r="C782" s="9" t="s">
        <v>1119</v>
      </c>
      <c r="D782">
        <v>10021328362</v>
      </c>
      <c r="E782" t="s">
        <v>47</v>
      </c>
      <c r="F782" t="s">
        <v>66</v>
      </c>
      <c r="G782" t="s">
        <v>67</v>
      </c>
      <c r="H782" t="s">
        <v>68</v>
      </c>
      <c r="I782" t="s">
        <v>69</v>
      </c>
      <c r="J782" t="s">
        <v>52</v>
      </c>
      <c r="K782" s="3">
        <v>100832851722</v>
      </c>
      <c r="L782" s="10">
        <v>40299</v>
      </c>
      <c r="M782">
        <v>118.97</v>
      </c>
      <c r="N782" s="11">
        <v>12</v>
      </c>
      <c r="O782" s="12">
        <v>9.65</v>
      </c>
      <c r="P782" s="12">
        <v>6.22</v>
      </c>
      <c r="Q782" s="13">
        <v>-0.0599999999999952</v>
      </c>
      <c r="R782" s="36" t="s">
        <v>524</v>
      </c>
      <c r="S782" s="7">
        <f t="shared" si="65"/>
        <v>2</v>
      </c>
      <c r="T782" s="15" t="str">
        <f>VLOOKUP(R782,产品分类!$C$2:$D$1278,2,0)</f>
        <v>数码电子</v>
      </c>
    </row>
    <row r="783" spans="1:20">
      <c r="A783" s="8">
        <f>DATE(2012,12,31)-1264</f>
        <v>40010</v>
      </c>
      <c r="B783" s="8">
        <f>DATE(2012,12,31)-1264</f>
        <v>40010</v>
      </c>
      <c r="C783" s="9" t="s">
        <v>1120</v>
      </c>
      <c r="D783">
        <v>10021313104</v>
      </c>
      <c r="E783" t="s">
        <v>47</v>
      </c>
      <c r="F783" t="s">
        <v>72</v>
      </c>
      <c r="G783" t="s">
        <v>73</v>
      </c>
      <c r="H783" t="s">
        <v>1035</v>
      </c>
      <c r="I783" t="s">
        <v>1036</v>
      </c>
      <c r="J783" t="s">
        <v>52</v>
      </c>
      <c r="K783" s="3">
        <v>100132813058</v>
      </c>
      <c r="L783" s="10">
        <v>40012</v>
      </c>
      <c r="M783">
        <v>288.55</v>
      </c>
      <c r="N783" s="11">
        <v>37</v>
      </c>
      <c r="O783" s="12">
        <v>7.37</v>
      </c>
      <c r="P783" s="12">
        <v>5.53</v>
      </c>
      <c r="Q783" s="13">
        <v>-133.7</v>
      </c>
      <c r="R783" s="36" t="s">
        <v>1121</v>
      </c>
      <c r="S783" s="7">
        <f t="shared" si="65"/>
        <v>2</v>
      </c>
      <c r="T783" s="15" t="str">
        <f>VLOOKUP(R783,产品分类!$C$2:$D$1278,2,0)</f>
        <v>家具产品</v>
      </c>
    </row>
    <row r="784" spans="1:20">
      <c r="A784" s="8">
        <f>DATE(2012,12,31)-527</f>
        <v>40747</v>
      </c>
      <c r="B784" s="8">
        <f>DATE(2012,12,31)-527</f>
        <v>40747</v>
      </c>
      <c r="C784" s="9" t="s">
        <v>1122</v>
      </c>
      <c r="D784">
        <v>10021324394</v>
      </c>
      <c r="E784" t="s">
        <v>47</v>
      </c>
      <c r="F784" t="s">
        <v>132</v>
      </c>
      <c r="G784" t="s">
        <v>133</v>
      </c>
      <c r="H784" t="s">
        <v>134</v>
      </c>
      <c r="I784" t="s">
        <v>133</v>
      </c>
      <c r="J784" t="s">
        <v>52</v>
      </c>
      <c r="K784" s="3">
        <v>100732842245</v>
      </c>
      <c r="L784" s="10">
        <v>40747</v>
      </c>
      <c r="M784">
        <v>254.69</v>
      </c>
      <c r="N784" s="11">
        <v>41</v>
      </c>
      <c r="O784" s="12">
        <v>5.98</v>
      </c>
      <c r="P784" s="12">
        <v>10.39</v>
      </c>
      <c r="Q784" s="13">
        <v>-269.37</v>
      </c>
      <c r="R784" s="36" t="s">
        <v>1123</v>
      </c>
      <c r="S784" s="7">
        <f t="shared" si="65"/>
        <v>0</v>
      </c>
      <c r="T784" s="15" t="str">
        <f>VLOOKUP(R784,产品分类!$C$2:$D$1278,2,0)</f>
        <v>数码电子</v>
      </c>
    </row>
    <row r="785" spans="1:20">
      <c r="A785" s="8">
        <f>DATE(2012,12,31)-361</f>
        <v>40913</v>
      </c>
      <c r="B785" s="8">
        <f>DATE(2012,12,31)-361</f>
        <v>40913</v>
      </c>
      <c r="C785" s="9" t="s">
        <v>1124</v>
      </c>
      <c r="D785">
        <v>10021329710</v>
      </c>
      <c r="E785" t="s">
        <v>47</v>
      </c>
      <c r="F785" t="s">
        <v>208</v>
      </c>
      <c r="G785" t="s">
        <v>209</v>
      </c>
      <c r="H785" t="s">
        <v>210</v>
      </c>
      <c r="I785" t="s">
        <v>211</v>
      </c>
      <c r="J785" t="s">
        <v>52</v>
      </c>
      <c r="K785" s="3">
        <v>100132856196</v>
      </c>
      <c r="L785" s="10">
        <v>40914</v>
      </c>
      <c r="M785">
        <v>120.53</v>
      </c>
      <c r="N785" s="11">
        <v>10</v>
      </c>
      <c r="O785" s="12">
        <v>12.22</v>
      </c>
      <c r="P785" s="12">
        <v>2.85</v>
      </c>
      <c r="Q785" s="13">
        <v>49.26</v>
      </c>
      <c r="R785" s="36" t="s">
        <v>1125</v>
      </c>
      <c r="S785" s="7">
        <f t="shared" si="65"/>
        <v>1</v>
      </c>
      <c r="T785" s="15" t="str">
        <f>VLOOKUP(R785,产品分类!$C$2:$D$1278,2,0)</f>
        <v>家具产品</v>
      </c>
    </row>
    <row r="786" spans="1:20">
      <c r="A786" s="8">
        <f>DATE(2012,12,31)-366</f>
        <v>40908</v>
      </c>
      <c r="B786" s="8">
        <f>DATE(2012,12,31)-366</f>
        <v>40908</v>
      </c>
      <c r="C786" s="9" t="s">
        <v>1126</v>
      </c>
      <c r="D786">
        <v>10021329407</v>
      </c>
      <c r="E786" t="s">
        <v>47</v>
      </c>
      <c r="F786" t="s">
        <v>102</v>
      </c>
      <c r="G786" t="s">
        <v>103</v>
      </c>
      <c r="H786" t="s">
        <v>104</v>
      </c>
      <c r="I786" t="s">
        <v>105</v>
      </c>
      <c r="J786" t="s">
        <v>52</v>
      </c>
      <c r="K786" s="3">
        <v>100332855089</v>
      </c>
      <c r="L786" s="10">
        <v>40911</v>
      </c>
      <c r="M786">
        <v>61.8715</v>
      </c>
      <c r="N786" s="11">
        <v>8</v>
      </c>
      <c r="O786" s="12">
        <v>7.99</v>
      </c>
      <c r="P786" s="12">
        <v>5.03</v>
      </c>
      <c r="Q786" s="13">
        <v>-50.325</v>
      </c>
      <c r="R786" s="36" t="s">
        <v>71</v>
      </c>
      <c r="S786" s="7">
        <f t="shared" si="65"/>
        <v>3</v>
      </c>
      <c r="T786" s="15" t="str">
        <f>VLOOKUP(R786,产品分类!$C$2:$D$1278,2,0)</f>
        <v>办公用品</v>
      </c>
    </row>
    <row r="787" spans="1:20">
      <c r="A787" s="8">
        <f>DATE(2012,12,31)-138</f>
        <v>41136</v>
      </c>
      <c r="B787" s="8">
        <f>DATE(2012,12,31)-138</f>
        <v>41136</v>
      </c>
      <c r="C787" s="9" t="s">
        <v>1127</v>
      </c>
      <c r="D787">
        <v>10021329344</v>
      </c>
      <c r="E787" t="s">
        <v>47</v>
      </c>
      <c r="F787" t="s">
        <v>97</v>
      </c>
      <c r="G787" t="s">
        <v>98</v>
      </c>
      <c r="H787" t="s">
        <v>99</v>
      </c>
      <c r="I787" t="s">
        <v>98</v>
      </c>
      <c r="J787" t="s">
        <v>52</v>
      </c>
      <c r="K787" s="3">
        <v>100832854972</v>
      </c>
      <c r="L787" s="10">
        <v>41138</v>
      </c>
      <c r="M787">
        <v>198.78</v>
      </c>
      <c r="N787" s="11">
        <v>17</v>
      </c>
      <c r="O787" s="12">
        <v>11.5</v>
      </c>
      <c r="P787" s="12">
        <v>7.19</v>
      </c>
      <c r="Q787" s="13">
        <v>-28.3475</v>
      </c>
      <c r="R787" s="36" t="s">
        <v>633</v>
      </c>
      <c r="S787" s="7">
        <f t="shared" si="65"/>
        <v>2</v>
      </c>
      <c r="T787" s="15" t="str">
        <f>VLOOKUP(R787,产品分类!$C$2:$D$1278,2,0)</f>
        <v>家具产品</v>
      </c>
    </row>
    <row r="788" spans="1:20">
      <c r="A788" s="8">
        <f>DATE(2012,12,31)-138</f>
        <v>41136</v>
      </c>
      <c r="B788" s="8">
        <f>DATE(2012,12,31)-138</f>
        <v>41136</v>
      </c>
      <c r="C788" s="9" t="s">
        <v>1127</v>
      </c>
      <c r="D788">
        <v>10021304632</v>
      </c>
      <c r="E788" t="s">
        <v>47</v>
      </c>
      <c r="F788" t="s">
        <v>91</v>
      </c>
      <c r="G788" t="s">
        <v>92</v>
      </c>
      <c r="H788" t="s">
        <v>774</v>
      </c>
      <c r="I788" t="s">
        <v>775</v>
      </c>
      <c r="J788" t="s">
        <v>52</v>
      </c>
      <c r="K788" s="3">
        <v>100432794023</v>
      </c>
      <c r="L788" s="10">
        <v>41138</v>
      </c>
      <c r="M788">
        <v>281.58</v>
      </c>
      <c r="N788" s="11">
        <v>50</v>
      </c>
      <c r="O788" s="12">
        <v>5.77</v>
      </c>
      <c r="P788" s="12">
        <v>5.92</v>
      </c>
      <c r="Q788" s="13">
        <v>-161.56</v>
      </c>
      <c r="R788" s="36" t="s">
        <v>1128</v>
      </c>
      <c r="S788" s="7">
        <f t="shared" si="65"/>
        <v>2</v>
      </c>
      <c r="T788" s="15" t="str">
        <f>VLOOKUP(R788,产品分类!$C$2:$D$1278,2,0)</f>
        <v>办公用品</v>
      </c>
    </row>
    <row r="789" spans="1:20">
      <c r="A789" s="8">
        <f>DATE(2012,12,31)-685</f>
        <v>40589</v>
      </c>
      <c r="B789" s="8">
        <f>DATE(2012,12,31)-685</f>
        <v>40589</v>
      </c>
      <c r="C789" s="9" t="s">
        <v>1129</v>
      </c>
      <c r="D789">
        <v>10021362051</v>
      </c>
      <c r="E789" t="s">
        <v>47</v>
      </c>
      <c r="F789" t="s">
        <v>132</v>
      </c>
      <c r="G789" t="s">
        <v>133</v>
      </c>
      <c r="H789" t="s">
        <v>134</v>
      </c>
      <c r="I789" t="s">
        <v>133</v>
      </c>
      <c r="J789" t="s">
        <v>52</v>
      </c>
      <c r="K789" s="3">
        <v>100932886571</v>
      </c>
      <c r="L789" s="10">
        <v>40591</v>
      </c>
      <c r="M789">
        <v>138.17</v>
      </c>
      <c r="N789" s="11">
        <v>23</v>
      </c>
      <c r="O789" s="12">
        <v>5.85</v>
      </c>
      <c r="P789" s="12">
        <v>2.27</v>
      </c>
      <c r="Q789" s="13">
        <v>-1.09</v>
      </c>
      <c r="R789" s="36" t="s">
        <v>834</v>
      </c>
      <c r="S789" s="7">
        <f t="shared" si="65"/>
        <v>2</v>
      </c>
      <c r="T789" s="15" t="str">
        <f>VLOOKUP(R789,产品分类!$C$2:$D$1278,2,0)</f>
        <v>家具产品</v>
      </c>
    </row>
    <row r="790" spans="1:20">
      <c r="A790" s="8">
        <f>DATE(2012,12,31)-1309</f>
        <v>39965</v>
      </c>
      <c r="B790" s="8">
        <f>DATE(2012,12,31)-1309</f>
        <v>39965</v>
      </c>
      <c r="C790" s="9" t="s">
        <v>1130</v>
      </c>
      <c r="D790">
        <v>10021313140</v>
      </c>
      <c r="E790" t="s">
        <v>47</v>
      </c>
      <c r="F790" t="s">
        <v>72</v>
      </c>
      <c r="G790" t="s">
        <v>73</v>
      </c>
      <c r="H790" t="s">
        <v>1035</v>
      </c>
      <c r="I790" t="s">
        <v>1036</v>
      </c>
      <c r="J790" t="s">
        <v>52</v>
      </c>
      <c r="K790" s="3">
        <v>100832813292</v>
      </c>
      <c r="L790" s="10">
        <v>39966</v>
      </c>
      <c r="M790">
        <v>501.38</v>
      </c>
      <c r="N790" s="11">
        <v>31</v>
      </c>
      <c r="O790" s="12">
        <v>15.31</v>
      </c>
      <c r="P790" s="12">
        <v>8.78</v>
      </c>
      <c r="Q790" s="13">
        <v>-71.95</v>
      </c>
      <c r="R790" s="36" t="s">
        <v>1131</v>
      </c>
      <c r="S790" s="7">
        <f t="shared" si="65"/>
        <v>1</v>
      </c>
      <c r="T790" s="15" t="str">
        <f>VLOOKUP(R790,产品分类!$C$2:$D$1278,2,0)</f>
        <v>数码电子</v>
      </c>
    </row>
    <row r="791" spans="1:20">
      <c r="A791" s="8">
        <f t="shared" ref="A791:B793" si="68">DATE(2012,12,31)-608</f>
        <v>40666</v>
      </c>
      <c r="B791" s="8">
        <f t="shared" si="68"/>
        <v>40666</v>
      </c>
      <c r="C791" s="9" t="s">
        <v>1132</v>
      </c>
      <c r="D791">
        <v>10021361380</v>
      </c>
      <c r="E791" t="s">
        <v>47</v>
      </c>
      <c r="F791" t="s">
        <v>171</v>
      </c>
      <c r="G791" t="s">
        <v>172</v>
      </c>
      <c r="H791" t="s">
        <v>933</v>
      </c>
      <c r="I791" t="s">
        <v>934</v>
      </c>
      <c r="J791" t="s">
        <v>52</v>
      </c>
      <c r="K791" s="3">
        <v>100432885554</v>
      </c>
      <c r="L791" s="10">
        <v>40668</v>
      </c>
      <c r="M791">
        <v>2206.17</v>
      </c>
      <c r="N791" s="11">
        <v>4</v>
      </c>
      <c r="O791" s="12">
        <v>525.98</v>
      </c>
      <c r="P791" s="12">
        <v>19.99</v>
      </c>
      <c r="Q791" s="13">
        <v>251.43</v>
      </c>
      <c r="R791" s="36" t="s">
        <v>1133</v>
      </c>
      <c r="S791" s="7">
        <f t="shared" si="65"/>
        <v>2</v>
      </c>
      <c r="T791" s="15" t="str">
        <f>VLOOKUP(R791,产品分类!$C$2:$D$1278,2,0)</f>
        <v>家具产品</v>
      </c>
    </row>
    <row r="792" spans="1:20">
      <c r="A792" s="8">
        <f t="shared" si="68"/>
        <v>40666</v>
      </c>
      <c r="B792" s="8">
        <f t="shared" si="68"/>
        <v>40666</v>
      </c>
      <c r="C792" s="9" t="s">
        <v>1132</v>
      </c>
      <c r="D792">
        <v>10021277018</v>
      </c>
      <c r="E792" t="s">
        <v>47</v>
      </c>
      <c r="F792" t="s">
        <v>127</v>
      </c>
      <c r="G792" t="s">
        <v>128</v>
      </c>
      <c r="H792" t="s">
        <v>129</v>
      </c>
      <c r="I792" t="s">
        <v>130</v>
      </c>
      <c r="J792" t="s">
        <v>52</v>
      </c>
      <c r="K792" s="3">
        <v>100932776401</v>
      </c>
      <c r="L792" s="10">
        <v>40668</v>
      </c>
      <c r="M792">
        <v>621.12</v>
      </c>
      <c r="N792" s="11">
        <v>40</v>
      </c>
      <c r="O792" s="12">
        <v>16.51</v>
      </c>
      <c r="P792" s="12">
        <v>2.99</v>
      </c>
      <c r="Q792" s="13">
        <v>190.5275</v>
      </c>
      <c r="R792" s="36" t="s">
        <v>1134</v>
      </c>
      <c r="S792" s="7">
        <f t="shared" si="65"/>
        <v>2</v>
      </c>
      <c r="T792" s="15" t="str">
        <f>VLOOKUP(R792,产品分类!$C$2:$D$1278,2,0)</f>
        <v>数码电子</v>
      </c>
    </row>
    <row r="793" spans="1:20">
      <c r="A793" s="8">
        <f t="shared" si="68"/>
        <v>40666</v>
      </c>
      <c r="B793" s="8">
        <f t="shared" si="68"/>
        <v>40666</v>
      </c>
      <c r="C793" s="9" t="s">
        <v>1132</v>
      </c>
      <c r="D793">
        <v>10021342872</v>
      </c>
      <c r="E793" t="s">
        <v>47</v>
      </c>
      <c r="F793" t="s">
        <v>61</v>
      </c>
      <c r="G793" t="s">
        <v>62</v>
      </c>
      <c r="H793" t="s">
        <v>1077</v>
      </c>
      <c r="I793" t="s">
        <v>1078</v>
      </c>
      <c r="J793" t="s">
        <v>52</v>
      </c>
      <c r="K793" s="3">
        <v>100928382341</v>
      </c>
      <c r="L793" s="10">
        <v>40668</v>
      </c>
      <c r="M793">
        <v>175.92</v>
      </c>
      <c r="N793" s="11">
        <v>31</v>
      </c>
      <c r="O793" s="12">
        <v>5.98</v>
      </c>
      <c r="P793" s="12">
        <v>3.85</v>
      </c>
      <c r="Q793" s="13">
        <v>-93.41</v>
      </c>
      <c r="R793" s="36" t="s">
        <v>1135</v>
      </c>
      <c r="S793" s="7">
        <f t="shared" si="65"/>
        <v>2</v>
      </c>
      <c r="T793" s="15" t="str">
        <f>VLOOKUP(R793,产品分类!$C$2:$D$1278,2,0)</f>
        <v>办公用品</v>
      </c>
    </row>
    <row r="794" spans="1:20">
      <c r="A794" s="16">
        <f>DATE(2012,12,31)-88</f>
        <v>41186</v>
      </c>
      <c r="B794" s="16">
        <f>DATE(2012,12,31)-88</f>
        <v>41186</v>
      </c>
      <c r="C794" s="9" t="s">
        <v>405</v>
      </c>
      <c r="D794">
        <v>10021274382</v>
      </c>
      <c r="E794" t="s">
        <v>47</v>
      </c>
      <c r="F794" t="s">
        <v>152</v>
      </c>
      <c r="G794" t="s">
        <v>153</v>
      </c>
      <c r="H794" t="s">
        <v>1136</v>
      </c>
      <c r="I794" t="s">
        <v>1137</v>
      </c>
      <c r="J794" t="s">
        <v>52</v>
      </c>
      <c r="K794" s="3">
        <v>100832084012</v>
      </c>
      <c r="L794" s="10">
        <v>41188</v>
      </c>
      <c r="M794">
        <v>371.68</v>
      </c>
      <c r="N794" s="17">
        <v>31</v>
      </c>
      <c r="O794" s="5">
        <v>11.29</v>
      </c>
      <c r="P794" s="5">
        <v>5.03</v>
      </c>
      <c r="Q794" s="6">
        <v>-13.32</v>
      </c>
      <c r="R794" s="37" t="s">
        <v>1138</v>
      </c>
      <c r="S794" s="7">
        <f t="shared" si="65"/>
        <v>2</v>
      </c>
      <c r="T794" s="15" t="str">
        <f>VLOOKUP(R794,产品分类!$C$2:$D$1278,2,0)</f>
        <v>办公用品</v>
      </c>
    </row>
    <row r="795" spans="1:20">
      <c r="A795" s="8">
        <f>DATE(2012,12,31)-1321</f>
        <v>39953</v>
      </c>
      <c r="B795" s="8">
        <f>DATE(2012,12,31)-1321</f>
        <v>39953</v>
      </c>
      <c r="C795" s="9" t="s">
        <v>1139</v>
      </c>
      <c r="D795">
        <v>10021307162</v>
      </c>
      <c r="E795" t="s">
        <v>47</v>
      </c>
      <c r="F795" t="s">
        <v>72</v>
      </c>
      <c r="G795" t="s">
        <v>73</v>
      </c>
      <c r="H795" t="s">
        <v>1035</v>
      </c>
      <c r="I795" t="s">
        <v>1036</v>
      </c>
      <c r="J795" t="s">
        <v>52</v>
      </c>
      <c r="K795" s="3">
        <v>100932649501</v>
      </c>
      <c r="L795" s="10">
        <v>39954</v>
      </c>
      <c r="M795">
        <v>297.05</v>
      </c>
      <c r="N795" s="11">
        <v>15</v>
      </c>
      <c r="O795" s="12">
        <v>20.48</v>
      </c>
      <c r="P795" s="12">
        <v>6.32</v>
      </c>
      <c r="Q795" s="13">
        <v>-16.89</v>
      </c>
      <c r="R795" s="36" t="s">
        <v>1140</v>
      </c>
      <c r="S795" s="7">
        <f t="shared" si="65"/>
        <v>1</v>
      </c>
      <c r="T795" s="15" t="str">
        <f>VLOOKUP(R795,产品分类!$C$2:$D$1278,2,0)</f>
        <v>家具产品</v>
      </c>
    </row>
    <row r="796" spans="1:20">
      <c r="A796" s="8">
        <f>DATE(2012,12,31)-1321</f>
        <v>39953</v>
      </c>
      <c r="B796" s="8">
        <f>DATE(2012,12,31)-1321</f>
        <v>39953</v>
      </c>
      <c r="C796" s="9" t="s">
        <v>1139</v>
      </c>
      <c r="D796">
        <v>10021355412</v>
      </c>
      <c r="E796" t="s">
        <v>47</v>
      </c>
      <c r="F796" t="s">
        <v>78</v>
      </c>
      <c r="G796" t="s">
        <v>79</v>
      </c>
      <c r="H796" t="s">
        <v>80</v>
      </c>
      <c r="I796" t="s">
        <v>81</v>
      </c>
      <c r="J796" t="s">
        <v>52</v>
      </c>
      <c r="K796" s="3">
        <v>100411415954</v>
      </c>
      <c r="L796" s="10">
        <v>39954</v>
      </c>
      <c r="M796">
        <v>108.26</v>
      </c>
      <c r="N796" s="11">
        <v>7</v>
      </c>
      <c r="O796" s="12">
        <v>15.67</v>
      </c>
      <c r="P796" s="12">
        <v>1.39</v>
      </c>
      <c r="Q796" s="13">
        <v>25.51</v>
      </c>
      <c r="R796" s="36" t="s">
        <v>1012</v>
      </c>
      <c r="S796" s="7">
        <f t="shared" si="65"/>
        <v>1</v>
      </c>
      <c r="T796" s="15" t="str">
        <f>VLOOKUP(R796,产品分类!$C$2:$D$1278,2,0)</f>
        <v>家具产品</v>
      </c>
    </row>
    <row r="797" spans="1:20">
      <c r="A797" s="8">
        <f>DATE(2012,12,31)-155</f>
        <v>41119</v>
      </c>
      <c r="B797" s="8">
        <f>DATE(2012,12,31)-155</f>
        <v>41119</v>
      </c>
      <c r="C797" s="9" t="s">
        <v>1141</v>
      </c>
      <c r="D797">
        <v>10021397972</v>
      </c>
      <c r="E797" t="s">
        <v>47</v>
      </c>
      <c r="F797" t="s">
        <v>122</v>
      </c>
      <c r="G797" t="s">
        <v>123</v>
      </c>
      <c r="H797" t="s">
        <v>124</v>
      </c>
      <c r="I797" t="s">
        <v>125</v>
      </c>
      <c r="J797" t="s">
        <v>52</v>
      </c>
      <c r="K797" s="3">
        <v>100132921247</v>
      </c>
      <c r="L797" s="10">
        <v>41124</v>
      </c>
      <c r="M797">
        <v>9.25</v>
      </c>
      <c r="N797" s="11">
        <v>2</v>
      </c>
      <c r="O797" s="12">
        <v>4.13</v>
      </c>
      <c r="P797" s="12">
        <v>0.99</v>
      </c>
      <c r="Q797" s="13">
        <v>-4.21</v>
      </c>
      <c r="R797" s="36" t="s">
        <v>971</v>
      </c>
      <c r="S797" s="7">
        <f t="shared" si="65"/>
        <v>5</v>
      </c>
      <c r="T797" s="15" t="str">
        <f>VLOOKUP(R797,产品分类!$C$2:$D$1278,2,0)</f>
        <v>办公用品</v>
      </c>
    </row>
    <row r="798" spans="1:20">
      <c r="A798" s="8">
        <f>DATE(2012,12,31)-155</f>
        <v>41119</v>
      </c>
      <c r="B798" s="8">
        <f>DATE(2012,12,31)-155</f>
        <v>41119</v>
      </c>
      <c r="C798" s="9" t="s">
        <v>1141</v>
      </c>
      <c r="D798">
        <v>10021276192</v>
      </c>
      <c r="E798" t="s">
        <v>47</v>
      </c>
      <c r="F798" t="s">
        <v>91</v>
      </c>
      <c r="G798" t="s">
        <v>92</v>
      </c>
      <c r="H798" t="s">
        <v>774</v>
      </c>
      <c r="I798" t="s">
        <v>775</v>
      </c>
      <c r="J798" t="s">
        <v>52</v>
      </c>
      <c r="K798" s="3">
        <v>10044030193</v>
      </c>
      <c r="L798" s="10">
        <v>41124</v>
      </c>
      <c r="M798">
        <v>573.89</v>
      </c>
      <c r="N798" s="11">
        <v>41</v>
      </c>
      <c r="O798" s="12">
        <v>14.98</v>
      </c>
      <c r="P798" s="12">
        <v>7.69</v>
      </c>
      <c r="Q798" s="13">
        <v>-121.44</v>
      </c>
      <c r="R798" s="36" t="s">
        <v>1142</v>
      </c>
      <c r="S798" s="7">
        <f t="shared" si="65"/>
        <v>5</v>
      </c>
      <c r="T798" s="15" t="str">
        <f>VLOOKUP(R798,产品分类!$C$2:$D$1278,2,0)</f>
        <v>办公用品</v>
      </c>
    </row>
    <row r="799" spans="1:20">
      <c r="A799" s="8">
        <f>DATE(2012,12,31)-847</f>
        <v>40427</v>
      </c>
      <c r="B799" s="8">
        <f>DATE(2012,12,31)-847</f>
        <v>40427</v>
      </c>
      <c r="C799" s="9" t="s">
        <v>506</v>
      </c>
      <c r="D799">
        <v>10021291978</v>
      </c>
      <c r="E799" t="s">
        <v>47</v>
      </c>
      <c r="F799" t="s">
        <v>152</v>
      </c>
      <c r="G799" t="s">
        <v>153</v>
      </c>
      <c r="H799" t="s">
        <v>1136</v>
      </c>
      <c r="I799" t="s">
        <v>1137</v>
      </c>
      <c r="J799" t="s">
        <v>52</v>
      </c>
      <c r="K799" s="3">
        <v>10015139877</v>
      </c>
      <c r="L799" s="10">
        <v>40429</v>
      </c>
      <c r="M799">
        <v>2039.39</v>
      </c>
      <c r="N799" s="11">
        <v>20</v>
      </c>
      <c r="O799" s="12">
        <v>99.99</v>
      </c>
      <c r="P799" s="12">
        <v>19.99</v>
      </c>
      <c r="Q799" s="13">
        <v>199.73</v>
      </c>
      <c r="R799" s="36" t="s">
        <v>532</v>
      </c>
      <c r="S799" s="7">
        <f t="shared" si="65"/>
        <v>2</v>
      </c>
      <c r="T799" s="15" t="str">
        <f>VLOOKUP(R799,产品分类!$C$2:$D$1278,2,0)</f>
        <v>办公用品</v>
      </c>
    </row>
    <row r="800" spans="1:20">
      <c r="A800" s="8">
        <f>DATE(2012,12,31)-961</f>
        <v>40313</v>
      </c>
      <c r="B800" s="8">
        <f>DATE(2012,12,31)-961</f>
        <v>40313</v>
      </c>
      <c r="C800" s="9" t="s">
        <v>551</v>
      </c>
      <c r="D800">
        <v>10021327581</v>
      </c>
      <c r="E800" t="s">
        <v>47</v>
      </c>
      <c r="F800" t="s">
        <v>97</v>
      </c>
      <c r="G800" t="s">
        <v>98</v>
      </c>
      <c r="H800" t="s">
        <v>99</v>
      </c>
      <c r="I800" t="s">
        <v>98</v>
      </c>
      <c r="J800" t="s">
        <v>52</v>
      </c>
      <c r="K800" s="3">
        <v>100130527706</v>
      </c>
      <c r="L800" s="10">
        <v>40314</v>
      </c>
      <c r="M800">
        <v>357.96</v>
      </c>
      <c r="N800" s="11">
        <v>29</v>
      </c>
      <c r="O800" s="12">
        <v>12.28</v>
      </c>
      <c r="P800" s="12">
        <v>6.47</v>
      </c>
      <c r="Q800" s="13">
        <v>10.44</v>
      </c>
      <c r="R800" s="36" t="s">
        <v>874</v>
      </c>
      <c r="S800" s="7">
        <f t="shared" si="65"/>
        <v>1</v>
      </c>
      <c r="T800" s="15" t="str">
        <f>VLOOKUP(R800,产品分类!$C$2:$D$1278,2,0)</f>
        <v>办公用品</v>
      </c>
    </row>
    <row r="801" spans="1:20">
      <c r="A801" s="8">
        <f>DATE(2012,12,31)-1117</f>
        <v>40157</v>
      </c>
      <c r="B801" s="8">
        <f>DATE(2012,12,31)-1117</f>
        <v>40157</v>
      </c>
      <c r="C801" s="9" t="s">
        <v>264</v>
      </c>
      <c r="D801">
        <v>10021355130</v>
      </c>
      <c r="E801" t="s">
        <v>47</v>
      </c>
      <c r="F801" t="s">
        <v>61</v>
      </c>
      <c r="G801" t="s">
        <v>62</v>
      </c>
      <c r="H801" t="s">
        <v>1077</v>
      </c>
      <c r="I801" t="s">
        <v>1078</v>
      </c>
      <c r="J801" t="s">
        <v>52</v>
      </c>
      <c r="K801" s="3">
        <v>10094894871</v>
      </c>
      <c r="L801" s="10">
        <v>40158</v>
      </c>
      <c r="M801">
        <v>2665.64</v>
      </c>
      <c r="N801" s="11">
        <v>10</v>
      </c>
      <c r="O801" s="12">
        <v>280.98</v>
      </c>
      <c r="P801" s="12">
        <v>35.67</v>
      </c>
      <c r="Q801" s="13">
        <v>-107.49</v>
      </c>
      <c r="R801" s="36" t="s">
        <v>395</v>
      </c>
      <c r="S801" s="7">
        <f t="shared" si="65"/>
        <v>1</v>
      </c>
      <c r="T801" s="15" t="str">
        <f>VLOOKUP(R801,产品分类!$C$2:$D$1278,2,0)</f>
        <v>数码电子</v>
      </c>
    </row>
    <row r="802" spans="1:20">
      <c r="A802" s="8">
        <f>DATE(2012,12,31)-1317</f>
        <v>39957</v>
      </c>
      <c r="B802" s="8">
        <f>DATE(2012,12,31)-1317</f>
        <v>39957</v>
      </c>
      <c r="C802" s="9" t="s">
        <v>1143</v>
      </c>
      <c r="D802">
        <v>10021360689</v>
      </c>
      <c r="E802" t="s">
        <v>47</v>
      </c>
      <c r="F802" t="s">
        <v>61</v>
      </c>
      <c r="G802" t="s">
        <v>62</v>
      </c>
      <c r="H802" t="s">
        <v>1077</v>
      </c>
      <c r="I802" t="s">
        <v>1078</v>
      </c>
      <c r="J802" t="s">
        <v>52</v>
      </c>
      <c r="K802" s="3">
        <v>100112725797</v>
      </c>
      <c r="L802" s="10">
        <v>39958</v>
      </c>
      <c r="M802">
        <v>5261.73</v>
      </c>
      <c r="N802" s="11">
        <v>34</v>
      </c>
      <c r="O802" s="12">
        <v>150.98</v>
      </c>
      <c r="P802" s="12">
        <v>43.71</v>
      </c>
      <c r="Q802" s="13">
        <v>650.3</v>
      </c>
      <c r="R802" s="36" t="s">
        <v>1144</v>
      </c>
      <c r="S802" s="7">
        <f t="shared" si="65"/>
        <v>1</v>
      </c>
      <c r="T802" s="15" t="str">
        <f>VLOOKUP(R802,产品分类!$C$2:$D$1278,2,0)</f>
        <v>办公用品</v>
      </c>
    </row>
    <row r="803" spans="1:20">
      <c r="A803" s="8">
        <f>DATE(2012,12,31)-821</f>
        <v>40453</v>
      </c>
      <c r="B803" s="8">
        <f>DATE(2012,12,31)-821</f>
        <v>40453</v>
      </c>
      <c r="C803" s="9" t="s">
        <v>1145</v>
      </c>
      <c r="D803">
        <v>10021248932</v>
      </c>
      <c r="E803" t="s">
        <v>47</v>
      </c>
      <c r="F803" t="s">
        <v>48</v>
      </c>
      <c r="G803" t="s">
        <v>49</v>
      </c>
      <c r="H803" t="s">
        <v>50</v>
      </c>
      <c r="I803" t="s">
        <v>51</v>
      </c>
      <c r="J803" t="s">
        <v>52</v>
      </c>
      <c r="K803" s="3">
        <v>10015035278</v>
      </c>
      <c r="L803" s="10">
        <v>40454</v>
      </c>
      <c r="M803">
        <v>193.79</v>
      </c>
      <c r="N803" s="11">
        <v>23</v>
      </c>
      <c r="O803" s="12">
        <v>8.04</v>
      </c>
      <c r="P803" s="12">
        <v>8.94</v>
      </c>
      <c r="Q803" s="13">
        <v>-117.162</v>
      </c>
      <c r="R803" s="36" t="s">
        <v>1042</v>
      </c>
      <c r="S803" s="7">
        <f t="shared" si="65"/>
        <v>1</v>
      </c>
      <c r="T803" s="15" t="str">
        <f>VLOOKUP(R803,产品分类!$C$2:$D$1278,2,0)</f>
        <v>家具产品</v>
      </c>
    </row>
    <row r="804" spans="1:20">
      <c r="A804" s="8">
        <f>DATE(2012,12,31)-1113</f>
        <v>40161</v>
      </c>
      <c r="B804" s="8">
        <f>DATE(2012,12,31)-1113</f>
        <v>40161</v>
      </c>
      <c r="C804" s="9" t="s">
        <v>101</v>
      </c>
      <c r="D804">
        <v>10021353204</v>
      </c>
      <c r="E804" t="s">
        <v>47</v>
      </c>
      <c r="F804" t="s">
        <v>152</v>
      </c>
      <c r="G804" t="s">
        <v>153</v>
      </c>
      <c r="H804" t="s">
        <v>1136</v>
      </c>
      <c r="I804" t="s">
        <v>1137</v>
      </c>
      <c r="J804" t="s">
        <v>52</v>
      </c>
      <c r="K804" s="3">
        <v>100132557927</v>
      </c>
      <c r="L804" s="10">
        <v>40168</v>
      </c>
      <c r="M804">
        <v>849.46</v>
      </c>
      <c r="N804" s="11">
        <v>23</v>
      </c>
      <c r="O804" s="12">
        <v>35.44</v>
      </c>
      <c r="P804" s="12">
        <v>19.99</v>
      </c>
      <c r="Q804" s="13">
        <v>9.06</v>
      </c>
      <c r="R804" s="36" t="s">
        <v>1146</v>
      </c>
      <c r="S804" s="7">
        <f t="shared" si="65"/>
        <v>7</v>
      </c>
      <c r="T804" s="15" t="str">
        <f>VLOOKUP(R804,产品分类!$C$2:$D$1278,2,0)</f>
        <v>数码电子</v>
      </c>
    </row>
    <row r="805" spans="1:20">
      <c r="A805" s="8">
        <f>DATE(2012,12,31)-247</f>
        <v>41027</v>
      </c>
      <c r="B805" s="8">
        <f>DATE(2012,12,31)-247</f>
        <v>41027</v>
      </c>
      <c r="C805" s="9" t="s">
        <v>1147</v>
      </c>
      <c r="D805">
        <v>10021396426</v>
      </c>
      <c r="E805" t="s">
        <v>47</v>
      </c>
      <c r="F805" t="s">
        <v>152</v>
      </c>
      <c r="G805" t="s">
        <v>153</v>
      </c>
      <c r="H805" t="s">
        <v>1136</v>
      </c>
      <c r="I805" t="s">
        <v>1137</v>
      </c>
      <c r="J805" t="s">
        <v>52</v>
      </c>
      <c r="K805" s="3">
        <v>100121568017</v>
      </c>
      <c r="L805" s="10">
        <v>41028</v>
      </c>
      <c r="M805">
        <v>163.54</v>
      </c>
      <c r="N805" s="11">
        <v>36</v>
      </c>
      <c r="O805" s="12">
        <v>4.13</v>
      </c>
      <c r="P805" s="12">
        <v>5.04</v>
      </c>
      <c r="Q805" s="13">
        <v>-95.059</v>
      </c>
      <c r="R805" s="36" t="s">
        <v>554</v>
      </c>
      <c r="S805" s="7">
        <f t="shared" si="65"/>
        <v>1</v>
      </c>
      <c r="T805" s="15" t="str">
        <f>VLOOKUP(R805,产品分类!$C$2:$D$1278,2,0)</f>
        <v>办公用品</v>
      </c>
    </row>
    <row r="806" spans="1:20">
      <c r="A806" s="8">
        <f>DATE(2012,12,31)-247</f>
        <v>41027</v>
      </c>
      <c r="B806" s="8">
        <f>DATE(2012,12,31)-247</f>
        <v>41027</v>
      </c>
      <c r="C806" s="9" t="s">
        <v>1147</v>
      </c>
      <c r="D806">
        <v>10021299776</v>
      </c>
      <c r="E806" t="s">
        <v>47</v>
      </c>
      <c r="F806" t="s">
        <v>152</v>
      </c>
      <c r="G806" t="s">
        <v>153</v>
      </c>
      <c r="H806" t="s">
        <v>1136</v>
      </c>
      <c r="I806" t="s">
        <v>1137</v>
      </c>
      <c r="J806" t="s">
        <v>52</v>
      </c>
      <c r="K806" s="3">
        <v>100926921541</v>
      </c>
      <c r="L806" s="10">
        <v>41029</v>
      </c>
      <c r="M806">
        <v>2390.54</v>
      </c>
      <c r="N806" s="11">
        <v>31</v>
      </c>
      <c r="O806" s="12">
        <v>82.99</v>
      </c>
      <c r="P806" s="12">
        <v>5.5</v>
      </c>
      <c r="Q806" s="13">
        <v>756.1</v>
      </c>
      <c r="R806" s="36" t="s">
        <v>1148</v>
      </c>
      <c r="S806" s="7">
        <f t="shared" si="65"/>
        <v>2</v>
      </c>
      <c r="T806" s="15" t="str">
        <f>VLOOKUP(R806,产品分类!$C$2:$D$1278,2,0)</f>
        <v>家具产品</v>
      </c>
    </row>
    <row r="807" spans="1:20">
      <c r="A807" s="8">
        <f>DATE(2012,12,31)-517</f>
        <v>40757</v>
      </c>
      <c r="B807" s="8">
        <f>DATE(2012,12,31)-517</f>
        <v>40757</v>
      </c>
      <c r="C807" s="9" t="s">
        <v>632</v>
      </c>
      <c r="D807">
        <v>10021268482</v>
      </c>
      <c r="E807" t="s">
        <v>47</v>
      </c>
      <c r="F807" t="s">
        <v>66</v>
      </c>
      <c r="G807" t="s">
        <v>67</v>
      </c>
      <c r="H807" t="s">
        <v>68</v>
      </c>
      <c r="I807" t="s">
        <v>69</v>
      </c>
      <c r="J807" t="s">
        <v>52</v>
      </c>
      <c r="K807" s="3">
        <v>100932398871</v>
      </c>
      <c r="L807" s="10">
        <v>40759</v>
      </c>
      <c r="M807">
        <v>9626.86</v>
      </c>
      <c r="N807" s="11">
        <v>34</v>
      </c>
      <c r="O807" s="12">
        <v>294.62</v>
      </c>
      <c r="P807" s="12">
        <v>42.52</v>
      </c>
      <c r="Q807" s="13">
        <v>1882.2</v>
      </c>
      <c r="R807" s="36" t="s">
        <v>607</v>
      </c>
      <c r="S807" s="7">
        <f t="shared" si="65"/>
        <v>2</v>
      </c>
      <c r="T807" s="15" t="str">
        <f>VLOOKUP(R807,产品分类!$C$2:$D$1278,2,0)</f>
        <v>家具产品</v>
      </c>
    </row>
    <row r="808" spans="1:20">
      <c r="A808" s="8">
        <f>DATE(2012,12,31)-1397</f>
        <v>39877</v>
      </c>
      <c r="B808" s="8">
        <f>DATE(2012,12,31)-1397</f>
        <v>39877</v>
      </c>
      <c r="C808" s="9" t="s">
        <v>943</v>
      </c>
      <c r="D808">
        <v>10021338360</v>
      </c>
      <c r="E808" t="s">
        <v>47</v>
      </c>
      <c r="F808" t="s">
        <v>152</v>
      </c>
      <c r="G808" t="s">
        <v>153</v>
      </c>
      <c r="H808" t="s">
        <v>1136</v>
      </c>
      <c r="I808" t="s">
        <v>1137</v>
      </c>
      <c r="J808" t="s">
        <v>52</v>
      </c>
      <c r="K808" s="3">
        <v>100923867941</v>
      </c>
      <c r="L808" s="10">
        <v>39884</v>
      </c>
      <c r="M808">
        <v>6005.21</v>
      </c>
      <c r="N808" s="11">
        <v>21</v>
      </c>
      <c r="O808" s="12">
        <v>296.18</v>
      </c>
      <c r="P808" s="12">
        <v>54.12</v>
      </c>
      <c r="Q808" s="13">
        <v>-450.7</v>
      </c>
      <c r="R808" s="36" t="s">
        <v>372</v>
      </c>
      <c r="S808" s="7">
        <f t="shared" si="65"/>
        <v>7</v>
      </c>
      <c r="T808" s="15" t="str">
        <f>VLOOKUP(R808,产品分类!$C$2:$D$1278,2,0)</f>
        <v>办公用品</v>
      </c>
    </row>
    <row r="809" spans="1:20">
      <c r="A809" s="8">
        <f>DATE(2012,12,31)-1013</f>
        <v>40261</v>
      </c>
      <c r="B809" s="8">
        <f>DATE(2012,12,31)-1013</f>
        <v>40261</v>
      </c>
      <c r="C809" s="9" t="s">
        <v>1149</v>
      </c>
      <c r="D809">
        <v>10021256461</v>
      </c>
      <c r="E809" t="s">
        <v>47</v>
      </c>
      <c r="F809" t="s">
        <v>152</v>
      </c>
      <c r="G809" t="s">
        <v>153</v>
      </c>
      <c r="H809" t="s">
        <v>1136</v>
      </c>
      <c r="I809" t="s">
        <v>1137</v>
      </c>
      <c r="J809" t="s">
        <v>52</v>
      </c>
      <c r="K809" s="3">
        <v>100325111929</v>
      </c>
      <c r="L809" s="10">
        <v>40262</v>
      </c>
      <c r="M809">
        <v>2012.14</v>
      </c>
      <c r="N809" s="11">
        <v>49</v>
      </c>
      <c r="O809" s="12">
        <v>40.97</v>
      </c>
      <c r="P809" s="12">
        <v>14.45</v>
      </c>
      <c r="Q809" s="13">
        <v>241.74</v>
      </c>
      <c r="R809" s="36" t="s">
        <v>542</v>
      </c>
      <c r="S809" s="7">
        <f t="shared" si="65"/>
        <v>1</v>
      </c>
      <c r="T809" s="15" t="str">
        <f>VLOOKUP(R809,产品分类!$C$2:$D$1278,2,0)</f>
        <v>办公用品</v>
      </c>
    </row>
    <row r="810" spans="1:20">
      <c r="A810" s="8">
        <f>DATE(2012,12,31)-1152</f>
        <v>40122</v>
      </c>
      <c r="B810" s="8">
        <f>DATE(2012,12,31)-1152</f>
        <v>40122</v>
      </c>
      <c r="C810" s="9" t="s">
        <v>726</v>
      </c>
      <c r="D810">
        <v>10021284066</v>
      </c>
      <c r="E810" t="s">
        <v>47</v>
      </c>
      <c r="F810" t="s">
        <v>72</v>
      </c>
      <c r="G810" t="s">
        <v>73</v>
      </c>
      <c r="H810" t="s">
        <v>1035</v>
      </c>
      <c r="I810" t="s">
        <v>1036</v>
      </c>
      <c r="J810" t="s">
        <v>52</v>
      </c>
      <c r="K810" s="3">
        <v>100728003395</v>
      </c>
      <c r="L810" s="10">
        <v>40124</v>
      </c>
      <c r="M810">
        <v>10307.01</v>
      </c>
      <c r="N810" s="11">
        <v>42</v>
      </c>
      <c r="O810" s="12">
        <v>230.98</v>
      </c>
      <c r="P810" s="12">
        <v>23.78</v>
      </c>
      <c r="Q810" s="13">
        <v>3025.59</v>
      </c>
      <c r="R810" s="36" t="s">
        <v>1150</v>
      </c>
      <c r="S810" s="7">
        <f t="shared" si="65"/>
        <v>2</v>
      </c>
      <c r="T810" s="15" t="str">
        <f>VLOOKUP(R810,产品分类!$C$2:$D$1278,2,0)</f>
        <v>办公用品</v>
      </c>
    </row>
    <row r="811" spans="1:20">
      <c r="A811" s="8">
        <f>DATE(2012,12,31)-171</f>
        <v>41103</v>
      </c>
      <c r="B811" s="8">
        <f>DATE(2012,12,31)-171</f>
        <v>41103</v>
      </c>
      <c r="C811" s="9" t="s">
        <v>336</v>
      </c>
      <c r="D811">
        <v>10021339654</v>
      </c>
      <c r="E811" t="s">
        <v>47</v>
      </c>
      <c r="F811" t="s">
        <v>72</v>
      </c>
      <c r="G811" t="s">
        <v>73</v>
      </c>
      <c r="H811" t="s">
        <v>1035</v>
      </c>
      <c r="I811" t="s">
        <v>1036</v>
      </c>
      <c r="J811" t="s">
        <v>52</v>
      </c>
      <c r="K811" s="3">
        <v>100425493133</v>
      </c>
      <c r="L811" s="10">
        <v>41105</v>
      </c>
      <c r="M811">
        <v>2531.66</v>
      </c>
      <c r="N811" s="11">
        <v>48</v>
      </c>
      <c r="O811" s="12">
        <v>50.98</v>
      </c>
      <c r="P811" s="12">
        <v>13.66</v>
      </c>
      <c r="Q811" s="13">
        <v>354.74</v>
      </c>
      <c r="R811" s="36" t="s">
        <v>1151</v>
      </c>
      <c r="S811" s="7">
        <f t="shared" si="65"/>
        <v>2</v>
      </c>
      <c r="T811" s="15" t="str">
        <f>VLOOKUP(R811,产品分类!$C$2:$D$1278,2,0)</f>
        <v>办公用品</v>
      </c>
    </row>
    <row r="812" spans="1:20">
      <c r="A812" s="8">
        <f>DATE(2012,12,31)-171</f>
        <v>41103</v>
      </c>
      <c r="B812" s="8">
        <f>DATE(2012,12,31)-171</f>
        <v>41103</v>
      </c>
      <c r="C812" s="9" t="s">
        <v>336</v>
      </c>
      <c r="D812">
        <v>10021338790</v>
      </c>
      <c r="E812" t="s">
        <v>47</v>
      </c>
      <c r="F812" t="s">
        <v>72</v>
      </c>
      <c r="G812" t="s">
        <v>73</v>
      </c>
      <c r="H812" t="s">
        <v>1035</v>
      </c>
      <c r="I812" t="s">
        <v>1036</v>
      </c>
      <c r="J812" t="s">
        <v>52</v>
      </c>
      <c r="K812" s="3">
        <v>100924489391</v>
      </c>
      <c r="L812" s="10">
        <v>41105</v>
      </c>
      <c r="M812">
        <v>5382.3105</v>
      </c>
      <c r="N812" s="11">
        <v>29</v>
      </c>
      <c r="O812" s="12">
        <v>205.99</v>
      </c>
      <c r="P812" s="12">
        <v>8.99</v>
      </c>
      <c r="Q812" s="13">
        <v>1419.048</v>
      </c>
      <c r="R812" s="36" t="s">
        <v>799</v>
      </c>
      <c r="S812" s="7">
        <f t="shared" si="65"/>
        <v>2</v>
      </c>
      <c r="T812" s="15" t="str">
        <f>VLOOKUP(R812,产品分类!$C$2:$D$1278,2,0)</f>
        <v>家具产品</v>
      </c>
    </row>
    <row r="813" spans="1:20">
      <c r="A813" s="8">
        <f>DATE(2012,12,31)-316</f>
        <v>40958</v>
      </c>
      <c r="B813" s="8">
        <f>DATE(2012,12,31)-316</f>
        <v>40958</v>
      </c>
      <c r="C813" s="9" t="s">
        <v>809</v>
      </c>
      <c r="D813">
        <v>10021349460</v>
      </c>
      <c r="E813" t="s">
        <v>47</v>
      </c>
      <c r="F813" t="s">
        <v>72</v>
      </c>
      <c r="G813" t="s">
        <v>73</v>
      </c>
      <c r="H813" t="s">
        <v>1035</v>
      </c>
      <c r="I813" t="s">
        <v>1036</v>
      </c>
      <c r="J813" t="s">
        <v>52</v>
      </c>
      <c r="K813" s="3">
        <v>100931866061</v>
      </c>
      <c r="L813" s="10">
        <v>40960</v>
      </c>
      <c r="M813">
        <v>56.73</v>
      </c>
      <c r="N813" s="11">
        <v>12</v>
      </c>
      <c r="O813" s="12">
        <v>4.84</v>
      </c>
      <c r="P813" s="12">
        <v>0.71</v>
      </c>
      <c r="Q813" s="13">
        <v>8.33</v>
      </c>
      <c r="R813" s="36" t="s">
        <v>946</v>
      </c>
      <c r="S813" s="7">
        <f t="shared" si="65"/>
        <v>2</v>
      </c>
      <c r="T813" s="15" t="str">
        <f>VLOOKUP(R813,产品分类!$C$2:$D$1278,2,0)</f>
        <v>数码电子</v>
      </c>
    </row>
    <row r="814" spans="1:20">
      <c r="A814" s="8">
        <f>DATE(2012,12,31)-771</f>
        <v>40503</v>
      </c>
      <c r="B814" s="8">
        <f>DATE(2012,12,31)-771</f>
        <v>40503</v>
      </c>
      <c r="C814" s="9" t="s">
        <v>1152</v>
      </c>
      <c r="D814">
        <v>10021248532</v>
      </c>
      <c r="E814" t="s">
        <v>47</v>
      </c>
      <c r="F814" t="s">
        <v>78</v>
      </c>
      <c r="G814" t="s">
        <v>79</v>
      </c>
      <c r="H814" t="s">
        <v>80</v>
      </c>
      <c r="I814" t="s">
        <v>81</v>
      </c>
      <c r="J814" t="s">
        <v>52</v>
      </c>
      <c r="K814" s="3">
        <v>10082644752</v>
      </c>
      <c r="L814" s="10">
        <v>40504</v>
      </c>
      <c r="M814">
        <v>933.21</v>
      </c>
      <c r="N814" s="11">
        <v>40</v>
      </c>
      <c r="O814" s="12">
        <v>22.98</v>
      </c>
      <c r="P814" s="12">
        <v>7.58</v>
      </c>
      <c r="Q814" s="13">
        <v>207.18</v>
      </c>
      <c r="R814" s="36" t="s">
        <v>616</v>
      </c>
      <c r="S814" s="7">
        <f t="shared" si="65"/>
        <v>1</v>
      </c>
      <c r="T814" s="15" t="str">
        <f>VLOOKUP(R814,产品分类!$C$2:$D$1278,2,0)</f>
        <v>家具产品</v>
      </c>
    </row>
    <row r="815" spans="1:20">
      <c r="A815" s="8">
        <f>DATE(2012,12,31)-58</f>
        <v>41216</v>
      </c>
      <c r="B815" s="8">
        <f>DATE(2012,12,31)-58</f>
        <v>41216</v>
      </c>
      <c r="C815" s="9" t="s">
        <v>1153</v>
      </c>
      <c r="D815">
        <v>10021265536</v>
      </c>
      <c r="E815" t="s">
        <v>47</v>
      </c>
      <c r="F815" t="s">
        <v>230</v>
      </c>
      <c r="G815" t="s">
        <v>231</v>
      </c>
      <c r="H815" t="s">
        <v>870</v>
      </c>
      <c r="I815" t="s">
        <v>871</v>
      </c>
      <c r="J815" t="s">
        <v>52</v>
      </c>
      <c r="K815" s="3">
        <v>100131514727</v>
      </c>
      <c r="L815" s="10">
        <v>41217</v>
      </c>
      <c r="M815">
        <v>813.535</v>
      </c>
      <c r="N815" s="11">
        <v>42</v>
      </c>
      <c r="O815" s="12">
        <v>20.99</v>
      </c>
      <c r="P815" s="12">
        <v>0.99</v>
      </c>
      <c r="Q815" s="13">
        <v>435.951</v>
      </c>
      <c r="R815" s="36" t="s">
        <v>1154</v>
      </c>
      <c r="S815" s="7">
        <f t="shared" si="65"/>
        <v>1</v>
      </c>
      <c r="T815" s="15" t="str">
        <f>VLOOKUP(R815,产品分类!$C$2:$D$1278,2,0)</f>
        <v>办公用品</v>
      </c>
    </row>
    <row r="816" spans="1:20">
      <c r="A816" s="8">
        <f>DATE(2012,12,31)-3</f>
        <v>41271</v>
      </c>
      <c r="B816" s="8">
        <f>DATE(2012,12,31)-3</f>
        <v>41271</v>
      </c>
      <c r="C816" s="9" t="s">
        <v>264</v>
      </c>
      <c r="D816">
        <v>10021269317</v>
      </c>
      <c r="E816" t="s">
        <v>47</v>
      </c>
      <c r="F816" t="s">
        <v>114</v>
      </c>
      <c r="G816" t="s">
        <v>115</v>
      </c>
      <c r="H816" t="s">
        <v>1057</v>
      </c>
      <c r="I816" t="s">
        <v>1058</v>
      </c>
      <c r="J816" t="s">
        <v>52</v>
      </c>
      <c r="K816" s="3">
        <v>100832440782</v>
      </c>
      <c r="L816" s="10">
        <v>41273</v>
      </c>
      <c r="M816">
        <v>44.45</v>
      </c>
      <c r="N816" s="11">
        <v>2</v>
      </c>
      <c r="O816" s="12">
        <v>20.98</v>
      </c>
      <c r="P816" s="12">
        <v>1.49</v>
      </c>
      <c r="Q816" s="13">
        <v>-17.457</v>
      </c>
      <c r="R816" s="36" t="s">
        <v>1155</v>
      </c>
      <c r="S816" s="7">
        <f t="shared" si="65"/>
        <v>2</v>
      </c>
      <c r="T816" s="15" t="str">
        <f>VLOOKUP(R816,产品分类!$C$2:$D$1278,2,0)</f>
        <v>家具产品</v>
      </c>
    </row>
    <row r="817" spans="1:20">
      <c r="A817" s="8">
        <f>DATE(2012,12,31)-1237</f>
        <v>40037</v>
      </c>
      <c r="B817" s="8">
        <f>DATE(2012,12,31)-1237</f>
        <v>40037</v>
      </c>
      <c r="C817" s="9" t="s">
        <v>1156</v>
      </c>
      <c r="D817">
        <v>10021350889</v>
      </c>
      <c r="E817" t="s">
        <v>47</v>
      </c>
      <c r="F817" t="s">
        <v>473</v>
      </c>
      <c r="G817" t="s">
        <v>474</v>
      </c>
      <c r="H817" t="s">
        <v>475</v>
      </c>
      <c r="I817" t="s">
        <v>476</v>
      </c>
      <c r="J817" t="s">
        <v>52</v>
      </c>
      <c r="K817" s="3">
        <v>100432189953</v>
      </c>
      <c r="L817" s="10">
        <v>40038</v>
      </c>
      <c r="M817">
        <v>384.33</v>
      </c>
      <c r="N817" s="11">
        <v>7</v>
      </c>
      <c r="O817" s="12">
        <v>58.1</v>
      </c>
      <c r="P817" s="12">
        <v>1.49</v>
      </c>
      <c r="Q817" s="13">
        <v>87.6775</v>
      </c>
      <c r="R817" s="36" t="s">
        <v>1157</v>
      </c>
      <c r="S817" s="7">
        <f t="shared" si="65"/>
        <v>1</v>
      </c>
      <c r="T817" s="15" t="str">
        <f>VLOOKUP(R817,产品分类!$C$2:$D$1278,2,0)</f>
        <v>办公用品</v>
      </c>
    </row>
    <row r="818" spans="1:20">
      <c r="A818" s="8">
        <f>DATE(2012,12,31)-1237</f>
        <v>40037</v>
      </c>
      <c r="B818" s="8">
        <f>DATE(2012,12,31)-1237</f>
        <v>40037</v>
      </c>
      <c r="C818" s="9" t="s">
        <v>1156</v>
      </c>
      <c r="D818">
        <v>10021256809</v>
      </c>
      <c r="E818" t="s">
        <v>47</v>
      </c>
      <c r="F818" t="s">
        <v>83</v>
      </c>
      <c r="G818" t="s">
        <v>84</v>
      </c>
      <c r="H818" t="s">
        <v>1037</v>
      </c>
      <c r="I818" t="s">
        <v>1038</v>
      </c>
      <c r="J818" t="s">
        <v>52</v>
      </c>
      <c r="K818" s="3">
        <v>100725525245</v>
      </c>
      <c r="L818" s="10">
        <v>40040</v>
      </c>
      <c r="M818">
        <v>239.03</v>
      </c>
      <c r="N818" s="11">
        <v>3</v>
      </c>
      <c r="O818" s="12">
        <v>80.48</v>
      </c>
      <c r="P818" s="12">
        <v>4.5</v>
      </c>
      <c r="Q818" s="13">
        <v>-68.22</v>
      </c>
      <c r="R818" s="36" t="s">
        <v>1158</v>
      </c>
      <c r="S818" s="7">
        <f t="shared" si="65"/>
        <v>3</v>
      </c>
      <c r="T818" s="15" t="str">
        <f>VLOOKUP(R818,产品分类!$C$2:$D$1278,2,0)</f>
        <v>数码电子</v>
      </c>
    </row>
    <row r="819" spans="1:20">
      <c r="A819" s="8">
        <f>DATE(2012,12,31)-1138</f>
        <v>40136</v>
      </c>
      <c r="B819" s="8">
        <f>DATE(2012,12,31)-1138</f>
        <v>40136</v>
      </c>
      <c r="C819" s="9" t="s">
        <v>1159</v>
      </c>
      <c r="D819">
        <v>10021253549</v>
      </c>
      <c r="E819" t="s">
        <v>47</v>
      </c>
      <c r="F819" t="s">
        <v>83</v>
      </c>
      <c r="G819" t="s">
        <v>84</v>
      </c>
      <c r="H819" t="s">
        <v>1037</v>
      </c>
      <c r="I819" t="s">
        <v>1038</v>
      </c>
      <c r="J819" t="s">
        <v>52</v>
      </c>
      <c r="K819" s="3">
        <v>100319369129</v>
      </c>
      <c r="L819" s="10">
        <v>40136</v>
      </c>
      <c r="M819">
        <v>582.59</v>
      </c>
      <c r="N819" s="11">
        <v>4</v>
      </c>
      <c r="O819" s="12">
        <v>155.06</v>
      </c>
      <c r="P819" s="12">
        <v>7.07</v>
      </c>
      <c r="Q819" s="13">
        <v>-121.75</v>
      </c>
      <c r="R819" s="36" t="s">
        <v>1160</v>
      </c>
      <c r="S819" s="7">
        <f t="shared" si="65"/>
        <v>0</v>
      </c>
      <c r="T819" s="15" t="str">
        <f>VLOOKUP(R819,产品分类!$C$2:$D$1278,2,0)</f>
        <v>数码电子</v>
      </c>
    </row>
    <row r="820" spans="1:20">
      <c r="A820" s="8">
        <f>DATE(2012,12,31)-1365</f>
        <v>39909</v>
      </c>
      <c r="B820" s="8">
        <f>DATE(2012,12,31)-1365</f>
        <v>39909</v>
      </c>
      <c r="C820" s="9" t="s">
        <v>1161</v>
      </c>
      <c r="D820">
        <v>10021395636</v>
      </c>
      <c r="E820" t="s">
        <v>47</v>
      </c>
      <c r="F820" t="s">
        <v>91</v>
      </c>
      <c r="G820" t="s">
        <v>92</v>
      </c>
      <c r="H820" t="s">
        <v>774</v>
      </c>
      <c r="I820" t="s">
        <v>775</v>
      </c>
      <c r="J820" t="s">
        <v>52</v>
      </c>
      <c r="K820" s="3">
        <v>100913410651</v>
      </c>
      <c r="L820" s="10">
        <v>39916</v>
      </c>
      <c r="M820">
        <v>384.74</v>
      </c>
      <c r="N820" s="11">
        <v>27</v>
      </c>
      <c r="O820" s="12">
        <v>13.43</v>
      </c>
      <c r="P820" s="12">
        <v>5.5</v>
      </c>
      <c r="Q820" s="13">
        <v>2.69</v>
      </c>
      <c r="R820" s="36" t="s">
        <v>1162</v>
      </c>
      <c r="S820" s="7">
        <f t="shared" si="65"/>
        <v>7</v>
      </c>
      <c r="T820" s="15" t="str">
        <f>VLOOKUP(R820,产品分类!$C$2:$D$1278,2,0)</f>
        <v>办公用品</v>
      </c>
    </row>
    <row r="821" spans="1:20">
      <c r="A821" s="8">
        <f>DATE(2012,12,31)-415</f>
        <v>40859</v>
      </c>
      <c r="B821" s="8">
        <f>DATE(2012,12,31)-415</f>
        <v>40859</v>
      </c>
      <c r="C821" s="9" t="s">
        <v>1163</v>
      </c>
      <c r="D821">
        <v>10021249048</v>
      </c>
      <c r="E821" t="s">
        <v>47</v>
      </c>
      <c r="F821" t="s">
        <v>122</v>
      </c>
      <c r="G821" t="s">
        <v>123</v>
      </c>
      <c r="H821" t="s">
        <v>124</v>
      </c>
      <c r="I821" t="s">
        <v>125</v>
      </c>
      <c r="J821" t="s">
        <v>52</v>
      </c>
      <c r="K821" s="3">
        <v>10049106563</v>
      </c>
      <c r="L821" s="10">
        <v>40866</v>
      </c>
      <c r="M821">
        <v>3922.42</v>
      </c>
      <c r="N821" s="11">
        <v>44</v>
      </c>
      <c r="O821" s="12">
        <v>92.23</v>
      </c>
      <c r="P821" s="12">
        <v>39.61</v>
      </c>
      <c r="Q821" s="13">
        <v>-354.9</v>
      </c>
      <c r="R821" s="36" t="s">
        <v>1164</v>
      </c>
      <c r="S821" s="7">
        <f t="shared" si="65"/>
        <v>7</v>
      </c>
      <c r="T821" s="15" t="str">
        <f>VLOOKUP(R821,产品分类!$C$2:$D$1278,2,0)</f>
        <v>数码电子</v>
      </c>
    </row>
    <row r="822" spans="1:20">
      <c r="A822" s="8">
        <f>DATE(2012,12,31)-415</f>
        <v>40859</v>
      </c>
      <c r="B822" s="8">
        <f>DATE(2012,12,31)-415</f>
        <v>40859</v>
      </c>
      <c r="C822" s="9" t="s">
        <v>1163</v>
      </c>
      <c r="D822">
        <v>10021283799</v>
      </c>
      <c r="E822" t="s">
        <v>47</v>
      </c>
      <c r="F822" t="s">
        <v>122</v>
      </c>
      <c r="G822" t="s">
        <v>123</v>
      </c>
      <c r="H822" t="s">
        <v>124</v>
      </c>
      <c r="I822" t="s">
        <v>125</v>
      </c>
      <c r="J822" t="s">
        <v>52</v>
      </c>
      <c r="K822" s="3">
        <v>100827462612</v>
      </c>
      <c r="L822" s="10">
        <v>40866</v>
      </c>
      <c r="M822">
        <v>1733.3625</v>
      </c>
      <c r="N822" s="11">
        <v>25</v>
      </c>
      <c r="O822" s="12">
        <v>85.99</v>
      </c>
      <c r="P822" s="12">
        <v>0.99</v>
      </c>
      <c r="Q822" s="13">
        <v>-267.014</v>
      </c>
      <c r="R822" s="36" t="s">
        <v>228</v>
      </c>
      <c r="S822" s="7">
        <f t="shared" si="65"/>
        <v>7</v>
      </c>
      <c r="T822" s="15" t="str">
        <f>VLOOKUP(R822,产品分类!$C$2:$D$1278,2,0)</f>
        <v>数码电子</v>
      </c>
    </row>
    <row r="823" spans="1:20">
      <c r="A823" s="8">
        <f>DATE(2012,12,31)-29</f>
        <v>41245</v>
      </c>
      <c r="B823" s="8">
        <f>DATE(2012,12,31)-29</f>
        <v>41245</v>
      </c>
      <c r="C823" s="9" t="s">
        <v>873</v>
      </c>
      <c r="D823">
        <v>10021253160</v>
      </c>
      <c r="E823" t="s">
        <v>47</v>
      </c>
      <c r="F823" t="s">
        <v>122</v>
      </c>
      <c r="G823" t="s">
        <v>123</v>
      </c>
      <c r="H823" t="s">
        <v>124</v>
      </c>
      <c r="I823" t="s">
        <v>125</v>
      </c>
      <c r="J823" t="s">
        <v>52</v>
      </c>
      <c r="K823" s="3">
        <v>10018487896</v>
      </c>
      <c r="L823" s="10">
        <v>41247</v>
      </c>
      <c r="M823">
        <v>18316.3</v>
      </c>
      <c r="N823" s="11">
        <v>32</v>
      </c>
      <c r="O823" s="12">
        <v>596.98</v>
      </c>
      <c r="P823" s="12">
        <v>14.7</v>
      </c>
      <c r="Q823" s="13">
        <v>4569.06</v>
      </c>
      <c r="R823" s="36" t="s">
        <v>1165</v>
      </c>
      <c r="S823" s="7">
        <f t="shared" si="65"/>
        <v>2</v>
      </c>
      <c r="T823" s="15" t="str">
        <f>VLOOKUP(R823,产品分类!$C$2:$D$1278,2,0)</f>
        <v>办公用品</v>
      </c>
    </row>
    <row r="824" spans="1:20">
      <c r="A824" s="16">
        <f t="shared" ref="A824:B826" si="69">DATE(2012,12,31)-736</f>
        <v>40538</v>
      </c>
      <c r="B824" s="16">
        <f t="shared" si="69"/>
        <v>40538</v>
      </c>
      <c r="C824" s="9" t="s">
        <v>428</v>
      </c>
      <c r="D824">
        <v>10021252542</v>
      </c>
      <c r="E824" t="s">
        <v>47</v>
      </c>
      <c r="F824" t="s">
        <v>91</v>
      </c>
      <c r="G824" t="s">
        <v>92</v>
      </c>
      <c r="H824" t="s">
        <v>774</v>
      </c>
      <c r="I824" t="s">
        <v>775</v>
      </c>
      <c r="J824" t="s">
        <v>52</v>
      </c>
      <c r="K824" s="3">
        <v>100811926542</v>
      </c>
      <c r="L824" s="10">
        <v>40539</v>
      </c>
      <c r="M824">
        <v>68.32</v>
      </c>
      <c r="N824" s="17">
        <v>15</v>
      </c>
      <c r="O824" s="5">
        <v>4.28</v>
      </c>
      <c r="P824" s="5">
        <v>6.72</v>
      </c>
      <c r="Q824" s="6">
        <v>-66.72</v>
      </c>
      <c r="R824" s="37" t="s">
        <v>833</v>
      </c>
      <c r="S824" s="7">
        <f t="shared" si="65"/>
        <v>1</v>
      </c>
      <c r="T824" s="15" t="str">
        <f>VLOOKUP(R824,产品分类!$C$2:$D$1278,2,0)</f>
        <v>家具产品</v>
      </c>
    </row>
    <row r="825" spans="1:20">
      <c r="A825" s="8">
        <f t="shared" si="69"/>
        <v>40538</v>
      </c>
      <c r="B825" s="8">
        <f t="shared" si="69"/>
        <v>40538</v>
      </c>
      <c r="C825" s="9" t="s">
        <v>428</v>
      </c>
      <c r="D825">
        <v>10021389230</v>
      </c>
      <c r="E825" t="s">
        <v>47</v>
      </c>
      <c r="F825" t="s">
        <v>122</v>
      </c>
      <c r="G825" t="s">
        <v>123</v>
      </c>
      <c r="H825" t="s">
        <v>124</v>
      </c>
      <c r="I825" t="s">
        <v>125</v>
      </c>
      <c r="J825" t="s">
        <v>52</v>
      </c>
      <c r="K825" s="3">
        <v>100431583604</v>
      </c>
      <c r="L825" s="10">
        <v>40540</v>
      </c>
      <c r="M825">
        <v>536.38</v>
      </c>
      <c r="N825" s="11">
        <v>3</v>
      </c>
      <c r="O825" s="12">
        <v>150.98</v>
      </c>
      <c r="P825" s="12">
        <v>66.27</v>
      </c>
      <c r="Q825" s="13">
        <v>-258.8</v>
      </c>
      <c r="R825" s="36" t="s">
        <v>1166</v>
      </c>
      <c r="S825" s="7">
        <f t="shared" si="65"/>
        <v>2</v>
      </c>
      <c r="T825" s="15" t="str">
        <f>VLOOKUP(R825,产品分类!$C$2:$D$1278,2,0)</f>
        <v>办公用品</v>
      </c>
    </row>
    <row r="826" spans="1:20">
      <c r="A826" s="8">
        <f t="shared" si="69"/>
        <v>40538</v>
      </c>
      <c r="B826" s="8">
        <f t="shared" si="69"/>
        <v>40538</v>
      </c>
      <c r="C826" s="9" t="s">
        <v>428</v>
      </c>
      <c r="D826">
        <v>10021304321</v>
      </c>
      <c r="E826" t="s">
        <v>47</v>
      </c>
      <c r="F826" t="s">
        <v>132</v>
      </c>
      <c r="G826" t="s">
        <v>133</v>
      </c>
      <c r="H826" t="s">
        <v>134</v>
      </c>
      <c r="I826" t="s">
        <v>133</v>
      </c>
      <c r="J826" t="s">
        <v>52</v>
      </c>
      <c r="K826" s="3">
        <v>100932728261</v>
      </c>
      <c r="L826" s="10">
        <v>40541</v>
      </c>
      <c r="M826">
        <v>391.8755</v>
      </c>
      <c r="N826" s="11">
        <v>23</v>
      </c>
      <c r="O826" s="12">
        <v>20.99</v>
      </c>
      <c r="P826" s="12">
        <v>4.81</v>
      </c>
      <c r="Q826" s="13">
        <v>-38.016</v>
      </c>
      <c r="R826" s="36" t="s">
        <v>692</v>
      </c>
      <c r="S826" s="7">
        <f t="shared" si="65"/>
        <v>3</v>
      </c>
      <c r="T826" s="15" t="str">
        <f>VLOOKUP(R826,产品分类!$C$2:$D$1278,2,0)</f>
        <v>办公用品</v>
      </c>
    </row>
    <row r="827" spans="1:20">
      <c r="A827" s="8">
        <f>DATE(2012,12,31)-473</f>
        <v>40801</v>
      </c>
      <c r="B827" s="8">
        <f>DATE(2012,12,31)-473</f>
        <v>40801</v>
      </c>
      <c r="C827" s="9" t="s">
        <v>1054</v>
      </c>
      <c r="D827">
        <v>10021250090</v>
      </c>
      <c r="E827" t="s">
        <v>47</v>
      </c>
      <c r="F827" t="s">
        <v>304</v>
      </c>
      <c r="G827" t="s">
        <v>305</v>
      </c>
      <c r="H827" t="s">
        <v>306</v>
      </c>
      <c r="I827" t="s">
        <v>307</v>
      </c>
      <c r="J827" t="s">
        <v>52</v>
      </c>
      <c r="K827" s="3">
        <v>100113496548</v>
      </c>
      <c r="L827" s="10">
        <v>40803</v>
      </c>
      <c r="M827">
        <v>2036.97</v>
      </c>
      <c r="N827" s="11">
        <v>3</v>
      </c>
      <c r="O827" s="12">
        <v>699.99</v>
      </c>
      <c r="P827" s="12">
        <v>24.49</v>
      </c>
      <c r="Q827" s="13">
        <v>-2397.44</v>
      </c>
      <c r="R827" s="36" t="s">
        <v>493</v>
      </c>
      <c r="S827" s="7">
        <f t="shared" si="65"/>
        <v>2</v>
      </c>
      <c r="T827" s="15" t="str">
        <f>VLOOKUP(R827,产品分类!$C$2:$D$1278,2,0)</f>
        <v>办公用品</v>
      </c>
    </row>
    <row r="828" spans="1:20">
      <c r="A828" s="8">
        <f>DATE(2012,12,31)-473</f>
        <v>40801</v>
      </c>
      <c r="B828" s="8">
        <f>DATE(2012,12,31)-473</f>
        <v>40801</v>
      </c>
      <c r="C828" s="9" t="s">
        <v>1054</v>
      </c>
      <c r="D828">
        <v>10021339491</v>
      </c>
      <c r="E828" t="s">
        <v>47</v>
      </c>
      <c r="F828" t="s">
        <v>171</v>
      </c>
      <c r="G828" t="s">
        <v>172</v>
      </c>
      <c r="H828" t="s">
        <v>933</v>
      </c>
      <c r="I828" t="s">
        <v>934</v>
      </c>
      <c r="J828" t="s">
        <v>52</v>
      </c>
      <c r="K828" s="3">
        <v>100425103694</v>
      </c>
      <c r="L828" s="10">
        <v>40801</v>
      </c>
      <c r="M828">
        <v>2629.664</v>
      </c>
      <c r="N828" s="11">
        <v>21</v>
      </c>
      <c r="O828" s="12">
        <v>159.31</v>
      </c>
      <c r="P828" s="12">
        <v>60</v>
      </c>
      <c r="Q828" s="13">
        <v>27.74</v>
      </c>
      <c r="R828" s="36" t="s">
        <v>717</v>
      </c>
      <c r="S828" s="7">
        <f t="shared" si="65"/>
        <v>0</v>
      </c>
      <c r="T828" s="15" t="str">
        <f>VLOOKUP(R828,产品分类!$C$2:$D$1278,2,0)</f>
        <v>办公用品</v>
      </c>
    </row>
    <row r="829" spans="1:20">
      <c r="A829" s="8">
        <f t="shared" ref="A829:B831" si="70">DATE(2012,12,31)-1293</f>
        <v>39981</v>
      </c>
      <c r="B829" s="8">
        <f t="shared" si="70"/>
        <v>39981</v>
      </c>
      <c r="C829" s="9" t="s">
        <v>667</v>
      </c>
      <c r="D829">
        <v>10021319702</v>
      </c>
      <c r="E829" t="s">
        <v>47</v>
      </c>
      <c r="F829" t="s">
        <v>171</v>
      </c>
      <c r="G829" t="s">
        <v>172</v>
      </c>
      <c r="H829" t="s">
        <v>933</v>
      </c>
      <c r="I829" t="s">
        <v>934</v>
      </c>
      <c r="J829" t="s">
        <v>52</v>
      </c>
      <c r="K829" s="3">
        <v>100316959929</v>
      </c>
      <c r="L829" s="10">
        <v>39986</v>
      </c>
      <c r="M829">
        <v>394.62</v>
      </c>
      <c r="N829" s="11">
        <v>37</v>
      </c>
      <c r="O829" s="12">
        <v>10.89</v>
      </c>
      <c r="P829" s="12">
        <v>4.5</v>
      </c>
      <c r="Q829" s="13">
        <v>-31.39</v>
      </c>
      <c r="R829" s="36" t="s">
        <v>269</v>
      </c>
      <c r="S829" s="7">
        <f t="shared" si="65"/>
        <v>5</v>
      </c>
      <c r="T829" s="15" t="str">
        <f>VLOOKUP(R829,产品分类!$C$2:$D$1278,2,0)</f>
        <v>办公用品</v>
      </c>
    </row>
    <row r="830" spans="1:20">
      <c r="A830" s="8">
        <f t="shared" si="70"/>
        <v>39981</v>
      </c>
      <c r="B830" s="8">
        <f t="shared" si="70"/>
        <v>39981</v>
      </c>
      <c r="C830" s="9" t="s">
        <v>667</v>
      </c>
      <c r="D830">
        <v>10021339379</v>
      </c>
      <c r="E830" t="s">
        <v>47</v>
      </c>
      <c r="F830" t="s">
        <v>171</v>
      </c>
      <c r="G830" t="s">
        <v>172</v>
      </c>
      <c r="H830" t="s">
        <v>933</v>
      </c>
      <c r="I830" t="s">
        <v>934</v>
      </c>
      <c r="J830" t="s">
        <v>52</v>
      </c>
      <c r="K830" s="3">
        <v>100925057291</v>
      </c>
      <c r="L830" s="10">
        <v>39986</v>
      </c>
      <c r="M830">
        <v>464.64</v>
      </c>
      <c r="N830" s="11">
        <v>42</v>
      </c>
      <c r="O830" s="12">
        <v>10.64</v>
      </c>
      <c r="P830" s="12">
        <v>5.16</v>
      </c>
      <c r="Q830" s="13">
        <v>14.48</v>
      </c>
      <c r="R830" s="36" t="s">
        <v>644</v>
      </c>
      <c r="S830" s="7">
        <f t="shared" si="65"/>
        <v>5</v>
      </c>
      <c r="T830" s="15" t="str">
        <f>VLOOKUP(R830,产品分类!$C$2:$D$1278,2,0)</f>
        <v>家具产品</v>
      </c>
    </row>
    <row r="831" spans="1:20">
      <c r="A831" s="8">
        <f t="shared" si="70"/>
        <v>39981</v>
      </c>
      <c r="B831" s="8">
        <f t="shared" si="70"/>
        <v>39981</v>
      </c>
      <c r="C831" s="9" t="s">
        <v>667</v>
      </c>
      <c r="D831">
        <v>10021343653</v>
      </c>
      <c r="E831" t="s">
        <v>47</v>
      </c>
      <c r="F831" t="s">
        <v>342</v>
      </c>
      <c r="G831" t="s">
        <v>343</v>
      </c>
      <c r="H831" t="s">
        <v>344</v>
      </c>
      <c r="I831" t="s">
        <v>345</v>
      </c>
      <c r="J831" t="s">
        <v>52</v>
      </c>
      <c r="K831" s="3">
        <v>100129135028</v>
      </c>
      <c r="L831" s="10">
        <v>39983</v>
      </c>
      <c r="M831">
        <v>96.68</v>
      </c>
      <c r="N831" s="11">
        <v>11</v>
      </c>
      <c r="O831" s="12">
        <v>7.96</v>
      </c>
      <c r="P831" s="12">
        <v>4.95</v>
      </c>
      <c r="Q831" s="13">
        <v>22.25</v>
      </c>
      <c r="R831" s="36" t="s">
        <v>1167</v>
      </c>
      <c r="S831" s="7">
        <f t="shared" si="65"/>
        <v>2</v>
      </c>
      <c r="T831" s="15" t="str">
        <f>VLOOKUP(R831,产品分类!$C$2:$D$1278,2,0)</f>
        <v>家具产品</v>
      </c>
    </row>
    <row r="832" spans="1:20">
      <c r="A832" s="16">
        <f t="shared" ref="A832:B834" si="71">DATE(2012,12,31)-254</f>
        <v>41020</v>
      </c>
      <c r="B832" s="16">
        <f t="shared" si="71"/>
        <v>41020</v>
      </c>
      <c r="C832" s="9" t="s">
        <v>1168</v>
      </c>
      <c r="D832">
        <v>10021288431</v>
      </c>
      <c r="E832" t="s">
        <v>47</v>
      </c>
      <c r="F832" t="s">
        <v>342</v>
      </c>
      <c r="G832" t="s">
        <v>343</v>
      </c>
      <c r="H832" t="s">
        <v>344</v>
      </c>
      <c r="I832" t="s">
        <v>345</v>
      </c>
      <c r="J832" t="s">
        <v>52</v>
      </c>
      <c r="K832" s="3">
        <v>10032621919</v>
      </c>
      <c r="L832" s="10">
        <v>41020</v>
      </c>
      <c r="M832">
        <v>5556.18</v>
      </c>
      <c r="N832" s="17">
        <v>48</v>
      </c>
      <c r="O832" s="5">
        <v>120.98</v>
      </c>
      <c r="P832" s="5">
        <v>3.99</v>
      </c>
      <c r="Q832" s="6">
        <v>1638.48</v>
      </c>
      <c r="R832" s="37" t="s">
        <v>1169</v>
      </c>
      <c r="S832" s="7">
        <f t="shared" si="65"/>
        <v>0</v>
      </c>
      <c r="T832" s="15" t="str">
        <f>VLOOKUP(R832,产品分类!$C$2:$D$1278,2,0)</f>
        <v>办公用品</v>
      </c>
    </row>
    <row r="833" spans="1:20">
      <c r="A833" s="8">
        <f t="shared" si="71"/>
        <v>41020</v>
      </c>
      <c r="B833" s="8">
        <f t="shared" si="71"/>
        <v>41020</v>
      </c>
      <c r="C833" s="9" t="s">
        <v>1168</v>
      </c>
      <c r="D833">
        <v>10021251723</v>
      </c>
      <c r="E833" t="s">
        <v>47</v>
      </c>
      <c r="F833" t="s">
        <v>61</v>
      </c>
      <c r="G833" t="s">
        <v>62</v>
      </c>
      <c r="H833" t="s">
        <v>1077</v>
      </c>
      <c r="I833" t="s">
        <v>1078</v>
      </c>
      <c r="J833" t="s">
        <v>52</v>
      </c>
      <c r="K833" s="3">
        <v>100811233802</v>
      </c>
      <c r="L833" s="10">
        <v>41021</v>
      </c>
      <c r="M833">
        <v>1021.55</v>
      </c>
      <c r="N833" s="11">
        <v>20</v>
      </c>
      <c r="O833" s="12">
        <v>50.98</v>
      </c>
      <c r="P833" s="12">
        <v>14.19</v>
      </c>
      <c r="Q833" s="13">
        <v>64.81</v>
      </c>
      <c r="R833" s="36" t="s">
        <v>1170</v>
      </c>
      <c r="S833" s="7">
        <f t="shared" si="65"/>
        <v>1</v>
      </c>
      <c r="T833" s="15" t="str">
        <f>VLOOKUP(R833,产品分类!$C$2:$D$1278,2,0)</f>
        <v>数码电子</v>
      </c>
    </row>
    <row r="834" spans="1:20">
      <c r="A834" s="8">
        <f t="shared" si="71"/>
        <v>41020</v>
      </c>
      <c r="B834" s="8">
        <f t="shared" si="71"/>
        <v>41020</v>
      </c>
      <c r="C834" s="9" t="s">
        <v>1168</v>
      </c>
      <c r="D834">
        <v>10021249204</v>
      </c>
      <c r="E834" t="s">
        <v>47</v>
      </c>
      <c r="F834" t="s">
        <v>61</v>
      </c>
      <c r="G834" t="s">
        <v>62</v>
      </c>
      <c r="H834" t="s">
        <v>1077</v>
      </c>
      <c r="I834" t="s">
        <v>1078</v>
      </c>
      <c r="J834" t="s">
        <v>52</v>
      </c>
      <c r="K834" s="3">
        <v>10033573769</v>
      </c>
      <c r="L834" s="10">
        <v>41021</v>
      </c>
      <c r="M834">
        <v>205.24</v>
      </c>
      <c r="N834" s="11">
        <v>41</v>
      </c>
      <c r="O834" s="12">
        <v>4.89</v>
      </c>
      <c r="P834" s="12">
        <v>4.93</v>
      </c>
      <c r="Q834" s="13">
        <v>-148.77</v>
      </c>
      <c r="R834" s="36" t="s">
        <v>512</v>
      </c>
      <c r="S834" s="7">
        <f t="shared" si="65"/>
        <v>1</v>
      </c>
      <c r="T834" s="15" t="str">
        <f>VLOOKUP(R834,产品分类!$C$2:$D$1278,2,0)</f>
        <v>办公用品</v>
      </c>
    </row>
    <row r="835" spans="1:20">
      <c r="A835" s="8">
        <f>DATE(2012,12,31)-771</f>
        <v>40503</v>
      </c>
      <c r="B835" s="8">
        <f>DATE(2012,12,31)-771</f>
        <v>40503</v>
      </c>
      <c r="C835" s="9" t="s">
        <v>207</v>
      </c>
      <c r="D835">
        <v>10021263385</v>
      </c>
      <c r="E835" t="s">
        <v>47</v>
      </c>
      <c r="F835" t="s">
        <v>83</v>
      </c>
      <c r="G835" t="s">
        <v>84</v>
      </c>
      <c r="H835" t="s">
        <v>1037</v>
      </c>
      <c r="I835" t="s">
        <v>1038</v>
      </c>
      <c r="J835" t="s">
        <v>52</v>
      </c>
      <c r="K835" s="3">
        <v>100930498241</v>
      </c>
      <c r="L835" s="10">
        <v>40504</v>
      </c>
      <c r="M835">
        <v>19109.61</v>
      </c>
      <c r="N835" s="11">
        <v>40</v>
      </c>
      <c r="O835" s="12">
        <v>499.99</v>
      </c>
      <c r="P835" s="12">
        <v>24.49</v>
      </c>
      <c r="Q835" s="13">
        <v>-379.29</v>
      </c>
      <c r="R835" s="36" t="s">
        <v>1171</v>
      </c>
      <c r="S835" s="7">
        <f t="shared" ref="S835:S898" si="72">+L835-B835</f>
        <v>1</v>
      </c>
      <c r="T835" s="15" t="str">
        <f>VLOOKUP(R835,产品分类!$C$2:$D$1278,2,0)</f>
        <v>办公用品</v>
      </c>
    </row>
    <row r="836" spans="1:20">
      <c r="A836" s="8">
        <f>DATE(2012,12,31)-444</f>
        <v>40830</v>
      </c>
      <c r="B836" s="8">
        <f>DATE(2012,12,31)-444</f>
        <v>40830</v>
      </c>
      <c r="C836" s="9" t="s">
        <v>1172</v>
      </c>
      <c r="D836">
        <v>10021337414</v>
      </c>
      <c r="E836" t="s">
        <v>47</v>
      </c>
      <c r="F836" t="s">
        <v>83</v>
      </c>
      <c r="G836" t="s">
        <v>84</v>
      </c>
      <c r="H836" t="s">
        <v>1037</v>
      </c>
      <c r="I836" t="s">
        <v>1038</v>
      </c>
      <c r="J836" t="s">
        <v>52</v>
      </c>
      <c r="K836" s="3">
        <v>100822041632</v>
      </c>
      <c r="L836" s="10">
        <v>40832</v>
      </c>
      <c r="M836">
        <v>155.48</v>
      </c>
      <c r="N836" s="11">
        <v>6</v>
      </c>
      <c r="O836" s="12">
        <v>25.98</v>
      </c>
      <c r="P836" s="12">
        <v>5.37</v>
      </c>
      <c r="Q836" s="13">
        <v>-6.64</v>
      </c>
      <c r="R836" s="36" t="s">
        <v>1173</v>
      </c>
      <c r="S836" s="7">
        <f t="shared" si="72"/>
        <v>2</v>
      </c>
      <c r="T836" s="15" t="str">
        <f>VLOOKUP(R836,产品分类!$C$2:$D$1278,2,0)</f>
        <v>家具产品</v>
      </c>
    </row>
    <row r="837" spans="1:20">
      <c r="A837" s="8">
        <f>DATE(2012,12,31)-444</f>
        <v>40830</v>
      </c>
      <c r="B837" s="8">
        <f>DATE(2012,12,31)-444</f>
        <v>40830</v>
      </c>
      <c r="C837" s="9" t="s">
        <v>1172</v>
      </c>
      <c r="D837">
        <v>10021294748</v>
      </c>
      <c r="E837" t="s">
        <v>47</v>
      </c>
      <c r="F837" t="s">
        <v>61</v>
      </c>
      <c r="G837" t="s">
        <v>62</v>
      </c>
      <c r="H837" t="s">
        <v>1077</v>
      </c>
      <c r="I837" t="s">
        <v>1078</v>
      </c>
      <c r="J837" t="s">
        <v>52</v>
      </c>
      <c r="K837" s="3">
        <v>10018018968</v>
      </c>
      <c r="L837" s="10">
        <v>40831</v>
      </c>
      <c r="M837">
        <v>56.77</v>
      </c>
      <c r="N837" s="11">
        <v>21</v>
      </c>
      <c r="O837" s="12">
        <v>2.78</v>
      </c>
      <c r="P837" s="12">
        <v>1.34</v>
      </c>
      <c r="Q837" s="13">
        <v>-3.2</v>
      </c>
      <c r="R837" s="36" t="s">
        <v>452</v>
      </c>
      <c r="S837" s="7">
        <f t="shared" si="72"/>
        <v>1</v>
      </c>
      <c r="T837" s="15" t="str">
        <f>VLOOKUP(R837,产品分类!$C$2:$D$1278,2,0)</f>
        <v>家具产品</v>
      </c>
    </row>
    <row r="838" spans="1:20">
      <c r="A838" s="8">
        <f>DATE(2012,12,31)-999</f>
        <v>40275</v>
      </c>
      <c r="B838" s="8">
        <f>DATE(2012,12,31)-999</f>
        <v>40275</v>
      </c>
      <c r="C838" s="9" t="s">
        <v>1174</v>
      </c>
      <c r="D838">
        <v>10021396756</v>
      </c>
      <c r="E838" t="s">
        <v>47</v>
      </c>
      <c r="F838" t="s">
        <v>253</v>
      </c>
      <c r="G838" t="s">
        <v>254</v>
      </c>
      <c r="H838" t="s">
        <v>255</v>
      </c>
      <c r="I838" t="s">
        <v>256</v>
      </c>
      <c r="J838" t="s">
        <v>52</v>
      </c>
      <c r="K838" s="3">
        <v>100124416247</v>
      </c>
      <c r="L838" s="10">
        <v>40276</v>
      </c>
      <c r="M838">
        <v>63.91</v>
      </c>
      <c r="N838" s="11">
        <v>9</v>
      </c>
      <c r="O838" s="12">
        <v>6.48</v>
      </c>
      <c r="P838" s="12">
        <v>6.35</v>
      </c>
      <c r="Q838" s="13">
        <v>-27.78</v>
      </c>
      <c r="R838" s="36" t="s">
        <v>1175</v>
      </c>
      <c r="S838" s="7">
        <f t="shared" si="72"/>
        <v>1</v>
      </c>
      <c r="T838" s="15" t="str">
        <f>VLOOKUP(R838,产品分类!$C$2:$D$1278,2,0)</f>
        <v>家具产品</v>
      </c>
    </row>
    <row r="839" spans="1:20">
      <c r="A839" s="8">
        <f>DATE(2012,12,31)-346</f>
        <v>40928</v>
      </c>
      <c r="B839" s="8">
        <f>DATE(2012,12,31)-346</f>
        <v>40928</v>
      </c>
      <c r="C839" s="9" t="s">
        <v>1176</v>
      </c>
      <c r="D839">
        <v>10021304241</v>
      </c>
      <c r="E839" t="s">
        <v>47</v>
      </c>
      <c r="F839" t="s">
        <v>61</v>
      </c>
      <c r="G839" t="s">
        <v>62</v>
      </c>
      <c r="H839" t="s">
        <v>1077</v>
      </c>
      <c r="I839" t="s">
        <v>1078</v>
      </c>
      <c r="J839" t="s">
        <v>52</v>
      </c>
      <c r="K839" s="3">
        <v>100932475171</v>
      </c>
      <c r="L839" s="10">
        <v>40928</v>
      </c>
      <c r="M839">
        <v>208.28</v>
      </c>
      <c r="N839" s="11">
        <v>19</v>
      </c>
      <c r="O839" s="12">
        <v>11.48</v>
      </c>
      <c r="P839" s="12">
        <v>5.43</v>
      </c>
      <c r="Q839" s="13">
        <v>3.63</v>
      </c>
      <c r="R839" s="36" t="s">
        <v>1177</v>
      </c>
      <c r="S839" s="7">
        <f t="shared" si="72"/>
        <v>0</v>
      </c>
      <c r="T839" s="15" t="str">
        <f>VLOOKUP(R839,产品分类!$C$2:$D$1278,2,0)</f>
        <v>办公用品</v>
      </c>
    </row>
    <row r="840" spans="1:20">
      <c r="A840" s="8">
        <f>DATE(2012,12,31)-135</f>
        <v>41139</v>
      </c>
      <c r="B840" s="8">
        <f>DATE(2012,12,31)-135</f>
        <v>41139</v>
      </c>
      <c r="C840" s="9" t="s">
        <v>1178</v>
      </c>
      <c r="D840">
        <v>10021387430</v>
      </c>
      <c r="E840" t="s">
        <v>47</v>
      </c>
      <c r="F840" t="s">
        <v>61</v>
      </c>
      <c r="G840" t="s">
        <v>62</v>
      </c>
      <c r="H840" t="s">
        <v>1077</v>
      </c>
      <c r="I840" t="s">
        <v>1078</v>
      </c>
      <c r="J840" t="s">
        <v>52</v>
      </c>
      <c r="K840" s="3">
        <v>100920081441</v>
      </c>
      <c r="L840" s="10">
        <v>41141</v>
      </c>
      <c r="M840">
        <v>206.09</v>
      </c>
      <c r="N840" s="11">
        <v>39</v>
      </c>
      <c r="O840" s="12">
        <v>5.08</v>
      </c>
      <c r="P840" s="12">
        <v>2.03</v>
      </c>
      <c r="Q840" s="13">
        <v>36.04</v>
      </c>
      <c r="R840" s="36" t="s">
        <v>1179</v>
      </c>
      <c r="S840" s="7">
        <f t="shared" si="72"/>
        <v>2</v>
      </c>
      <c r="T840" s="15" t="str">
        <f>VLOOKUP(R840,产品分类!$C$2:$D$1278,2,0)</f>
        <v>办公用品</v>
      </c>
    </row>
    <row r="841" spans="1:20">
      <c r="A841" s="8">
        <f>DATE(2012,12,31)-135</f>
        <v>41139</v>
      </c>
      <c r="B841" s="8">
        <f>DATE(2012,12,31)-135</f>
        <v>41139</v>
      </c>
      <c r="C841" s="9" t="s">
        <v>1178</v>
      </c>
      <c r="D841">
        <v>10021266801</v>
      </c>
      <c r="E841" t="s">
        <v>47</v>
      </c>
      <c r="F841" t="s">
        <v>61</v>
      </c>
      <c r="G841" t="s">
        <v>62</v>
      </c>
      <c r="H841" t="s">
        <v>1077</v>
      </c>
      <c r="I841" t="s">
        <v>1078</v>
      </c>
      <c r="J841" t="s">
        <v>52</v>
      </c>
      <c r="K841" s="3">
        <v>100132010716</v>
      </c>
      <c r="L841" s="10">
        <v>41144</v>
      </c>
      <c r="M841">
        <v>124.25</v>
      </c>
      <c r="N841" s="11">
        <v>2</v>
      </c>
      <c r="O841" s="12">
        <v>55.98</v>
      </c>
      <c r="P841" s="12">
        <v>13.88</v>
      </c>
      <c r="Q841" s="13">
        <v>-55.78</v>
      </c>
      <c r="R841" s="36" t="s">
        <v>1180</v>
      </c>
      <c r="S841" s="7">
        <f t="shared" si="72"/>
        <v>5</v>
      </c>
      <c r="T841" s="15" t="str">
        <f>VLOOKUP(R841,产品分类!$C$2:$D$1278,2,0)</f>
        <v>办公用品</v>
      </c>
    </row>
    <row r="842" spans="1:20">
      <c r="A842" s="8">
        <f>DATE(2012,12,31)-1197</f>
        <v>40077</v>
      </c>
      <c r="B842" s="8">
        <f>DATE(2012,12,31)-1197</f>
        <v>40077</v>
      </c>
      <c r="C842" s="9" t="s">
        <v>1181</v>
      </c>
      <c r="D842">
        <v>10021335639</v>
      </c>
      <c r="E842" t="s">
        <v>47</v>
      </c>
      <c r="F842" t="s">
        <v>61</v>
      </c>
      <c r="G842" t="s">
        <v>62</v>
      </c>
      <c r="H842" t="s">
        <v>1077</v>
      </c>
      <c r="I842" t="s">
        <v>1078</v>
      </c>
      <c r="J842" t="s">
        <v>52</v>
      </c>
      <c r="K842" s="3">
        <v>100415566403</v>
      </c>
      <c r="L842" s="10">
        <v>40079</v>
      </c>
      <c r="M842">
        <v>66.09</v>
      </c>
      <c r="N842" s="11">
        <v>23</v>
      </c>
      <c r="O842" s="12">
        <v>2.88</v>
      </c>
      <c r="P842" s="12">
        <v>0.99</v>
      </c>
      <c r="Q842" s="13">
        <v>13.71</v>
      </c>
      <c r="R842" s="36" t="s">
        <v>896</v>
      </c>
      <c r="S842" s="7">
        <f t="shared" si="72"/>
        <v>2</v>
      </c>
      <c r="T842" s="15" t="str">
        <f>VLOOKUP(R842,产品分类!$C$2:$D$1278,2,0)</f>
        <v>办公用品</v>
      </c>
    </row>
    <row r="843" spans="1:20">
      <c r="A843" s="8">
        <f>DATE(2012,12,31)-1009</f>
        <v>40265</v>
      </c>
      <c r="B843" s="8">
        <f>DATE(2012,12,31)-1009</f>
        <v>40265</v>
      </c>
      <c r="C843" s="9" t="s">
        <v>1182</v>
      </c>
      <c r="D843">
        <v>10021307928</v>
      </c>
      <c r="E843" t="s">
        <v>47</v>
      </c>
      <c r="F843" t="s">
        <v>91</v>
      </c>
      <c r="G843" t="s">
        <v>92</v>
      </c>
      <c r="H843" t="s">
        <v>774</v>
      </c>
      <c r="I843" t="s">
        <v>775</v>
      </c>
      <c r="J843" t="s">
        <v>52</v>
      </c>
      <c r="K843" s="3">
        <v>100432019843</v>
      </c>
      <c r="L843" s="10">
        <v>40272</v>
      </c>
      <c r="M843">
        <v>261.94</v>
      </c>
      <c r="N843" s="11">
        <v>3</v>
      </c>
      <c r="O843" s="12">
        <v>80.97</v>
      </c>
      <c r="P843" s="12">
        <v>33.6</v>
      </c>
      <c r="Q843" s="13">
        <v>-219.7794</v>
      </c>
      <c r="R843" s="36" t="s">
        <v>1183</v>
      </c>
      <c r="S843" s="7">
        <f t="shared" si="72"/>
        <v>7</v>
      </c>
      <c r="T843" s="15" t="str">
        <f>VLOOKUP(R843,产品分类!$C$2:$D$1278,2,0)</f>
        <v>办公用品</v>
      </c>
    </row>
    <row r="844" spans="1:20">
      <c r="A844" s="8">
        <f>DATE(2012,12,31)-1009</f>
        <v>40265</v>
      </c>
      <c r="B844" s="8">
        <f>DATE(2012,12,31)-1009</f>
        <v>40265</v>
      </c>
      <c r="C844" s="9" t="s">
        <v>1182</v>
      </c>
      <c r="D844">
        <v>10021374233</v>
      </c>
      <c r="E844" t="s">
        <v>47</v>
      </c>
      <c r="F844" t="s">
        <v>72</v>
      </c>
      <c r="G844" t="s">
        <v>73</v>
      </c>
      <c r="H844" t="s">
        <v>1035</v>
      </c>
      <c r="I844" t="s">
        <v>1036</v>
      </c>
      <c r="J844" t="s">
        <v>52</v>
      </c>
      <c r="K844" s="3">
        <v>100432448423</v>
      </c>
      <c r="L844" s="10">
        <v>40270</v>
      </c>
      <c r="M844">
        <v>9574.82</v>
      </c>
      <c r="N844" s="11">
        <v>47</v>
      </c>
      <c r="O844" s="12">
        <v>209.37</v>
      </c>
      <c r="P844" s="12">
        <v>69</v>
      </c>
      <c r="Q844" s="13">
        <v>-505.984479</v>
      </c>
      <c r="R844" s="36" t="s">
        <v>1184</v>
      </c>
      <c r="S844" s="7">
        <f t="shared" si="72"/>
        <v>5</v>
      </c>
      <c r="T844" s="15" t="str">
        <f>VLOOKUP(R844,产品分类!$C$2:$D$1278,2,0)</f>
        <v>数码电子</v>
      </c>
    </row>
    <row r="845" spans="1:20">
      <c r="A845" s="16">
        <f>DATE(2012,12,31)-751</f>
        <v>40523</v>
      </c>
      <c r="B845" s="16">
        <f>DATE(2012,12,31)-751</f>
        <v>40523</v>
      </c>
      <c r="C845" s="9" t="s">
        <v>1185</v>
      </c>
      <c r="D845">
        <v>10021278827</v>
      </c>
      <c r="E845" t="s">
        <v>47</v>
      </c>
      <c r="F845" t="s">
        <v>72</v>
      </c>
      <c r="G845" t="s">
        <v>73</v>
      </c>
      <c r="H845" t="s">
        <v>1035</v>
      </c>
      <c r="I845" t="s">
        <v>1036</v>
      </c>
      <c r="J845" t="s">
        <v>52</v>
      </c>
      <c r="K845" s="3">
        <v>100925190751</v>
      </c>
      <c r="L845" s="10">
        <v>40525</v>
      </c>
      <c r="M845">
        <v>16.08</v>
      </c>
      <c r="N845" s="17">
        <v>4</v>
      </c>
      <c r="O845" s="5">
        <v>3.8</v>
      </c>
      <c r="P845" s="5">
        <v>1.49</v>
      </c>
      <c r="Q845" s="6">
        <v>-3.749</v>
      </c>
      <c r="R845" s="37" t="s">
        <v>648</v>
      </c>
      <c r="S845" s="7">
        <f t="shared" si="72"/>
        <v>2</v>
      </c>
      <c r="T845" s="15" t="str">
        <f>VLOOKUP(R845,产品分类!$C$2:$D$1278,2,0)</f>
        <v>家具产品</v>
      </c>
    </row>
    <row r="846" spans="1:20">
      <c r="A846" s="8">
        <f>DATE(2012,12,31)-480</f>
        <v>40794</v>
      </c>
      <c r="B846" s="8">
        <f>DATE(2012,12,31)-480</f>
        <v>40794</v>
      </c>
      <c r="C846" s="9" t="s">
        <v>526</v>
      </c>
      <c r="D846">
        <v>10021310120</v>
      </c>
      <c r="E846" t="s">
        <v>47</v>
      </c>
      <c r="F846" t="s">
        <v>230</v>
      </c>
      <c r="G846" t="s">
        <v>231</v>
      </c>
      <c r="H846" t="s">
        <v>1186</v>
      </c>
      <c r="I846" t="s">
        <v>1187</v>
      </c>
      <c r="J846" t="s">
        <v>52</v>
      </c>
      <c r="K846" s="3">
        <v>100931570131</v>
      </c>
      <c r="L846" s="10">
        <v>40796</v>
      </c>
      <c r="M846">
        <v>27.32</v>
      </c>
      <c r="N846" s="11">
        <v>6</v>
      </c>
      <c r="O846" s="12">
        <v>2.08</v>
      </c>
      <c r="P846" s="12">
        <v>5.33</v>
      </c>
      <c r="Q846" s="13">
        <v>-5.87</v>
      </c>
      <c r="R846" s="36" t="s">
        <v>901</v>
      </c>
      <c r="S846" s="7">
        <f t="shared" si="72"/>
        <v>2</v>
      </c>
      <c r="T846" s="15" t="str">
        <f>VLOOKUP(R846,产品分类!$C$2:$D$1278,2,0)</f>
        <v>家具产品</v>
      </c>
    </row>
    <row r="847" spans="1:20">
      <c r="A847" s="8">
        <f>DATE(2012,12,31)-480</f>
        <v>40794</v>
      </c>
      <c r="B847" s="8">
        <f>DATE(2012,12,31)-480</f>
        <v>40794</v>
      </c>
      <c r="C847" s="9" t="s">
        <v>526</v>
      </c>
      <c r="D847">
        <v>10021325158</v>
      </c>
      <c r="E847" t="s">
        <v>47</v>
      </c>
      <c r="F847" t="s">
        <v>122</v>
      </c>
      <c r="G847" t="s">
        <v>123</v>
      </c>
      <c r="H847" t="s">
        <v>124</v>
      </c>
      <c r="I847" t="s">
        <v>125</v>
      </c>
      <c r="J847" t="s">
        <v>52</v>
      </c>
      <c r="K847" s="3">
        <v>100429824294</v>
      </c>
      <c r="L847" s="10">
        <v>40799</v>
      </c>
      <c r="M847">
        <v>643.31</v>
      </c>
      <c r="N847" s="11">
        <v>43</v>
      </c>
      <c r="O847" s="12">
        <v>15.42</v>
      </c>
      <c r="P847" s="12">
        <v>10.68</v>
      </c>
      <c r="Q847" s="13">
        <v>-231.34</v>
      </c>
      <c r="R847" s="36" t="s">
        <v>165</v>
      </c>
      <c r="S847" s="7">
        <f t="shared" si="72"/>
        <v>5</v>
      </c>
      <c r="T847" s="15" t="str">
        <f>VLOOKUP(R847,产品分类!$C$2:$D$1278,2,0)</f>
        <v>办公用品</v>
      </c>
    </row>
    <row r="848" spans="1:20">
      <c r="A848" s="16">
        <f>DATE(2012,12,31)-466</f>
        <v>40808</v>
      </c>
      <c r="B848" s="16">
        <f>DATE(2012,12,31)-466</f>
        <v>40808</v>
      </c>
      <c r="C848" s="9" t="s">
        <v>1188</v>
      </c>
      <c r="D848">
        <v>10021304431</v>
      </c>
      <c r="E848" t="s">
        <v>47</v>
      </c>
      <c r="F848" t="s">
        <v>83</v>
      </c>
      <c r="G848" t="s">
        <v>84</v>
      </c>
      <c r="H848" t="s">
        <v>1037</v>
      </c>
      <c r="I848" t="s">
        <v>1038</v>
      </c>
      <c r="J848" t="s">
        <v>52</v>
      </c>
      <c r="K848" s="3">
        <v>100813432322</v>
      </c>
      <c r="L848" s="10">
        <v>40810</v>
      </c>
      <c r="M848">
        <v>1734.72</v>
      </c>
      <c r="N848" s="17">
        <v>48</v>
      </c>
      <c r="O848" s="5">
        <v>35.44</v>
      </c>
      <c r="P848" s="5">
        <v>19.99</v>
      </c>
      <c r="Q848" s="6">
        <v>57.89</v>
      </c>
      <c r="R848" s="37" t="s">
        <v>1146</v>
      </c>
      <c r="S848" s="7">
        <f t="shared" si="72"/>
        <v>2</v>
      </c>
      <c r="T848" s="15" t="str">
        <f>VLOOKUP(R848,产品分类!$C$2:$D$1278,2,0)</f>
        <v>数码电子</v>
      </c>
    </row>
    <row r="849" spans="1:20">
      <c r="A849" s="8">
        <f>DATE(2012,12,31)-1226</f>
        <v>40048</v>
      </c>
      <c r="B849" s="8">
        <f>DATE(2012,12,31)-1226</f>
        <v>40048</v>
      </c>
      <c r="C849" s="9" t="s">
        <v>1181</v>
      </c>
      <c r="D849">
        <v>10021326459</v>
      </c>
      <c r="E849" t="s">
        <v>47</v>
      </c>
      <c r="F849" t="s">
        <v>304</v>
      </c>
      <c r="G849" t="s">
        <v>305</v>
      </c>
      <c r="H849" t="s">
        <v>306</v>
      </c>
      <c r="I849" t="s">
        <v>307</v>
      </c>
      <c r="J849" t="s">
        <v>52</v>
      </c>
      <c r="K849" s="3">
        <v>10048937454</v>
      </c>
      <c r="L849" s="10">
        <v>40048</v>
      </c>
      <c r="M849">
        <v>1597.37</v>
      </c>
      <c r="N849" s="11">
        <v>10</v>
      </c>
      <c r="O849" s="12">
        <v>146.05</v>
      </c>
      <c r="P849" s="12">
        <v>80.2</v>
      </c>
      <c r="Q849" s="13">
        <v>-533.69</v>
      </c>
      <c r="R849" s="36" t="s">
        <v>239</v>
      </c>
      <c r="S849" s="7">
        <f t="shared" si="72"/>
        <v>0</v>
      </c>
      <c r="T849" s="15" t="str">
        <f>VLOOKUP(R849,产品分类!$C$2:$D$1278,2,0)</f>
        <v>办公用品</v>
      </c>
    </row>
    <row r="850" spans="1:20">
      <c r="A850" s="8">
        <f>DATE(2012,12,31)-1226</f>
        <v>40048</v>
      </c>
      <c r="B850" s="8">
        <f>DATE(2012,12,31)-1226</f>
        <v>40048</v>
      </c>
      <c r="C850" s="9" t="s">
        <v>1181</v>
      </c>
      <c r="D850">
        <v>10021310167</v>
      </c>
      <c r="E850" t="s">
        <v>47</v>
      </c>
      <c r="F850" t="s">
        <v>527</v>
      </c>
      <c r="G850" t="s">
        <v>528</v>
      </c>
      <c r="H850" t="s">
        <v>529</v>
      </c>
      <c r="I850" t="s">
        <v>530</v>
      </c>
      <c r="J850" t="s">
        <v>52</v>
      </c>
      <c r="K850" s="3">
        <v>100415066363</v>
      </c>
      <c r="L850" s="10">
        <v>40049</v>
      </c>
      <c r="M850">
        <v>1753.958</v>
      </c>
      <c r="N850" s="11">
        <v>31</v>
      </c>
      <c r="O850" s="12">
        <v>65.99</v>
      </c>
      <c r="P850" s="12">
        <v>5.92</v>
      </c>
      <c r="Q850" s="13">
        <v>382.392</v>
      </c>
      <c r="R850" s="36" t="s">
        <v>1189</v>
      </c>
      <c r="S850" s="7">
        <f t="shared" si="72"/>
        <v>1</v>
      </c>
      <c r="T850" s="15" t="str">
        <f>VLOOKUP(R850,产品分类!$C$2:$D$1278,2,0)</f>
        <v>家具产品</v>
      </c>
    </row>
    <row r="851" spans="1:20">
      <c r="A851" s="8">
        <f>DATE(2012,12,31)-842</f>
        <v>40432</v>
      </c>
      <c r="B851" s="8">
        <f>DATE(2012,12,31)-842</f>
        <v>40432</v>
      </c>
      <c r="C851" s="9" t="s">
        <v>259</v>
      </c>
      <c r="D851">
        <v>10021324029</v>
      </c>
      <c r="E851" t="s">
        <v>47</v>
      </c>
      <c r="F851" t="s">
        <v>177</v>
      </c>
      <c r="G851" t="s">
        <v>178</v>
      </c>
      <c r="H851" t="s">
        <v>795</v>
      </c>
      <c r="I851" t="s">
        <v>796</v>
      </c>
      <c r="J851" t="s">
        <v>52</v>
      </c>
      <c r="K851" s="3">
        <v>100316641309</v>
      </c>
      <c r="L851" s="10">
        <v>40433</v>
      </c>
      <c r="M851">
        <v>409.08</v>
      </c>
      <c r="N851" s="11">
        <v>25</v>
      </c>
      <c r="O851" s="12">
        <v>17.78</v>
      </c>
      <c r="P851" s="12">
        <v>5.03</v>
      </c>
      <c r="Q851" s="13">
        <v>78.86</v>
      </c>
      <c r="R851" s="36" t="s">
        <v>1190</v>
      </c>
      <c r="S851" s="7">
        <f t="shared" si="72"/>
        <v>1</v>
      </c>
      <c r="T851" s="15" t="str">
        <f>VLOOKUP(R851,产品分类!$C$2:$D$1278,2,0)</f>
        <v>办公用品</v>
      </c>
    </row>
    <row r="852" spans="1:20">
      <c r="A852" s="8">
        <f>DATE(2012,12,31)-1382</f>
        <v>39892</v>
      </c>
      <c r="B852" s="8">
        <f>DATE(2012,12,31)-1382</f>
        <v>39892</v>
      </c>
      <c r="C852" s="9" t="s">
        <v>1191</v>
      </c>
      <c r="D852">
        <v>10021305166</v>
      </c>
      <c r="E852" t="s">
        <v>47</v>
      </c>
      <c r="F852" t="s">
        <v>127</v>
      </c>
      <c r="G852" t="s">
        <v>128</v>
      </c>
      <c r="H852" t="s">
        <v>129</v>
      </c>
      <c r="I852" t="s">
        <v>130</v>
      </c>
      <c r="J852" t="s">
        <v>52</v>
      </c>
      <c r="K852" s="3">
        <v>100932598661</v>
      </c>
      <c r="L852" s="10">
        <v>39892</v>
      </c>
      <c r="M852">
        <v>150.77</v>
      </c>
      <c r="N852" s="11">
        <v>7</v>
      </c>
      <c r="O852" s="12">
        <v>19.98</v>
      </c>
      <c r="P852" s="12">
        <v>4</v>
      </c>
      <c r="Q852" s="13">
        <v>-72.23</v>
      </c>
      <c r="R852" s="36" t="s">
        <v>846</v>
      </c>
      <c r="S852" s="7">
        <f t="shared" si="72"/>
        <v>0</v>
      </c>
      <c r="T852" s="15" t="str">
        <f>VLOOKUP(R852,产品分类!$C$2:$D$1278,2,0)</f>
        <v>数码电子</v>
      </c>
    </row>
    <row r="853" spans="1:20">
      <c r="A853" s="8">
        <f>DATE(2012,12,31)-1382</f>
        <v>39892</v>
      </c>
      <c r="B853" s="8">
        <f>DATE(2012,12,31)-1382</f>
        <v>39892</v>
      </c>
      <c r="C853" s="9" t="s">
        <v>1191</v>
      </c>
      <c r="D853">
        <v>10021309242</v>
      </c>
      <c r="E853" t="s">
        <v>47</v>
      </c>
      <c r="F853" t="s">
        <v>171</v>
      </c>
      <c r="G853" t="s">
        <v>172</v>
      </c>
      <c r="H853" t="s">
        <v>933</v>
      </c>
      <c r="I853" t="s">
        <v>934</v>
      </c>
      <c r="J853" t="s">
        <v>52</v>
      </c>
      <c r="K853" s="3">
        <v>100832714102</v>
      </c>
      <c r="L853" s="10">
        <v>39894</v>
      </c>
      <c r="M853">
        <v>9620.82</v>
      </c>
      <c r="N853" s="11">
        <v>6</v>
      </c>
      <c r="O853" s="12">
        <v>1637.53</v>
      </c>
      <c r="P853" s="12">
        <v>24.49</v>
      </c>
      <c r="Q853" s="13">
        <v>-1759.58</v>
      </c>
      <c r="R853" s="36" t="s">
        <v>1192</v>
      </c>
      <c r="S853" s="7">
        <f t="shared" si="72"/>
        <v>2</v>
      </c>
      <c r="T853" s="15" t="str">
        <f>VLOOKUP(R853,产品分类!$C$2:$D$1278,2,0)</f>
        <v>办公用品</v>
      </c>
    </row>
    <row r="854" spans="1:20">
      <c r="A854" s="8">
        <f>DATE(2012,12,31)-10</f>
        <v>41264</v>
      </c>
      <c r="B854" s="8">
        <f>DATE(2012,12,31)-10</f>
        <v>41264</v>
      </c>
      <c r="C854" s="9" t="s">
        <v>809</v>
      </c>
      <c r="D854">
        <v>10021278469</v>
      </c>
      <c r="E854" t="s">
        <v>47</v>
      </c>
      <c r="F854" t="s">
        <v>167</v>
      </c>
      <c r="G854" t="s">
        <v>168</v>
      </c>
      <c r="H854" t="s">
        <v>169</v>
      </c>
      <c r="I854" t="s">
        <v>168</v>
      </c>
      <c r="J854" t="s">
        <v>52</v>
      </c>
      <c r="K854" s="3">
        <v>100420053</v>
      </c>
      <c r="L854" s="10">
        <v>41265</v>
      </c>
      <c r="M854">
        <v>157.03</v>
      </c>
      <c r="N854" s="11">
        <v>7</v>
      </c>
      <c r="O854" s="12">
        <v>22.23</v>
      </c>
      <c r="P854" s="12">
        <v>5.08</v>
      </c>
      <c r="Q854" s="13">
        <v>13.21</v>
      </c>
      <c r="R854" s="36" t="s">
        <v>1193</v>
      </c>
      <c r="S854" s="7">
        <f t="shared" si="72"/>
        <v>1</v>
      </c>
      <c r="T854" s="15" t="str">
        <f>VLOOKUP(R854,产品分类!$C$2:$D$1278,2,0)</f>
        <v>办公用品</v>
      </c>
    </row>
    <row r="855" spans="1:20">
      <c r="A855" s="8">
        <f>DATE(2012,12,31)-1289</f>
        <v>39985</v>
      </c>
      <c r="B855" s="8">
        <f>DATE(2012,12,31)-1289</f>
        <v>39985</v>
      </c>
      <c r="C855" s="9" t="s">
        <v>1047</v>
      </c>
      <c r="D855">
        <v>10021258809</v>
      </c>
      <c r="E855" t="s">
        <v>47</v>
      </c>
      <c r="F855" t="s">
        <v>48</v>
      </c>
      <c r="G855" t="s">
        <v>49</v>
      </c>
      <c r="H855" t="s">
        <v>50</v>
      </c>
      <c r="I855" t="s">
        <v>51</v>
      </c>
      <c r="J855" t="s">
        <v>52</v>
      </c>
      <c r="K855" s="3">
        <v>100427416613</v>
      </c>
      <c r="L855" s="10">
        <v>39988</v>
      </c>
      <c r="M855">
        <v>67.35</v>
      </c>
      <c r="N855" s="11">
        <v>24</v>
      </c>
      <c r="O855" s="12">
        <v>2.88</v>
      </c>
      <c r="P855" s="12">
        <v>0.5</v>
      </c>
      <c r="Q855" s="13">
        <v>22.63</v>
      </c>
      <c r="R855" s="36" t="s">
        <v>1194</v>
      </c>
      <c r="S855" s="7">
        <f t="shared" si="72"/>
        <v>3</v>
      </c>
      <c r="T855" s="15" t="str">
        <f>VLOOKUP(R855,产品分类!$C$2:$D$1278,2,0)</f>
        <v>办公用品</v>
      </c>
    </row>
    <row r="856" spans="1:20">
      <c r="A856" s="8">
        <f>DATE(2012,12,31)-1289</f>
        <v>39985</v>
      </c>
      <c r="B856" s="8">
        <f>DATE(2012,12,31)-1289</f>
        <v>39985</v>
      </c>
      <c r="C856" s="9" t="s">
        <v>1047</v>
      </c>
      <c r="D856">
        <v>10021284992</v>
      </c>
      <c r="E856" t="s">
        <v>47</v>
      </c>
      <c r="F856" t="s">
        <v>66</v>
      </c>
      <c r="G856" t="s">
        <v>67</v>
      </c>
      <c r="H856" t="s">
        <v>68</v>
      </c>
      <c r="I856" t="s">
        <v>69</v>
      </c>
      <c r="J856" t="s">
        <v>52</v>
      </c>
      <c r="K856" s="3">
        <v>100829376472</v>
      </c>
      <c r="L856" s="10">
        <v>39986</v>
      </c>
      <c r="M856">
        <v>1472.31</v>
      </c>
      <c r="N856" s="11">
        <v>4</v>
      </c>
      <c r="O856" s="12">
        <v>348.21</v>
      </c>
      <c r="P856" s="12">
        <v>40.19</v>
      </c>
      <c r="Q856" s="13">
        <v>-223.587</v>
      </c>
      <c r="R856" s="36" t="s">
        <v>1195</v>
      </c>
      <c r="S856" s="7">
        <f t="shared" si="72"/>
        <v>1</v>
      </c>
      <c r="T856" s="15" t="str">
        <f>VLOOKUP(R856,产品分类!$C$2:$D$1278,2,0)</f>
        <v>办公用品</v>
      </c>
    </row>
    <row r="857" spans="1:20">
      <c r="A857" s="8">
        <f>DATE(2012,12,31)-373</f>
        <v>40901</v>
      </c>
      <c r="B857" s="8">
        <f>DATE(2012,12,31)-373</f>
        <v>40901</v>
      </c>
      <c r="C857" s="9" t="s">
        <v>1196</v>
      </c>
      <c r="D857">
        <v>10021283124</v>
      </c>
      <c r="E857" t="s">
        <v>47</v>
      </c>
      <c r="F857" t="s">
        <v>66</v>
      </c>
      <c r="G857" t="s">
        <v>67</v>
      </c>
      <c r="H857" t="s">
        <v>68</v>
      </c>
      <c r="I857" t="s">
        <v>69</v>
      </c>
      <c r="J857" t="s">
        <v>52</v>
      </c>
      <c r="K857" s="3">
        <v>100426700014</v>
      </c>
      <c r="L857" s="10">
        <v>40902</v>
      </c>
      <c r="M857">
        <v>510.56</v>
      </c>
      <c r="N857" s="11">
        <v>50</v>
      </c>
      <c r="O857" s="12">
        <v>10.64</v>
      </c>
      <c r="P857" s="12">
        <v>5.16</v>
      </c>
      <c r="Q857" s="13">
        <v>-29.4</v>
      </c>
      <c r="R857" s="36" t="s">
        <v>644</v>
      </c>
      <c r="S857" s="7">
        <f t="shared" si="72"/>
        <v>1</v>
      </c>
      <c r="T857" s="15" t="str">
        <f>VLOOKUP(R857,产品分类!$C$2:$D$1278,2,0)</f>
        <v>家具产品</v>
      </c>
    </row>
    <row r="858" spans="1:20">
      <c r="A858" s="8">
        <f>DATE(2012,12,31)-373</f>
        <v>40901</v>
      </c>
      <c r="B858" s="8">
        <f>DATE(2012,12,31)-373</f>
        <v>40901</v>
      </c>
      <c r="C858" s="9" t="s">
        <v>1196</v>
      </c>
      <c r="D858">
        <v>10021335710</v>
      </c>
      <c r="E858" t="s">
        <v>47</v>
      </c>
      <c r="F858" t="s">
        <v>48</v>
      </c>
      <c r="G858" t="s">
        <v>49</v>
      </c>
      <c r="H858" t="s">
        <v>50</v>
      </c>
      <c r="I858" t="s">
        <v>51</v>
      </c>
      <c r="J858" t="s">
        <v>52</v>
      </c>
      <c r="K858" s="3">
        <v>100115634768</v>
      </c>
      <c r="L858" s="10">
        <v>40902</v>
      </c>
      <c r="M858">
        <v>389.52</v>
      </c>
      <c r="N858" s="11">
        <v>18</v>
      </c>
      <c r="O858" s="12">
        <v>20.28</v>
      </c>
      <c r="P858" s="12">
        <v>6.68</v>
      </c>
      <c r="Q858" s="13">
        <v>116.37</v>
      </c>
      <c r="R858" s="36" t="s">
        <v>1197</v>
      </c>
      <c r="S858" s="7">
        <f t="shared" si="72"/>
        <v>1</v>
      </c>
      <c r="T858" s="15" t="str">
        <f>VLOOKUP(R858,产品分类!$C$2:$D$1278,2,0)</f>
        <v>数码电子</v>
      </c>
    </row>
    <row r="859" spans="1:20">
      <c r="A859" s="8">
        <f>DATE(2012,12,31)-91</f>
        <v>41183</v>
      </c>
      <c r="B859" s="8">
        <f>DATE(2012,12,31)-91</f>
        <v>41183</v>
      </c>
      <c r="C859" s="9" t="s">
        <v>1198</v>
      </c>
      <c r="D859">
        <v>10021386791</v>
      </c>
      <c r="E859" t="s">
        <v>47</v>
      </c>
      <c r="F859" t="s">
        <v>72</v>
      </c>
      <c r="G859" t="s">
        <v>73</v>
      </c>
      <c r="H859" t="s">
        <v>1035</v>
      </c>
      <c r="I859" t="s">
        <v>1036</v>
      </c>
      <c r="J859" t="s">
        <v>52</v>
      </c>
      <c r="K859" s="3">
        <v>10014022426</v>
      </c>
      <c r="L859" s="10">
        <v>41184</v>
      </c>
      <c r="M859">
        <v>191.14</v>
      </c>
      <c r="N859" s="11">
        <v>38</v>
      </c>
      <c r="O859" s="12">
        <v>4.98</v>
      </c>
      <c r="P859" s="12">
        <v>0.8</v>
      </c>
      <c r="Q859" s="13">
        <v>82.65</v>
      </c>
      <c r="R859" s="36" t="s">
        <v>521</v>
      </c>
      <c r="S859" s="7">
        <f t="shared" si="72"/>
        <v>1</v>
      </c>
      <c r="T859" s="15" t="str">
        <f>VLOOKUP(R859,产品分类!$C$2:$D$1278,2,0)</f>
        <v>家具产品</v>
      </c>
    </row>
    <row r="860" spans="1:20">
      <c r="A860" s="8">
        <f>DATE(2012,12,31)-1308</f>
        <v>39966</v>
      </c>
      <c r="B860" s="8">
        <f>DATE(2012,12,31)-1308</f>
        <v>39966</v>
      </c>
      <c r="C860" s="9" t="s">
        <v>647</v>
      </c>
      <c r="D860">
        <v>10021252571</v>
      </c>
      <c r="E860" t="s">
        <v>47</v>
      </c>
      <c r="F860" t="s">
        <v>72</v>
      </c>
      <c r="G860" t="s">
        <v>73</v>
      </c>
      <c r="H860" t="s">
        <v>1035</v>
      </c>
      <c r="I860" t="s">
        <v>1036</v>
      </c>
      <c r="J860" t="s">
        <v>52</v>
      </c>
      <c r="K860" s="3">
        <v>100912041841</v>
      </c>
      <c r="L860" s="10">
        <v>39967</v>
      </c>
      <c r="M860">
        <v>477.53</v>
      </c>
      <c r="N860" s="11">
        <v>50</v>
      </c>
      <c r="O860" s="12">
        <v>9.78</v>
      </c>
      <c r="P860" s="12">
        <v>1.39</v>
      </c>
      <c r="Q860" s="13">
        <v>197.76</v>
      </c>
      <c r="R860" s="36" t="s">
        <v>962</v>
      </c>
      <c r="S860" s="7">
        <f t="shared" si="72"/>
        <v>1</v>
      </c>
      <c r="T860" s="15" t="str">
        <f>VLOOKUP(R860,产品分类!$C$2:$D$1278,2,0)</f>
        <v>家具产品</v>
      </c>
    </row>
    <row r="861" spans="1:20">
      <c r="A861" s="8">
        <f>DATE(2012,12,31)-1308</f>
        <v>39966</v>
      </c>
      <c r="B861" s="8">
        <f>DATE(2012,12,31)-1308</f>
        <v>39966</v>
      </c>
      <c r="C861" s="9" t="s">
        <v>647</v>
      </c>
      <c r="D861">
        <v>10021281622</v>
      </c>
      <c r="E861" t="s">
        <v>47</v>
      </c>
      <c r="F861" t="s">
        <v>230</v>
      </c>
      <c r="G861" t="s">
        <v>231</v>
      </c>
      <c r="H861" t="s">
        <v>1186</v>
      </c>
      <c r="I861" t="s">
        <v>1187</v>
      </c>
      <c r="J861" t="s">
        <v>52</v>
      </c>
      <c r="K861" s="3">
        <v>100322537579</v>
      </c>
      <c r="L861" s="10">
        <v>39968</v>
      </c>
      <c r="M861">
        <v>2690.7515</v>
      </c>
      <c r="N861" s="11">
        <v>15</v>
      </c>
      <c r="O861" s="12">
        <v>200.99</v>
      </c>
      <c r="P861" s="12">
        <v>8.08</v>
      </c>
      <c r="Q861" s="13">
        <v>234.612</v>
      </c>
      <c r="R861" s="36" t="s">
        <v>1199</v>
      </c>
      <c r="S861" s="7">
        <f t="shared" si="72"/>
        <v>2</v>
      </c>
      <c r="T861" s="15" t="str">
        <f>VLOOKUP(R861,产品分类!$C$2:$D$1278,2,0)</f>
        <v>数码电子</v>
      </c>
    </row>
    <row r="862" spans="1:20">
      <c r="A862" s="8">
        <f>DATE(2012,12,31)-630</f>
        <v>40644</v>
      </c>
      <c r="B862" s="8">
        <f>DATE(2012,12,31)-630</f>
        <v>40644</v>
      </c>
      <c r="C862" s="9" t="s">
        <v>282</v>
      </c>
      <c r="D862">
        <v>10021333546</v>
      </c>
      <c r="E862" t="s">
        <v>47</v>
      </c>
      <c r="F862" t="s">
        <v>230</v>
      </c>
      <c r="G862" t="s">
        <v>231</v>
      </c>
      <c r="H862" t="s">
        <v>1186</v>
      </c>
      <c r="I862" t="s">
        <v>1187</v>
      </c>
      <c r="J862" t="s">
        <v>52</v>
      </c>
      <c r="K862" s="3">
        <v>100913393371</v>
      </c>
      <c r="L862" s="10">
        <v>40646</v>
      </c>
      <c r="M862">
        <v>2443.342</v>
      </c>
      <c r="N862" s="11">
        <v>44</v>
      </c>
      <c r="O862" s="12">
        <v>65.99</v>
      </c>
      <c r="P862" s="12">
        <v>3.99</v>
      </c>
      <c r="Q862" s="13">
        <v>590.319</v>
      </c>
      <c r="R862" s="36" t="s">
        <v>727</v>
      </c>
      <c r="S862" s="7">
        <f t="shared" si="72"/>
        <v>2</v>
      </c>
      <c r="T862" s="15" t="str">
        <f>VLOOKUP(R862,产品分类!$C$2:$D$1278,2,0)</f>
        <v>家具产品</v>
      </c>
    </row>
    <row r="863" spans="1:20">
      <c r="A863" s="8">
        <f>DATE(2012,12,31)-163</f>
        <v>41111</v>
      </c>
      <c r="B863" s="8">
        <f>DATE(2012,12,31)-163</f>
        <v>41111</v>
      </c>
      <c r="C863" s="9" t="s">
        <v>653</v>
      </c>
      <c r="D863">
        <v>10021319113</v>
      </c>
      <c r="E863" t="s">
        <v>47</v>
      </c>
      <c r="F863" t="s">
        <v>122</v>
      </c>
      <c r="G863" t="s">
        <v>123</v>
      </c>
      <c r="H863" t="s">
        <v>124</v>
      </c>
      <c r="I863" t="s">
        <v>125</v>
      </c>
      <c r="J863" t="s">
        <v>52</v>
      </c>
      <c r="K863" s="3">
        <v>10088178682</v>
      </c>
      <c r="L863" s="10">
        <v>41118</v>
      </c>
      <c r="M863">
        <v>255.48</v>
      </c>
      <c r="N863" s="11">
        <v>40</v>
      </c>
      <c r="O863" s="12">
        <v>6.48</v>
      </c>
      <c r="P863" s="12">
        <v>6.65</v>
      </c>
      <c r="Q863" s="13">
        <v>-116.79</v>
      </c>
      <c r="R863" s="36" t="s">
        <v>1103</v>
      </c>
      <c r="S863" s="7">
        <f t="shared" si="72"/>
        <v>7</v>
      </c>
      <c r="T863" s="15" t="str">
        <f>VLOOKUP(R863,产品分类!$C$2:$D$1278,2,0)</f>
        <v>办公用品</v>
      </c>
    </row>
    <row r="864" spans="1:20">
      <c r="A864" s="8">
        <f>DATE(2012,12,31)-163</f>
        <v>41111</v>
      </c>
      <c r="B864" s="8">
        <f>DATE(2012,12,31)-163</f>
        <v>41111</v>
      </c>
      <c r="C864" s="9" t="s">
        <v>653</v>
      </c>
      <c r="D864">
        <v>10021292784</v>
      </c>
      <c r="E864" t="s">
        <v>47</v>
      </c>
      <c r="F864" t="s">
        <v>91</v>
      </c>
      <c r="G864" t="s">
        <v>92</v>
      </c>
      <c r="H864" t="s">
        <v>774</v>
      </c>
      <c r="I864" t="s">
        <v>775</v>
      </c>
      <c r="J864" t="s">
        <v>52</v>
      </c>
      <c r="K864" s="3">
        <v>10071778395</v>
      </c>
      <c r="L864" s="10">
        <v>41115</v>
      </c>
      <c r="M864">
        <v>130.32</v>
      </c>
      <c r="N864" s="11">
        <v>18</v>
      </c>
      <c r="O864" s="12">
        <v>6.48</v>
      </c>
      <c r="P864" s="12">
        <v>7.86</v>
      </c>
      <c r="Q864" s="13">
        <v>-67.28</v>
      </c>
      <c r="R864" s="36" t="s">
        <v>957</v>
      </c>
      <c r="S864" s="7">
        <f t="shared" si="72"/>
        <v>4</v>
      </c>
      <c r="T864" s="15" t="str">
        <f>VLOOKUP(R864,产品分类!$C$2:$D$1278,2,0)</f>
        <v>办公用品</v>
      </c>
    </row>
    <row r="865" spans="1:20">
      <c r="A865" s="16">
        <f>DATE(2012,12,31)-199</f>
        <v>41075</v>
      </c>
      <c r="B865" s="16">
        <f>DATE(2012,12,31)-199</f>
        <v>41075</v>
      </c>
      <c r="C865" s="9" t="s">
        <v>428</v>
      </c>
      <c r="D865">
        <v>10021293886</v>
      </c>
      <c r="E865" t="s">
        <v>47</v>
      </c>
      <c r="F865" t="s">
        <v>122</v>
      </c>
      <c r="G865" t="s">
        <v>123</v>
      </c>
      <c r="H865" t="s">
        <v>124</v>
      </c>
      <c r="I865" t="s">
        <v>125</v>
      </c>
      <c r="J865" t="s">
        <v>52</v>
      </c>
      <c r="K865" s="3">
        <v>10039817799</v>
      </c>
      <c r="L865" s="10">
        <v>41076</v>
      </c>
      <c r="M865">
        <v>1991.93</v>
      </c>
      <c r="N865" s="17">
        <v>41</v>
      </c>
      <c r="O865" s="5">
        <v>48.94</v>
      </c>
      <c r="P865" s="5">
        <v>5.86</v>
      </c>
      <c r="Q865" s="6">
        <v>951.5</v>
      </c>
      <c r="R865" s="37" t="s">
        <v>1200</v>
      </c>
      <c r="S865" s="7">
        <f t="shared" si="72"/>
        <v>1</v>
      </c>
      <c r="T865" s="15" t="str">
        <f>VLOOKUP(R865,产品分类!$C$2:$D$1278,2,0)</f>
        <v>数码电子</v>
      </c>
    </row>
    <row r="866" spans="1:20">
      <c r="A866" s="16">
        <f>DATE(2012,12,31)-1134</f>
        <v>40140</v>
      </c>
      <c r="B866" s="16">
        <f>DATE(2012,12,31)-1134</f>
        <v>40140</v>
      </c>
      <c r="C866" s="9" t="s">
        <v>538</v>
      </c>
      <c r="D866">
        <v>10021331819</v>
      </c>
      <c r="E866" t="s">
        <v>47</v>
      </c>
      <c r="F866" t="s">
        <v>91</v>
      </c>
      <c r="G866" t="s">
        <v>92</v>
      </c>
      <c r="H866" t="s">
        <v>774</v>
      </c>
      <c r="I866" t="s">
        <v>775</v>
      </c>
      <c r="J866" t="s">
        <v>52</v>
      </c>
      <c r="K866" s="3">
        <v>10019237946</v>
      </c>
      <c r="L866" s="10">
        <v>40142</v>
      </c>
      <c r="M866">
        <v>67.72</v>
      </c>
      <c r="N866" s="17">
        <v>28</v>
      </c>
      <c r="O866" s="5">
        <v>2.16</v>
      </c>
      <c r="P866" s="5">
        <v>6.05</v>
      </c>
      <c r="Q866" s="6">
        <v>-142.669</v>
      </c>
      <c r="R866" s="37" t="s">
        <v>507</v>
      </c>
      <c r="S866" s="7">
        <f t="shared" si="72"/>
        <v>2</v>
      </c>
      <c r="T866" s="15" t="str">
        <f>VLOOKUP(R866,产品分类!$C$2:$D$1278,2,0)</f>
        <v>家具产品</v>
      </c>
    </row>
    <row r="867" spans="1:20">
      <c r="A867" s="16">
        <f>DATE(2012,12,31)-1134</f>
        <v>40140</v>
      </c>
      <c r="B867" s="16">
        <f>DATE(2012,12,31)-1134</f>
        <v>40140</v>
      </c>
      <c r="C867" s="9" t="s">
        <v>538</v>
      </c>
      <c r="D867">
        <v>10021249032</v>
      </c>
      <c r="E867" t="s">
        <v>47</v>
      </c>
      <c r="F867" t="s">
        <v>122</v>
      </c>
      <c r="G867" t="s">
        <v>123</v>
      </c>
      <c r="H867" t="s">
        <v>124</v>
      </c>
      <c r="I867" t="s">
        <v>125</v>
      </c>
      <c r="J867" t="s">
        <v>52</v>
      </c>
      <c r="K867" s="3">
        <v>10089092442</v>
      </c>
      <c r="L867" s="10">
        <v>40142</v>
      </c>
      <c r="M867">
        <v>68.64</v>
      </c>
      <c r="N867" s="17">
        <v>3</v>
      </c>
      <c r="O867" s="5">
        <v>21.38</v>
      </c>
      <c r="P867" s="5">
        <v>8.99</v>
      </c>
      <c r="Q867" s="6">
        <v>-38.93</v>
      </c>
      <c r="R867" s="37" t="s">
        <v>993</v>
      </c>
      <c r="S867" s="7">
        <f t="shared" si="72"/>
        <v>2</v>
      </c>
      <c r="T867" s="15" t="str">
        <f>VLOOKUP(R867,产品分类!$C$2:$D$1278,2,0)</f>
        <v>数码电子</v>
      </c>
    </row>
    <row r="868" spans="1:20">
      <c r="A868" s="8">
        <f>DATE(2012,12,31)-1098</f>
        <v>40176</v>
      </c>
      <c r="B868" s="8">
        <f>DATE(2012,12,31)-1098</f>
        <v>40176</v>
      </c>
      <c r="C868" s="9" t="s">
        <v>1201</v>
      </c>
      <c r="D868">
        <v>10021342382</v>
      </c>
      <c r="E868" t="s">
        <v>47</v>
      </c>
      <c r="F868" t="s">
        <v>83</v>
      </c>
      <c r="G868" t="s">
        <v>84</v>
      </c>
      <c r="H868" t="s">
        <v>1037</v>
      </c>
      <c r="I868" t="s">
        <v>1038</v>
      </c>
      <c r="J868" t="s">
        <v>52</v>
      </c>
      <c r="K868" s="3">
        <v>100927751081</v>
      </c>
      <c r="L868" s="10">
        <v>40181</v>
      </c>
      <c r="M868">
        <v>133.94</v>
      </c>
      <c r="N868" s="11">
        <v>24</v>
      </c>
      <c r="O868" s="12">
        <v>5.84</v>
      </c>
      <c r="P868" s="12">
        <v>1</v>
      </c>
      <c r="Q868" s="13">
        <v>45</v>
      </c>
      <c r="R868" s="36" t="s">
        <v>1202</v>
      </c>
      <c r="S868" s="7">
        <f t="shared" si="72"/>
        <v>5</v>
      </c>
      <c r="T868" s="15" t="str">
        <f>VLOOKUP(R868,产品分类!$C$2:$D$1278,2,0)</f>
        <v>办公用品</v>
      </c>
    </row>
    <row r="869" spans="1:20">
      <c r="A869" s="8">
        <f>DATE(2012,12,31)-1098</f>
        <v>40176</v>
      </c>
      <c r="B869" s="8">
        <f>DATE(2012,12,31)-1098</f>
        <v>40176</v>
      </c>
      <c r="C869" s="9" t="s">
        <v>1201</v>
      </c>
      <c r="D869">
        <v>10021261130</v>
      </c>
      <c r="E869" t="s">
        <v>47</v>
      </c>
      <c r="F869" t="s">
        <v>132</v>
      </c>
      <c r="G869" t="s">
        <v>133</v>
      </c>
      <c r="H869" t="s">
        <v>134</v>
      </c>
      <c r="I869" t="s">
        <v>133</v>
      </c>
      <c r="J869" t="s">
        <v>52</v>
      </c>
      <c r="K869" s="3">
        <v>10039786299</v>
      </c>
      <c r="L869" s="10">
        <v>40180</v>
      </c>
      <c r="M869">
        <v>5433.0895</v>
      </c>
      <c r="N869" s="11">
        <v>29</v>
      </c>
      <c r="O869" s="12">
        <v>205.99</v>
      </c>
      <c r="P869" s="12">
        <v>8.99</v>
      </c>
      <c r="Q869" s="13">
        <v>1365.282</v>
      </c>
      <c r="R869" s="36" t="s">
        <v>930</v>
      </c>
      <c r="S869" s="7">
        <f t="shared" si="72"/>
        <v>4</v>
      </c>
      <c r="T869" s="15" t="str">
        <f>VLOOKUP(R869,产品分类!$C$2:$D$1278,2,0)</f>
        <v>办公用品</v>
      </c>
    </row>
    <row r="870" spans="1:20">
      <c r="A870" s="8">
        <f>DATE(2012,12,31)-1167</f>
        <v>40107</v>
      </c>
      <c r="B870" s="8">
        <f>DATE(2012,12,31)-1167</f>
        <v>40107</v>
      </c>
      <c r="C870" s="9" t="s">
        <v>734</v>
      </c>
      <c r="D870">
        <v>10021331571</v>
      </c>
      <c r="E870" t="s">
        <v>47</v>
      </c>
      <c r="F870" t="s">
        <v>102</v>
      </c>
      <c r="G870" t="s">
        <v>103</v>
      </c>
      <c r="H870" t="s">
        <v>104</v>
      </c>
      <c r="I870" t="s">
        <v>105</v>
      </c>
      <c r="J870" t="s">
        <v>52</v>
      </c>
      <c r="K870" s="3">
        <v>10034014849</v>
      </c>
      <c r="L870" s="10">
        <v>40109</v>
      </c>
      <c r="M870">
        <v>52.38</v>
      </c>
      <c r="N870" s="11">
        <v>13</v>
      </c>
      <c r="O870" s="12">
        <v>3.93</v>
      </c>
      <c r="P870" s="12">
        <v>0.99</v>
      </c>
      <c r="Q870" s="13">
        <v>11.72</v>
      </c>
      <c r="R870" s="36" t="s">
        <v>1203</v>
      </c>
      <c r="S870" s="7">
        <f t="shared" si="72"/>
        <v>2</v>
      </c>
      <c r="T870" s="15" t="str">
        <f>VLOOKUP(R870,产品分类!$C$2:$D$1278,2,0)</f>
        <v>家具产品</v>
      </c>
    </row>
    <row r="871" spans="1:20">
      <c r="A871" s="8">
        <f t="shared" ref="A871:B874" si="73">DATE(2012,12,31)-1038</f>
        <v>40236</v>
      </c>
      <c r="B871" s="8">
        <f t="shared" si="73"/>
        <v>40236</v>
      </c>
      <c r="C871" s="9" t="s">
        <v>1118</v>
      </c>
      <c r="D871">
        <v>10021340004</v>
      </c>
      <c r="E871" t="s">
        <v>47</v>
      </c>
      <c r="F871" t="s">
        <v>102</v>
      </c>
      <c r="G871" t="s">
        <v>103</v>
      </c>
      <c r="H871" t="s">
        <v>104</v>
      </c>
      <c r="I871" t="s">
        <v>105</v>
      </c>
      <c r="J871" t="s">
        <v>52</v>
      </c>
      <c r="K871" s="3">
        <v>10073329445</v>
      </c>
      <c r="L871" s="10">
        <v>40238</v>
      </c>
      <c r="M871">
        <v>497.4</v>
      </c>
      <c r="N871" s="11">
        <v>33</v>
      </c>
      <c r="O871" s="12">
        <v>14.98</v>
      </c>
      <c r="P871" s="12">
        <v>8.99</v>
      </c>
      <c r="Q871" s="13">
        <v>37.9</v>
      </c>
      <c r="R871" s="36" t="s">
        <v>757</v>
      </c>
      <c r="S871" s="7">
        <f t="shared" si="72"/>
        <v>2</v>
      </c>
      <c r="T871" s="15" t="str">
        <f>VLOOKUP(R871,产品分类!$C$2:$D$1278,2,0)</f>
        <v>办公用品</v>
      </c>
    </row>
    <row r="872" spans="1:20">
      <c r="A872" s="8">
        <f t="shared" si="73"/>
        <v>40236</v>
      </c>
      <c r="B872" s="8">
        <f t="shared" si="73"/>
        <v>40236</v>
      </c>
      <c r="C872" s="9" t="s">
        <v>1118</v>
      </c>
      <c r="D872">
        <v>10021285966</v>
      </c>
      <c r="E872" t="s">
        <v>47</v>
      </c>
      <c r="F872" t="s">
        <v>603</v>
      </c>
      <c r="G872" t="s">
        <v>604</v>
      </c>
      <c r="H872" t="s">
        <v>605</v>
      </c>
      <c r="I872" t="s">
        <v>606</v>
      </c>
      <c r="J872" t="s">
        <v>52</v>
      </c>
      <c r="K872" s="3">
        <v>100430403983</v>
      </c>
      <c r="L872" s="10">
        <v>40238</v>
      </c>
      <c r="M872">
        <v>4965.384</v>
      </c>
      <c r="N872" s="11">
        <v>48</v>
      </c>
      <c r="O872" s="12">
        <v>124.49</v>
      </c>
      <c r="P872" s="12">
        <v>51.94</v>
      </c>
      <c r="Q872" s="13">
        <v>-175.46</v>
      </c>
      <c r="R872" s="36" t="s">
        <v>237</v>
      </c>
      <c r="S872" s="7">
        <f t="shared" si="72"/>
        <v>2</v>
      </c>
      <c r="T872" s="15" t="str">
        <f>VLOOKUP(R872,产品分类!$C$2:$D$1278,2,0)</f>
        <v>数码电子</v>
      </c>
    </row>
    <row r="873" spans="1:20">
      <c r="A873" s="8">
        <f t="shared" si="73"/>
        <v>40236</v>
      </c>
      <c r="B873" s="8">
        <f t="shared" si="73"/>
        <v>40236</v>
      </c>
      <c r="C873" s="9" t="s">
        <v>1118</v>
      </c>
      <c r="D873">
        <v>10021348726</v>
      </c>
      <c r="E873" t="s">
        <v>47</v>
      </c>
      <c r="F873" t="s">
        <v>177</v>
      </c>
      <c r="G873" t="s">
        <v>178</v>
      </c>
      <c r="H873" t="s">
        <v>795</v>
      </c>
      <c r="I873" t="s">
        <v>796</v>
      </c>
      <c r="J873" t="s">
        <v>52</v>
      </c>
      <c r="K873" s="3">
        <v>100931609001</v>
      </c>
      <c r="L873" s="10">
        <v>40238</v>
      </c>
      <c r="M873">
        <v>358.4195</v>
      </c>
      <c r="N873" s="11">
        <v>8</v>
      </c>
      <c r="O873" s="12">
        <v>55.99</v>
      </c>
      <c r="P873" s="12">
        <v>2.5</v>
      </c>
      <c r="Q873" s="13">
        <v>-275.055</v>
      </c>
      <c r="R873" s="36" t="s">
        <v>1204</v>
      </c>
      <c r="S873" s="7">
        <f t="shared" si="72"/>
        <v>2</v>
      </c>
      <c r="T873" s="15" t="str">
        <f>VLOOKUP(R873,产品分类!$C$2:$D$1278,2,0)</f>
        <v>办公用品</v>
      </c>
    </row>
    <row r="874" spans="1:20">
      <c r="A874" s="8">
        <f t="shared" si="73"/>
        <v>40236</v>
      </c>
      <c r="B874" s="8">
        <f t="shared" si="73"/>
        <v>40236</v>
      </c>
      <c r="C874" s="9" t="s">
        <v>1118</v>
      </c>
      <c r="D874">
        <v>10021281364</v>
      </c>
      <c r="E874" t="s">
        <v>47</v>
      </c>
      <c r="F874" t="s">
        <v>177</v>
      </c>
      <c r="G874" t="s">
        <v>178</v>
      </c>
      <c r="H874" t="s">
        <v>795</v>
      </c>
      <c r="I874" t="s">
        <v>796</v>
      </c>
      <c r="J874" t="s">
        <v>52</v>
      </c>
      <c r="K874" s="3">
        <v>100721839665</v>
      </c>
      <c r="L874" s="10">
        <v>40238</v>
      </c>
      <c r="M874">
        <v>3232.68</v>
      </c>
      <c r="N874" s="11">
        <v>31</v>
      </c>
      <c r="O874" s="12">
        <v>105.98</v>
      </c>
      <c r="P874" s="12">
        <v>13.99</v>
      </c>
      <c r="Q874" s="13">
        <v>875.45</v>
      </c>
      <c r="R874" s="36" t="s">
        <v>1205</v>
      </c>
      <c r="S874" s="7">
        <f t="shared" si="72"/>
        <v>2</v>
      </c>
      <c r="T874" s="15" t="str">
        <f>VLOOKUP(R874,产品分类!$C$2:$D$1278,2,0)</f>
        <v>办公用品</v>
      </c>
    </row>
    <row r="875" spans="1:20">
      <c r="A875" s="8">
        <f>DATE(2012,12,31)-536</f>
        <v>40738</v>
      </c>
      <c r="B875" s="8">
        <f>DATE(2012,12,31)-536</f>
        <v>40738</v>
      </c>
      <c r="C875" s="9" t="s">
        <v>358</v>
      </c>
      <c r="D875">
        <v>10021248991</v>
      </c>
      <c r="E875" t="s">
        <v>47</v>
      </c>
      <c r="F875" t="s">
        <v>61</v>
      </c>
      <c r="G875" t="s">
        <v>62</v>
      </c>
      <c r="H875" t="s">
        <v>1077</v>
      </c>
      <c r="I875" t="s">
        <v>1078</v>
      </c>
      <c r="J875" t="s">
        <v>52</v>
      </c>
      <c r="K875" s="3">
        <v>10098691791</v>
      </c>
      <c r="L875" s="10">
        <v>40739</v>
      </c>
      <c r="M875">
        <v>46.36</v>
      </c>
      <c r="N875" s="11">
        <v>22</v>
      </c>
      <c r="O875" s="12">
        <v>1.74</v>
      </c>
      <c r="P875" s="12">
        <v>4.08</v>
      </c>
      <c r="Q875" s="13">
        <v>-56.73</v>
      </c>
      <c r="R875" s="36" t="s">
        <v>980</v>
      </c>
      <c r="S875" s="7">
        <f t="shared" si="72"/>
        <v>1</v>
      </c>
      <c r="T875" s="15" t="str">
        <f>VLOOKUP(R875,产品分类!$C$2:$D$1278,2,0)</f>
        <v>办公用品</v>
      </c>
    </row>
    <row r="876" spans="1:20">
      <c r="A876" s="16">
        <f>DATE(2012,12,31)-1067</f>
        <v>40207</v>
      </c>
      <c r="B876" s="16">
        <f>DATE(2012,12,31)-1067</f>
        <v>40207</v>
      </c>
      <c r="C876" s="9" t="s">
        <v>615</v>
      </c>
      <c r="D876">
        <v>10021337655</v>
      </c>
      <c r="E876" t="s">
        <v>47</v>
      </c>
      <c r="F876" t="s">
        <v>61</v>
      </c>
      <c r="G876" t="s">
        <v>62</v>
      </c>
      <c r="H876" t="s">
        <v>1077</v>
      </c>
      <c r="I876" t="s">
        <v>1078</v>
      </c>
      <c r="J876" t="s">
        <v>52</v>
      </c>
      <c r="K876" s="3">
        <v>100422625544</v>
      </c>
      <c r="L876" s="10">
        <v>40209</v>
      </c>
      <c r="M876">
        <v>3283.74</v>
      </c>
      <c r="N876" s="17">
        <v>49</v>
      </c>
      <c r="O876" s="5">
        <v>67.28</v>
      </c>
      <c r="P876" s="5">
        <v>19.99</v>
      </c>
      <c r="Q876" s="6">
        <v>723.333</v>
      </c>
      <c r="R876" s="37" t="s">
        <v>862</v>
      </c>
      <c r="S876" s="7">
        <f t="shared" si="72"/>
        <v>2</v>
      </c>
      <c r="T876" s="15" t="str">
        <f>VLOOKUP(R876,产品分类!$C$2:$D$1278,2,0)</f>
        <v>办公用品</v>
      </c>
    </row>
    <row r="877" spans="1:20">
      <c r="A877" s="8">
        <f>DATE(2012,12,31)-508</f>
        <v>40766</v>
      </c>
      <c r="B877" s="8">
        <f>DATE(2012,12,31)-508</f>
        <v>40766</v>
      </c>
      <c r="C877" s="9" t="s">
        <v>1206</v>
      </c>
      <c r="D877">
        <v>10021262514</v>
      </c>
      <c r="E877" t="s">
        <v>47</v>
      </c>
      <c r="F877" t="s">
        <v>61</v>
      </c>
      <c r="G877" t="s">
        <v>62</v>
      </c>
      <c r="H877" t="s">
        <v>1077</v>
      </c>
      <c r="I877" t="s">
        <v>1078</v>
      </c>
      <c r="J877" t="s">
        <v>52</v>
      </c>
      <c r="K877" s="3">
        <v>100430084744</v>
      </c>
      <c r="L877" s="10">
        <v>40768</v>
      </c>
      <c r="M877">
        <v>199.11</v>
      </c>
      <c r="N877" s="11">
        <v>30</v>
      </c>
      <c r="O877" s="12">
        <v>6.48</v>
      </c>
      <c r="P877" s="12">
        <v>6.65</v>
      </c>
      <c r="Q877" s="13">
        <v>-83.33</v>
      </c>
      <c r="R877" s="36" t="s">
        <v>1103</v>
      </c>
      <c r="S877" s="7">
        <f t="shared" si="72"/>
        <v>2</v>
      </c>
      <c r="T877" s="15" t="str">
        <f>VLOOKUP(R877,产品分类!$C$2:$D$1278,2,0)</f>
        <v>办公用品</v>
      </c>
    </row>
    <row r="878" spans="1:20">
      <c r="A878" s="8">
        <f>DATE(2012,12,31)-936</f>
        <v>40338</v>
      </c>
      <c r="B878" s="8">
        <f>DATE(2012,12,31)-936</f>
        <v>40338</v>
      </c>
      <c r="C878" s="9" t="s">
        <v>705</v>
      </c>
      <c r="D878">
        <v>10021254146</v>
      </c>
      <c r="E878" t="s">
        <v>47</v>
      </c>
      <c r="F878" t="s">
        <v>61</v>
      </c>
      <c r="G878" t="s">
        <v>62</v>
      </c>
      <c r="H878" t="s">
        <v>1077</v>
      </c>
      <c r="I878" t="s">
        <v>1078</v>
      </c>
      <c r="J878" t="s">
        <v>52</v>
      </c>
      <c r="K878" s="3">
        <v>10019614866</v>
      </c>
      <c r="L878" s="10">
        <v>40339</v>
      </c>
      <c r="M878">
        <v>29.79</v>
      </c>
      <c r="N878" s="11">
        <v>10</v>
      </c>
      <c r="O878" s="12">
        <v>2.88</v>
      </c>
      <c r="P878" s="12">
        <v>0.99</v>
      </c>
      <c r="Q878" s="13">
        <v>3.76</v>
      </c>
      <c r="R878" s="36" t="s">
        <v>1207</v>
      </c>
      <c r="S878" s="7">
        <f t="shared" si="72"/>
        <v>1</v>
      </c>
      <c r="T878" s="15" t="str">
        <f>VLOOKUP(R878,产品分类!$C$2:$D$1278,2,0)</f>
        <v>数码电子</v>
      </c>
    </row>
    <row r="879" spans="1:20">
      <c r="A879" s="8">
        <f>DATE(2012,12,31)-1338</f>
        <v>39936</v>
      </c>
      <c r="B879" s="8">
        <f>DATE(2012,12,31)-1338</f>
        <v>39936</v>
      </c>
      <c r="C879" s="9" t="s">
        <v>1208</v>
      </c>
      <c r="D879">
        <v>10021280812</v>
      </c>
      <c r="E879" t="s">
        <v>47</v>
      </c>
      <c r="F879" t="s">
        <v>253</v>
      </c>
      <c r="G879" t="s">
        <v>254</v>
      </c>
      <c r="H879" t="s">
        <v>255</v>
      </c>
      <c r="I879" t="s">
        <v>256</v>
      </c>
      <c r="J879" t="s">
        <v>52</v>
      </c>
      <c r="K879" s="3">
        <v>100117020686</v>
      </c>
      <c r="L879" s="10">
        <v>39937</v>
      </c>
      <c r="M879">
        <v>216.95</v>
      </c>
      <c r="N879" s="11">
        <v>27</v>
      </c>
      <c r="O879" s="12">
        <v>8.09</v>
      </c>
      <c r="P879" s="12">
        <v>7.96</v>
      </c>
      <c r="Q879" s="13">
        <v>-88.82</v>
      </c>
      <c r="R879" s="36" t="s">
        <v>1209</v>
      </c>
      <c r="S879" s="7">
        <f t="shared" si="72"/>
        <v>1</v>
      </c>
      <c r="T879" s="15" t="str">
        <f>VLOOKUP(R879,产品分类!$C$2:$D$1278,2,0)</f>
        <v>数码电子</v>
      </c>
    </row>
    <row r="880" spans="1:20">
      <c r="A880" s="8">
        <f>DATE(2012,12,31)-1055</f>
        <v>40219</v>
      </c>
      <c r="B880" s="8">
        <f>DATE(2012,12,31)-1055</f>
        <v>40219</v>
      </c>
      <c r="C880" s="9" t="s">
        <v>1120</v>
      </c>
      <c r="D880">
        <v>10021336767</v>
      </c>
      <c r="E880" t="s">
        <v>47</v>
      </c>
      <c r="F880" t="s">
        <v>253</v>
      </c>
      <c r="G880" t="s">
        <v>254</v>
      </c>
      <c r="H880" t="s">
        <v>255</v>
      </c>
      <c r="I880" t="s">
        <v>256</v>
      </c>
      <c r="J880" t="s">
        <v>52</v>
      </c>
      <c r="K880" s="3">
        <v>100920235621</v>
      </c>
      <c r="L880" s="10">
        <v>40222</v>
      </c>
      <c r="M880">
        <v>1297.4485</v>
      </c>
      <c r="N880" s="11">
        <v>18</v>
      </c>
      <c r="O880" s="12">
        <v>85.99</v>
      </c>
      <c r="P880" s="12">
        <v>10.78</v>
      </c>
      <c r="Q880" s="13">
        <v>4.21200000000001</v>
      </c>
      <c r="R880" s="36" t="s">
        <v>1210</v>
      </c>
      <c r="S880" s="7">
        <f t="shared" si="72"/>
        <v>3</v>
      </c>
      <c r="T880" s="15" t="str">
        <f>VLOOKUP(R880,产品分类!$C$2:$D$1278,2,0)</f>
        <v>家具产品</v>
      </c>
    </row>
    <row r="881" spans="1:20">
      <c r="A881" s="8">
        <f>DATE(2012,12,31)-491</f>
        <v>40783</v>
      </c>
      <c r="B881" s="8">
        <f>DATE(2012,12,31)-491</f>
        <v>40783</v>
      </c>
      <c r="C881" s="9" t="s">
        <v>1211</v>
      </c>
      <c r="D881">
        <v>10021279083</v>
      </c>
      <c r="E881" t="s">
        <v>47</v>
      </c>
      <c r="F881" t="s">
        <v>55</v>
      </c>
      <c r="G881" t="s">
        <v>56</v>
      </c>
      <c r="H881" t="s">
        <v>57</v>
      </c>
      <c r="I881" t="s">
        <v>58</v>
      </c>
      <c r="J881" t="s">
        <v>52</v>
      </c>
      <c r="K881" s="3">
        <v>100132780578</v>
      </c>
      <c r="L881" s="10">
        <v>40785</v>
      </c>
      <c r="M881">
        <v>320.26</v>
      </c>
      <c r="N881" s="11">
        <v>43</v>
      </c>
      <c r="O881" s="12">
        <v>7.1</v>
      </c>
      <c r="P881" s="12">
        <v>6.05</v>
      </c>
      <c r="Q881" s="13">
        <v>-84.134</v>
      </c>
      <c r="R881" s="36" t="s">
        <v>958</v>
      </c>
      <c r="S881" s="7">
        <f t="shared" si="72"/>
        <v>2</v>
      </c>
      <c r="T881" s="15" t="str">
        <f>VLOOKUP(R881,产品分类!$C$2:$D$1278,2,0)</f>
        <v>办公用品</v>
      </c>
    </row>
    <row r="882" spans="1:20">
      <c r="A882" s="8">
        <f>DATE(2012,12,31)-488</f>
        <v>40786</v>
      </c>
      <c r="B882" s="8">
        <f>DATE(2012,12,31)-488</f>
        <v>40786</v>
      </c>
      <c r="C882" s="9" t="s">
        <v>464</v>
      </c>
      <c r="D882">
        <v>10021411513</v>
      </c>
      <c r="E882" t="s">
        <v>47</v>
      </c>
      <c r="F882" t="s">
        <v>72</v>
      </c>
      <c r="G882" t="s">
        <v>73</v>
      </c>
      <c r="H882" t="s">
        <v>1035</v>
      </c>
      <c r="I882" t="s">
        <v>1036</v>
      </c>
      <c r="J882" t="s">
        <v>52</v>
      </c>
      <c r="K882" s="3">
        <v>100832955772</v>
      </c>
      <c r="L882" s="10">
        <v>40788</v>
      </c>
      <c r="M882">
        <v>3397.72</v>
      </c>
      <c r="N882" s="11">
        <v>48</v>
      </c>
      <c r="O882" s="12">
        <v>70.71</v>
      </c>
      <c r="P882" s="12">
        <v>37.58</v>
      </c>
      <c r="Q882" s="13">
        <v>-912.08</v>
      </c>
      <c r="R882" s="36" t="s">
        <v>1212</v>
      </c>
      <c r="S882" s="7">
        <f t="shared" si="72"/>
        <v>2</v>
      </c>
      <c r="T882" s="15" t="str">
        <f>VLOOKUP(R882,产品分类!$C$2:$D$1278,2,0)</f>
        <v>办公用品</v>
      </c>
    </row>
    <row r="883" spans="1:20">
      <c r="A883" s="8">
        <f>DATE(2012,12,31)-488</f>
        <v>40786</v>
      </c>
      <c r="B883" s="8">
        <f>DATE(2012,12,31)-488</f>
        <v>40786</v>
      </c>
      <c r="C883" s="9" t="s">
        <v>464</v>
      </c>
      <c r="D883">
        <v>10021271872</v>
      </c>
      <c r="E883" t="s">
        <v>47</v>
      </c>
      <c r="F883" t="s">
        <v>66</v>
      </c>
      <c r="G883" t="s">
        <v>67</v>
      </c>
      <c r="H883" t="s">
        <v>68</v>
      </c>
      <c r="I883" t="s">
        <v>69</v>
      </c>
      <c r="J883" t="s">
        <v>52</v>
      </c>
      <c r="K883" s="3">
        <v>100932760661</v>
      </c>
      <c r="L883" s="10">
        <v>40787</v>
      </c>
      <c r="M883">
        <v>449.42</v>
      </c>
      <c r="N883" s="11">
        <v>1</v>
      </c>
      <c r="O883" s="12">
        <v>376.13</v>
      </c>
      <c r="P883" s="12">
        <v>85.63</v>
      </c>
      <c r="Q883" s="13">
        <v>-261.612</v>
      </c>
      <c r="R883" s="36" t="s">
        <v>1213</v>
      </c>
      <c r="S883" s="7">
        <f t="shared" si="72"/>
        <v>1</v>
      </c>
      <c r="T883" s="15" t="str">
        <f>VLOOKUP(R883,产品分类!$C$2:$D$1278,2,0)</f>
        <v>办公用品</v>
      </c>
    </row>
    <row r="884" spans="1:20">
      <c r="A884" s="8">
        <f>DATE(2012,12,31)-20</f>
        <v>41254</v>
      </c>
      <c r="B884" s="8">
        <f>DATE(2012,12,31)-20</f>
        <v>41254</v>
      </c>
      <c r="C884" s="9" t="s">
        <v>101</v>
      </c>
      <c r="D884">
        <v>10021315737</v>
      </c>
      <c r="E884" t="s">
        <v>47</v>
      </c>
      <c r="F884" t="s">
        <v>66</v>
      </c>
      <c r="G884" t="s">
        <v>67</v>
      </c>
      <c r="H884" t="s">
        <v>68</v>
      </c>
      <c r="I884" t="s">
        <v>69</v>
      </c>
      <c r="J884" t="s">
        <v>52</v>
      </c>
      <c r="K884" s="3">
        <v>100132824326</v>
      </c>
      <c r="L884" s="10">
        <v>41255</v>
      </c>
      <c r="M884">
        <v>303.69</v>
      </c>
      <c r="N884" s="11">
        <v>20</v>
      </c>
      <c r="O884" s="12">
        <v>14.98</v>
      </c>
      <c r="P884" s="12">
        <v>7.69</v>
      </c>
      <c r="Q884" s="13">
        <v>-50.84</v>
      </c>
      <c r="R884" s="36" t="s">
        <v>1142</v>
      </c>
      <c r="S884" s="7">
        <f t="shared" si="72"/>
        <v>1</v>
      </c>
      <c r="T884" s="15" t="str">
        <f>VLOOKUP(R884,产品分类!$C$2:$D$1278,2,0)</f>
        <v>办公用品</v>
      </c>
    </row>
    <row r="885" spans="1:20">
      <c r="A885" s="8">
        <f>DATE(2012,12,31)-1408</f>
        <v>39866</v>
      </c>
      <c r="B885" s="8">
        <f>DATE(2012,12,31)-1408</f>
        <v>39866</v>
      </c>
      <c r="C885" s="9" t="s">
        <v>377</v>
      </c>
      <c r="D885">
        <v>10021409865</v>
      </c>
      <c r="E885" t="s">
        <v>47</v>
      </c>
      <c r="F885" t="s">
        <v>61</v>
      </c>
      <c r="G885" t="s">
        <v>62</v>
      </c>
      <c r="H885" t="s">
        <v>1077</v>
      </c>
      <c r="I885" t="s">
        <v>1078</v>
      </c>
      <c r="J885" t="s">
        <v>52</v>
      </c>
      <c r="K885" s="3">
        <v>100132950867</v>
      </c>
      <c r="L885" s="10">
        <v>39866</v>
      </c>
      <c r="M885">
        <v>19100.45</v>
      </c>
      <c r="N885" s="11">
        <v>40</v>
      </c>
      <c r="O885" s="12">
        <v>442.14</v>
      </c>
      <c r="P885" s="12">
        <v>14.7</v>
      </c>
      <c r="Q885" s="13">
        <v>6839.95</v>
      </c>
      <c r="R885" s="36" t="s">
        <v>1214</v>
      </c>
      <c r="S885" s="7">
        <f t="shared" si="72"/>
        <v>0</v>
      </c>
      <c r="T885" s="15" t="str">
        <f>VLOOKUP(R885,产品分类!$C$2:$D$1278,2,0)</f>
        <v>数码电子</v>
      </c>
    </row>
    <row r="886" spans="1:20">
      <c r="A886" s="8">
        <f>DATE(2012,12,31)-1108</f>
        <v>40166</v>
      </c>
      <c r="B886" s="8">
        <f>DATE(2012,12,31)-1108</f>
        <v>40166</v>
      </c>
      <c r="C886" s="9" t="s">
        <v>1152</v>
      </c>
      <c r="D886">
        <v>10021430031</v>
      </c>
      <c r="E886" t="s">
        <v>47</v>
      </c>
      <c r="F886" t="s">
        <v>132</v>
      </c>
      <c r="G886" t="s">
        <v>133</v>
      </c>
      <c r="H886" t="s">
        <v>134</v>
      </c>
      <c r="I886" t="s">
        <v>133</v>
      </c>
      <c r="J886" t="s">
        <v>52</v>
      </c>
      <c r="K886" s="3">
        <v>100931894041</v>
      </c>
      <c r="L886" s="10">
        <v>40168</v>
      </c>
      <c r="M886">
        <v>14922.16</v>
      </c>
      <c r="N886" s="11">
        <v>30</v>
      </c>
      <c r="O886" s="12">
        <v>550.98</v>
      </c>
      <c r="P886" s="12">
        <v>45.7</v>
      </c>
      <c r="Q886" s="13">
        <v>545.69745</v>
      </c>
      <c r="R886" s="36" t="s">
        <v>1215</v>
      </c>
      <c r="S886" s="7">
        <f t="shared" si="72"/>
        <v>2</v>
      </c>
      <c r="T886" s="15" t="str">
        <f>VLOOKUP(R886,产品分类!$C$2:$D$1278,2,0)</f>
        <v>家具产品</v>
      </c>
    </row>
    <row r="887" spans="1:20">
      <c r="A887" s="8">
        <f>DATE(2012,12,31)-343</f>
        <v>40931</v>
      </c>
      <c r="B887" s="8">
        <f>DATE(2012,12,31)-343</f>
        <v>40931</v>
      </c>
      <c r="C887" s="9" t="s">
        <v>887</v>
      </c>
      <c r="D887">
        <v>10021337578</v>
      </c>
      <c r="E887" t="s">
        <v>47</v>
      </c>
      <c r="F887" t="s">
        <v>177</v>
      </c>
      <c r="G887" t="s">
        <v>178</v>
      </c>
      <c r="H887" t="s">
        <v>795</v>
      </c>
      <c r="I887" t="s">
        <v>796</v>
      </c>
      <c r="J887" t="s">
        <v>52</v>
      </c>
      <c r="K887" s="3">
        <v>100722343835</v>
      </c>
      <c r="L887" s="10">
        <v>40932</v>
      </c>
      <c r="M887">
        <v>62.77</v>
      </c>
      <c r="N887" s="11">
        <v>1</v>
      </c>
      <c r="O887" s="12">
        <v>60.97</v>
      </c>
      <c r="P887" s="12">
        <v>4.5</v>
      </c>
      <c r="Q887" s="13">
        <v>-36.84</v>
      </c>
      <c r="R887" s="36" t="s">
        <v>608</v>
      </c>
      <c r="S887" s="7">
        <f t="shared" si="72"/>
        <v>1</v>
      </c>
      <c r="T887" s="15" t="str">
        <f>VLOOKUP(R887,产品分类!$C$2:$D$1278,2,0)</f>
        <v>家具产品</v>
      </c>
    </row>
    <row r="888" spans="1:20">
      <c r="A888" s="8">
        <f>DATE(2012,12,31)-512</f>
        <v>40762</v>
      </c>
      <c r="B888" s="8">
        <f>DATE(2012,12,31)-512</f>
        <v>40762</v>
      </c>
      <c r="C888" s="9" t="s">
        <v>1216</v>
      </c>
      <c r="D888">
        <v>10021354699</v>
      </c>
      <c r="E888" t="s">
        <v>47</v>
      </c>
      <c r="F888" t="s">
        <v>102</v>
      </c>
      <c r="G888" t="s">
        <v>103</v>
      </c>
      <c r="H888" t="s">
        <v>1217</v>
      </c>
      <c r="I888" t="s">
        <v>1218</v>
      </c>
      <c r="J888" t="s">
        <v>52</v>
      </c>
      <c r="K888" s="3">
        <v>100732421495</v>
      </c>
      <c r="L888" s="10">
        <v>40763</v>
      </c>
      <c r="M888">
        <v>857.42</v>
      </c>
      <c r="N888" s="11">
        <v>29</v>
      </c>
      <c r="O888" s="12">
        <v>31.11</v>
      </c>
      <c r="P888" s="12">
        <v>3.6</v>
      </c>
      <c r="Q888" s="13">
        <v>51.18</v>
      </c>
      <c r="R888" s="36" t="s">
        <v>1219</v>
      </c>
      <c r="S888" s="7">
        <f t="shared" si="72"/>
        <v>1</v>
      </c>
      <c r="T888" s="15" t="str">
        <f>VLOOKUP(R888,产品分类!$C$2:$D$1278,2,0)</f>
        <v>数码电子</v>
      </c>
    </row>
    <row r="889" spans="1:20">
      <c r="A889" s="8">
        <f>DATE(2012,12,31)-512</f>
        <v>40762</v>
      </c>
      <c r="B889" s="8">
        <f>DATE(2012,12,31)-512</f>
        <v>40762</v>
      </c>
      <c r="C889" s="9" t="s">
        <v>1216</v>
      </c>
      <c r="D889">
        <v>10021307275</v>
      </c>
      <c r="E889" t="s">
        <v>47</v>
      </c>
      <c r="F889" t="s">
        <v>72</v>
      </c>
      <c r="G889" t="s">
        <v>73</v>
      </c>
      <c r="H889" t="s">
        <v>1035</v>
      </c>
      <c r="I889" t="s">
        <v>1036</v>
      </c>
      <c r="J889" t="s">
        <v>52</v>
      </c>
      <c r="K889" s="3">
        <v>100130750276</v>
      </c>
      <c r="L889" s="10">
        <v>40764</v>
      </c>
      <c r="M889">
        <v>2.24</v>
      </c>
      <c r="N889" s="11">
        <v>1</v>
      </c>
      <c r="O889" s="12">
        <v>1.48</v>
      </c>
      <c r="P889" s="12">
        <v>0.7</v>
      </c>
      <c r="Q889" s="13">
        <v>-1.97</v>
      </c>
      <c r="R889" s="36" t="s">
        <v>1220</v>
      </c>
      <c r="S889" s="7">
        <f t="shared" si="72"/>
        <v>2</v>
      </c>
      <c r="T889" s="15" t="str">
        <f>VLOOKUP(R889,产品分类!$C$2:$D$1278,2,0)</f>
        <v>家具产品</v>
      </c>
    </row>
    <row r="890" spans="1:20">
      <c r="A890" s="16">
        <f>DATE(2012,12,31)-618</f>
        <v>40656</v>
      </c>
      <c r="B890" s="16">
        <f>DATE(2012,12,31)-618</f>
        <v>40656</v>
      </c>
      <c r="C890" s="9" t="s">
        <v>1221</v>
      </c>
      <c r="D890">
        <v>10021361076</v>
      </c>
      <c r="E890" t="s">
        <v>47</v>
      </c>
      <c r="F890" t="s">
        <v>72</v>
      </c>
      <c r="G890" t="s">
        <v>73</v>
      </c>
      <c r="H890" t="s">
        <v>1035</v>
      </c>
      <c r="I890" t="s">
        <v>1036</v>
      </c>
      <c r="J890" t="s">
        <v>52</v>
      </c>
      <c r="K890" s="3">
        <v>100831260512</v>
      </c>
      <c r="L890" s="10">
        <v>40661</v>
      </c>
      <c r="M890">
        <v>373.33</v>
      </c>
      <c r="N890" s="17">
        <v>35</v>
      </c>
      <c r="O890" s="5">
        <v>10.23</v>
      </c>
      <c r="P890" s="5">
        <v>4.68</v>
      </c>
      <c r="Q890" s="6">
        <v>-22.18</v>
      </c>
      <c r="R890" s="37" t="s">
        <v>1222</v>
      </c>
      <c r="S890" s="7">
        <f t="shared" si="72"/>
        <v>5</v>
      </c>
      <c r="T890" s="15" t="str">
        <f>VLOOKUP(R890,产品分类!$C$2:$D$1278,2,0)</f>
        <v>数码电子</v>
      </c>
    </row>
    <row r="891" spans="1:20">
      <c r="A891" s="16">
        <f>DATE(2012,12,31)-689</f>
        <v>40585</v>
      </c>
      <c r="B891" s="16">
        <f>DATE(2012,12,31)-689</f>
        <v>40585</v>
      </c>
      <c r="C891" s="9" t="s">
        <v>536</v>
      </c>
      <c r="D891">
        <v>10021393966</v>
      </c>
      <c r="E891" t="s">
        <v>47</v>
      </c>
      <c r="F891" t="s">
        <v>55</v>
      </c>
      <c r="G891" t="s">
        <v>56</v>
      </c>
      <c r="H891" t="s">
        <v>57</v>
      </c>
      <c r="I891" t="s">
        <v>58</v>
      </c>
      <c r="J891" t="s">
        <v>52</v>
      </c>
      <c r="K891" s="3">
        <v>100331973809</v>
      </c>
      <c r="L891" s="10">
        <v>40587</v>
      </c>
      <c r="M891">
        <v>17874.26</v>
      </c>
      <c r="N891" s="17">
        <v>41</v>
      </c>
      <c r="O891" s="5">
        <v>419.19</v>
      </c>
      <c r="P891" s="5">
        <v>19.99</v>
      </c>
      <c r="Q891" s="6">
        <v>6247.95</v>
      </c>
      <c r="R891" s="37" t="s">
        <v>1223</v>
      </c>
      <c r="S891" s="7">
        <f t="shared" si="72"/>
        <v>2</v>
      </c>
      <c r="T891" s="15" t="str">
        <f>VLOOKUP(R891,产品分类!$C$2:$D$1278,2,0)</f>
        <v>办公用品</v>
      </c>
    </row>
    <row r="892" spans="1:20">
      <c r="A892" s="8">
        <f>DATE(2012,12,31)-1235</f>
        <v>40039</v>
      </c>
      <c r="B892" s="8">
        <f>DATE(2012,12,31)-1235</f>
        <v>40039</v>
      </c>
      <c r="C892" s="9" t="s">
        <v>859</v>
      </c>
      <c r="D892">
        <v>10021435176</v>
      </c>
      <c r="E892" t="s">
        <v>47</v>
      </c>
      <c r="F892" t="s">
        <v>122</v>
      </c>
      <c r="G892" t="s">
        <v>123</v>
      </c>
      <c r="H892" t="s">
        <v>124</v>
      </c>
      <c r="I892" t="s">
        <v>125</v>
      </c>
      <c r="J892" t="s">
        <v>52</v>
      </c>
      <c r="K892" s="3">
        <v>100331673479</v>
      </c>
      <c r="L892" s="10">
        <v>40041</v>
      </c>
      <c r="M892">
        <v>92.63</v>
      </c>
      <c r="N892" s="11">
        <v>43</v>
      </c>
      <c r="O892" s="12">
        <v>2.08</v>
      </c>
      <c r="P892" s="12">
        <v>2.56</v>
      </c>
      <c r="Q892" s="13">
        <v>-70.8</v>
      </c>
      <c r="R892" s="36" t="s">
        <v>59</v>
      </c>
      <c r="S892" s="7">
        <f t="shared" si="72"/>
        <v>2</v>
      </c>
      <c r="T892" s="15" t="str">
        <f>VLOOKUP(R892,产品分类!$C$2:$D$1278,2,0)</f>
        <v>数码电子</v>
      </c>
    </row>
    <row r="893" spans="1:20">
      <c r="A893" s="16">
        <f>DATE(2012,12,31)-417</f>
        <v>40857</v>
      </c>
      <c r="B893" s="16">
        <f>DATE(2012,12,31)-417</f>
        <v>40857</v>
      </c>
      <c r="C893" s="9" t="s">
        <v>457</v>
      </c>
      <c r="D893">
        <v>10021411481</v>
      </c>
      <c r="E893" t="s">
        <v>47</v>
      </c>
      <c r="F893" t="s">
        <v>342</v>
      </c>
      <c r="G893" t="s">
        <v>343</v>
      </c>
      <c r="H893" t="s">
        <v>344</v>
      </c>
      <c r="I893" t="s">
        <v>345</v>
      </c>
      <c r="J893" t="s">
        <v>52</v>
      </c>
      <c r="K893" s="3">
        <v>10091425531</v>
      </c>
      <c r="L893" s="10">
        <v>40859</v>
      </c>
      <c r="M893">
        <v>311.08</v>
      </c>
      <c r="N893" s="17">
        <v>30</v>
      </c>
      <c r="O893" s="5">
        <v>10.89</v>
      </c>
      <c r="P893" s="5">
        <v>4.5</v>
      </c>
      <c r="Q893" s="6">
        <v>-38.45</v>
      </c>
      <c r="R893" s="37" t="s">
        <v>269</v>
      </c>
      <c r="S893" s="7">
        <f t="shared" si="72"/>
        <v>2</v>
      </c>
      <c r="T893" s="15" t="str">
        <f>VLOOKUP(R893,产品分类!$C$2:$D$1278,2,0)</f>
        <v>办公用品</v>
      </c>
    </row>
    <row r="894" spans="1:20">
      <c r="A894" s="8">
        <f>DATE(2012,12,31)-405</f>
        <v>40869</v>
      </c>
      <c r="B894" s="8">
        <f>DATE(2012,12,31)-405</f>
        <v>40869</v>
      </c>
      <c r="C894" s="9" t="s">
        <v>805</v>
      </c>
      <c r="D894">
        <v>10021357439</v>
      </c>
      <c r="E894" t="s">
        <v>47</v>
      </c>
      <c r="F894" t="s">
        <v>97</v>
      </c>
      <c r="G894" t="s">
        <v>98</v>
      </c>
      <c r="H894" t="s">
        <v>99</v>
      </c>
      <c r="I894" t="s">
        <v>98</v>
      </c>
      <c r="J894" t="s">
        <v>52</v>
      </c>
      <c r="K894" s="3">
        <v>100131674748</v>
      </c>
      <c r="L894" s="10">
        <v>40870</v>
      </c>
      <c r="M894">
        <v>159.26</v>
      </c>
      <c r="N894" s="11">
        <v>41</v>
      </c>
      <c r="O894" s="12">
        <v>3.69</v>
      </c>
      <c r="P894" s="12">
        <v>0.5</v>
      </c>
      <c r="Q894" s="13">
        <v>73.89</v>
      </c>
      <c r="R894" s="36" t="s">
        <v>1224</v>
      </c>
      <c r="S894" s="7">
        <f t="shared" si="72"/>
        <v>1</v>
      </c>
      <c r="T894" s="15" t="str">
        <f>VLOOKUP(R894,产品分类!$C$2:$D$1278,2,0)</f>
        <v>办公用品</v>
      </c>
    </row>
    <row r="895" spans="1:20">
      <c r="A895" s="8">
        <f>DATE(2012,12,31)-1303</f>
        <v>39971</v>
      </c>
      <c r="B895" s="8">
        <f>DATE(2012,12,31)-1303</f>
        <v>39971</v>
      </c>
      <c r="C895" s="9" t="s">
        <v>657</v>
      </c>
      <c r="D895">
        <v>10021372652</v>
      </c>
      <c r="E895" t="s">
        <v>47</v>
      </c>
      <c r="F895" t="s">
        <v>137</v>
      </c>
      <c r="G895" t="s">
        <v>138</v>
      </c>
      <c r="H895" t="s">
        <v>139</v>
      </c>
      <c r="I895" t="s">
        <v>140</v>
      </c>
      <c r="J895" t="s">
        <v>1225</v>
      </c>
      <c r="K895" s="3">
        <v>100732545795</v>
      </c>
      <c r="L895" s="10">
        <v>39971</v>
      </c>
      <c r="M895">
        <v>59.58</v>
      </c>
      <c r="N895" s="11">
        <v>13</v>
      </c>
      <c r="O895" s="12">
        <v>4.76</v>
      </c>
      <c r="P895" s="12">
        <v>0.88</v>
      </c>
      <c r="Q895" s="13">
        <v>14.49</v>
      </c>
      <c r="R895" s="36" t="s">
        <v>636</v>
      </c>
      <c r="S895" s="7">
        <f t="shared" si="72"/>
        <v>0</v>
      </c>
      <c r="T895" s="15" t="str">
        <f>VLOOKUP(R895,产品分类!$C$2:$D$1278,2,0)</f>
        <v>数码电子</v>
      </c>
    </row>
    <row r="896" spans="1:20">
      <c r="A896" s="8">
        <f>DATE(2012,12,31)-960</f>
        <v>40314</v>
      </c>
      <c r="B896" s="8">
        <f>DATE(2012,12,31)-960</f>
        <v>40314</v>
      </c>
      <c r="C896" s="9" t="s">
        <v>1226</v>
      </c>
      <c r="D896">
        <v>10021359314</v>
      </c>
      <c r="E896" t="s">
        <v>47</v>
      </c>
      <c r="F896" t="s">
        <v>102</v>
      </c>
      <c r="G896" t="s">
        <v>103</v>
      </c>
      <c r="H896" t="s">
        <v>1217</v>
      </c>
      <c r="I896" t="s">
        <v>1218</v>
      </c>
      <c r="J896" t="s">
        <v>1225</v>
      </c>
      <c r="K896" s="3">
        <v>100413766313</v>
      </c>
      <c r="L896" s="10">
        <v>40314</v>
      </c>
      <c r="M896">
        <v>75.72</v>
      </c>
      <c r="N896" s="11">
        <v>7</v>
      </c>
      <c r="O896" s="12">
        <v>9.77</v>
      </c>
      <c r="P896" s="12">
        <v>6.02</v>
      </c>
      <c r="Q896" s="13">
        <v>20.29</v>
      </c>
      <c r="R896" s="36" t="s">
        <v>1227</v>
      </c>
      <c r="S896" s="7">
        <f t="shared" si="72"/>
        <v>0</v>
      </c>
      <c r="T896" s="15" t="str">
        <f>VLOOKUP(R896,产品分类!$C$2:$D$1278,2,0)</f>
        <v>办公用品</v>
      </c>
    </row>
    <row r="897" spans="1:20">
      <c r="A897" s="8">
        <f>DATE(2012,12,31)-960</f>
        <v>40314</v>
      </c>
      <c r="B897" s="8">
        <f>DATE(2012,12,31)-960</f>
        <v>40314</v>
      </c>
      <c r="C897" s="9" t="s">
        <v>1226</v>
      </c>
      <c r="D897">
        <v>10021398000</v>
      </c>
      <c r="E897" t="s">
        <v>47</v>
      </c>
      <c r="F897" t="s">
        <v>171</v>
      </c>
      <c r="G897" t="s">
        <v>172</v>
      </c>
      <c r="H897" t="s">
        <v>933</v>
      </c>
      <c r="I897" t="s">
        <v>934</v>
      </c>
      <c r="J897" t="s">
        <v>141</v>
      </c>
      <c r="K897" s="3">
        <v>100931900331</v>
      </c>
      <c r="L897" s="10">
        <v>40315</v>
      </c>
      <c r="M897">
        <v>225.21</v>
      </c>
      <c r="N897" s="11">
        <v>38</v>
      </c>
      <c r="O897" s="12">
        <v>5.98</v>
      </c>
      <c r="P897" s="12">
        <v>5.2</v>
      </c>
      <c r="Q897" s="13">
        <v>-66.16</v>
      </c>
      <c r="R897" s="36" t="s">
        <v>918</v>
      </c>
      <c r="S897" s="7">
        <f t="shared" si="72"/>
        <v>1</v>
      </c>
      <c r="T897" s="15" t="str">
        <f>VLOOKUP(R897,产品分类!$C$2:$D$1278,2,0)</f>
        <v>数码电子</v>
      </c>
    </row>
    <row r="898" spans="1:20">
      <c r="A898" s="8">
        <f>DATE(2012,12,31)-1313</f>
        <v>39961</v>
      </c>
      <c r="B898" s="8">
        <f>DATE(2012,12,31)-1313</f>
        <v>39961</v>
      </c>
      <c r="C898" s="9" t="s">
        <v>1228</v>
      </c>
      <c r="D898">
        <v>10021373040</v>
      </c>
      <c r="E898" t="s">
        <v>47</v>
      </c>
      <c r="F898" t="s">
        <v>83</v>
      </c>
      <c r="G898" t="s">
        <v>84</v>
      </c>
      <c r="H898" t="s">
        <v>1037</v>
      </c>
      <c r="I898" t="s">
        <v>1038</v>
      </c>
      <c r="J898" t="s">
        <v>141</v>
      </c>
      <c r="K898" s="3">
        <v>100728696135</v>
      </c>
      <c r="L898" s="10">
        <v>39963</v>
      </c>
      <c r="M898">
        <v>57.84</v>
      </c>
      <c r="N898" s="11">
        <v>1</v>
      </c>
      <c r="O898" s="12">
        <v>60.97</v>
      </c>
      <c r="P898" s="12">
        <v>4.5</v>
      </c>
      <c r="Q898" s="13">
        <v>-41.77</v>
      </c>
      <c r="R898" s="36" t="s">
        <v>608</v>
      </c>
      <c r="S898" s="7">
        <f t="shared" si="72"/>
        <v>2</v>
      </c>
      <c r="T898" s="15" t="str">
        <f>VLOOKUP(R898,产品分类!$C$2:$D$1278,2,0)</f>
        <v>家具产品</v>
      </c>
    </row>
    <row r="899" spans="1:20">
      <c r="A899" s="8">
        <f>DATE(2012,12,31)-1313</f>
        <v>39961</v>
      </c>
      <c r="B899" s="8">
        <f>DATE(2012,12,31)-1313</f>
        <v>39961</v>
      </c>
      <c r="C899" s="9" t="s">
        <v>1228</v>
      </c>
      <c r="D899">
        <v>10021409907</v>
      </c>
      <c r="E899" t="s">
        <v>47</v>
      </c>
      <c r="F899" t="s">
        <v>152</v>
      </c>
      <c r="G899" t="s">
        <v>153</v>
      </c>
      <c r="H899" t="s">
        <v>1136</v>
      </c>
      <c r="I899" t="s">
        <v>1137</v>
      </c>
      <c r="J899" t="s">
        <v>141</v>
      </c>
      <c r="K899" s="3">
        <v>100816674862</v>
      </c>
      <c r="L899" s="10">
        <v>39963</v>
      </c>
      <c r="M899">
        <v>3991.99</v>
      </c>
      <c r="N899" s="11">
        <v>42</v>
      </c>
      <c r="O899" s="12">
        <v>90.98</v>
      </c>
      <c r="P899" s="12">
        <v>56.2</v>
      </c>
      <c r="Q899" s="13">
        <v>-1014.11</v>
      </c>
      <c r="R899" s="36" t="s">
        <v>1089</v>
      </c>
      <c r="S899" s="7">
        <f t="shared" ref="S899:S962" si="74">+L899-B899</f>
        <v>2</v>
      </c>
      <c r="T899" s="15" t="str">
        <f>VLOOKUP(R899,产品分类!$C$2:$D$1278,2,0)</f>
        <v>办公用品</v>
      </c>
    </row>
    <row r="900" spans="1:20">
      <c r="A900" s="8">
        <f>DATE(2012,12,31)-507</f>
        <v>40767</v>
      </c>
      <c r="B900" s="8">
        <f>DATE(2012,12,31)-507</f>
        <v>40767</v>
      </c>
      <c r="C900" s="9" t="s">
        <v>1229</v>
      </c>
      <c r="D900">
        <v>10021377720</v>
      </c>
      <c r="E900" t="s">
        <v>47</v>
      </c>
      <c r="F900" t="s">
        <v>61</v>
      </c>
      <c r="G900" t="s">
        <v>62</v>
      </c>
      <c r="H900" t="s">
        <v>1077</v>
      </c>
      <c r="I900" t="s">
        <v>1078</v>
      </c>
      <c r="J900" t="s">
        <v>141</v>
      </c>
      <c r="K900" s="3">
        <v>1001296797</v>
      </c>
      <c r="L900" s="10">
        <v>40774</v>
      </c>
      <c r="M900">
        <v>240.14</v>
      </c>
      <c r="N900" s="11">
        <v>36</v>
      </c>
      <c r="O900" s="12">
        <v>6.88</v>
      </c>
      <c r="P900" s="12">
        <v>2</v>
      </c>
      <c r="Q900" s="13">
        <v>57.78</v>
      </c>
      <c r="R900" s="36" t="s">
        <v>383</v>
      </c>
      <c r="S900" s="7">
        <f t="shared" si="74"/>
        <v>7</v>
      </c>
      <c r="T900" s="15" t="str">
        <f>VLOOKUP(R900,产品分类!$C$2:$D$1278,2,0)</f>
        <v>办公用品</v>
      </c>
    </row>
    <row r="901" spans="1:20">
      <c r="A901" s="8">
        <f>DATE(2012,12,31)-1385</f>
        <v>39889</v>
      </c>
      <c r="B901" s="8">
        <f>DATE(2012,12,31)-1385</f>
        <v>39889</v>
      </c>
      <c r="C901" s="9" t="s">
        <v>1230</v>
      </c>
      <c r="D901">
        <v>10021292608</v>
      </c>
      <c r="E901" t="s">
        <v>47</v>
      </c>
      <c r="F901" t="s">
        <v>132</v>
      </c>
      <c r="G901" t="s">
        <v>133</v>
      </c>
      <c r="H901" t="s">
        <v>134</v>
      </c>
      <c r="I901" t="s">
        <v>133</v>
      </c>
      <c r="J901" t="s">
        <v>141</v>
      </c>
      <c r="K901" s="3">
        <v>100411471123</v>
      </c>
      <c r="L901" s="10">
        <v>39890</v>
      </c>
      <c r="M901">
        <v>336.85</v>
      </c>
      <c r="N901" s="11">
        <v>38</v>
      </c>
      <c r="O901" s="12">
        <v>8.12</v>
      </c>
      <c r="P901" s="12">
        <v>2.83</v>
      </c>
      <c r="Q901" s="13">
        <v>-40.76</v>
      </c>
      <c r="R901" s="36" t="s">
        <v>923</v>
      </c>
      <c r="S901" s="7">
        <f t="shared" si="74"/>
        <v>1</v>
      </c>
      <c r="T901" s="15" t="str">
        <f>VLOOKUP(R901,产品分类!$C$2:$D$1278,2,0)</f>
        <v>办公用品</v>
      </c>
    </row>
    <row r="902" spans="1:20">
      <c r="A902" s="8">
        <f>DATE(2012,12,31)-80</f>
        <v>41194</v>
      </c>
      <c r="B902" s="8">
        <f>DATE(2012,12,31)-80</f>
        <v>41194</v>
      </c>
      <c r="C902" s="9" t="s">
        <v>250</v>
      </c>
      <c r="D902">
        <v>10021313155</v>
      </c>
      <c r="E902" t="s">
        <v>47</v>
      </c>
      <c r="F902" t="s">
        <v>152</v>
      </c>
      <c r="G902" t="s">
        <v>153</v>
      </c>
      <c r="H902" t="s">
        <v>1136</v>
      </c>
      <c r="I902" t="s">
        <v>1137</v>
      </c>
      <c r="J902" t="s">
        <v>141</v>
      </c>
      <c r="K902" s="3">
        <v>100913765341</v>
      </c>
      <c r="L902" s="10">
        <v>41196</v>
      </c>
      <c r="M902">
        <v>448.07</v>
      </c>
      <c r="N902" s="11">
        <v>15</v>
      </c>
      <c r="O902" s="12">
        <v>30.42</v>
      </c>
      <c r="P902" s="12">
        <v>8.65</v>
      </c>
      <c r="Q902" s="13">
        <v>-141.02</v>
      </c>
      <c r="R902" s="36" t="s">
        <v>1231</v>
      </c>
      <c r="S902" s="7">
        <f t="shared" si="74"/>
        <v>2</v>
      </c>
      <c r="T902" s="15" t="str">
        <f>VLOOKUP(R902,产品分类!$C$2:$D$1278,2,0)</f>
        <v>办公用品</v>
      </c>
    </row>
    <row r="903" spans="1:20">
      <c r="A903" s="8">
        <f>DATE(2012,12,31)-80</f>
        <v>41194</v>
      </c>
      <c r="B903" s="8">
        <f>DATE(2012,12,31)-80</f>
        <v>41194</v>
      </c>
      <c r="C903" s="9" t="s">
        <v>250</v>
      </c>
      <c r="D903">
        <v>10021292149</v>
      </c>
      <c r="E903" t="s">
        <v>47</v>
      </c>
      <c r="F903" t="s">
        <v>102</v>
      </c>
      <c r="G903" t="s">
        <v>103</v>
      </c>
      <c r="H903" t="s">
        <v>1217</v>
      </c>
      <c r="I903" t="s">
        <v>1218</v>
      </c>
      <c r="J903" t="s">
        <v>1225</v>
      </c>
      <c r="K903" s="3">
        <v>100131826596</v>
      </c>
      <c r="L903" s="10">
        <v>41195</v>
      </c>
      <c r="M903">
        <v>38.29</v>
      </c>
      <c r="N903" s="11">
        <v>20</v>
      </c>
      <c r="O903" s="12">
        <v>1.95</v>
      </c>
      <c r="P903" s="12">
        <v>1.63</v>
      </c>
      <c r="Q903" s="13">
        <v>-16.15</v>
      </c>
      <c r="R903" s="36" t="s">
        <v>1232</v>
      </c>
      <c r="S903" s="7">
        <f t="shared" si="74"/>
        <v>1</v>
      </c>
      <c r="T903" s="15" t="str">
        <f>VLOOKUP(R903,产品分类!$C$2:$D$1278,2,0)</f>
        <v>办公用品</v>
      </c>
    </row>
    <row r="904" spans="1:20">
      <c r="A904" s="8">
        <f>DATE(2012,12,31)-353</f>
        <v>40921</v>
      </c>
      <c r="B904" s="8">
        <f>DATE(2012,12,31)-353</f>
        <v>40921</v>
      </c>
      <c r="C904" s="9" t="s">
        <v>1181</v>
      </c>
      <c r="D904">
        <v>10021326104</v>
      </c>
      <c r="E904" t="s">
        <v>47</v>
      </c>
      <c r="F904" t="s">
        <v>342</v>
      </c>
      <c r="G904" t="s">
        <v>343</v>
      </c>
      <c r="H904" t="s">
        <v>344</v>
      </c>
      <c r="I904" t="s">
        <v>345</v>
      </c>
      <c r="J904" t="s">
        <v>141</v>
      </c>
      <c r="K904" s="3">
        <v>100132752957</v>
      </c>
      <c r="L904" s="10">
        <v>40923</v>
      </c>
      <c r="M904">
        <v>236.99</v>
      </c>
      <c r="N904" s="11">
        <v>35</v>
      </c>
      <c r="O904" s="12">
        <v>6.48</v>
      </c>
      <c r="P904" s="12">
        <v>6.74</v>
      </c>
      <c r="Q904" s="13">
        <v>-95.79</v>
      </c>
      <c r="R904" s="36" t="s">
        <v>959</v>
      </c>
      <c r="S904" s="7">
        <f t="shared" si="74"/>
        <v>2</v>
      </c>
      <c r="T904" s="15" t="str">
        <f>VLOOKUP(R904,产品分类!$C$2:$D$1278,2,0)</f>
        <v>家具产品</v>
      </c>
    </row>
    <row r="905" spans="1:20">
      <c r="A905" s="8">
        <f>DATE(2012,12,31)-353</f>
        <v>40921</v>
      </c>
      <c r="B905" s="8">
        <f>DATE(2012,12,31)-353</f>
        <v>40921</v>
      </c>
      <c r="C905" s="9" t="s">
        <v>1181</v>
      </c>
      <c r="D905">
        <v>10021262377</v>
      </c>
      <c r="E905" t="s">
        <v>47</v>
      </c>
      <c r="F905" t="s">
        <v>97</v>
      </c>
      <c r="G905" t="s">
        <v>98</v>
      </c>
      <c r="H905" t="s">
        <v>99</v>
      </c>
      <c r="I905" t="s">
        <v>98</v>
      </c>
      <c r="J905" t="s">
        <v>141</v>
      </c>
      <c r="K905" s="3">
        <v>100930060011</v>
      </c>
      <c r="L905" s="10">
        <v>40923</v>
      </c>
      <c r="M905">
        <v>4617.336</v>
      </c>
      <c r="N905" s="11">
        <v>46</v>
      </c>
      <c r="O905" s="12">
        <v>125.99</v>
      </c>
      <c r="P905" s="12">
        <v>7.69</v>
      </c>
      <c r="Q905" s="13">
        <v>978.354</v>
      </c>
      <c r="R905" s="36" t="s">
        <v>903</v>
      </c>
      <c r="S905" s="7">
        <f t="shared" si="74"/>
        <v>2</v>
      </c>
      <c r="T905" s="15" t="str">
        <f>VLOOKUP(R905,产品分类!$C$2:$D$1278,2,0)</f>
        <v>家具产品</v>
      </c>
    </row>
    <row r="906" spans="1:20">
      <c r="A906" s="16">
        <f>DATE(2012,12,31)-499</f>
        <v>40775</v>
      </c>
      <c r="B906" s="16">
        <f>DATE(2012,12,31)-499</f>
        <v>40775</v>
      </c>
      <c r="C906" s="9" t="s">
        <v>405</v>
      </c>
      <c r="D906">
        <v>10021396716</v>
      </c>
      <c r="E906" t="s">
        <v>47</v>
      </c>
      <c r="F906" t="s">
        <v>66</v>
      </c>
      <c r="G906" t="s">
        <v>67</v>
      </c>
      <c r="H906" t="s">
        <v>68</v>
      </c>
      <c r="I906" t="s">
        <v>69</v>
      </c>
      <c r="J906" t="s">
        <v>1225</v>
      </c>
      <c r="K906" s="3">
        <v>100123975356</v>
      </c>
      <c r="L906" s="10">
        <v>40775</v>
      </c>
      <c r="M906">
        <v>116.11</v>
      </c>
      <c r="N906" s="17">
        <v>16</v>
      </c>
      <c r="O906" s="5">
        <v>7.64</v>
      </c>
      <c r="P906" s="5">
        <v>5.83</v>
      </c>
      <c r="Q906" s="6">
        <v>-36.46</v>
      </c>
      <c r="R906" s="37" t="s">
        <v>202</v>
      </c>
      <c r="S906" s="7">
        <f t="shared" si="74"/>
        <v>0</v>
      </c>
      <c r="T906" s="15" t="str">
        <f>VLOOKUP(R906,产品分类!$C$2:$D$1278,2,0)</f>
        <v>办公用品</v>
      </c>
    </row>
    <row r="907" spans="1:20">
      <c r="A907" s="16">
        <f>DATE(2012,12,31)-499</f>
        <v>40775</v>
      </c>
      <c r="B907" s="16">
        <f>DATE(2012,12,31)-499</f>
        <v>40775</v>
      </c>
      <c r="C907" s="9" t="s">
        <v>405</v>
      </c>
      <c r="D907">
        <v>10021419453</v>
      </c>
      <c r="E907" t="s">
        <v>47</v>
      </c>
      <c r="F907" t="s">
        <v>48</v>
      </c>
      <c r="G907" t="s">
        <v>49</v>
      </c>
      <c r="H907" t="s">
        <v>50</v>
      </c>
      <c r="I907" t="s">
        <v>51</v>
      </c>
      <c r="J907" t="s">
        <v>1225</v>
      </c>
      <c r="K907" s="3">
        <v>10016545938</v>
      </c>
      <c r="L907" s="10">
        <v>40778</v>
      </c>
      <c r="M907">
        <v>306.92</v>
      </c>
      <c r="N907" s="17">
        <v>30</v>
      </c>
      <c r="O907" s="5">
        <v>9.99</v>
      </c>
      <c r="P907" s="5">
        <v>5.12</v>
      </c>
      <c r="Q907" s="6">
        <v>13.46</v>
      </c>
      <c r="R907" s="37" t="s">
        <v>965</v>
      </c>
      <c r="S907" s="7">
        <f t="shared" si="74"/>
        <v>3</v>
      </c>
      <c r="T907" s="15" t="str">
        <f>VLOOKUP(R907,产品分类!$C$2:$D$1278,2,0)</f>
        <v>家具产品</v>
      </c>
    </row>
    <row r="908" spans="1:20">
      <c r="A908" s="8">
        <f>DATE(2012,12,31)-35</f>
        <v>41239</v>
      </c>
      <c r="B908" s="8">
        <f>DATE(2012,12,31)-35</f>
        <v>41239</v>
      </c>
      <c r="C908" s="9" t="s">
        <v>1233</v>
      </c>
      <c r="D908">
        <v>10021248720</v>
      </c>
      <c r="E908" t="s">
        <v>47</v>
      </c>
      <c r="F908" t="s">
        <v>48</v>
      </c>
      <c r="G908" t="s">
        <v>49</v>
      </c>
      <c r="H908" t="s">
        <v>50</v>
      </c>
      <c r="I908" t="s">
        <v>51</v>
      </c>
      <c r="J908" t="s">
        <v>1225</v>
      </c>
      <c r="K908" s="3">
        <v>10043906813</v>
      </c>
      <c r="L908" s="10">
        <v>41241</v>
      </c>
      <c r="M908">
        <v>89.71</v>
      </c>
      <c r="N908" s="11">
        <v>35</v>
      </c>
      <c r="O908" s="12">
        <v>2.62</v>
      </c>
      <c r="P908" s="12">
        <v>0.8</v>
      </c>
      <c r="Q908" s="13">
        <v>20.71</v>
      </c>
      <c r="R908" s="36" t="s">
        <v>960</v>
      </c>
      <c r="S908" s="7">
        <f t="shared" si="74"/>
        <v>2</v>
      </c>
      <c r="T908" s="15" t="str">
        <f>VLOOKUP(R908,产品分类!$C$2:$D$1278,2,0)</f>
        <v>家具产品</v>
      </c>
    </row>
    <row r="909" spans="1:20">
      <c r="A909" s="8">
        <f>DATE(2012,12,31)-898</f>
        <v>40376</v>
      </c>
      <c r="B909" s="8">
        <f>DATE(2012,12,31)-898</f>
        <v>40376</v>
      </c>
      <c r="C909" s="9" t="s">
        <v>1234</v>
      </c>
      <c r="D909">
        <v>10021419780</v>
      </c>
      <c r="E909" t="s">
        <v>47</v>
      </c>
      <c r="F909" t="s">
        <v>152</v>
      </c>
      <c r="G909" t="s">
        <v>153</v>
      </c>
      <c r="H909" t="s">
        <v>1136</v>
      </c>
      <c r="I909" t="s">
        <v>1137</v>
      </c>
      <c r="J909" t="s">
        <v>1225</v>
      </c>
      <c r="K909" s="3">
        <v>100924061511</v>
      </c>
      <c r="L909" s="10">
        <v>40378</v>
      </c>
      <c r="M909">
        <v>188.23</v>
      </c>
      <c r="N909" s="11">
        <v>42</v>
      </c>
      <c r="O909" s="12">
        <v>4.37</v>
      </c>
      <c r="P909" s="12">
        <v>5.15</v>
      </c>
      <c r="Q909" s="13">
        <v>-145.1</v>
      </c>
      <c r="R909" s="36" t="s">
        <v>1235</v>
      </c>
      <c r="S909" s="7">
        <f t="shared" si="74"/>
        <v>2</v>
      </c>
      <c r="T909" s="15" t="str">
        <f>VLOOKUP(R909,产品分类!$C$2:$D$1278,2,0)</f>
        <v>办公用品</v>
      </c>
    </row>
    <row r="910" spans="1:20">
      <c r="A910" s="8">
        <f>DATE(2012,12,31)-898</f>
        <v>40376</v>
      </c>
      <c r="B910" s="8">
        <f>DATE(2012,12,31)-898</f>
        <v>40376</v>
      </c>
      <c r="C910" s="9" t="s">
        <v>1234</v>
      </c>
      <c r="D910">
        <v>10021417444</v>
      </c>
      <c r="E910" t="s">
        <v>47</v>
      </c>
      <c r="F910" t="s">
        <v>48</v>
      </c>
      <c r="G910" t="s">
        <v>49</v>
      </c>
      <c r="H910" t="s">
        <v>50</v>
      </c>
      <c r="I910" t="s">
        <v>51</v>
      </c>
      <c r="J910" t="s">
        <v>1225</v>
      </c>
      <c r="K910" s="3">
        <v>1009736771</v>
      </c>
      <c r="L910" s="10">
        <v>40378</v>
      </c>
      <c r="M910">
        <v>541.95</v>
      </c>
      <c r="N910" s="11">
        <v>28</v>
      </c>
      <c r="O910" s="12">
        <v>19.84</v>
      </c>
      <c r="P910" s="12">
        <v>4.1</v>
      </c>
      <c r="Q910" s="13">
        <v>143.04</v>
      </c>
      <c r="R910" s="36" t="s">
        <v>175</v>
      </c>
      <c r="S910" s="7">
        <f t="shared" si="74"/>
        <v>2</v>
      </c>
      <c r="T910" s="15" t="str">
        <f>VLOOKUP(R910,产品分类!$C$2:$D$1278,2,0)</f>
        <v>办公用品</v>
      </c>
    </row>
    <row r="911" spans="1:20">
      <c r="A911" s="8">
        <f>DATE(2012,12,31)-202</f>
        <v>41072</v>
      </c>
      <c r="B911" s="8">
        <f>DATE(2012,12,31)-202</f>
        <v>41072</v>
      </c>
      <c r="C911" s="9" t="s">
        <v>1028</v>
      </c>
      <c r="D911">
        <v>10021344320</v>
      </c>
      <c r="E911" t="s">
        <v>47</v>
      </c>
      <c r="F911" t="s">
        <v>152</v>
      </c>
      <c r="G911" t="s">
        <v>153</v>
      </c>
      <c r="H911" t="s">
        <v>1136</v>
      </c>
      <c r="I911" t="s">
        <v>1137</v>
      </c>
      <c r="J911" t="s">
        <v>1225</v>
      </c>
      <c r="K911" s="3">
        <v>100129509438</v>
      </c>
      <c r="L911" s="10">
        <v>41075</v>
      </c>
      <c r="M911">
        <v>312.36</v>
      </c>
      <c r="N911" s="11">
        <v>11</v>
      </c>
      <c r="O911" s="12">
        <v>28.15</v>
      </c>
      <c r="P911" s="12">
        <v>8.99</v>
      </c>
      <c r="Q911" s="13">
        <v>-19.33</v>
      </c>
      <c r="R911" s="36" t="s">
        <v>1236</v>
      </c>
      <c r="S911" s="7">
        <f t="shared" si="74"/>
        <v>3</v>
      </c>
      <c r="T911" s="15" t="str">
        <f>VLOOKUP(R911,产品分类!$C$2:$D$1278,2,0)</f>
        <v>办公用品</v>
      </c>
    </row>
    <row r="912" spans="1:20">
      <c r="A912" s="8">
        <f>DATE(2012,12,31)-727</f>
        <v>40547</v>
      </c>
      <c r="B912" s="8">
        <f>DATE(2012,12,31)-727</f>
        <v>40547</v>
      </c>
      <c r="C912" s="9" t="s">
        <v>1237</v>
      </c>
      <c r="D912">
        <v>10021424768</v>
      </c>
      <c r="E912" t="s">
        <v>47</v>
      </c>
      <c r="F912" t="s">
        <v>152</v>
      </c>
      <c r="G912" t="s">
        <v>153</v>
      </c>
      <c r="H912" t="s">
        <v>1136</v>
      </c>
      <c r="I912" t="s">
        <v>1137</v>
      </c>
      <c r="J912" t="s">
        <v>1225</v>
      </c>
      <c r="K912" s="3">
        <v>100328948559</v>
      </c>
      <c r="L912" s="10">
        <v>40551</v>
      </c>
      <c r="M912">
        <v>169.18</v>
      </c>
      <c r="N912" s="11">
        <v>20</v>
      </c>
      <c r="O912" s="12">
        <v>8.67</v>
      </c>
      <c r="P912" s="12">
        <v>3.5</v>
      </c>
      <c r="Q912" s="13">
        <v>-18.73</v>
      </c>
      <c r="R912" s="36" t="s">
        <v>884</v>
      </c>
      <c r="S912" s="7">
        <f t="shared" si="74"/>
        <v>4</v>
      </c>
      <c r="T912" s="15" t="str">
        <f>VLOOKUP(R912,产品分类!$C$2:$D$1278,2,0)</f>
        <v>办公用品</v>
      </c>
    </row>
    <row r="913" spans="1:20">
      <c r="A913" s="8">
        <f>DATE(2012,12,31)-727</f>
        <v>40547</v>
      </c>
      <c r="B913" s="8">
        <f>DATE(2012,12,31)-727</f>
        <v>40547</v>
      </c>
      <c r="C913" s="9" t="s">
        <v>1237</v>
      </c>
      <c r="D913">
        <v>10021347192</v>
      </c>
      <c r="E913" t="s">
        <v>47</v>
      </c>
      <c r="F913" t="s">
        <v>72</v>
      </c>
      <c r="G913" t="s">
        <v>73</v>
      </c>
      <c r="H913" t="s">
        <v>1035</v>
      </c>
      <c r="I913" t="s">
        <v>1036</v>
      </c>
      <c r="J913" t="s">
        <v>271</v>
      </c>
      <c r="K913" s="3">
        <v>100130975736</v>
      </c>
      <c r="L913" s="10">
        <v>40552</v>
      </c>
      <c r="M913">
        <v>8252.392</v>
      </c>
      <c r="N913" s="11">
        <v>37</v>
      </c>
      <c r="O913" s="12">
        <v>280.98</v>
      </c>
      <c r="P913" s="12">
        <v>35.67</v>
      </c>
      <c r="Q913" s="13">
        <v>1853.19</v>
      </c>
      <c r="R913" s="36" t="s">
        <v>395</v>
      </c>
      <c r="S913" s="7">
        <f t="shared" si="74"/>
        <v>5</v>
      </c>
      <c r="T913" s="15" t="str">
        <f>VLOOKUP(R913,产品分类!$C$2:$D$1278,2,0)</f>
        <v>数码电子</v>
      </c>
    </row>
    <row r="914" spans="1:20">
      <c r="A914" s="8">
        <f>DATE(2012,12,31)-1107</f>
        <v>40167</v>
      </c>
      <c r="B914" s="8">
        <f>DATE(2012,12,31)-1107</f>
        <v>40167</v>
      </c>
      <c r="C914" s="9" t="s">
        <v>1099</v>
      </c>
      <c r="D914">
        <v>10021366204</v>
      </c>
      <c r="E914" t="s">
        <v>47</v>
      </c>
      <c r="F914" t="s">
        <v>72</v>
      </c>
      <c r="G914" t="s">
        <v>73</v>
      </c>
      <c r="H914" t="s">
        <v>1035</v>
      </c>
      <c r="I914" t="s">
        <v>1036</v>
      </c>
      <c r="J914" t="s">
        <v>271</v>
      </c>
      <c r="K914" s="3">
        <v>100125099618</v>
      </c>
      <c r="L914" s="10">
        <v>40169</v>
      </c>
      <c r="M914">
        <v>17274.87</v>
      </c>
      <c r="N914" s="11">
        <v>12</v>
      </c>
      <c r="O914" s="12">
        <v>1360.14</v>
      </c>
      <c r="P914" s="12">
        <v>14.7</v>
      </c>
      <c r="Q914" s="13">
        <v>2028.12</v>
      </c>
      <c r="R914" s="36" t="s">
        <v>494</v>
      </c>
      <c r="S914" s="7">
        <f t="shared" si="74"/>
        <v>2</v>
      </c>
      <c r="T914" s="15" t="str">
        <f>VLOOKUP(R914,产品分类!$C$2:$D$1278,2,0)</f>
        <v>数码电子</v>
      </c>
    </row>
    <row r="915" spans="1:20">
      <c r="A915" s="8">
        <f>DATE(2012,12,31)-710</f>
        <v>40564</v>
      </c>
      <c r="B915" s="8">
        <f>DATE(2012,12,31)-710</f>
        <v>40564</v>
      </c>
      <c r="C915" s="9" t="s">
        <v>1238</v>
      </c>
      <c r="D915">
        <v>10021348698</v>
      </c>
      <c r="E915" t="s">
        <v>47</v>
      </c>
      <c r="F915" t="s">
        <v>72</v>
      </c>
      <c r="G915" t="s">
        <v>73</v>
      </c>
      <c r="H915" t="s">
        <v>1035</v>
      </c>
      <c r="I915" t="s">
        <v>1036</v>
      </c>
      <c r="J915" t="s">
        <v>271</v>
      </c>
      <c r="K915" s="3">
        <v>100331605889</v>
      </c>
      <c r="L915" s="10">
        <v>40564</v>
      </c>
      <c r="M915">
        <v>448.23</v>
      </c>
      <c r="N915" s="11">
        <v>26</v>
      </c>
      <c r="O915" s="12">
        <v>15.98</v>
      </c>
      <c r="P915" s="12">
        <v>4</v>
      </c>
      <c r="Q915" s="13">
        <v>110.6</v>
      </c>
      <c r="R915" s="36" t="s">
        <v>371</v>
      </c>
      <c r="S915" s="7">
        <f t="shared" si="74"/>
        <v>0</v>
      </c>
      <c r="T915" s="15" t="str">
        <f>VLOOKUP(R915,产品分类!$C$2:$D$1278,2,0)</f>
        <v>办公用品</v>
      </c>
    </row>
    <row r="916" spans="1:20">
      <c r="A916" s="8">
        <f>DATE(2012,12,31)-590</f>
        <v>40684</v>
      </c>
      <c r="B916" s="8">
        <f>DATE(2012,12,31)-590</f>
        <v>40684</v>
      </c>
      <c r="C916" s="9" t="s">
        <v>575</v>
      </c>
      <c r="D916">
        <v>10021294284</v>
      </c>
      <c r="E916" t="s">
        <v>47</v>
      </c>
      <c r="F916" t="s">
        <v>72</v>
      </c>
      <c r="G916" t="s">
        <v>73</v>
      </c>
      <c r="H916" t="s">
        <v>1035</v>
      </c>
      <c r="I916" t="s">
        <v>1036</v>
      </c>
      <c r="J916" t="s">
        <v>271</v>
      </c>
      <c r="K916" s="3">
        <v>100413246004</v>
      </c>
      <c r="L916" s="10">
        <v>40684</v>
      </c>
      <c r="M916">
        <v>748.83</v>
      </c>
      <c r="N916" s="11">
        <v>21</v>
      </c>
      <c r="O916" s="12">
        <v>33.98</v>
      </c>
      <c r="P916" s="12">
        <v>1.99</v>
      </c>
      <c r="Q916" s="13">
        <v>250.01</v>
      </c>
      <c r="R916" s="36" t="s">
        <v>1044</v>
      </c>
      <c r="S916" s="7">
        <f t="shared" si="74"/>
        <v>0</v>
      </c>
      <c r="T916" s="15" t="str">
        <f>VLOOKUP(R916,产品分类!$C$2:$D$1278,2,0)</f>
        <v>办公用品</v>
      </c>
    </row>
    <row r="917" spans="1:20">
      <c r="A917" s="8">
        <f>DATE(2012,12,31)-1126</f>
        <v>40148</v>
      </c>
      <c r="B917" s="8">
        <f>DATE(2012,12,31)-1126</f>
        <v>40148</v>
      </c>
      <c r="C917" s="9" t="s">
        <v>300</v>
      </c>
      <c r="D917">
        <v>10021265507</v>
      </c>
      <c r="E917" t="s">
        <v>47</v>
      </c>
      <c r="F917" t="s">
        <v>230</v>
      </c>
      <c r="G917" t="s">
        <v>231</v>
      </c>
      <c r="H917" t="s">
        <v>1186</v>
      </c>
      <c r="I917" t="s">
        <v>1187</v>
      </c>
      <c r="J917" t="s">
        <v>271</v>
      </c>
      <c r="K917" s="3">
        <v>100131512558</v>
      </c>
      <c r="L917" s="10">
        <v>40155</v>
      </c>
      <c r="M917">
        <v>194.29</v>
      </c>
      <c r="N917" s="11">
        <v>29</v>
      </c>
      <c r="O917" s="12">
        <v>6.84</v>
      </c>
      <c r="P917" s="12">
        <v>8.37</v>
      </c>
      <c r="Q917" s="13">
        <v>-177.17</v>
      </c>
      <c r="R917" s="36" t="s">
        <v>1239</v>
      </c>
      <c r="S917" s="7">
        <f t="shared" si="74"/>
        <v>7</v>
      </c>
      <c r="T917" s="15" t="str">
        <f>VLOOKUP(R917,产品分类!$C$2:$D$1278,2,0)</f>
        <v>办公用品</v>
      </c>
    </row>
    <row r="918" spans="1:20">
      <c r="A918" s="8">
        <f>DATE(2012,12,31)-1126</f>
        <v>40148</v>
      </c>
      <c r="B918" s="8">
        <f>DATE(2012,12,31)-1126</f>
        <v>40148</v>
      </c>
      <c r="C918" s="9" t="s">
        <v>300</v>
      </c>
      <c r="D918">
        <v>10021267954</v>
      </c>
      <c r="E918" t="s">
        <v>47</v>
      </c>
      <c r="F918" t="s">
        <v>230</v>
      </c>
      <c r="G918" t="s">
        <v>231</v>
      </c>
      <c r="H918" t="s">
        <v>1186</v>
      </c>
      <c r="I918" t="s">
        <v>1187</v>
      </c>
      <c r="J918" t="s">
        <v>271</v>
      </c>
      <c r="K918" s="3">
        <v>100432123874</v>
      </c>
      <c r="L918" s="10">
        <v>40150</v>
      </c>
      <c r="M918">
        <v>1621.1</v>
      </c>
      <c r="N918" s="11">
        <v>33</v>
      </c>
      <c r="O918" s="12">
        <v>48.91</v>
      </c>
      <c r="P918" s="12">
        <v>35</v>
      </c>
      <c r="Q918" s="13">
        <v>-971.36</v>
      </c>
      <c r="R918" s="36" t="s">
        <v>1240</v>
      </c>
      <c r="S918" s="7">
        <f t="shared" si="74"/>
        <v>2</v>
      </c>
      <c r="T918" s="15" t="str">
        <f>VLOOKUP(R918,产品分类!$C$2:$D$1278,2,0)</f>
        <v>办公用品</v>
      </c>
    </row>
    <row r="919" spans="1:20">
      <c r="A919" s="8">
        <f>DATE(2012,12,31)-529</f>
        <v>40745</v>
      </c>
      <c r="B919" s="8">
        <f>DATE(2012,12,31)-529</f>
        <v>40745</v>
      </c>
      <c r="C919" s="9" t="s">
        <v>1241</v>
      </c>
      <c r="D919">
        <v>10021261576</v>
      </c>
      <c r="E919" t="s">
        <v>47</v>
      </c>
      <c r="F919" t="s">
        <v>114</v>
      </c>
      <c r="G919" t="s">
        <v>115</v>
      </c>
      <c r="H919" t="s">
        <v>1242</v>
      </c>
      <c r="I919" t="s">
        <v>1243</v>
      </c>
      <c r="J919" t="s">
        <v>271</v>
      </c>
      <c r="K919" s="3">
        <v>100129469118</v>
      </c>
      <c r="L919" s="10">
        <v>40750</v>
      </c>
      <c r="M919">
        <v>18028.07</v>
      </c>
      <c r="N919" s="11">
        <v>36</v>
      </c>
      <c r="O919" s="12">
        <v>500.98</v>
      </c>
      <c r="P919" s="12">
        <v>28.14</v>
      </c>
      <c r="Q919" s="13">
        <v>8157.7</v>
      </c>
      <c r="R919" s="36" t="s">
        <v>248</v>
      </c>
      <c r="S919" s="7">
        <f t="shared" si="74"/>
        <v>5</v>
      </c>
      <c r="T919" s="15" t="str">
        <f>VLOOKUP(R919,产品分类!$C$2:$D$1278,2,0)</f>
        <v>家具产品</v>
      </c>
    </row>
    <row r="920" spans="1:20">
      <c r="A920" s="8">
        <f>DATE(2012,12,31)-869</f>
        <v>40405</v>
      </c>
      <c r="B920" s="8">
        <f>DATE(2012,12,31)-869</f>
        <v>40405</v>
      </c>
      <c r="C920" s="9" t="s">
        <v>861</v>
      </c>
      <c r="D920">
        <v>10021280891</v>
      </c>
      <c r="E920" t="s">
        <v>47</v>
      </c>
      <c r="F920" t="s">
        <v>122</v>
      </c>
      <c r="G920" t="s">
        <v>123</v>
      </c>
      <c r="H920" t="s">
        <v>124</v>
      </c>
      <c r="I920" t="s">
        <v>125</v>
      </c>
      <c r="J920" t="s">
        <v>271</v>
      </c>
      <c r="K920" s="3">
        <v>100317578859</v>
      </c>
      <c r="L920" s="10">
        <v>40407</v>
      </c>
      <c r="M920">
        <v>21062.91</v>
      </c>
      <c r="N920" s="11">
        <v>23</v>
      </c>
      <c r="O920" s="12">
        <v>880.98</v>
      </c>
      <c r="P920" s="12">
        <v>44.55</v>
      </c>
      <c r="Q920" s="13">
        <v>5713.53</v>
      </c>
      <c r="R920" s="36" t="s">
        <v>706</v>
      </c>
      <c r="S920" s="7">
        <f t="shared" si="74"/>
        <v>2</v>
      </c>
      <c r="T920" s="15" t="str">
        <f>VLOOKUP(R920,产品分类!$C$2:$D$1278,2,0)</f>
        <v>办公用品</v>
      </c>
    </row>
    <row r="921" spans="1:20">
      <c r="A921" s="16">
        <f>DATE(2012,12,31)-1326</f>
        <v>39948</v>
      </c>
      <c r="B921" s="16">
        <f>DATE(2012,12,31)-1326</f>
        <v>39948</v>
      </c>
      <c r="C921" s="9" t="s">
        <v>1006</v>
      </c>
      <c r="D921">
        <v>10021262486</v>
      </c>
      <c r="E921" t="s">
        <v>47</v>
      </c>
      <c r="F921" t="s">
        <v>91</v>
      </c>
      <c r="G921" t="s">
        <v>92</v>
      </c>
      <c r="H921" t="s">
        <v>774</v>
      </c>
      <c r="I921" t="s">
        <v>775</v>
      </c>
      <c r="J921" t="s">
        <v>271</v>
      </c>
      <c r="K921" s="3">
        <v>100330082539</v>
      </c>
      <c r="L921" s="10">
        <v>39948</v>
      </c>
      <c r="M921">
        <v>1802</v>
      </c>
      <c r="N921" s="17">
        <v>45</v>
      </c>
      <c r="O921" s="5">
        <v>39.06</v>
      </c>
      <c r="P921" s="5">
        <v>10.55</v>
      </c>
      <c r="Q921" s="6">
        <v>508.963</v>
      </c>
      <c r="R921" s="37" t="s">
        <v>1244</v>
      </c>
      <c r="S921" s="7">
        <f t="shared" si="74"/>
        <v>0</v>
      </c>
      <c r="T921" s="15" t="str">
        <f>VLOOKUP(R921,产品分类!$C$2:$D$1278,2,0)</f>
        <v>办公用品</v>
      </c>
    </row>
    <row r="922" spans="1:20">
      <c r="A922" s="16">
        <f>DATE(2012,12,31)-1326</f>
        <v>39948</v>
      </c>
      <c r="B922" s="16">
        <f>DATE(2012,12,31)-1326</f>
        <v>39948</v>
      </c>
      <c r="C922" s="9" t="s">
        <v>1006</v>
      </c>
      <c r="D922">
        <v>10021279524</v>
      </c>
      <c r="E922" t="s">
        <v>47</v>
      </c>
      <c r="F922" t="s">
        <v>55</v>
      </c>
      <c r="G922" t="s">
        <v>56</v>
      </c>
      <c r="H922" t="s">
        <v>57</v>
      </c>
      <c r="I922" t="s">
        <v>58</v>
      </c>
      <c r="J922" t="s">
        <v>271</v>
      </c>
      <c r="K922" s="3">
        <v>10092326161</v>
      </c>
      <c r="L922" s="10">
        <v>39949</v>
      </c>
      <c r="M922">
        <v>1832.22</v>
      </c>
      <c r="N922" s="17">
        <v>50</v>
      </c>
      <c r="O922" s="5">
        <v>37.7</v>
      </c>
      <c r="P922" s="5">
        <v>2.99</v>
      </c>
      <c r="Q922" s="6">
        <v>805.4345</v>
      </c>
      <c r="R922" s="37" t="s">
        <v>418</v>
      </c>
      <c r="S922" s="7">
        <f t="shared" si="74"/>
        <v>1</v>
      </c>
      <c r="T922" s="15" t="str">
        <f>VLOOKUP(R922,产品分类!$C$2:$D$1278,2,0)</f>
        <v>数码电子</v>
      </c>
    </row>
    <row r="923" spans="1:20">
      <c r="A923" s="8">
        <f>DATE(2012,12,31)-990</f>
        <v>40284</v>
      </c>
      <c r="B923" s="8">
        <f>DATE(2012,12,31)-990</f>
        <v>40284</v>
      </c>
      <c r="C923" s="9" t="s">
        <v>1015</v>
      </c>
      <c r="D923">
        <v>10021394962</v>
      </c>
      <c r="E923" t="s">
        <v>47</v>
      </c>
      <c r="F923" t="s">
        <v>83</v>
      </c>
      <c r="G923" t="s">
        <v>84</v>
      </c>
      <c r="H923" t="s">
        <v>1037</v>
      </c>
      <c r="I923" t="s">
        <v>1038</v>
      </c>
      <c r="J923" t="s">
        <v>271</v>
      </c>
      <c r="K923" s="3">
        <v>10033997769</v>
      </c>
      <c r="L923" s="10">
        <v>40288</v>
      </c>
      <c r="M923">
        <v>19224.92</v>
      </c>
      <c r="N923" s="11">
        <v>47</v>
      </c>
      <c r="O923" s="12">
        <v>449.99</v>
      </c>
      <c r="P923" s="12">
        <v>49</v>
      </c>
      <c r="Q923" s="13">
        <v>6635.15</v>
      </c>
      <c r="R923" s="36" t="s">
        <v>545</v>
      </c>
      <c r="S923" s="7">
        <f t="shared" si="74"/>
        <v>4</v>
      </c>
      <c r="T923" s="15" t="str">
        <f>VLOOKUP(R923,产品分类!$C$2:$D$1278,2,0)</f>
        <v>办公用品</v>
      </c>
    </row>
    <row r="924" spans="1:20">
      <c r="A924" s="8">
        <f>DATE(2012,12,31)-990</f>
        <v>40284</v>
      </c>
      <c r="B924" s="8">
        <f>DATE(2012,12,31)-990</f>
        <v>40284</v>
      </c>
      <c r="C924" s="9" t="s">
        <v>1015</v>
      </c>
      <c r="D924">
        <v>10021293218</v>
      </c>
      <c r="E924" t="s">
        <v>47</v>
      </c>
      <c r="F924" t="s">
        <v>91</v>
      </c>
      <c r="G924" t="s">
        <v>92</v>
      </c>
      <c r="H924" t="s">
        <v>774</v>
      </c>
      <c r="I924" t="s">
        <v>775</v>
      </c>
      <c r="J924" t="s">
        <v>271</v>
      </c>
      <c r="K924" s="3">
        <v>10095316681</v>
      </c>
      <c r="L924" s="10">
        <v>40291</v>
      </c>
      <c r="M924">
        <v>778.62</v>
      </c>
      <c r="N924" s="11">
        <v>39</v>
      </c>
      <c r="O924" s="12">
        <v>19.23</v>
      </c>
      <c r="P924" s="12">
        <v>6.15</v>
      </c>
      <c r="Q924" s="13">
        <v>247.24</v>
      </c>
      <c r="R924" s="36" t="s">
        <v>1245</v>
      </c>
      <c r="S924" s="7">
        <f t="shared" si="74"/>
        <v>7</v>
      </c>
      <c r="T924" s="15" t="str">
        <f>VLOOKUP(R924,产品分类!$C$2:$D$1278,2,0)</f>
        <v>办公用品</v>
      </c>
    </row>
    <row r="925" spans="1:20">
      <c r="A925" s="8">
        <f>DATE(2012,12,31)-221</f>
        <v>41053</v>
      </c>
      <c r="B925" s="8">
        <f>DATE(2012,12,31)-221</f>
        <v>41053</v>
      </c>
      <c r="C925" s="9" t="s">
        <v>1246</v>
      </c>
      <c r="D925">
        <v>10021415694</v>
      </c>
      <c r="E925" t="s">
        <v>47</v>
      </c>
      <c r="F925" t="s">
        <v>122</v>
      </c>
      <c r="G925" t="s">
        <v>123</v>
      </c>
      <c r="H925" t="s">
        <v>124</v>
      </c>
      <c r="I925" t="s">
        <v>125</v>
      </c>
      <c r="J925" t="s">
        <v>271</v>
      </c>
      <c r="K925" s="3">
        <v>10077314645</v>
      </c>
      <c r="L925" s="10">
        <v>41055</v>
      </c>
      <c r="M925">
        <v>40.85</v>
      </c>
      <c r="N925" s="11">
        <v>16</v>
      </c>
      <c r="O925" s="12">
        <v>2.62</v>
      </c>
      <c r="P925" s="12">
        <v>0.8</v>
      </c>
      <c r="Q925" s="13">
        <v>6.46</v>
      </c>
      <c r="R925" s="36" t="s">
        <v>960</v>
      </c>
      <c r="S925" s="7">
        <f t="shared" si="74"/>
        <v>2</v>
      </c>
      <c r="T925" s="15" t="str">
        <f>VLOOKUP(R925,产品分类!$C$2:$D$1278,2,0)</f>
        <v>家具产品</v>
      </c>
    </row>
    <row r="926" spans="1:20">
      <c r="A926" s="8">
        <f>DATE(2012,12,31)-187</f>
        <v>41087</v>
      </c>
      <c r="B926" s="8">
        <f>DATE(2012,12,31)-187</f>
        <v>41087</v>
      </c>
      <c r="C926" s="9" t="s">
        <v>1247</v>
      </c>
      <c r="D926">
        <v>10021250057</v>
      </c>
      <c r="E926" t="s">
        <v>47</v>
      </c>
      <c r="F926" t="s">
        <v>83</v>
      </c>
      <c r="G926" t="s">
        <v>84</v>
      </c>
      <c r="H926" t="s">
        <v>1037</v>
      </c>
      <c r="I926" t="s">
        <v>1038</v>
      </c>
      <c r="J926" t="s">
        <v>271</v>
      </c>
      <c r="K926" s="3">
        <v>100313467289</v>
      </c>
      <c r="L926" s="10">
        <v>41087</v>
      </c>
      <c r="M926">
        <v>295.24</v>
      </c>
      <c r="N926" s="11">
        <v>49</v>
      </c>
      <c r="O926" s="12">
        <v>5.81</v>
      </c>
      <c r="P926" s="12">
        <v>8.49</v>
      </c>
      <c r="Q926" s="13">
        <v>-279.933</v>
      </c>
      <c r="R926" s="36" t="s">
        <v>1248</v>
      </c>
      <c r="S926" s="7">
        <f t="shared" si="74"/>
        <v>0</v>
      </c>
      <c r="T926" s="15" t="str">
        <f>VLOOKUP(R926,产品分类!$C$2:$D$1278,2,0)</f>
        <v>数码电子</v>
      </c>
    </row>
    <row r="927" spans="1:20">
      <c r="A927" s="16">
        <f t="shared" ref="A927:B929" si="75">DATE(2012,12,31)-844</f>
        <v>40430</v>
      </c>
      <c r="B927" s="16">
        <f t="shared" si="75"/>
        <v>40430</v>
      </c>
      <c r="C927" s="9" t="s">
        <v>864</v>
      </c>
      <c r="D927">
        <v>10021331029</v>
      </c>
      <c r="E927" t="s">
        <v>47</v>
      </c>
      <c r="F927" t="s">
        <v>91</v>
      </c>
      <c r="G927" t="s">
        <v>92</v>
      </c>
      <c r="H927" t="s">
        <v>774</v>
      </c>
      <c r="I927" t="s">
        <v>775</v>
      </c>
      <c r="J927" t="s">
        <v>271</v>
      </c>
      <c r="K927" s="3">
        <v>1001435567</v>
      </c>
      <c r="L927" s="10">
        <v>40431</v>
      </c>
      <c r="M927">
        <v>164.62</v>
      </c>
      <c r="N927" s="17">
        <v>31</v>
      </c>
      <c r="O927" s="5">
        <v>5.18</v>
      </c>
      <c r="P927" s="5">
        <v>5.74</v>
      </c>
      <c r="Q927" s="6">
        <v>-93.7135</v>
      </c>
      <c r="R927" s="37" t="s">
        <v>458</v>
      </c>
      <c r="S927" s="7">
        <f t="shared" si="74"/>
        <v>1</v>
      </c>
      <c r="T927" s="15" t="str">
        <f>VLOOKUP(R927,产品分类!$C$2:$D$1278,2,0)</f>
        <v>家具产品</v>
      </c>
    </row>
    <row r="928" spans="1:20">
      <c r="A928" s="8">
        <f t="shared" si="75"/>
        <v>40430</v>
      </c>
      <c r="B928" s="8">
        <f t="shared" si="75"/>
        <v>40430</v>
      </c>
      <c r="C928" s="9" t="s">
        <v>864</v>
      </c>
      <c r="D928">
        <v>10021255510</v>
      </c>
      <c r="E928" t="s">
        <v>47</v>
      </c>
      <c r="F928" t="s">
        <v>91</v>
      </c>
      <c r="G928" t="s">
        <v>92</v>
      </c>
      <c r="H928" t="s">
        <v>774</v>
      </c>
      <c r="I928" t="s">
        <v>775</v>
      </c>
      <c r="J928" t="s">
        <v>271</v>
      </c>
      <c r="K928" s="3">
        <v>100124267577</v>
      </c>
      <c r="L928" s="10">
        <v>40433</v>
      </c>
      <c r="M928">
        <v>4225.77</v>
      </c>
      <c r="N928" s="11">
        <v>36</v>
      </c>
      <c r="O928" s="12">
        <v>120.98</v>
      </c>
      <c r="P928" s="12">
        <v>58.64</v>
      </c>
      <c r="Q928" s="13">
        <v>-1393.69</v>
      </c>
      <c r="R928" s="36" t="s">
        <v>301</v>
      </c>
      <c r="S928" s="7">
        <f t="shared" si="74"/>
        <v>3</v>
      </c>
      <c r="T928" s="15" t="str">
        <f>VLOOKUP(R928,产品分类!$C$2:$D$1278,2,0)</f>
        <v>数码电子</v>
      </c>
    </row>
    <row r="929" spans="1:20">
      <c r="A929" s="16">
        <f t="shared" si="75"/>
        <v>40430</v>
      </c>
      <c r="B929" s="16">
        <f t="shared" si="75"/>
        <v>40430</v>
      </c>
      <c r="C929" s="9" t="s">
        <v>864</v>
      </c>
      <c r="D929">
        <v>10021266409</v>
      </c>
      <c r="E929" t="s">
        <v>47</v>
      </c>
      <c r="F929" t="s">
        <v>122</v>
      </c>
      <c r="G929" t="s">
        <v>123</v>
      </c>
      <c r="H929" t="s">
        <v>124</v>
      </c>
      <c r="I929" t="s">
        <v>125</v>
      </c>
      <c r="J929" t="s">
        <v>271</v>
      </c>
      <c r="K929" s="3">
        <v>100831781622</v>
      </c>
      <c r="L929" s="10">
        <v>40432</v>
      </c>
      <c r="M929">
        <v>53.89</v>
      </c>
      <c r="N929" s="17">
        <v>8</v>
      </c>
      <c r="O929" s="5">
        <v>6.3</v>
      </c>
      <c r="P929" s="5">
        <v>0.5</v>
      </c>
      <c r="Q929" s="6">
        <v>17.63</v>
      </c>
      <c r="R929" s="37" t="s">
        <v>741</v>
      </c>
      <c r="S929" s="7">
        <f t="shared" si="74"/>
        <v>2</v>
      </c>
      <c r="T929" s="15" t="str">
        <f>VLOOKUP(R929,产品分类!$C$2:$D$1278,2,0)</f>
        <v>办公用品</v>
      </c>
    </row>
    <row r="930" spans="1:20">
      <c r="A930" s="8">
        <f>DATE(2012,12,31)-1220</f>
        <v>40054</v>
      </c>
      <c r="B930" s="8">
        <f>DATE(2012,12,31)-1220</f>
        <v>40054</v>
      </c>
      <c r="C930" s="9" t="s">
        <v>1249</v>
      </c>
      <c r="D930">
        <v>10021256158</v>
      </c>
      <c r="E930" t="s">
        <v>47</v>
      </c>
      <c r="F930" t="s">
        <v>122</v>
      </c>
      <c r="G930" t="s">
        <v>123</v>
      </c>
      <c r="H930" t="s">
        <v>124</v>
      </c>
      <c r="I930" t="s">
        <v>125</v>
      </c>
      <c r="J930" t="s">
        <v>271</v>
      </c>
      <c r="K930" s="3">
        <v>10098955301</v>
      </c>
      <c r="L930" s="10">
        <v>40054</v>
      </c>
      <c r="M930">
        <v>33.43</v>
      </c>
      <c r="N930" s="11">
        <v>12</v>
      </c>
      <c r="O930" s="12">
        <v>2.89</v>
      </c>
      <c r="P930" s="12">
        <v>0.5</v>
      </c>
      <c r="Q930" s="13">
        <v>8.47</v>
      </c>
      <c r="R930" s="36" t="s">
        <v>118</v>
      </c>
      <c r="S930" s="7">
        <f t="shared" si="74"/>
        <v>0</v>
      </c>
      <c r="T930" s="15" t="str">
        <f>VLOOKUP(R930,产品分类!$C$2:$D$1278,2,0)</f>
        <v>办公用品</v>
      </c>
    </row>
    <row r="931" spans="1:20">
      <c r="A931" s="8">
        <f>DATE(2012,12,31)-827</f>
        <v>40447</v>
      </c>
      <c r="B931" s="8">
        <f>DATE(2012,12,31)-827</f>
        <v>40447</v>
      </c>
      <c r="C931" s="9" t="s">
        <v>247</v>
      </c>
      <c r="D931">
        <v>10021414546</v>
      </c>
      <c r="E931" t="s">
        <v>47</v>
      </c>
      <c r="F931" t="s">
        <v>91</v>
      </c>
      <c r="G931" t="s">
        <v>92</v>
      </c>
      <c r="H931" t="s">
        <v>774</v>
      </c>
      <c r="I931" t="s">
        <v>775</v>
      </c>
      <c r="J931" t="s">
        <v>271</v>
      </c>
      <c r="K931" s="3">
        <v>10044096164</v>
      </c>
      <c r="L931" s="10">
        <v>40449</v>
      </c>
      <c r="M931">
        <v>53.14</v>
      </c>
      <c r="N931" s="11">
        <v>7</v>
      </c>
      <c r="O931" s="12">
        <v>6.64</v>
      </c>
      <c r="P931" s="12">
        <v>4.95</v>
      </c>
      <c r="Q931" s="13">
        <v>14.57</v>
      </c>
      <c r="R931" s="36" t="s">
        <v>281</v>
      </c>
      <c r="S931" s="7">
        <f t="shared" si="74"/>
        <v>2</v>
      </c>
      <c r="T931" s="15" t="str">
        <f>VLOOKUP(R931,产品分类!$C$2:$D$1278,2,0)</f>
        <v>数码电子</v>
      </c>
    </row>
    <row r="932" spans="1:20">
      <c r="A932" s="8">
        <f>DATE(2012,12,31)-508</f>
        <v>40766</v>
      </c>
      <c r="B932" s="8">
        <f>DATE(2012,12,31)-508</f>
        <v>40766</v>
      </c>
      <c r="C932" s="9" t="s">
        <v>1250</v>
      </c>
      <c r="D932">
        <v>10021259706</v>
      </c>
      <c r="E932" t="s">
        <v>47</v>
      </c>
      <c r="F932" t="s">
        <v>97</v>
      </c>
      <c r="G932" t="s">
        <v>98</v>
      </c>
      <c r="H932" t="s">
        <v>99</v>
      </c>
      <c r="I932" t="s">
        <v>98</v>
      </c>
      <c r="J932" t="s">
        <v>271</v>
      </c>
      <c r="K932" s="3">
        <v>100328032519</v>
      </c>
      <c r="L932" s="10">
        <v>40768</v>
      </c>
      <c r="M932">
        <v>2388.636</v>
      </c>
      <c r="N932" s="11">
        <v>13</v>
      </c>
      <c r="O932" s="12">
        <v>205.99</v>
      </c>
      <c r="P932" s="12">
        <v>5.26</v>
      </c>
      <c r="Q932" s="13">
        <v>190.998</v>
      </c>
      <c r="R932" s="36" t="s">
        <v>688</v>
      </c>
      <c r="S932" s="7">
        <f t="shared" si="74"/>
        <v>2</v>
      </c>
      <c r="T932" s="15" t="str">
        <f>VLOOKUP(R932,产品分类!$C$2:$D$1278,2,0)</f>
        <v>办公用品</v>
      </c>
    </row>
    <row r="933" spans="1:20">
      <c r="A933" s="8">
        <f>DATE(2012,12,31)-610</f>
        <v>40664</v>
      </c>
      <c r="B933" s="8">
        <f>DATE(2012,12,31)-610</f>
        <v>40664</v>
      </c>
      <c r="C933" s="9" t="s">
        <v>400</v>
      </c>
      <c r="D933">
        <v>10021251602</v>
      </c>
      <c r="E933" t="s">
        <v>47</v>
      </c>
      <c r="F933" t="s">
        <v>97</v>
      </c>
      <c r="G933" t="s">
        <v>98</v>
      </c>
      <c r="H933" t="s">
        <v>99</v>
      </c>
      <c r="I933" t="s">
        <v>98</v>
      </c>
      <c r="J933" t="s">
        <v>271</v>
      </c>
      <c r="K933" s="3">
        <v>100411001683</v>
      </c>
      <c r="L933" s="10">
        <v>40666</v>
      </c>
      <c r="M933">
        <v>156.47</v>
      </c>
      <c r="N933" s="11">
        <v>20</v>
      </c>
      <c r="O933" s="12">
        <v>7.1</v>
      </c>
      <c r="P933" s="12">
        <v>6.05</v>
      </c>
      <c r="Q933" s="13">
        <v>-39.2265</v>
      </c>
      <c r="R933" s="36" t="s">
        <v>958</v>
      </c>
      <c r="S933" s="7">
        <f t="shared" si="74"/>
        <v>2</v>
      </c>
      <c r="T933" s="15" t="str">
        <f>VLOOKUP(R933,产品分类!$C$2:$D$1278,2,0)</f>
        <v>办公用品</v>
      </c>
    </row>
    <row r="934" spans="1:20">
      <c r="A934" s="8">
        <f>DATE(2012,12,31)-334</f>
        <v>40940</v>
      </c>
      <c r="B934" s="8">
        <f>DATE(2012,12,31)-334</f>
        <v>40940</v>
      </c>
      <c r="C934" s="9" t="s">
        <v>1251</v>
      </c>
      <c r="D934">
        <v>10021250397</v>
      </c>
      <c r="E934" t="s">
        <v>47</v>
      </c>
      <c r="F934" t="s">
        <v>208</v>
      </c>
      <c r="G934" t="s">
        <v>209</v>
      </c>
      <c r="H934" t="s">
        <v>210</v>
      </c>
      <c r="I934" t="s">
        <v>211</v>
      </c>
      <c r="J934" t="s">
        <v>271</v>
      </c>
      <c r="K934" s="3">
        <v>100810246232</v>
      </c>
      <c r="L934" s="10">
        <v>40942</v>
      </c>
      <c r="M934">
        <v>869.78</v>
      </c>
      <c r="N934" s="11">
        <v>27</v>
      </c>
      <c r="O934" s="12">
        <v>34.76</v>
      </c>
      <c r="P934" s="12">
        <v>8.22</v>
      </c>
      <c r="Q934" s="13">
        <v>43.36</v>
      </c>
      <c r="R934" s="36" t="s">
        <v>732</v>
      </c>
      <c r="S934" s="7">
        <f t="shared" si="74"/>
        <v>2</v>
      </c>
      <c r="T934" s="15" t="str">
        <f>VLOOKUP(R934,产品分类!$C$2:$D$1278,2,0)</f>
        <v>家具产品</v>
      </c>
    </row>
    <row r="935" spans="1:20">
      <c r="A935" s="8">
        <f>DATE(2012,12,31)-334</f>
        <v>40940</v>
      </c>
      <c r="B935" s="8">
        <f>DATE(2012,12,31)-334</f>
        <v>40940</v>
      </c>
      <c r="C935" s="9" t="s">
        <v>1251</v>
      </c>
      <c r="D935">
        <v>10021433736</v>
      </c>
      <c r="E935" t="s">
        <v>47</v>
      </c>
      <c r="F935" t="s">
        <v>171</v>
      </c>
      <c r="G935" t="s">
        <v>172</v>
      </c>
      <c r="H935" t="s">
        <v>933</v>
      </c>
      <c r="I935" t="s">
        <v>934</v>
      </c>
      <c r="J935" t="s">
        <v>271</v>
      </c>
      <c r="K935" s="3">
        <v>100832629512</v>
      </c>
      <c r="L935" s="10">
        <v>40941</v>
      </c>
      <c r="M935">
        <v>2503.008</v>
      </c>
      <c r="N935" s="11">
        <v>11</v>
      </c>
      <c r="O935" s="12">
        <v>286.85</v>
      </c>
      <c r="P935" s="12">
        <v>61.76</v>
      </c>
      <c r="Q935" s="13">
        <v>-298.62</v>
      </c>
      <c r="R935" s="36" t="s">
        <v>1252</v>
      </c>
      <c r="S935" s="7">
        <f t="shared" si="74"/>
        <v>1</v>
      </c>
      <c r="T935" s="15" t="str">
        <f>VLOOKUP(R935,产品分类!$C$2:$D$1278,2,0)</f>
        <v>办公用品</v>
      </c>
    </row>
    <row r="936" spans="1:20">
      <c r="A936" s="8">
        <f>DATE(2012,12,31)-239</f>
        <v>41035</v>
      </c>
      <c r="B936" s="8">
        <f>DATE(2012,12,31)-239</f>
        <v>41035</v>
      </c>
      <c r="C936" s="9" t="s">
        <v>1221</v>
      </c>
      <c r="D936">
        <v>10021369018</v>
      </c>
      <c r="E936" t="s">
        <v>47</v>
      </c>
      <c r="F936" t="s">
        <v>171</v>
      </c>
      <c r="G936" t="s">
        <v>172</v>
      </c>
      <c r="H936" t="s">
        <v>933</v>
      </c>
      <c r="I936" t="s">
        <v>934</v>
      </c>
      <c r="J936" t="s">
        <v>271</v>
      </c>
      <c r="K936" s="3">
        <v>100929763851</v>
      </c>
      <c r="L936" s="10">
        <v>41037</v>
      </c>
      <c r="M936">
        <v>181.32</v>
      </c>
      <c r="N936" s="11">
        <v>7</v>
      </c>
      <c r="O936" s="12">
        <v>25.38</v>
      </c>
      <c r="P936" s="12">
        <v>8.99</v>
      </c>
      <c r="Q936" s="13">
        <v>80.32</v>
      </c>
      <c r="R936" s="36" t="s">
        <v>992</v>
      </c>
      <c r="S936" s="7">
        <f t="shared" si="74"/>
        <v>2</v>
      </c>
      <c r="T936" s="15" t="str">
        <f>VLOOKUP(R936,产品分类!$C$2:$D$1278,2,0)</f>
        <v>数码电子</v>
      </c>
    </row>
    <row r="937" spans="1:20">
      <c r="A937" s="8">
        <f>DATE(2012,12,31)-515</f>
        <v>40759</v>
      </c>
      <c r="B937" s="8">
        <f>DATE(2012,12,31)-515</f>
        <v>40759</v>
      </c>
      <c r="C937" s="9" t="s">
        <v>689</v>
      </c>
      <c r="D937">
        <v>10021337154</v>
      </c>
      <c r="E937" t="s">
        <v>47</v>
      </c>
      <c r="F937" t="s">
        <v>171</v>
      </c>
      <c r="G937" t="s">
        <v>172</v>
      </c>
      <c r="H937" t="s">
        <v>933</v>
      </c>
      <c r="I937" t="s">
        <v>934</v>
      </c>
      <c r="J937" t="s">
        <v>271</v>
      </c>
      <c r="K937" s="3">
        <v>100121366787</v>
      </c>
      <c r="L937" s="10">
        <v>40761</v>
      </c>
      <c r="M937">
        <v>127.84</v>
      </c>
      <c r="N937" s="11">
        <v>41</v>
      </c>
      <c r="O937" s="12">
        <v>2.94</v>
      </c>
      <c r="P937" s="12">
        <v>0.96</v>
      </c>
      <c r="Q937" s="13">
        <v>12.69</v>
      </c>
      <c r="R937" s="36" t="s">
        <v>872</v>
      </c>
      <c r="S937" s="7">
        <f t="shared" si="74"/>
        <v>2</v>
      </c>
      <c r="T937" s="15" t="str">
        <f>VLOOKUP(R937,产品分类!$C$2:$D$1278,2,0)</f>
        <v>数码电子</v>
      </c>
    </row>
    <row r="938" spans="1:20">
      <c r="A938" s="8">
        <f>DATE(2012,12,31)-515</f>
        <v>40759</v>
      </c>
      <c r="B938" s="8">
        <f>DATE(2012,12,31)-515</f>
        <v>40759</v>
      </c>
      <c r="C938" s="9" t="s">
        <v>689</v>
      </c>
      <c r="D938">
        <v>10021420057</v>
      </c>
      <c r="E938" t="s">
        <v>47</v>
      </c>
      <c r="F938" t="s">
        <v>171</v>
      </c>
      <c r="G938" t="s">
        <v>172</v>
      </c>
      <c r="H938" t="s">
        <v>933</v>
      </c>
      <c r="I938" t="s">
        <v>934</v>
      </c>
      <c r="J938" t="s">
        <v>271</v>
      </c>
      <c r="K938" s="3">
        <v>100924592441</v>
      </c>
      <c r="L938" s="10">
        <v>40760</v>
      </c>
      <c r="M938">
        <v>11.15</v>
      </c>
      <c r="N938" s="11">
        <v>6</v>
      </c>
      <c r="O938" s="12">
        <v>1.81</v>
      </c>
      <c r="P938" s="12">
        <v>0.75</v>
      </c>
      <c r="Q938" s="13">
        <v>-2.62</v>
      </c>
      <c r="R938" s="36" t="s">
        <v>1253</v>
      </c>
      <c r="S938" s="7">
        <f t="shared" si="74"/>
        <v>1</v>
      </c>
      <c r="T938" s="15" t="str">
        <f>VLOOKUP(R938,产品分类!$C$2:$D$1278,2,0)</f>
        <v>办公用品</v>
      </c>
    </row>
    <row r="939" spans="1:20">
      <c r="A939" s="8">
        <f>DATE(2012,12,31)-699</f>
        <v>40575</v>
      </c>
      <c r="B939" s="8">
        <f>DATE(2012,12,31)-699</f>
        <v>40575</v>
      </c>
      <c r="C939" s="9" t="s">
        <v>1254</v>
      </c>
      <c r="D939">
        <v>10021433692</v>
      </c>
      <c r="E939" t="s">
        <v>47</v>
      </c>
      <c r="F939" t="s">
        <v>177</v>
      </c>
      <c r="G939" t="s">
        <v>178</v>
      </c>
      <c r="H939" t="s">
        <v>795</v>
      </c>
      <c r="I939" t="s">
        <v>796</v>
      </c>
      <c r="J939" t="s">
        <v>271</v>
      </c>
      <c r="K939" s="3">
        <v>100132628397</v>
      </c>
      <c r="L939" s="10">
        <v>40577</v>
      </c>
      <c r="M939">
        <v>730.33</v>
      </c>
      <c r="N939" s="11">
        <v>14</v>
      </c>
      <c r="O939" s="12">
        <v>51.98</v>
      </c>
      <c r="P939" s="12">
        <v>10.17</v>
      </c>
      <c r="Q939" s="13">
        <v>110.77</v>
      </c>
      <c r="R939" s="36" t="s">
        <v>1255</v>
      </c>
      <c r="S939" s="7">
        <f t="shared" si="74"/>
        <v>2</v>
      </c>
      <c r="T939" s="15" t="str">
        <f>VLOOKUP(R939,产品分类!$C$2:$D$1278,2,0)</f>
        <v>办公用品</v>
      </c>
    </row>
    <row r="940" spans="1:20">
      <c r="A940" s="8">
        <f>DATE(2012,12,31)-1259</f>
        <v>40015</v>
      </c>
      <c r="B940" s="8">
        <f>DATE(2012,12,31)-1259</f>
        <v>40015</v>
      </c>
      <c r="C940" s="9" t="s">
        <v>623</v>
      </c>
      <c r="D940">
        <v>10021427092</v>
      </c>
      <c r="E940" t="s">
        <v>47</v>
      </c>
      <c r="F940" t="s">
        <v>183</v>
      </c>
      <c r="G940" t="s">
        <v>184</v>
      </c>
      <c r="H940" t="s">
        <v>185</v>
      </c>
      <c r="I940" t="s">
        <v>186</v>
      </c>
      <c r="J940" t="s">
        <v>271</v>
      </c>
      <c r="K940" s="3">
        <v>100730435285</v>
      </c>
      <c r="L940" s="10">
        <v>40016</v>
      </c>
      <c r="M940">
        <v>1262.72</v>
      </c>
      <c r="N940" s="11">
        <v>50</v>
      </c>
      <c r="O940" s="12">
        <v>24.95</v>
      </c>
      <c r="P940" s="12">
        <v>2.99</v>
      </c>
      <c r="Q940" s="13">
        <v>490.28</v>
      </c>
      <c r="R940" s="36" t="s">
        <v>646</v>
      </c>
      <c r="S940" s="7">
        <f t="shared" si="74"/>
        <v>1</v>
      </c>
      <c r="T940" s="15" t="str">
        <f>VLOOKUP(R940,产品分类!$C$2:$D$1278,2,0)</f>
        <v>数码电子</v>
      </c>
    </row>
    <row r="941" spans="1:20">
      <c r="A941" s="8">
        <f>DATE(2012,12,31)-1259</f>
        <v>40015</v>
      </c>
      <c r="B941" s="8">
        <f>DATE(2012,12,31)-1259</f>
        <v>40015</v>
      </c>
      <c r="C941" s="9" t="s">
        <v>623</v>
      </c>
      <c r="D941">
        <v>10021266696</v>
      </c>
      <c r="E941" t="s">
        <v>47</v>
      </c>
      <c r="F941" t="s">
        <v>177</v>
      </c>
      <c r="G941" t="s">
        <v>178</v>
      </c>
      <c r="H941" t="s">
        <v>795</v>
      </c>
      <c r="I941" t="s">
        <v>796</v>
      </c>
      <c r="J941" t="s">
        <v>271</v>
      </c>
      <c r="K941" s="3">
        <v>100431814003</v>
      </c>
      <c r="L941" s="10">
        <v>40017</v>
      </c>
      <c r="M941">
        <v>524.19</v>
      </c>
      <c r="N941" s="11">
        <v>31</v>
      </c>
      <c r="O941" s="12">
        <v>15.98</v>
      </c>
      <c r="P941" s="12">
        <v>8.99</v>
      </c>
      <c r="Q941" s="13">
        <v>-135.46</v>
      </c>
      <c r="R941" s="36" t="s">
        <v>1256</v>
      </c>
      <c r="S941" s="7">
        <f t="shared" si="74"/>
        <v>2</v>
      </c>
      <c r="T941" s="15" t="str">
        <f>VLOOKUP(R941,产品分类!$C$2:$D$1278,2,0)</f>
        <v>家具产品</v>
      </c>
    </row>
    <row r="942" spans="1:20">
      <c r="A942" s="8">
        <f>DATE(2012,12,31)-840</f>
        <v>40434</v>
      </c>
      <c r="B942" s="8">
        <f>DATE(2012,12,31)-840</f>
        <v>40434</v>
      </c>
      <c r="C942" s="9" t="s">
        <v>1257</v>
      </c>
      <c r="D942">
        <v>10021414004</v>
      </c>
      <c r="E942" t="s">
        <v>47</v>
      </c>
      <c r="F942" t="s">
        <v>177</v>
      </c>
      <c r="G942" t="s">
        <v>178</v>
      </c>
      <c r="H942" t="s">
        <v>795</v>
      </c>
      <c r="I942" t="s">
        <v>796</v>
      </c>
      <c r="J942" t="s">
        <v>271</v>
      </c>
      <c r="K942" s="3">
        <v>10074049265</v>
      </c>
      <c r="L942" s="10">
        <v>40435</v>
      </c>
      <c r="M942">
        <v>116.84</v>
      </c>
      <c r="N942" s="11">
        <v>22</v>
      </c>
      <c r="O942" s="12">
        <v>5.4</v>
      </c>
      <c r="P942" s="12">
        <v>7.78</v>
      </c>
      <c r="Q942" s="13">
        <v>-125.442</v>
      </c>
      <c r="R942" s="36" t="s">
        <v>200</v>
      </c>
      <c r="S942" s="7">
        <f t="shared" si="74"/>
        <v>1</v>
      </c>
      <c r="T942" s="15" t="str">
        <f>VLOOKUP(R942,产品分类!$C$2:$D$1278,2,0)</f>
        <v>数码电子</v>
      </c>
    </row>
    <row r="943" spans="1:20">
      <c r="A943" s="8">
        <f t="shared" ref="A943:B946" si="76">DATE(2012,12,31)-1054</f>
        <v>40220</v>
      </c>
      <c r="B943" s="8">
        <f t="shared" si="76"/>
        <v>40220</v>
      </c>
      <c r="C943" s="9" t="s">
        <v>1258</v>
      </c>
      <c r="D943">
        <v>10021387967</v>
      </c>
      <c r="E943" t="s">
        <v>47</v>
      </c>
      <c r="F943" t="s">
        <v>61</v>
      </c>
      <c r="G943" t="s">
        <v>62</v>
      </c>
      <c r="H943" t="s">
        <v>1077</v>
      </c>
      <c r="I943" t="s">
        <v>1078</v>
      </c>
      <c r="J943" t="s">
        <v>271</v>
      </c>
      <c r="K943" s="3">
        <v>100722033145</v>
      </c>
      <c r="L943" s="10">
        <v>40220</v>
      </c>
      <c r="M943">
        <v>81.56</v>
      </c>
      <c r="N943" s="11">
        <v>8</v>
      </c>
      <c r="O943" s="12">
        <v>10.01</v>
      </c>
      <c r="P943" s="12">
        <v>1.99</v>
      </c>
      <c r="Q943" s="13">
        <v>-7.23</v>
      </c>
      <c r="R943" s="36" t="s">
        <v>503</v>
      </c>
      <c r="S943" s="7">
        <f t="shared" si="74"/>
        <v>0</v>
      </c>
      <c r="T943" s="15" t="str">
        <f>VLOOKUP(R943,产品分类!$C$2:$D$1278,2,0)</f>
        <v>数码电子</v>
      </c>
    </row>
    <row r="944" spans="1:20">
      <c r="A944" s="8">
        <f t="shared" si="76"/>
        <v>40220</v>
      </c>
      <c r="B944" s="8">
        <f t="shared" si="76"/>
        <v>40220</v>
      </c>
      <c r="C944" s="9" t="s">
        <v>1258</v>
      </c>
      <c r="D944">
        <v>10021333874</v>
      </c>
      <c r="E944" t="s">
        <v>47</v>
      </c>
      <c r="F944" t="s">
        <v>61</v>
      </c>
      <c r="G944" t="s">
        <v>62</v>
      </c>
      <c r="H944" t="s">
        <v>1077</v>
      </c>
      <c r="I944" t="s">
        <v>1078</v>
      </c>
      <c r="J944" t="s">
        <v>271</v>
      </c>
      <c r="K944" s="3">
        <v>100914455371</v>
      </c>
      <c r="L944" s="10">
        <v>40221</v>
      </c>
      <c r="M944">
        <v>2088.5</v>
      </c>
      <c r="N944" s="11">
        <v>41</v>
      </c>
      <c r="O944" s="12">
        <v>51.98</v>
      </c>
      <c r="P944" s="12">
        <v>10.17</v>
      </c>
      <c r="Q944" s="13">
        <v>675.07</v>
      </c>
      <c r="R944" s="36" t="s">
        <v>1255</v>
      </c>
      <c r="S944" s="7">
        <f t="shared" si="74"/>
        <v>1</v>
      </c>
      <c r="T944" s="15" t="str">
        <f>VLOOKUP(R944,产品分类!$C$2:$D$1278,2,0)</f>
        <v>办公用品</v>
      </c>
    </row>
    <row r="945" spans="1:20">
      <c r="A945" s="8">
        <f t="shared" si="76"/>
        <v>40220</v>
      </c>
      <c r="B945" s="8">
        <f t="shared" si="76"/>
        <v>40220</v>
      </c>
      <c r="C945" s="9" t="s">
        <v>1258</v>
      </c>
      <c r="D945">
        <v>10021269468</v>
      </c>
      <c r="E945" t="s">
        <v>47</v>
      </c>
      <c r="F945" t="s">
        <v>83</v>
      </c>
      <c r="G945" t="s">
        <v>84</v>
      </c>
      <c r="H945" t="s">
        <v>1259</v>
      </c>
      <c r="I945" t="s">
        <v>1260</v>
      </c>
      <c r="J945" t="s">
        <v>271</v>
      </c>
      <c r="K945" s="3">
        <v>100432445624</v>
      </c>
      <c r="L945" s="10">
        <v>40222</v>
      </c>
      <c r="M945">
        <v>2126.72</v>
      </c>
      <c r="N945" s="11">
        <v>34</v>
      </c>
      <c r="O945" s="12">
        <v>64.98</v>
      </c>
      <c r="P945" s="12">
        <v>6.88</v>
      </c>
      <c r="Q945" s="13">
        <v>150.04</v>
      </c>
      <c r="R945" s="36" t="s">
        <v>765</v>
      </c>
      <c r="S945" s="7">
        <f t="shared" si="74"/>
        <v>2</v>
      </c>
      <c r="T945" s="15" t="str">
        <f>VLOOKUP(R945,产品分类!$C$2:$D$1278,2,0)</f>
        <v>办公用品</v>
      </c>
    </row>
    <row r="946" spans="1:20">
      <c r="A946" s="8">
        <f t="shared" si="76"/>
        <v>40220</v>
      </c>
      <c r="B946" s="8">
        <f t="shared" si="76"/>
        <v>40220</v>
      </c>
      <c r="C946" s="9" t="s">
        <v>1258</v>
      </c>
      <c r="D946">
        <v>10021299931</v>
      </c>
      <c r="E946" t="s">
        <v>47</v>
      </c>
      <c r="F946" t="s">
        <v>61</v>
      </c>
      <c r="G946" t="s">
        <v>62</v>
      </c>
      <c r="H946" t="s">
        <v>1077</v>
      </c>
      <c r="I946" t="s">
        <v>1078</v>
      </c>
      <c r="J946" t="s">
        <v>271</v>
      </c>
      <c r="K946" s="3">
        <v>100928612191</v>
      </c>
      <c r="L946" s="10">
        <v>40221</v>
      </c>
      <c r="M946">
        <v>3753.72</v>
      </c>
      <c r="N946" s="11">
        <v>26</v>
      </c>
      <c r="O946" s="12">
        <v>138.75</v>
      </c>
      <c r="P946" s="12">
        <v>52.42</v>
      </c>
      <c r="Q946" s="13">
        <v>-556.25</v>
      </c>
      <c r="R946" s="36" t="s">
        <v>299</v>
      </c>
      <c r="S946" s="7">
        <f t="shared" si="74"/>
        <v>1</v>
      </c>
      <c r="T946" s="15" t="str">
        <f>VLOOKUP(R946,产品分类!$C$2:$D$1278,2,0)</f>
        <v>家具产品</v>
      </c>
    </row>
    <row r="947" spans="1:20">
      <c r="A947" s="8">
        <f>DATE(2012,12,31)-1455</f>
        <v>39819</v>
      </c>
      <c r="B947" s="8">
        <f>DATE(2012,12,31)-1455</f>
        <v>39819</v>
      </c>
      <c r="C947" s="9" t="s">
        <v>1261</v>
      </c>
      <c r="D947">
        <v>10021371932</v>
      </c>
      <c r="E947" t="s">
        <v>47</v>
      </c>
      <c r="F947" t="s">
        <v>61</v>
      </c>
      <c r="G947" t="s">
        <v>62</v>
      </c>
      <c r="H947" t="s">
        <v>1077</v>
      </c>
      <c r="I947" t="s">
        <v>1078</v>
      </c>
      <c r="J947" t="s">
        <v>271</v>
      </c>
      <c r="K947" s="3">
        <v>100132473407</v>
      </c>
      <c r="L947" s="10">
        <v>39821</v>
      </c>
      <c r="M947">
        <v>22.13</v>
      </c>
      <c r="N947" s="11">
        <v>1</v>
      </c>
      <c r="O947" s="12">
        <v>7.68</v>
      </c>
      <c r="P947" s="12">
        <v>6.16</v>
      </c>
      <c r="Q947" s="13">
        <v>-2.392</v>
      </c>
      <c r="R947" s="36" t="s">
        <v>1262</v>
      </c>
      <c r="S947" s="7">
        <f t="shared" si="74"/>
        <v>2</v>
      </c>
      <c r="T947" s="15" t="str">
        <f>VLOOKUP(R947,产品分类!$C$2:$D$1278,2,0)</f>
        <v>办公用品</v>
      </c>
    </row>
    <row r="948" spans="1:20">
      <c r="A948" s="8">
        <f>DATE(2012,12,31)-1455</f>
        <v>39819</v>
      </c>
      <c r="B948" s="8">
        <f>DATE(2012,12,31)-1455</f>
        <v>39819</v>
      </c>
      <c r="C948" s="9" t="s">
        <v>1261</v>
      </c>
      <c r="D948">
        <v>10021278402</v>
      </c>
      <c r="E948" t="s">
        <v>47</v>
      </c>
      <c r="F948" t="s">
        <v>72</v>
      </c>
      <c r="G948" t="s">
        <v>73</v>
      </c>
      <c r="H948" t="s">
        <v>1035</v>
      </c>
      <c r="I948" t="s">
        <v>1036</v>
      </c>
      <c r="J948" t="s">
        <v>271</v>
      </c>
      <c r="K948" s="3">
        <v>100331868419</v>
      </c>
      <c r="L948" s="10">
        <v>39821</v>
      </c>
      <c r="M948">
        <v>129.84</v>
      </c>
      <c r="N948" s="11">
        <v>19</v>
      </c>
      <c r="O948" s="12">
        <v>6.64</v>
      </c>
      <c r="P948" s="12">
        <v>4.95</v>
      </c>
      <c r="Q948" s="13">
        <v>2.39</v>
      </c>
      <c r="R948" s="36" t="s">
        <v>281</v>
      </c>
      <c r="S948" s="7">
        <f t="shared" si="74"/>
        <v>2</v>
      </c>
      <c r="T948" s="15" t="str">
        <f>VLOOKUP(R948,产品分类!$C$2:$D$1278,2,0)</f>
        <v>数码电子</v>
      </c>
    </row>
    <row r="949" spans="1:20">
      <c r="A949" s="8">
        <f>DATE(2012,12,31)-1316</f>
        <v>39958</v>
      </c>
      <c r="B949" s="8">
        <f>DATE(2012,12,31)-1316</f>
        <v>39958</v>
      </c>
      <c r="C949" s="9" t="s">
        <v>1263</v>
      </c>
      <c r="D949">
        <v>10021351901</v>
      </c>
      <c r="E949" t="s">
        <v>47</v>
      </c>
      <c r="F949" t="s">
        <v>78</v>
      </c>
      <c r="G949" t="s">
        <v>79</v>
      </c>
      <c r="H949" t="s">
        <v>1264</v>
      </c>
      <c r="I949" t="s">
        <v>79</v>
      </c>
      <c r="J949" t="s">
        <v>271</v>
      </c>
      <c r="K949" s="3">
        <v>100832507742</v>
      </c>
      <c r="L949" s="10">
        <v>39960</v>
      </c>
      <c r="M949">
        <v>235.49</v>
      </c>
      <c r="N949" s="11">
        <v>5</v>
      </c>
      <c r="O949" s="12">
        <v>47.9</v>
      </c>
      <c r="P949" s="12">
        <v>5.86</v>
      </c>
      <c r="Q949" s="13">
        <v>21.78</v>
      </c>
      <c r="R949" s="36" t="s">
        <v>736</v>
      </c>
      <c r="S949" s="7">
        <f t="shared" si="74"/>
        <v>2</v>
      </c>
      <c r="T949" s="15" t="str">
        <f>VLOOKUP(R949,产品分类!$C$2:$D$1278,2,0)</f>
        <v>数码电子</v>
      </c>
    </row>
    <row r="950" spans="1:20">
      <c r="A950" s="8">
        <f>DATE(2012,12,31)-1446</f>
        <v>39828</v>
      </c>
      <c r="B950" s="8">
        <f>DATE(2012,12,31)-1446</f>
        <v>39828</v>
      </c>
      <c r="C950" s="9" t="s">
        <v>1176</v>
      </c>
      <c r="D950">
        <v>10021391515</v>
      </c>
      <c r="E950" t="s">
        <v>47</v>
      </c>
      <c r="F950" t="s">
        <v>66</v>
      </c>
      <c r="G950" t="s">
        <v>67</v>
      </c>
      <c r="H950" t="s">
        <v>68</v>
      </c>
      <c r="I950" t="s">
        <v>69</v>
      </c>
      <c r="J950" t="s">
        <v>271</v>
      </c>
      <c r="K950" s="3">
        <v>100432398203</v>
      </c>
      <c r="L950" s="10">
        <v>39833</v>
      </c>
      <c r="M950">
        <v>217</v>
      </c>
      <c r="N950" s="11">
        <v>41</v>
      </c>
      <c r="O950" s="12">
        <v>4.98</v>
      </c>
      <c r="P950" s="12">
        <v>4.75</v>
      </c>
      <c r="Q950" s="13">
        <v>-61.21</v>
      </c>
      <c r="R950" s="36" t="s">
        <v>563</v>
      </c>
      <c r="S950" s="7">
        <f t="shared" si="74"/>
        <v>5</v>
      </c>
      <c r="T950" s="15" t="str">
        <f>VLOOKUP(R950,产品分类!$C$2:$D$1278,2,0)</f>
        <v>家具产品</v>
      </c>
    </row>
    <row r="951" spans="1:20">
      <c r="A951" s="8">
        <f>DATE(2012,12,31)-1446</f>
        <v>39828</v>
      </c>
      <c r="B951" s="8">
        <f>DATE(2012,12,31)-1446</f>
        <v>39828</v>
      </c>
      <c r="C951" s="9" t="s">
        <v>1176</v>
      </c>
      <c r="D951">
        <v>10021325825</v>
      </c>
      <c r="E951" t="s">
        <v>47</v>
      </c>
      <c r="F951" t="s">
        <v>78</v>
      </c>
      <c r="G951" t="s">
        <v>79</v>
      </c>
      <c r="H951" t="s">
        <v>1264</v>
      </c>
      <c r="I951" t="s">
        <v>79</v>
      </c>
      <c r="J951" t="s">
        <v>271</v>
      </c>
      <c r="K951" s="3">
        <v>10031186789</v>
      </c>
      <c r="L951" s="10">
        <v>39833</v>
      </c>
      <c r="M951">
        <v>296.13</v>
      </c>
      <c r="N951" s="11">
        <v>47</v>
      </c>
      <c r="O951" s="12">
        <v>6.35</v>
      </c>
      <c r="P951" s="12">
        <v>1.02</v>
      </c>
      <c r="Q951" s="13">
        <v>119.09</v>
      </c>
      <c r="R951" s="36" t="s">
        <v>1265</v>
      </c>
      <c r="S951" s="7">
        <f t="shared" si="74"/>
        <v>5</v>
      </c>
      <c r="T951" s="15" t="str">
        <f>VLOOKUP(R951,产品分类!$C$2:$D$1278,2,0)</f>
        <v>家具产品</v>
      </c>
    </row>
    <row r="952" spans="1:20">
      <c r="A952" s="8">
        <f>DATE(2012,12,31)-195</f>
        <v>41079</v>
      </c>
      <c r="B952" s="8">
        <f>DATE(2012,12,31)-195</f>
        <v>41079</v>
      </c>
      <c r="C952" s="9" t="s">
        <v>1266</v>
      </c>
      <c r="D952">
        <v>10021391882</v>
      </c>
      <c r="E952" t="s">
        <v>47</v>
      </c>
      <c r="F952" t="s">
        <v>473</v>
      </c>
      <c r="G952" t="s">
        <v>474</v>
      </c>
      <c r="H952" t="s">
        <v>475</v>
      </c>
      <c r="I952" t="s">
        <v>476</v>
      </c>
      <c r="J952" t="s">
        <v>271</v>
      </c>
      <c r="K952" s="3">
        <v>10017734216</v>
      </c>
      <c r="L952" s="10">
        <v>41081</v>
      </c>
      <c r="M952">
        <v>481.27</v>
      </c>
      <c r="N952" s="11">
        <v>4</v>
      </c>
      <c r="O952" s="12">
        <v>113.98</v>
      </c>
      <c r="P952" s="12">
        <v>30</v>
      </c>
      <c r="Q952" s="13">
        <v>-181.27</v>
      </c>
      <c r="R952" s="36" t="s">
        <v>556</v>
      </c>
      <c r="S952" s="7">
        <f t="shared" si="74"/>
        <v>2</v>
      </c>
      <c r="T952" s="15" t="str">
        <f>VLOOKUP(R952,产品分类!$C$2:$D$1278,2,0)</f>
        <v>办公用品</v>
      </c>
    </row>
    <row r="953" spans="1:20">
      <c r="A953" s="8">
        <f>DATE(2012,12,31)-195</f>
        <v>41079</v>
      </c>
      <c r="B953" s="8">
        <f>DATE(2012,12,31)-195</f>
        <v>41079</v>
      </c>
      <c r="C953" s="9" t="s">
        <v>1266</v>
      </c>
      <c r="D953">
        <v>10021393712</v>
      </c>
      <c r="E953" t="s">
        <v>47</v>
      </c>
      <c r="F953" t="s">
        <v>91</v>
      </c>
      <c r="G953" t="s">
        <v>92</v>
      </c>
      <c r="H953" t="s">
        <v>774</v>
      </c>
      <c r="I953" t="s">
        <v>775</v>
      </c>
      <c r="J953" t="s">
        <v>271</v>
      </c>
      <c r="K953" s="3">
        <v>100132844937</v>
      </c>
      <c r="L953" s="10">
        <v>41079</v>
      </c>
      <c r="M953">
        <v>879.54</v>
      </c>
      <c r="N953" s="11">
        <v>40</v>
      </c>
      <c r="O953" s="12">
        <v>23.99</v>
      </c>
      <c r="P953" s="12">
        <v>6.3</v>
      </c>
      <c r="Q953" s="13">
        <v>166.93</v>
      </c>
      <c r="R953" s="36" t="s">
        <v>1267</v>
      </c>
      <c r="S953" s="7">
        <f t="shared" si="74"/>
        <v>0</v>
      </c>
      <c r="T953" s="15" t="str">
        <f>VLOOKUP(R953,产品分类!$C$2:$D$1278,2,0)</f>
        <v>数码电子</v>
      </c>
    </row>
    <row r="954" spans="1:20">
      <c r="A954" s="8">
        <f>DATE(2012,12,31)-347</f>
        <v>40927</v>
      </c>
      <c r="B954" s="8">
        <f>DATE(2012,12,31)-347</f>
        <v>40927</v>
      </c>
      <c r="C954" s="9" t="s">
        <v>396</v>
      </c>
      <c r="D954">
        <v>10021325859</v>
      </c>
      <c r="E954" t="s">
        <v>47</v>
      </c>
      <c r="F954" t="s">
        <v>55</v>
      </c>
      <c r="G954" t="s">
        <v>56</v>
      </c>
      <c r="H954" t="s">
        <v>57</v>
      </c>
      <c r="I954" t="s">
        <v>58</v>
      </c>
      <c r="J954" t="s">
        <v>271</v>
      </c>
      <c r="K954" s="3">
        <v>100129221176</v>
      </c>
      <c r="L954" s="10">
        <v>40928</v>
      </c>
      <c r="M954">
        <v>8177.07</v>
      </c>
      <c r="N954" s="11">
        <v>46</v>
      </c>
      <c r="O954" s="12">
        <v>178.47</v>
      </c>
      <c r="P954" s="12">
        <v>19.99</v>
      </c>
      <c r="Q954" s="13">
        <v>2385.3</v>
      </c>
      <c r="R954" s="36" t="s">
        <v>249</v>
      </c>
      <c r="S954" s="7">
        <f t="shared" si="74"/>
        <v>1</v>
      </c>
      <c r="T954" s="15" t="str">
        <f>VLOOKUP(R954,产品分类!$C$2:$D$1278,2,0)</f>
        <v>办公用品</v>
      </c>
    </row>
    <row r="955" spans="1:20">
      <c r="A955" s="16">
        <f>DATE(2012,12,31)-387</f>
        <v>40887</v>
      </c>
      <c r="B955" s="16">
        <f>DATE(2012,12,31)-387</f>
        <v>40887</v>
      </c>
      <c r="C955" s="9" t="s">
        <v>1229</v>
      </c>
      <c r="D955">
        <v>10021272576</v>
      </c>
      <c r="E955" t="s">
        <v>47</v>
      </c>
      <c r="F955" t="s">
        <v>122</v>
      </c>
      <c r="G955" t="s">
        <v>123</v>
      </c>
      <c r="H955" t="s">
        <v>124</v>
      </c>
      <c r="I955" t="s">
        <v>125</v>
      </c>
      <c r="J955" t="s">
        <v>271</v>
      </c>
      <c r="K955" s="3">
        <v>100917665411</v>
      </c>
      <c r="L955" s="10">
        <v>40889</v>
      </c>
      <c r="M955">
        <v>294.52</v>
      </c>
      <c r="N955" s="17">
        <v>14</v>
      </c>
      <c r="O955" s="5">
        <v>21.78</v>
      </c>
      <c r="P955" s="5">
        <v>5.94</v>
      </c>
      <c r="Q955" s="6">
        <v>15.34</v>
      </c>
      <c r="R955" s="37" t="s">
        <v>276</v>
      </c>
      <c r="S955" s="7">
        <f t="shared" si="74"/>
        <v>2</v>
      </c>
      <c r="T955" s="15" t="str">
        <f>VLOOKUP(R955,产品分类!$C$2:$D$1278,2,0)</f>
        <v>办公用品</v>
      </c>
    </row>
    <row r="956" spans="1:20">
      <c r="A956" s="8">
        <f>DATE(2012,12,31)-941</f>
        <v>40333</v>
      </c>
      <c r="B956" s="8">
        <f>DATE(2012,12,31)-941</f>
        <v>40333</v>
      </c>
      <c r="C956" s="9" t="s">
        <v>1268</v>
      </c>
      <c r="D956">
        <v>10021394034</v>
      </c>
      <c r="E956" t="s">
        <v>47</v>
      </c>
      <c r="F956" t="s">
        <v>83</v>
      </c>
      <c r="G956" t="s">
        <v>84</v>
      </c>
      <c r="H956" t="s">
        <v>1259</v>
      </c>
      <c r="I956" t="s">
        <v>1260</v>
      </c>
      <c r="J956" t="s">
        <v>271</v>
      </c>
      <c r="K956" s="3">
        <v>100432918304</v>
      </c>
      <c r="L956" s="10">
        <v>40337</v>
      </c>
      <c r="M956">
        <v>436.17</v>
      </c>
      <c r="N956" s="11">
        <v>40</v>
      </c>
      <c r="O956" s="12">
        <v>10.9</v>
      </c>
      <c r="P956" s="12">
        <v>7.46</v>
      </c>
      <c r="Q956" s="13">
        <v>-141.27</v>
      </c>
      <c r="R956" s="36" t="s">
        <v>985</v>
      </c>
      <c r="S956" s="7">
        <f t="shared" si="74"/>
        <v>4</v>
      </c>
      <c r="T956" s="15" t="str">
        <f>VLOOKUP(R956,产品分类!$C$2:$D$1278,2,0)</f>
        <v>数码电子</v>
      </c>
    </row>
    <row r="957" spans="1:20">
      <c r="A957" s="8">
        <f>DATE(2012,12,31)-549</f>
        <v>40725</v>
      </c>
      <c r="B957" s="8">
        <f>DATE(2012,12,31)-549</f>
        <v>40725</v>
      </c>
      <c r="C957" s="9" t="s">
        <v>1269</v>
      </c>
      <c r="D957">
        <v>10021435984</v>
      </c>
      <c r="E957" t="s">
        <v>47</v>
      </c>
      <c r="F957" t="s">
        <v>61</v>
      </c>
      <c r="G957" t="s">
        <v>62</v>
      </c>
      <c r="H957" t="s">
        <v>1077</v>
      </c>
      <c r="I957" t="s">
        <v>1078</v>
      </c>
      <c r="J957" t="s">
        <v>271</v>
      </c>
      <c r="K957" s="3">
        <v>100117580577</v>
      </c>
      <c r="L957" s="10">
        <v>40727</v>
      </c>
      <c r="M957">
        <v>1559.5</v>
      </c>
      <c r="N957" s="11">
        <v>38</v>
      </c>
      <c r="O957" s="12">
        <v>39.48</v>
      </c>
      <c r="P957" s="12">
        <v>1.99</v>
      </c>
      <c r="Q957" s="13">
        <v>515.83</v>
      </c>
      <c r="R957" s="36" t="s">
        <v>235</v>
      </c>
      <c r="S957" s="7">
        <f t="shared" si="74"/>
        <v>2</v>
      </c>
      <c r="T957" s="15" t="str">
        <f>VLOOKUP(R957,产品分类!$C$2:$D$1278,2,0)</f>
        <v>办公用品</v>
      </c>
    </row>
    <row r="958" spans="1:20">
      <c r="A958" s="8">
        <f>DATE(2012,12,31)-531</f>
        <v>40743</v>
      </c>
      <c r="B958" s="8">
        <f>DATE(2012,12,31)-531</f>
        <v>40743</v>
      </c>
      <c r="C958" s="9" t="s">
        <v>1270</v>
      </c>
      <c r="D958">
        <v>10021326324</v>
      </c>
      <c r="E958" t="s">
        <v>47</v>
      </c>
      <c r="F958" t="s">
        <v>78</v>
      </c>
      <c r="G958" t="s">
        <v>79</v>
      </c>
      <c r="H958" t="s">
        <v>1264</v>
      </c>
      <c r="I958" t="s">
        <v>79</v>
      </c>
      <c r="J958" t="s">
        <v>271</v>
      </c>
      <c r="K958" s="3">
        <v>100829318052</v>
      </c>
      <c r="L958" s="10">
        <v>40745</v>
      </c>
      <c r="M958">
        <v>520.49</v>
      </c>
      <c r="N958" s="11">
        <v>9</v>
      </c>
      <c r="O958" s="12">
        <v>51.65</v>
      </c>
      <c r="P958" s="12">
        <v>18.45</v>
      </c>
      <c r="Q958" s="13">
        <v>-51.01</v>
      </c>
      <c r="R958" s="36" t="s">
        <v>1271</v>
      </c>
      <c r="S958" s="7">
        <f t="shared" si="74"/>
        <v>2</v>
      </c>
      <c r="T958" s="15" t="str">
        <f>VLOOKUP(R958,产品分类!$C$2:$D$1278,2,0)</f>
        <v>数码电子</v>
      </c>
    </row>
    <row r="959" spans="1:20">
      <c r="A959" s="8">
        <f>DATE(2012,12,31)-753</f>
        <v>40521</v>
      </c>
      <c r="B959" s="8">
        <f>DATE(2012,12,31)-753</f>
        <v>40521</v>
      </c>
      <c r="C959" s="9" t="s">
        <v>1272</v>
      </c>
      <c r="D959">
        <v>10021361033</v>
      </c>
      <c r="E959" t="s">
        <v>47</v>
      </c>
      <c r="F959" t="s">
        <v>102</v>
      </c>
      <c r="G959" t="s">
        <v>103</v>
      </c>
      <c r="H959" t="s">
        <v>1217</v>
      </c>
      <c r="I959" t="s">
        <v>1218</v>
      </c>
      <c r="J959" t="s">
        <v>271</v>
      </c>
      <c r="K959" s="3">
        <v>100332509489</v>
      </c>
      <c r="L959" s="10">
        <v>40522</v>
      </c>
      <c r="M959">
        <v>1143.88</v>
      </c>
      <c r="N959" s="11">
        <v>15</v>
      </c>
      <c r="O959" s="12">
        <v>73.98</v>
      </c>
      <c r="P959" s="12">
        <v>4</v>
      </c>
      <c r="Q959" s="13">
        <v>-88.7</v>
      </c>
      <c r="R959" s="36" t="s">
        <v>885</v>
      </c>
      <c r="S959" s="7">
        <f t="shared" si="74"/>
        <v>1</v>
      </c>
      <c r="T959" s="15" t="str">
        <f>VLOOKUP(R959,产品分类!$C$2:$D$1278,2,0)</f>
        <v>办公用品</v>
      </c>
    </row>
    <row r="960" spans="1:20">
      <c r="A960" s="8">
        <f>DATE(2012,12,31)-280</f>
        <v>40994</v>
      </c>
      <c r="B960" s="8">
        <f>DATE(2012,12,31)-280</f>
        <v>40994</v>
      </c>
      <c r="C960" s="9" t="s">
        <v>1273</v>
      </c>
      <c r="D960">
        <v>10021338891</v>
      </c>
      <c r="E960" t="s">
        <v>47</v>
      </c>
      <c r="F960" t="s">
        <v>152</v>
      </c>
      <c r="G960" t="s">
        <v>153</v>
      </c>
      <c r="H960" t="s">
        <v>1136</v>
      </c>
      <c r="I960" t="s">
        <v>1137</v>
      </c>
      <c r="J960" t="s">
        <v>271</v>
      </c>
      <c r="K960" s="3">
        <v>100924540041</v>
      </c>
      <c r="L960" s="10">
        <v>40996</v>
      </c>
      <c r="M960">
        <v>187.3995</v>
      </c>
      <c r="N960" s="11">
        <v>4</v>
      </c>
      <c r="O960" s="12">
        <v>55.99</v>
      </c>
      <c r="P960" s="12">
        <v>3.3</v>
      </c>
      <c r="Q960" s="13">
        <v>-225.302</v>
      </c>
      <c r="R960" s="36" t="s">
        <v>1274</v>
      </c>
      <c r="S960" s="7">
        <f t="shared" si="74"/>
        <v>2</v>
      </c>
      <c r="T960" s="15" t="str">
        <f>VLOOKUP(R960,产品分类!$C$2:$D$1278,2,0)</f>
        <v>家具产品</v>
      </c>
    </row>
    <row r="961" spans="1:20">
      <c r="A961" s="8">
        <f>DATE(2012,12,31)-753</f>
        <v>40521</v>
      </c>
      <c r="B961" s="8">
        <f>DATE(2012,12,31)-753</f>
        <v>40521</v>
      </c>
      <c r="C961" s="9" t="s">
        <v>264</v>
      </c>
      <c r="D961">
        <v>10021336199</v>
      </c>
      <c r="E961" t="s">
        <v>47</v>
      </c>
      <c r="F961" t="s">
        <v>48</v>
      </c>
      <c r="G961" t="s">
        <v>49</v>
      </c>
      <c r="H961" t="s">
        <v>50</v>
      </c>
      <c r="I961" t="s">
        <v>51</v>
      </c>
      <c r="J961" t="s">
        <v>271</v>
      </c>
      <c r="K961" s="3">
        <v>100915851281</v>
      </c>
      <c r="L961" s="10">
        <v>40522</v>
      </c>
      <c r="M961">
        <v>371.95</v>
      </c>
      <c r="N961" s="11">
        <v>47</v>
      </c>
      <c r="O961" s="12">
        <v>8.12</v>
      </c>
      <c r="P961" s="12">
        <v>2.83</v>
      </c>
      <c r="Q961" s="13">
        <v>-87.4</v>
      </c>
      <c r="R961" s="36" t="s">
        <v>923</v>
      </c>
      <c r="S961" s="7">
        <f t="shared" si="74"/>
        <v>1</v>
      </c>
      <c r="T961" s="15" t="str">
        <f>VLOOKUP(R961,产品分类!$C$2:$D$1278,2,0)</f>
        <v>办公用品</v>
      </c>
    </row>
    <row r="962" spans="1:20">
      <c r="A962" s="8">
        <f>DATE(2012,12,31)-1403</f>
        <v>39871</v>
      </c>
      <c r="B962" s="8">
        <f>DATE(2012,12,31)-1403</f>
        <v>39871</v>
      </c>
      <c r="C962" s="9" t="s">
        <v>111</v>
      </c>
      <c r="D962">
        <v>10021267536</v>
      </c>
      <c r="E962" t="s">
        <v>47</v>
      </c>
      <c r="F962" t="s">
        <v>66</v>
      </c>
      <c r="G962" t="s">
        <v>67</v>
      </c>
      <c r="H962" t="s">
        <v>68</v>
      </c>
      <c r="I962" t="s">
        <v>69</v>
      </c>
      <c r="J962" t="s">
        <v>271</v>
      </c>
      <c r="K962" s="3">
        <v>100432098404</v>
      </c>
      <c r="L962" s="10">
        <v>39872</v>
      </c>
      <c r="M962">
        <v>334.89</v>
      </c>
      <c r="N962" s="11">
        <v>28</v>
      </c>
      <c r="O962" s="12">
        <v>11.99</v>
      </c>
      <c r="P962" s="12">
        <v>5.99</v>
      </c>
      <c r="Q962" s="13">
        <v>-1.4355</v>
      </c>
      <c r="R962" s="36" t="s">
        <v>1275</v>
      </c>
      <c r="S962" s="7">
        <f t="shared" si="74"/>
        <v>1</v>
      </c>
      <c r="T962" s="15" t="str">
        <f>VLOOKUP(R962,产品分类!$C$2:$D$1278,2,0)</f>
        <v>家具产品</v>
      </c>
    </row>
    <row r="963" spans="1:20">
      <c r="A963" s="8">
        <f>DATE(2012,12,31)-1047</f>
        <v>40227</v>
      </c>
      <c r="B963" s="8">
        <f>DATE(2012,12,31)-1047</f>
        <v>40227</v>
      </c>
      <c r="C963" s="9" t="s">
        <v>1276</v>
      </c>
      <c r="D963">
        <v>10021352977</v>
      </c>
      <c r="E963" t="s">
        <v>47</v>
      </c>
      <c r="F963" t="s">
        <v>72</v>
      </c>
      <c r="G963" t="s">
        <v>73</v>
      </c>
      <c r="H963" t="s">
        <v>1035</v>
      </c>
      <c r="I963" t="s">
        <v>1036</v>
      </c>
      <c r="J963" t="s">
        <v>271</v>
      </c>
      <c r="K963" s="3">
        <v>100932549701</v>
      </c>
      <c r="L963" s="10">
        <v>40228</v>
      </c>
      <c r="M963">
        <v>136.29</v>
      </c>
      <c r="N963" s="11">
        <v>18</v>
      </c>
      <c r="O963" s="12">
        <v>7.3</v>
      </c>
      <c r="P963" s="12">
        <v>7.72</v>
      </c>
      <c r="Q963" s="13">
        <v>-77.28</v>
      </c>
      <c r="R963" s="36" t="s">
        <v>295</v>
      </c>
      <c r="S963" s="7">
        <f t="shared" ref="S963:S1026" si="77">+L963-B963</f>
        <v>1</v>
      </c>
      <c r="T963" s="15" t="str">
        <f>VLOOKUP(R963,产品分类!$C$2:$D$1278,2,0)</f>
        <v>办公用品</v>
      </c>
    </row>
    <row r="964" spans="1:20">
      <c r="A964" s="8">
        <f t="shared" ref="A964:B966" si="78">DATE(2012,12,31)-411</f>
        <v>40863</v>
      </c>
      <c r="B964" s="8">
        <f t="shared" si="78"/>
        <v>40863</v>
      </c>
      <c r="C964" s="9" t="s">
        <v>940</v>
      </c>
      <c r="D964">
        <v>10021347783</v>
      </c>
      <c r="E964" t="s">
        <v>47</v>
      </c>
      <c r="F964" t="s">
        <v>72</v>
      </c>
      <c r="G964" t="s">
        <v>73</v>
      </c>
      <c r="H964" t="s">
        <v>1035</v>
      </c>
      <c r="I964" t="s">
        <v>1036</v>
      </c>
      <c r="J964" t="s">
        <v>271</v>
      </c>
      <c r="K964" s="3">
        <v>100131300517</v>
      </c>
      <c r="L964" s="10">
        <v>40865</v>
      </c>
      <c r="M964">
        <v>1311.25</v>
      </c>
      <c r="N964" s="11">
        <v>32</v>
      </c>
      <c r="O964" s="12">
        <v>39.48</v>
      </c>
      <c r="P964" s="12">
        <v>1.99</v>
      </c>
      <c r="Q964" s="13">
        <v>407.44</v>
      </c>
      <c r="R964" s="36" t="s">
        <v>235</v>
      </c>
      <c r="S964" s="7">
        <f t="shared" si="77"/>
        <v>2</v>
      </c>
      <c r="T964" s="15" t="str">
        <f>VLOOKUP(R964,产品分类!$C$2:$D$1278,2,0)</f>
        <v>办公用品</v>
      </c>
    </row>
    <row r="965" spans="1:20">
      <c r="A965" s="8">
        <f t="shared" si="78"/>
        <v>40863</v>
      </c>
      <c r="B965" s="8">
        <f t="shared" si="78"/>
        <v>40863</v>
      </c>
      <c r="C965" s="9" t="s">
        <v>940</v>
      </c>
      <c r="D965">
        <v>10021270111</v>
      </c>
      <c r="E965" t="s">
        <v>47</v>
      </c>
      <c r="F965" t="s">
        <v>72</v>
      </c>
      <c r="G965" t="s">
        <v>73</v>
      </c>
      <c r="H965" t="s">
        <v>1035</v>
      </c>
      <c r="I965" t="s">
        <v>1036</v>
      </c>
      <c r="J965" t="s">
        <v>271</v>
      </c>
      <c r="K965" s="3">
        <v>100332475199</v>
      </c>
      <c r="L965" s="10">
        <v>40865</v>
      </c>
      <c r="M965">
        <v>544.41</v>
      </c>
      <c r="N965" s="11">
        <v>5</v>
      </c>
      <c r="O965" s="12">
        <v>100.98</v>
      </c>
      <c r="P965" s="12">
        <v>57.38</v>
      </c>
      <c r="Q965" s="13">
        <v>-338.27</v>
      </c>
      <c r="R965" s="36" t="s">
        <v>661</v>
      </c>
      <c r="S965" s="7">
        <f t="shared" si="77"/>
        <v>2</v>
      </c>
      <c r="T965" s="15" t="str">
        <f>VLOOKUP(R965,产品分类!$C$2:$D$1278,2,0)</f>
        <v>办公用品</v>
      </c>
    </row>
    <row r="966" spans="1:20">
      <c r="A966" s="8">
        <f t="shared" si="78"/>
        <v>40863</v>
      </c>
      <c r="B966" s="8">
        <f t="shared" si="78"/>
        <v>40863</v>
      </c>
      <c r="C966" s="9" t="s">
        <v>940</v>
      </c>
      <c r="D966">
        <v>10021334225</v>
      </c>
      <c r="E966" t="s">
        <v>47</v>
      </c>
      <c r="F966" t="s">
        <v>72</v>
      </c>
      <c r="G966" t="s">
        <v>73</v>
      </c>
      <c r="H966" t="s">
        <v>1277</v>
      </c>
      <c r="I966" t="s">
        <v>1278</v>
      </c>
      <c r="J966" t="s">
        <v>271</v>
      </c>
      <c r="K966" s="3">
        <v>10037663729</v>
      </c>
      <c r="L966" s="10">
        <v>40865</v>
      </c>
      <c r="M966">
        <v>844.09</v>
      </c>
      <c r="N966" s="11">
        <v>41</v>
      </c>
      <c r="O966" s="12">
        <v>19.98</v>
      </c>
      <c r="P966" s="12">
        <v>10.49</v>
      </c>
      <c r="Q966" s="13">
        <v>52.56</v>
      </c>
      <c r="R966" s="36" t="s">
        <v>932</v>
      </c>
      <c r="S966" s="7">
        <f t="shared" si="77"/>
        <v>2</v>
      </c>
      <c r="T966" s="15" t="str">
        <f>VLOOKUP(R966,产品分类!$C$2:$D$1278,2,0)</f>
        <v>数码电子</v>
      </c>
    </row>
    <row r="967" spans="1:20">
      <c r="A967" s="8">
        <f>DATE(2012,12,31)-811</f>
        <v>40463</v>
      </c>
      <c r="B967" s="8">
        <f>DATE(2012,12,31)-811</f>
        <v>40463</v>
      </c>
      <c r="C967" s="9" t="s">
        <v>182</v>
      </c>
      <c r="D967">
        <v>10021421806</v>
      </c>
      <c r="E967" t="s">
        <v>47</v>
      </c>
      <c r="F967" t="s">
        <v>72</v>
      </c>
      <c r="G967" t="s">
        <v>73</v>
      </c>
      <c r="H967" t="s">
        <v>1277</v>
      </c>
      <c r="I967" t="s">
        <v>1278</v>
      </c>
      <c r="J967" t="s">
        <v>271</v>
      </c>
      <c r="K967" s="3">
        <v>100426255064</v>
      </c>
      <c r="L967" s="10">
        <v>40465</v>
      </c>
      <c r="M967">
        <v>1880.8</v>
      </c>
      <c r="N967" s="11">
        <v>47</v>
      </c>
      <c r="O967" s="12">
        <v>40.98</v>
      </c>
      <c r="P967" s="12">
        <v>1.99</v>
      </c>
      <c r="Q967" s="13">
        <v>775.88</v>
      </c>
      <c r="R967" s="36" t="s">
        <v>541</v>
      </c>
      <c r="S967" s="7">
        <f t="shared" si="77"/>
        <v>2</v>
      </c>
      <c r="T967" s="15" t="str">
        <f>VLOOKUP(R967,产品分类!$C$2:$D$1278,2,0)</f>
        <v>办公用品</v>
      </c>
    </row>
    <row r="968" spans="1:20">
      <c r="A968" s="8">
        <f>DATE(2012,12,31)-811</f>
        <v>40463</v>
      </c>
      <c r="B968" s="8">
        <f>DATE(2012,12,31)-811</f>
        <v>40463</v>
      </c>
      <c r="C968" s="9" t="s">
        <v>182</v>
      </c>
      <c r="D968">
        <v>10021417127</v>
      </c>
      <c r="E968" t="s">
        <v>47</v>
      </c>
      <c r="F968" t="s">
        <v>72</v>
      </c>
      <c r="G968" t="s">
        <v>73</v>
      </c>
      <c r="H968" t="s">
        <v>1277</v>
      </c>
      <c r="I968" t="s">
        <v>1278</v>
      </c>
      <c r="J968" t="s">
        <v>271</v>
      </c>
      <c r="K968" s="3">
        <v>100415756493</v>
      </c>
      <c r="L968" s="10">
        <v>40464</v>
      </c>
      <c r="M968">
        <v>7143.927</v>
      </c>
      <c r="N968" s="11">
        <v>42</v>
      </c>
      <c r="O968" s="12">
        <v>195.99</v>
      </c>
      <c r="P968" s="12">
        <v>4.2</v>
      </c>
      <c r="Q968" s="13">
        <v>2374.731</v>
      </c>
      <c r="R968" s="36" t="s">
        <v>1279</v>
      </c>
      <c r="S968" s="7">
        <f t="shared" si="77"/>
        <v>1</v>
      </c>
      <c r="T968" s="15" t="str">
        <f>VLOOKUP(R968,产品分类!$C$2:$D$1278,2,0)</f>
        <v>家具产品</v>
      </c>
    </row>
    <row r="969" spans="1:20">
      <c r="A969" s="8">
        <f>DATE(2012,12,31)-358</f>
        <v>40916</v>
      </c>
      <c r="B969" s="8">
        <f>DATE(2012,12,31)-358</f>
        <v>40916</v>
      </c>
      <c r="C969" s="9" t="s">
        <v>1280</v>
      </c>
      <c r="D969">
        <v>10021349609</v>
      </c>
      <c r="E969" t="s">
        <v>47</v>
      </c>
      <c r="F969" t="s">
        <v>230</v>
      </c>
      <c r="G969" t="s">
        <v>231</v>
      </c>
      <c r="H969" t="s">
        <v>1186</v>
      </c>
      <c r="I969" t="s">
        <v>1187</v>
      </c>
      <c r="J969" t="s">
        <v>668</v>
      </c>
      <c r="K969" s="3">
        <v>100731882305</v>
      </c>
      <c r="L969" s="10">
        <v>40918</v>
      </c>
      <c r="M969">
        <v>1187.864</v>
      </c>
      <c r="N969" s="11">
        <v>4</v>
      </c>
      <c r="O969" s="12">
        <v>376.13</v>
      </c>
      <c r="P969" s="12">
        <v>85.63</v>
      </c>
      <c r="Q969" s="13">
        <v>-347.16</v>
      </c>
      <c r="R969" s="36" t="s">
        <v>1213</v>
      </c>
      <c r="S969" s="7">
        <f t="shared" si="77"/>
        <v>2</v>
      </c>
      <c r="T969" s="15" t="str">
        <f>VLOOKUP(R969,产品分类!$C$2:$D$1278,2,0)</f>
        <v>办公用品</v>
      </c>
    </row>
    <row r="970" spans="1:20">
      <c r="A970" s="8">
        <f>DATE(2012,12,31)-1436</f>
        <v>39838</v>
      </c>
      <c r="B970" s="8">
        <f>DATE(2012,12,31)-1436</f>
        <v>39838</v>
      </c>
      <c r="C970" s="9" t="s">
        <v>1054</v>
      </c>
      <c r="D970">
        <v>10021334802</v>
      </c>
      <c r="E970" t="s">
        <v>47</v>
      </c>
      <c r="F970" t="s">
        <v>230</v>
      </c>
      <c r="G970" t="s">
        <v>231</v>
      </c>
      <c r="H970" t="s">
        <v>1186</v>
      </c>
      <c r="I970" t="s">
        <v>1187</v>
      </c>
      <c r="J970" t="s">
        <v>668</v>
      </c>
      <c r="K970" s="3">
        <v>100116678697</v>
      </c>
      <c r="L970" s="10">
        <v>39839</v>
      </c>
      <c r="M970">
        <v>11.08</v>
      </c>
      <c r="N970" s="11">
        <v>4</v>
      </c>
      <c r="O970" s="12">
        <v>1.74</v>
      </c>
      <c r="P970" s="12">
        <v>4.08</v>
      </c>
      <c r="Q970" s="13">
        <v>-8.93</v>
      </c>
      <c r="R970" s="36" t="s">
        <v>980</v>
      </c>
      <c r="S970" s="7">
        <f t="shared" si="77"/>
        <v>1</v>
      </c>
      <c r="T970" s="15" t="str">
        <f>VLOOKUP(R970,产品分类!$C$2:$D$1278,2,0)</f>
        <v>办公用品</v>
      </c>
    </row>
    <row r="971" spans="1:20">
      <c r="A971" s="16">
        <f>DATE(2012,12,31)-331</f>
        <v>40943</v>
      </c>
      <c r="B971" s="16">
        <f>DATE(2012,12,31)-331</f>
        <v>40943</v>
      </c>
      <c r="C971" s="9" t="s">
        <v>1185</v>
      </c>
      <c r="D971">
        <v>10021424385</v>
      </c>
      <c r="E971" t="s">
        <v>47</v>
      </c>
      <c r="F971" t="s">
        <v>78</v>
      </c>
      <c r="G971" t="s">
        <v>79</v>
      </c>
      <c r="H971" t="s">
        <v>1264</v>
      </c>
      <c r="I971" t="s">
        <v>79</v>
      </c>
      <c r="J971" t="s">
        <v>668</v>
      </c>
      <c r="K971" s="3">
        <v>100128826266</v>
      </c>
      <c r="L971" s="10">
        <v>40943</v>
      </c>
      <c r="M971">
        <v>258.61</v>
      </c>
      <c r="N971" s="17">
        <v>29</v>
      </c>
      <c r="O971" s="5">
        <v>8.85</v>
      </c>
      <c r="P971" s="5">
        <v>5.6</v>
      </c>
      <c r="Q971" s="6">
        <v>-15.962</v>
      </c>
      <c r="R971" s="37" t="s">
        <v>1281</v>
      </c>
      <c r="S971" s="7">
        <f t="shared" si="77"/>
        <v>0</v>
      </c>
      <c r="T971" s="15" t="str">
        <f>VLOOKUP(R971,产品分类!$C$2:$D$1278,2,0)</f>
        <v>办公用品</v>
      </c>
    </row>
    <row r="972" spans="1:20">
      <c r="A972" s="16">
        <f>DATE(2012,12,31)-448</f>
        <v>40826</v>
      </c>
      <c r="B972" s="16">
        <f>DATE(2012,12,31)-448</f>
        <v>40826</v>
      </c>
      <c r="C972" s="9" t="s">
        <v>1149</v>
      </c>
      <c r="D972">
        <v>10021296239</v>
      </c>
      <c r="E972" t="s">
        <v>47</v>
      </c>
      <c r="F972" t="s">
        <v>473</v>
      </c>
      <c r="G972" t="s">
        <v>474</v>
      </c>
      <c r="H972" t="s">
        <v>475</v>
      </c>
      <c r="I972" t="s">
        <v>476</v>
      </c>
      <c r="J972" t="s">
        <v>668</v>
      </c>
      <c r="K972" s="3">
        <v>100121181278</v>
      </c>
      <c r="L972" s="10">
        <v>40828</v>
      </c>
      <c r="M972">
        <v>241.89</v>
      </c>
      <c r="N972" s="17">
        <v>15</v>
      </c>
      <c r="O972" s="5">
        <v>15.42</v>
      </c>
      <c r="P972" s="5">
        <v>10.68</v>
      </c>
      <c r="Q972" s="6">
        <v>-83.3</v>
      </c>
      <c r="R972" s="37" t="s">
        <v>165</v>
      </c>
      <c r="S972" s="7">
        <f t="shared" si="77"/>
        <v>2</v>
      </c>
      <c r="T972" s="15" t="str">
        <f>VLOOKUP(R972,产品分类!$C$2:$D$1278,2,0)</f>
        <v>办公用品</v>
      </c>
    </row>
    <row r="973" spans="1:20">
      <c r="A973" s="16">
        <f>DATE(2012,12,31)-448</f>
        <v>40826</v>
      </c>
      <c r="B973" s="16">
        <f>DATE(2012,12,31)-448</f>
        <v>40826</v>
      </c>
      <c r="C973" s="9" t="s">
        <v>1149</v>
      </c>
      <c r="D973">
        <v>10021286546</v>
      </c>
      <c r="E973" t="s">
        <v>47</v>
      </c>
      <c r="F973" t="s">
        <v>473</v>
      </c>
      <c r="G973" t="s">
        <v>474</v>
      </c>
      <c r="H973" t="s">
        <v>475</v>
      </c>
      <c r="I973" t="s">
        <v>476</v>
      </c>
      <c r="J973" t="s">
        <v>668</v>
      </c>
      <c r="K973" s="3">
        <v>100118100677</v>
      </c>
      <c r="L973" s="10">
        <v>40830</v>
      </c>
      <c r="M973">
        <v>83.34</v>
      </c>
      <c r="N973" s="17">
        <v>43</v>
      </c>
      <c r="O973" s="5">
        <v>1.86</v>
      </c>
      <c r="P973" s="5">
        <v>2.58</v>
      </c>
      <c r="Q973" s="6">
        <v>-93.18</v>
      </c>
      <c r="R973" s="37" t="s">
        <v>109</v>
      </c>
      <c r="S973" s="7">
        <f t="shared" si="77"/>
        <v>4</v>
      </c>
      <c r="T973" s="15" t="str">
        <f>VLOOKUP(R973,产品分类!$C$2:$D$1278,2,0)</f>
        <v>数码电子</v>
      </c>
    </row>
    <row r="974" spans="1:20">
      <c r="A974" s="8">
        <f>DATE(2012,12,31)-376</f>
        <v>40898</v>
      </c>
      <c r="B974" s="8">
        <f>DATE(2012,12,31)-376</f>
        <v>40898</v>
      </c>
      <c r="C974" s="9" t="s">
        <v>1282</v>
      </c>
      <c r="D974">
        <v>10021432009</v>
      </c>
      <c r="E974" t="s">
        <v>47</v>
      </c>
      <c r="F974" t="s">
        <v>122</v>
      </c>
      <c r="G974" t="s">
        <v>123</v>
      </c>
      <c r="H974" t="s">
        <v>124</v>
      </c>
      <c r="I974" t="s">
        <v>125</v>
      </c>
      <c r="J974" t="s">
        <v>668</v>
      </c>
      <c r="K974" s="3">
        <v>100932276181</v>
      </c>
      <c r="L974" s="10">
        <v>40900</v>
      </c>
      <c r="M974">
        <v>304.52</v>
      </c>
      <c r="N974" s="11">
        <v>14</v>
      </c>
      <c r="O974" s="12">
        <v>21.78</v>
      </c>
      <c r="P974" s="12">
        <v>5.94</v>
      </c>
      <c r="Q974" s="13">
        <v>25.34</v>
      </c>
      <c r="R974" s="36" t="s">
        <v>276</v>
      </c>
      <c r="S974" s="7">
        <f t="shared" si="77"/>
        <v>2</v>
      </c>
      <c r="T974" s="15" t="str">
        <f>VLOOKUP(R974,产品分类!$C$2:$D$1278,2,0)</f>
        <v>办公用品</v>
      </c>
    </row>
    <row r="975" spans="1:20">
      <c r="A975" s="8">
        <f t="shared" ref="A975:B978" si="79">DATE(2012,12,31)-995</f>
        <v>40279</v>
      </c>
      <c r="B975" s="8">
        <f t="shared" si="79"/>
        <v>40279</v>
      </c>
      <c r="C975" s="9" t="s">
        <v>229</v>
      </c>
      <c r="D975">
        <v>10021248621</v>
      </c>
      <c r="E975" t="s">
        <v>47</v>
      </c>
      <c r="F975" t="s">
        <v>122</v>
      </c>
      <c r="G975" t="s">
        <v>123</v>
      </c>
      <c r="H975" t="s">
        <v>124</v>
      </c>
      <c r="I975" t="s">
        <v>125</v>
      </c>
      <c r="J975" t="s">
        <v>668</v>
      </c>
      <c r="K975" s="3">
        <v>10043218484</v>
      </c>
      <c r="L975" s="10">
        <v>40281</v>
      </c>
      <c r="M975">
        <v>112.12</v>
      </c>
      <c r="N975" s="11">
        <v>9</v>
      </c>
      <c r="O975" s="12">
        <v>11.33</v>
      </c>
      <c r="P975" s="12">
        <v>6.12</v>
      </c>
      <c r="Q975" s="13">
        <v>-8.45</v>
      </c>
      <c r="R975" s="36" t="s">
        <v>1093</v>
      </c>
      <c r="S975" s="7">
        <f t="shared" si="77"/>
        <v>2</v>
      </c>
      <c r="T975" s="15" t="str">
        <f>VLOOKUP(R975,产品分类!$C$2:$D$1278,2,0)</f>
        <v>家具产品</v>
      </c>
    </row>
    <row r="976" spans="1:20">
      <c r="A976" s="8">
        <f t="shared" si="79"/>
        <v>40279</v>
      </c>
      <c r="B976" s="8">
        <f t="shared" si="79"/>
        <v>40279</v>
      </c>
      <c r="C976" s="9" t="s">
        <v>229</v>
      </c>
      <c r="D976">
        <v>10021267604</v>
      </c>
      <c r="E976" t="s">
        <v>47</v>
      </c>
      <c r="F976" t="s">
        <v>91</v>
      </c>
      <c r="G976" t="s">
        <v>92</v>
      </c>
      <c r="H976" t="s">
        <v>774</v>
      </c>
      <c r="I976" t="s">
        <v>775</v>
      </c>
      <c r="J976" t="s">
        <v>668</v>
      </c>
      <c r="K976" s="3">
        <v>100132101166</v>
      </c>
      <c r="L976" s="10">
        <v>40280</v>
      </c>
      <c r="M976">
        <v>49.58</v>
      </c>
      <c r="N976" s="11">
        <v>11</v>
      </c>
      <c r="O976" s="12">
        <v>3.36</v>
      </c>
      <c r="P976" s="12">
        <v>6.27</v>
      </c>
      <c r="Q976" s="13">
        <v>-47.0235</v>
      </c>
      <c r="R976" s="36" t="s">
        <v>690</v>
      </c>
      <c r="S976" s="7">
        <f t="shared" si="77"/>
        <v>1</v>
      </c>
      <c r="T976" s="15" t="str">
        <f>VLOOKUP(R976,产品分类!$C$2:$D$1278,2,0)</f>
        <v>办公用品</v>
      </c>
    </row>
    <row r="977" spans="1:20">
      <c r="A977" s="8">
        <f t="shared" si="79"/>
        <v>40279</v>
      </c>
      <c r="B977" s="8">
        <f t="shared" si="79"/>
        <v>40279</v>
      </c>
      <c r="C977" s="9" t="s">
        <v>229</v>
      </c>
      <c r="D977">
        <v>10021347121</v>
      </c>
      <c r="E977" t="s">
        <v>47</v>
      </c>
      <c r="F977" t="s">
        <v>91</v>
      </c>
      <c r="G977" t="s">
        <v>92</v>
      </c>
      <c r="H977" t="s">
        <v>774</v>
      </c>
      <c r="I977" t="s">
        <v>775</v>
      </c>
      <c r="J977" t="s">
        <v>668</v>
      </c>
      <c r="K977" s="3">
        <v>100929416071</v>
      </c>
      <c r="L977" s="10">
        <v>40281</v>
      </c>
      <c r="M977">
        <v>1939.65</v>
      </c>
      <c r="N977" s="11">
        <v>16</v>
      </c>
      <c r="O977" s="12">
        <v>122.99</v>
      </c>
      <c r="P977" s="12">
        <v>70.2</v>
      </c>
      <c r="Q977" s="13">
        <v>-885.73</v>
      </c>
      <c r="R977" s="36" t="s">
        <v>860</v>
      </c>
      <c r="S977" s="7">
        <f t="shared" si="77"/>
        <v>2</v>
      </c>
      <c r="T977" s="15" t="str">
        <f>VLOOKUP(R977,产品分类!$C$2:$D$1278,2,0)</f>
        <v>办公用品</v>
      </c>
    </row>
    <row r="978" spans="1:20">
      <c r="A978" s="8">
        <f t="shared" si="79"/>
        <v>40279</v>
      </c>
      <c r="B978" s="8">
        <f t="shared" si="79"/>
        <v>40279</v>
      </c>
      <c r="C978" s="9" t="s">
        <v>229</v>
      </c>
      <c r="D978">
        <v>10021248468</v>
      </c>
      <c r="E978" t="s">
        <v>47</v>
      </c>
      <c r="F978" t="s">
        <v>55</v>
      </c>
      <c r="G978" t="s">
        <v>56</v>
      </c>
      <c r="H978" t="s">
        <v>57</v>
      </c>
      <c r="I978" t="s">
        <v>58</v>
      </c>
      <c r="J978" t="s">
        <v>668</v>
      </c>
      <c r="K978" s="3">
        <v>10012307918</v>
      </c>
      <c r="L978" s="10">
        <v>40280</v>
      </c>
      <c r="M978">
        <v>465.52</v>
      </c>
      <c r="N978" s="11">
        <v>29</v>
      </c>
      <c r="O978" s="12">
        <v>14.98</v>
      </c>
      <c r="P978" s="12">
        <v>8.99</v>
      </c>
      <c r="Q978" s="13">
        <v>65.35</v>
      </c>
      <c r="R978" s="36" t="s">
        <v>757</v>
      </c>
      <c r="S978" s="7">
        <f t="shared" si="77"/>
        <v>1</v>
      </c>
      <c r="T978" s="15" t="str">
        <f>VLOOKUP(R978,产品分类!$C$2:$D$1278,2,0)</f>
        <v>办公用品</v>
      </c>
    </row>
    <row r="979" spans="1:20">
      <c r="A979" s="8">
        <f>DATE(2012,12,31)-1057</f>
        <v>40217</v>
      </c>
      <c r="B979" s="8">
        <f>DATE(2012,12,31)-1057</f>
        <v>40217</v>
      </c>
      <c r="C979" s="9" t="s">
        <v>701</v>
      </c>
      <c r="D979">
        <v>10021349884</v>
      </c>
      <c r="E979" t="s">
        <v>47</v>
      </c>
      <c r="F979" t="s">
        <v>208</v>
      </c>
      <c r="G979" t="s">
        <v>209</v>
      </c>
      <c r="H979" t="s">
        <v>210</v>
      </c>
      <c r="I979" t="s">
        <v>211</v>
      </c>
      <c r="J979" t="s">
        <v>668</v>
      </c>
      <c r="K979" s="3">
        <v>100432130344</v>
      </c>
      <c r="L979" s="10">
        <v>40218</v>
      </c>
      <c r="M979">
        <v>12296.49</v>
      </c>
      <c r="N979" s="11">
        <v>44</v>
      </c>
      <c r="O979" s="12">
        <v>280.98</v>
      </c>
      <c r="P979" s="12">
        <v>57</v>
      </c>
      <c r="Q979" s="13">
        <v>-416.7</v>
      </c>
      <c r="R979" s="36" t="s">
        <v>1283</v>
      </c>
      <c r="S979" s="7">
        <f t="shared" si="77"/>
        <v>1</v>
      </c>
      <c r="T979" s="15" t="str">
        <f>VLOOKUP(R979,产品分类!$C$2:$D$1278,2,0)</f>
        <v>办公用品</v>
      </c>
    </row>
    <row r="980" spans="1:20">
      <c r="A980" s="8">
        <f>DATE(2012,12,31)-1057</f>
        <v>40217</v>
      </c>
      <c r="B980" s="8">
        <f>DATE(2012,12,31)-1057</f>
        <v>40217</v>
      </c>
      <c r="C980" s="9" t="s">
        <v>701</v>
      </c>
      <c r="D980">
        <v>10021261262</v>
      </c>
      <c r="E980" t="s">
        <v>47</v>
      </c>
      <c r="F980" t="s">
        <v>208</v>
      </c>
      <c r="G980" t="s">
        <v>209</v>
      </c>
      <c r="H980" t="s">
        <v>210</v>
      </c>
      <c r="I980" t="s">
        <v>211</v>
      </c>
      <c r="J980" t="s">
        <v>668</v>
      </c>
      <c r="K980" s="3">
        <v>100129316027</v>
      </c>
      <c r="L980" s="10">
        <v>40219</v>
      </c>
      <c r="M980">
        <v>128.13</v>
      </c>
      <c r="N980" s="11">
        <v>18</v>
      </c>
      <c r="O980" s="12">
        <v>6.48</v>
      </c>
      <c r="P980" s="12">
        <v>5.94</v>
      </c>
      <c r="Q980" s="13">
        <v>-34.91</v>
      </c>
      <c r="R980" s="36" t="s">
        <v>1284</v>
      </c>
      <c r="S980" s="7">
        <f t="shared" si="77"/>
        <v>2</v>
      </c>
      <c r="T980" s="15" t="str">
        <f>VLOOKUP(R980,产品分类!$C$2:$D$1278,2,0)</f>
        <v>家具产品</v>
      </c>
    </row>
    <row r="981" spans="1:20">
      <c r="A981" s="8">
        <f>DATE(2012,12,31)-924</f>
        <v>40350</v>
      </c>
      <c r="B981" s="8">
        <f>DATE(2012,12,31)-924</f>
        <v>40350</v>
      </c>
      <c r="C981" s="9" t="s">
        <v>584</v>
      </c>
      <c r="D981">
        <v>10021372170</v>
      </c>
      <c r="E981" t="s">
        <v>47</v>
      </c>
      <c r="F981" t="s">
        <v>171</v>
      </c>
      <c r="G981" t="s">
        <v>172</v>
      </c>
      <c r="H981" t="s">
        <v>933</v>
      </c>
      <c r="I981" t="s">
        <v>934</v>
      </c>
      <c r="J981" t="s">
        <v>668</v>
      </c>
      <c r="K981" s="3">
        <v>100132551257</v>
      </c>
      <c r="L981" s="10">
        <v>40357</v>
      </c>
      <c r="M981">
        <v>77.19</v>
      </c>
      <c r="N981" s="11">
        <v>17</v>
      </c>
      <c r="O981" s="12">
        <v>4.06</v>
      </c>
      <c r="P981" s="12">
        <v>6.89</v>
      </c>
      <c r="Q981" s="13">
        <v>-81.35</v>
      </c>
      <c r="R981" s="36" t="s">
        <v>1285</v>
      </c>
      <c r="S981" s="7">
        <f t="shared" si="77"/>
        <v>7</v>
      </c>
      <c r="T981" s="15" t="str">
        <f>VLOOKUP(R981,产品分类!$C$2:$D$1278,2,0)</f>
        <v>办公用品</v>
      </c>
    </row>
    <row r="982" spans="1:20">
      <c r="A982" s="8">
        <f t="shared" ref="A982:B984" si="80">DATE(2012,12,31)-235</f>
        <v>41039</v>
      </c>
      <c r="B982" s="8">
        <f t="shared" si="80"/>
        <v>41039</v>
      </c>
      <c r="C982" s="9" t="s">
        <v>1286</v>
      </c>
      <c r="D982">
        <v>10021333022</v>
      </c>
      <c r="E982" t="s">
        <v>47</v>
      </c>
      <c r="F982" t="s">
        <v>171</v>
      </c>
      <c r="G982" t="s">
        <v>172</v>
      </c>
      <c r="H982" t="s">
        <v>933</v>
      </c>
      <c r="I982" t="s">
        <v>934</v>
      </c>
      <c r="J982" t="s">
        <v>668</v>
      </c>
      <c r="K982" s="3">
        <v>10074432575</v>
      </c>
      <c r="L982" s="10">
        <v>41041</v>
      </c>
      <c r="M982">
        <v>118.98</v>
      </c>
      <c r="N982" s="11">
        <v>8</v>
      </c>
      <c r="O982" s="12">
        <v>14.27</v>
      </c>
      <c r="P982" s="12">
        <v>7.27</v>
      </c>
      <c r="Q982" s="13">
        <v>-12.765</v>
      </c>
      <c r="R982" s="36" t="s">
        <v>1287</v>
      </c>
      <c r="S982" s="7">
        <f t="shared" si="77"/>
        <v>2</v>
      </c>
      <c r="T982" s="15" t="str">
        <f>VLOOKUP(R982,产品分类!$C$2:$D$1278,2,0)</f>
        <v>家具产品</v>
      </c>
    </row>
    <row r="983" spans="1:20">
      <c r="A983" s="8">
        <f t="shared" si="80"/>
        <v>41039</v>
      </c>
      <c r="B983" s="8">
        <f t="shared" si="80"/>
        <v>41039</v>
      </c>
      <c r="C983" s="9" t="s">
        <v>1286</v>
      </c>
      <c r="D983">
        <v>10021292693</v>
      </c>
      <c r="E983" t="s">
        <v>47</v>
      </c>
      <c r="F983" t="s">
        <v>527</v>
      </c>
      <c r="G983" t="s">
        <v>528</v>
      </c>
      <c r="H983" t="s">
        <v>529</v>
      </c>
      <c r="I983" t="s">
        <v>530</v>
      </c>
      <c r="J983" t="s">
        <v>668</v>
      </c>
      <c r="K983" s="3">
        <v>1009872201</v>
      </c>
      <c r="L983" s="10">
        <v>41041</v>
      </c>
      <c r="M983">
        <v>4910.09</v>
      </c>
      <c r="N983" s="11">
        <v>31</v>
      </c>
      <c r="O983" s="12">
        <v>159.99</v>
      </c>
      <c r="P983" s="12">
        <v>5.5</v>
      </c>
      <c r="Q983" s="13">
        <v>1669.38</v>
      </c>
      <c r="R983" s="36" t="s">
        <v>1288</v>
      </c>
      <c r="S983" s="7">
        <f t="shared" si="77"/>
        <v>2</v>
      </c>
      <c r="T983" s="15" t="str">
        <f>VLOOKUP(R983,产品分类!$C$2:$D$1278,2,0)</f>
        <v>数码电子</v>
      </c>
    </row>
    <row r="984" spans="1:20">
      <c r="A984" s="8">
        <f t="shared" si="80"/>
        <v>41039</v>
      </c>
      <c r="B984" s="8">
        <f t="shared" si="80"/>
        <v>41039</v>
      </c>
      <c r="C984" s="9" t="s">
        <v>1286</v>
      </c>
      <c r="D984">
        <v>10021352871</v>
      </c>
      <c r="E984" t="s">
        <v>47</v>
      </c>
      <c r="F984" t="s">
        <v>171</v>
      </c>
      <c r="G984" t="s">
        <v>172</v>
      </c>
      <c r="H984" t="s">
        <v>933</v>
      </c>
      <c r="I984" t="s">
        <v>934</v>
      </c>
      <c r="J984" t="s">
        <v>668</v>
      </c>
      <c r="K984" s="3">
        <v>100332546109</v>
      </c>
      <c r="L984" s="10">
        <v>41041</v>
      </c>
      <c r="M984">
        <v>1058.45</v>
      </c>
      <c r="N984" s="11">
        <v>36</v>
      </c>
      <c r="O984" s="12">
        <v>27.75</v>
      </c>
      <c r="P984" s="12">
        <v>19.99</v>
      </c>
      <c r="Q984" s="13">
        <v>-386.02</v>
      </c>
      <c r="R984" s="36" t="s">
        <v>1289</v>
      </c>
      <c r="S984" s="7">
        <f t="shared" si="77"/>
        <v>2</v>
      </c>
      <c r="T984" s="15" t="str">
        <f>VLOOKUP(R984,产品分类!$C$2:$D$1278,2,0)</f>
        <v>数码电子</v>
      </c>
    </row>
    <row r="985" spans="1:20">
      <c r="A985" s="8">
        <f t="shared" ref="A985:B987" si="81">DATE(2012,12,31)-362</f>
        <v>40912</v>
      </c>
      <c r="B985" s="8">
        <f t="shared" si="81"/>
        <v>40912</v>
      </c>
      <c r="C985" s="9" t="s">
        <v>1290</v>
      </c>
      <c r="D985">
        <v>10021292737</v>
      </c>
      <c r="E985" t="s">
        <v>47</v>
      </c>
      <c r="F985" t="s">
        <v>527</v>
      </c>
      <c r="G985" t="s">
        <v>528</v>
      </c>
      <c r="H985" t="s">
        <v>529</v>
      </c>
      <c r="I985" t="s">
        <v>530</v>
      </c>
      <c r="J985" t="s">
        <v>668</v>
      </c>
      <c r="K985" s="3">
        <v>10041202104</v>
      </c>
      <c r="L985" s="10">
        <v>40912</v>
      </c>
      <c r="M985">
        <v>172.04</v>
      </c>
      <c r="N985" s="11">
        <v>3</v>
      </c>
      <c r="O985" s="12">
        <v>54.2</v>
      </c>
      <c r="P985" s="12">
        <v>11.1</v>
      </c>
      <c r="Q985" s="13">
        <v>143.08</v>
      </c>
      <c r="R985" s="36" t="s">
        <v>1291</v>
      </c>
      <c r="S985" s="7">
        <f t="shared" si="77"/>
        <v>0</v>
      </c>
      <c r="T985" s="15" t="str">
        <f>VLOOKUP(R985,产品分类!$C$2:$D$1278,2,0)</f>
        <v>家具产品</v>
      </c>
    </row>
    <row r="986" spans="1:20">
      <c r="A986" s="8">
        <f t="shared" si="81"/>
        <v>40912</v>
      </c>
      <c r="B986" s="8">
        <f t="shared" si="81"/>
        <v>40912</v>
      </c>
      <c r="C986" s="9" t="s">
        <v>1290</v>
      </c>
      <c r="D986">
        <v>10021312538</v>
      </c>
      <c r="E986" t="s">
        <v>47</v>
      </c>
      <c r="F986" t="s">
        <v>177</v>
      </c>
      <c r="G986" t="s">
        <v>178</v>
      </c>
      <c r="H986" t="s">
        <v>1292</v>
      </c>
      <c r="I986" t="s">
        <v>1293</v>
      </c>
      <c r="J986" t="s">
        <v>668</v>
      </c>
      <c r="K986" s="3">
        <v>100131560438</v>
      </c>
      <c r="L986" s="10">
        <v>40914</v>
      </c>
      <c r="M986">
        <v>113.14</v>
      </c>
      <c r="N986" s="11">
        <v>3</v>
      </c>
      <c r="O986" s="12">
        <v>37.94</v>
      </c>
      <c r="P986" s="12">
        <v>5.08</v>
      </c>
      <c r="Q986" s="13">
        <v>-21.23</v>
      </c>
      <c r="R986" s="36" t="s">
        <v>947</v>
      </c>
      <c r="S986" s="7">
        <f t="shared" si="77"/>
        <v>2</v>
      </c>
      <c r="T986" s="15" t="str">
        <f>VLOOKUP(R986,产品分类!$C$2:$D$1278,2,0)</f>
        <v>办公用品</v>
      </c>
    </row>
    <row r="987" spans="1:20">
      <c r="A987" s="8">
        <f t="shared" si="81"/>
        <v>40912</v>
      </c>
      <c r="B987" s="8">
        <f t="shared" si="81"/>
        <v>40912</v>
      </c>
      <c r="C987" s="9" t="s">
        <v>1290</v>
      </c>
      <c r="D987">
        <v>10021425936</v>
      </c>
      <c r="E987" t="s">
        <v>47</v>
      </c>
      <c r="F987" t="s">
        <v>183</v>
      </c>
      <c r="G987" t="s">
        <v>184</v>
      </c>
      <c r="H987" t="s">
        <v>185</v>
      </c>
      <c r="I987" t="s">
        <v>186</v>
      </c>
      <c r="J987" t="s">
        <v>668</v>
      </c>
      <c r="K987" s="3">
        <v>100429883604</v>
      </c>
      <c r="L987" s="10">
        <v>40913</v>
      </c>
      <c r="M987">
        <v>1724.82</v>
      </c>
      <c r="N987" s="11">
        <v>32</v>
      </c>
      <c r="O987" s="12">
        <v>55.29</v>
      </c>
      <c r="P987" s="12">
        <v>5.08</v>
      </c>
      <c r="Q987" s="13">
        <v>407.8</v>
      </c>
      <c r="R987" s="36" t="s">
        <v>1294</v>
      </c>
      <c r="S987" s="7">
        <f t="shared" si="77"/>
        <v>1</v>
      </c>
      <c r="T987" s="15" t="str">
        <f>VLOOKUP(R987,产品分类!$C$2:$D$1278,2,0)</f>
        <v>办公用品</v>
      </c>
    </row>
    <row r="988" spans="1:20">
      <c r="A988" s="8">
        <f>DATE(2012,12,31)-512</f>
        <v>40762</v>
      </c>
      <c r="B988" s="8">
        <f>DATE(2012,12,31)-512</f>
        <v>40762</v>
      </c>
      <c r="C988" s="9" t="s">
        <v>653</v>
      </c>
      <c r="D988">
        <v>10021367511</v>
      </c>
      <c r="E988" t="s">
        <v>47</v>
      </c>
      <c r="F988" t="s">
        <v>177</v>
      </c>
      <c r="G988" t="s">
        <v>178</v>
      </c>
      <c r="H988" t="s">
        <v>1292</v>
      </c>
      <c r="I988" t="s">
        <v>1293</v>
      </c>
      <c r="J988" t="s">
        <v>668</v>
      </c>
      <c r="K988" s="3">
        <v>100718239845</v>
      </c>
      <c r="L988" s="10">
        <v>40766</v>
      </c>
      <c r="M988">
        <v>6396.2</v>
      </c>
      <c r="N988" s="11">
        <v>22</v>
      </c>
      <c r="O988" s="12">
        <v>276.2</v>
      </c>
      <c r="P988" s="12">
        <v>24.49</v>
      </c>
      <c r="Q988" s="13">
        <v>1902.24</v>
      </c>
      <c r="R988" s="36" t="s">
        <v>559</v>
      </c>
      <c r="S988" s="7">
        <f t="shared" si="77"/>
        <v>4</v>
      </c>
      <c r="T988" s="15" t="str">
        <f>VLOOKUP(R988,产品分类!$C$2:$D$1278,2,0)</f>
        <v>家具产品</v>
      </c>
    </row>
    <row r="989" spans="1:20">
      <c r="A989" s="8">
        <f>DATE(2012,12,31)-1380</f>
        <v>39894</v>
      </c>
      <c r="B989" s="8">
        <f>DATE(2012,12,31)-1380</f>
        <v>39894</v>
      </c>
      <c r="C989" s="9" t="s">
        <v>882</v>
      </c>
      <c r="D989">
        <v>10021340358</v>
      </c>
      <c r="E989" t="s">
        <v>47</v>
      </c>
      <c r="F989" t="s">
        <v>177</v>
      </c>
      <c r="G989" t="s">
        <v>178</v>
      </c>
      <c r="H989" t="s">
        <v>1292</v>
      </c>
      <c r="I989" t="s">
        <v>1293</v>
      </c>
      <c r="J989" t="s">
        <v>668</v>
      </c>
      <c r="K989" s="3">
        <v>100926092371</v>
      </c>
      <c r="L989" s="10">
        <v>39896</v>
      </c>
      <c r="M989">
        <v>642.9</v>
      </c>
      <c r="N989" s="11">
        <v>17</v>
      </c>
      <c r="O989" s="12">
        <v>39.48</v>
      </c>
      <c r="P989" s="12">
        <v>1.99</v>
      </c>
      <c r="Q989" s="13">
        <v>88.72</v>
      </c>
      <c r="R989" s="36" t="s">
        <v>235</v>
      </c>
      <c r="S989" s="7">
        <f t="shared" si="77"/>
        <v>2</v>
      </c>
      <c r="T989" s="15" t="str">
        <f>VLOOKUP(R989,产品分类!$C$2:$D$1278,2,0)</f>
        <v>办公用品</v>
      </c>
    </row>
    <row r="990" spans="1:20">
      <c r="A990" s="8">
        <f>DATE(2012,12,31)-1380</f>
        <v>39894</v>
      </c>
      <c r="B990" s="8">
        <f>DATE(2012,12,31)-1380</f>
        <v>39894</v>
      </c>
      <c r="C990" s="9" t="s">
        <v>882</v>
      </c>
      <c r="D990">
        <v>10021419231</v>
      </c>
      <c r="E990" t="s">
        <v>47</v>
      </c>
      <c r="F990" t="s">
        <v>177</v>
      </c>
      <c r="G990" t="s">
        <v>178</v>
      </c>
      <c r="H990" t="s">
        <v>1292</v>
      </c>
      <c r="I990" t="s">
        <v>1293</v>
      </c>
      <c r="J990" t="s">
        <v>668</v>
      </c>
      <c r="K990" s="3">
        <v>100123377026</v>
      </c>
      <c r="L990" s="10">
        <v>39896</v>
      </c>
      <c r="M990">
        <v>47.28</v>
      </c>
      <c r="N990" s="11">
        <v>9</v>
      </c>
      <c r="O990" s="12">
        <v>4.91</v>
      </c>
      <c r="P990" s="12">
        <v>0.5</v>
      </c>
      <c r="Q990" s="13">
        <v>17.05</v>
      </c>
      <c r="R990" s="36" t="s">
        <v>427</v>
      </c>
      <c r="S990" s="7">
        <f t="shared" si="77"/>
        <v>2</v>
      </c>
      <c r="T990" s="15" t="str">
        <f>VLOOKUP(R990,产品分类!$C$2:$D$1278,2,0)</f>
        <v>数码电子</v>
      </c>
    </row>
    <row r="991" spans="1:20">
      <c r="A991" s="8">
        <f>DATE(2012,12,31)-529</f>
        <v>40745</v>
      </c>
      <c r="B991" s="8">
        <f>DATE(2012,12,31)-529</f>
        <v>40745</v>
      </c>
      <c r="C991" s="9" t="s">
        <v>236</v>
      </c>
      <c r="D991">
        <v>10021282335</v>
      </c>
      <c r="E991" t="s">
        <v>47</v>
      </c>
      <c r="F991" t="s">
        <v>177</v>
      </c>
      <c r="G991" t="s">
        <v>178</v>
      </c>
      <c r="H991" t="s">
        <v>1292</v>
      </c>
      <c r="I991" t="s">
        <v>1293</v>
      </c>
      <c r="J991" t="s">
        <v>668</v>
      </c>
      <c r="K991" s="3">
        <v>100925150421</v>
      </c>
      <c r="L991" s="10">
        <v>40747</v>
      </c>
      <c r="M991">
        <v>132.86</v>
      </c>
      <c r="N991" s="11">
        <v>36</v>
      </c>
      <c r="O991" s="12">
        <v>3.69</v>
      </c>
      <c r="P991" s="12">
        <v>0.5</v>
      </c>
      <c r="Q991" s="13">
        <v>57</v>
      </c>
      <c r="R991" s="36" t="s">
        <v>241</v>
      </c>
      <c r="S991" s="7">
        <f t="shared" si="77"/>
        <v>2</v>
      </c>
      <c r="T991" s="15" t="str">
        <f>VLOOKUP(R991,产品分类!$C$2:$D$1278,2,0)</f>
        <v>数码电子</v>
      </c>
    </row>
    <row r="992" spans="1:20">
      <c r="A992" s="8">
        <f>DATE(2012,12,31)-1011</f>
        <v>40263</v>
      </c>
      <c r="B992" s="8">
        <f>DATE(2012,12,31)-1011</f>
        <v>40263</v>
      </c>
      <c r="C992" s="9" t="s">
        <v>442</v>
      </c>
      <c r="D992">
        <v>10021252248</v>
      </c>
      <c r="E992" t="s">
        <v>47</v>
      </c>
      <c r="F992" t="s">
        <v>61</v>
      </c>
      <c r="G992" t="s">
        <v>62</v>
      </c>
      <c r="H992" t="s">
        <v>1077</v>
      </c>
      <c r="I992" t="s">
        <v>1078</v>
      </c>
      <c r="J992" t="s">
        <v>668</v>
      </c>
      <c r="K992" s="3">
        <v>10048214023</v>
      </c>
      <c r="L992" s="10">
        <v>40265</v>
      </c>
      <c r="M992">
        <v>446.72</v>
      </c>
      <c r="N992" s="11">
        <v>22</v>
      </c>
      <c r="O992" s="12">
        <v>20.28</v>
      </c>
      <c r="P992" s="12">
        <v>14.39</v>
      </c>
      <c r="Q992" s="13">
        <v>-39</v>
      </c>
      <c r="R992" s="36" t="s">
        <v>1295</v>
      </c>
      <c r="S992" s="7">
        <f t="shared" si="77"/>
        <v>2</v>
      </c>
      <c r="T992" s="15" t="str">
        <f>VLOOKUP(R992,产品分类!$C$2:$D$1278,2,0)</f>
        <v>数码电子</v>
      </c>
    </row>
    <row r="993" spans="1:20">
      <c r="A993" s="8">
        <f>DATE(2012,12,31)-1011</f>
        <v>40263</v>
      </c>
      <c r="B993" s="8">
        <f>DATE(2012,12,31)-1011</f>
        <v>40263</v>
      </c>
      <c r="C993" s="9" t="s">
        <v>442</v>
      </c>
      <c r="D993">
        <v>10021414352</v>
      </c>
      <c r="E993" t="s">
        <v>47</v>
      </c>
      <c r="F993" t="s">
        <v>61</v>
      </c>
      <c r="G993" t="s">
        <v>62</v>
      </c>
      <c r="H993" t="s">
        <v>1077</v>
      </c>
      <c r="I993" t="s">
        <v>1078</v>
      </c>
      <c r="J993" t="s">
        <v>668</v>
      </c>
      <c r="K993" s="3">
        <v>10089513732</v>
      </c>
      <c r="L993" s="10">
        <v>40265</v>
      </c>
      <c r="M993">
        <v>1580.6005</v>
      </c>
      <c r="N993" s="11">
        <v>30</v>
      </c>
      <c r="O993" s="12">
        <v>65.99</v>
      </c>
      <c r="P993" s="12">
        <v>2.79</v>
      </c>
      <c r="Q993" s="13">
        <v>303.525</v>
      </c>
      <c r="R993" s="36" t="s">
        <v>1296</v>
      </c>
      <c r="S993" s="7">
        <f t="shared" si="77"/>
        <v>2</v>
      </c>
      <c r="T993" s="15" t="str">
        <f>VLOOKUP(R993,产品分类!$C$2:$D$1278,2,0)</f>
        <v>办公用品</v>
      </c>
    </row>
    <row r="994" spans="1:20">
      <c r="A994" s="8">
        <f>DATE(2012,12,31)-687</f>
        <v>40587</v>
      </c>
      <c r="B994" s="8">
        <f>DATE(2012,12,31)-687</f>
        <v>40587</v>
      </c>
      <c r="C994" s="9" t="s">
        <v>1297</v>
      </c>
      <c r="D994">
        <v>10021394870</v>
      </c>
      <c r="E994" t="s">
        <v>47</v>
      </c>
      <c r="F994" t="s">
        <v>61</v>
      </c>
      <c r="G994" t="s">
        <v>62</v>
      </c>
      <c r="H994" t="s">
        <v>1077</v>
      </c>
      <c r="I994" t="s">
        <v>1078</v>
      </c>
      <c r="J994" t="s">
        <v>668</v>
      </c>
      <c r="K994" s="3">
        <v>10092355311</v>
      </c>
      <c r="L994" s="10">
        <v>40589</v>
      </c>
      <c r="M994">
        <v>1703.8505</v>
      </c>
      <c r="N994" s="11">
        <v>28</v>
      </c>
      <c r="O994" s="12">
        <v>65.99</v>
      </c>
      <c r="P994" s="12">
        <v>8.99</v>
      </c>
      <c r="Q994" s="13">
        <v>316.062</v>
      </c>
      <c r="R994" s="36" t="s">
        <v>1298</v>
      </c>
      <c r="S994" s="7">
        <f t="shared" si="77"/>
        <v>2</v>
      </c>
      <c r="T994" s="15" t="str">
        <f>VLOOKUP(R994,产品分类!$C$2:$D$1278,2,0)</f>
        <v>办公用品</v>
      </c>
    </row>
    <row r="995" spans="1:20">
      <c r="A995" s="8">
        <f>DATE(2012,12,31)-687</f>
        <v>40587</v>
      </c>
      <c r="B995" s="8">
        <f>DATE(2012,12,31)-687</f>
        <v>40587</v>
      </c>
      <c r="C995" s="9" t="s">
        <v>1297</v>
      </c>
      <c r="D995">
        <v>10021323099</v>
      </c>
      <c r="E995" t="s">
        <v>47</v>
      </c>
      <c r="F995" t="s">
        <v>72</v>
      </c>
      <c r="G995" t="s">
        <v>73</v>
      </c>
      <c r="H995" t="s">
        <v>1277</v>
      </c>
      <c r="I995" t="s">
        <v>1278</v>
      </c>
      <c r="J995" t="s">
        <v>668</v>
      </c>
      <c r="K995" s="3">
        <v>100132838097</v>
      </c>
      <c r="L995" s="10">
        <v>40589</v>
      </c>
      <c r="M995">
        <v>303.1865</v>
      </c>
      <c r="N995" s="11">
        <v>17</v>
      </c>
      <c r="O995" s="12">
        <v>20.99</v>
      </c>
      <c r="P995" s="12">
        <v>0.99</v>
      </c>
      <c r="Q995" s="13">
        <v>92.592</v>
      </c>
      <c r="R995" s="36" t="s">
        <v>1154</v>
      </c>
      <c r="S995" s="7">
        <f t="shared" si="77"/>
        <v>2</v>
      </c>
      <c r="T995" s="15" t="str">
        <f>VLOOKUP(R995,产品分类!$C$2:$D$1278,2,0)</f>
        <v>办公用品</v>
      </c>
    </row>
    <row r="996" spans="1:20">
      <c r="A996" s="8">
        <f>DATE(2012,12,31)-296</f>
        <v>40978</v>
      </c>
      <c r="B996" s="8">
        <f>DATE(2012,12,31)-296</f>
        <v>40978</v>
      </c>
      <c r="C996" s="9" t="s">
        <v>926</v>
      </c>
      <c r="D996">
        <v>10021309897</v>
      </c>
      <c r="E996" t="s">
        <v>47</v>
      </c>
      <c r="F996" t="s">
        <v>230</v>
      </c>
      <c r="G996" t="s">
        <v>231</v>
      </c>
      <c r="H996" t="s">
        <v>1186</v>
      </c>
      <c r="I996" t="s">
        <v>1187</v>
      </c>
      <c r="J996" t="s">
        <v>668</v>
      </c>
      <c r="K996" s="3">
        <v>100432810934</v>
      </c>
      <c r="L996" s="10">
        <v>40980</v>
      </c>
      <c r="M996">
        <v>141.92</v>
      </c>
      <c r="N996" s="11">
        <v>10</v>
      </c>
      <c r="O996" s="12">
        <v>13.73</v>
      </c>
      <c r="P996" s="12">
        <v>8.99</v>
      </c>
      <c r="Q996" s="13">
        <v>12.2</v>
      </c>
      <c r="R996" s="36" t="s">
        <v>1299</v>
      </c>
      <c r="S996" s="7">
        <f t="shared" si="77"/>
        <v>2</v>
      </c>
      <c r="T996" s="15" t="str">
        <f>VLOOKUP(R996,产品分类!$C$2:$D$1278,2,0)</f>
        <v>办公用品</v>
      </c>
    </row>
    <row r="997" spans="1:20">
      <c r="A997" s="8">
        <f>DATE(2012,12,31)-1058</f>
        <v>40216</v>
      </c>
      <c r="B997" s="8">
        <f>DATE(2012,12,31)-1058</f>
        <v>40216</v>
      </c>
      <c r="C997" s="9" t="s">
        <v>800</v>
      </c>
      <c r="D997">
        <v>10021309841</v>
      </c>
      <c r="E997" t="s">
        <v>47</v>
      </c>
      <c r="F997" t="s">
        <v>132</v>
      </c>
      <c r="G997" t="s">
        <v>133</v>
      </c>
      <c r="H997" t="s">
        <v>134</v>
      </c>
      <c r="I997" t="s">
        <v>133</v>
      </c>
      <c r="J997" t="s">
        <v>668</v>
      </c>
      <c r="K997" s="3">
        <v>100132810727</v>
      </c>
      <c r="L997" s="10">
        <v>40218</v>
      </c>
      <c r="M997">
        <v>748.25</v>
      </c>
      <c r="N997" s="11">
        <v>10</v>
      </c>
      <c r="O997" s="12">
        <v>70.98</v>
      </c>
      <c r="P997" s="12">
        <v>26.74</v>
      </c>
      <c r="Q997" s="13">
        <v>-86.99</v>
      </c>
      <c r="R997" s="36" t="s">
        <v>1300</v>
      </c>
      <c r="S997" s="7">
        <f t="shared" si="77"/>
        <v>2</v>
      </c>
      <c r="T997" s="15" t="str">
        <f>VLOOKUP(R997,产品分类!$C$2:$D$1278,2,0)</f>
        <v>家具产品</v>
      </c>
    </row>
    <row r="998" spans="1:20">
      <c r="A998" s="8">
        <f>DATE(2012,12,31)-1453</f>
        <v>39821</v>
      </c>
      <c r="B998" s="8">
        <f>DATE(2012,12,31)-1453</f>
        <v>39821</v>
      </c>
      <c r="C998" s="9" t="s">
        <v>54</v>
      </c>
      <c r="D998">
        <v>10021279305</v>
      </c>
      <c r="E998" t="s">
        <v>47</v>
      </c>
      <c r="F998" t="s">
        <v>177</v>
      </c>
      <c r="G998" t="s">
        <v>178</v>
      </c>
      <c r="H998" t="s">
        <v>1292</v>
      </c>
      <c r="I998" t="s">
        <v>1293</v>
      </c>
      <c r="J998" t="s">
        <v>668</v>
      </c>
      <c r="K998" s="3">
        <v>100432781513</v>
      </c>
      <c r="L998" s="10">
        <v>39823</v>
      </c>
      <c r="M998">
        <v>21752.01</v>
      </c>
      <c r="N998" s="11">
        <v>25</v>
      </c>
      <c r="O998" s="12">
        <v>896.99</v>
      </c>
      <c r="P998" s="12">
        <v>19.99</v>
      </c>
      <c r="Q998" s="13">
        <v>9296.348</v>
      </c>
      <c r="R998" s="36" t="s">
        <v>444</v>
      </c>
      <c r="S998" s="7">
        <f t="shared" si="77"/>
        <v>2</v>
      </c>
      <c r="T998" s="15" t="str">
        <f>VLOOKUP(R998,产品分类!$C$2:$D$1278,2,0)</f>
        <v>办公用品</v>
      </c>
    </row>
    <row r="999" spans="1:20">
      <c r="A999" s="16">
        <f>DATE(2012,12,31)-551</f>
        <v>40723</v>
      </c>
      <c r="B999" s="16">
        <f>DATE(2012,12,31)-551</f>
        <v>40723</v>
      </c>
      <c r="C999" s="9" t="s">
        <v>440</v>
      </c>
      <c r="D999">
        <v>10021410612</v>
      </c>
      <c r="E999" t="s">
        <v>47</v>
      </c>
      <c r="F999" t="s">
        <v>66</v>
      </c>
      <c r="G999" t="s">
        <v>67</v>
      </c>
      <c r="H999" t="s">
        <v>68</v>
      </c>
      <c r="I999" t="s">
        <v>69</v>
      </c>
      <c r="J999" t="s">
        <v>668</v>
      </c>
      <c r="K999" s="3">
        <v>100132952757</v>
      </c>
      <c r="L999" s="10">
        <v>40725</v>
      </c>
      <c r="M999">
        <v>6206.16</v>
      </c>
      <c r="N999" s="17">
        <v>50</v>
      </c>
      <c r="O999" s="5">
        <v>120.33</v>
      </c>
      <c r="P999" s="5">
        <v>19.99</v>
      </c>
      <c r="Q999" s="6">
        <v>1416.27</v>
      </c>
      <c r="R999" s="37" t="s">
        <v>663</v>
      </c>
      <c r="S999" s="7">
        <f t="shared" si="77"/>
        <v>2</v>
      </c>
      <c r="T999" s="15" t="str">
        <f>VLOOKUP(R999,产品分类!$C$2:$D$1278,2,0)</f>
        <v>家具产品</v>
      </c>
    </row>
    <row r="1000" spans="1:20">
      <c r="A1000" s="16">
        <f>DATE(2012,12,31)-125</f>
        <v>41149</v>
      </c>
      <c r="B1000" s="16">
        <f>DATE(2012,12,31)-125</f>
        <v>41149</v>
      </c>
      <c r="C1000" s="9" t="s">
        <v>419</v>
      </c>
      <c r="D1000">
        <v>10021378644</v>
      </c>
      <c r="E1000" t="s">
        <v>47</v>
      </c>
      <c r="F1000" t="s">
        <v>48</v>
      </c>
      <c r="G1000" t="s">
        <v>49</v>
      </c>
      <c r="H1000" t="s">
        <v>50</v>
      </c>
      <c r="I1000" t="s">
        <v>51</v>
      </c>
      <c r="J1000" t="s">
        <v>668</v>
      </c>
      <c r="K1000" s="3">
        <v>100132905047</v>
      </c>
      <c r="L1000" s="10">
        <v>41149</v>
      </c>
      <c r="M1000">
        <v>262.32</v>
      </c>
      <c r="N1000" s="17">
        <v>19</v>
      </c>
      <c r="O1000" s="5">
        <v>14.48</v>
      </c>
      <c r="P1000" s="5">
        <v>6.46</v>
      </c>
      <c r="Q1000" s="6">
        <v>5.1595</v>
      </c>
      <c r="R1000" s="37" t="s">
        <v>684</v>
      </c>
      <c r="S1000" s="7">
        <f t="shared" si="77"/>
        <v>0</v>
      </c>
      <c r="T1000" s="15" t="str">
        <f>VLOOKUP(R1000,产品分类!$C$2:$D$1278,2,0)</f>
        <v>办公用品</v>
      </c>
    </row>
    <row r="1001" spans="1:20">
      <c r="A1001" s="8">
        <f t="shared" ref="A1001:B1004" si="82">DATE(2012,12,31)-1204</f>
        <v>40070</v>
      </c>
      <c r="B1001" s="8">
        <f t="shared" si="82"/>
        <v>40070</v>
      </c>
      <c r="C1001" s="9" t="s">
        <v>419</v>
      </c>
      <c r="D1001">
        <v>10021357012</v>
      </c>
      <c r="E1001" t="s">
        <v>47</v>
      </c>
      <c r="F1001" t="s">
        <v>72</v>
      </c>
      <c r="G1001" t="s">
        <v>73</v>
      </c>
      <c r="H1001" t="s">
        <v>1277</v>
      </c>
      <c r="I1001" t="s">
        <v>1278</v>
      </c>
      <c r="J1001" t="s">
        <v>668</v>
      </c>
      <c r="K1001" s="3">
        <v>100132871946</v>
      </c>
      <c r="L1001" s="10">
        <v>40071</v>
      </c>
      <c r="M1001">
        <v>1707.99</v>
      </c>
      <c r="N1001" s="11">
        <v>29</v>
      </c>
      <c r="O1001" s="12">
        <v>65.99</v>
      </c>
      <c r="P1001" s="12">
        <v>3.99</v>
      </c>
      <c r="Q1001" s="13">
        <v>391.185</v>
      </c>
      <c r="R1001" s="36" t="s">
        <v>727</v>
      </c>
      <c r="S1001" s="7">
        <f t="shared" si="77"/>
        <v>1</v>
      </c>
      <c r="T1001" s="15" t="str">
        <f>VLOOKUP(R1001,产品分类!$C$2:$D$1278,2,0)</f>
        <v>家具产品</v>
      </c>
    </row>
    <row r="1002" spans="1:20">
      <c r="A1002" s="8">
        <f t="shared" si="82"/>
        <v>40070</v>
      </c>
      <c r="B1002" s="8">
        <f t="shared" si="82"/>
        <v>40070</v>
      </c>
      <c r="C1002" s="9" t="s">
        <v>1301</v>
      </c>
      <c r="D1002">
        <v>10021325721</v>
      </c>
      <c r="E1002" t="s">
        <v>47</v>
      </c>
      <c r="F1002" t="s">
        <v>72</v>
      </c>
      <c r="G1002" t="s">
        <v>73</v>
      </c>
      <c r="H1002" t="s">
        <v>1277</v>
      </c>
      <c r="I1002" t="s">
        <v>1278</v>
      </c>
      <c r="J1002" t="s">
        <v>668</v>
      </c>
      <c r="K1002" s="3">
        <v>100132844108</v>
      </c>
      <c r="L1002" s="10">
        <v>40071</v>
      </c>
      <c r="M1002">
        <v>936.95</v>
      </c>
      <c r="N1002" s="11">
        <v>26</v>
      </c>
      <c r="O1002" s="12">
        <v>33.98</v>
      </c>
      <c r="P1002" s="12">
        <v>19.99</v>
      </c>
      <c r="Q1002" s="13">
        <v>-0.740000000000009</v>
      </c>
      <c r="R1002" s="36" t="s">
        <v>1302</v>
      </c>
      <c r="S1002" s="7">
        <f t="shared" si="77"/>
        <v>1</v>
      </c>
      <c r="T1002" s="15" t="str">
        <f>VLOOKUP(R1002,产品分类!$C$2:$D$1278,2,0)</f>
        <v>数码电子</v>
      </c>
    </row>
    <row r="1003" spans="1:20">
      <c r="A1003" s="8">
        <f t="shared" si="82"/>
        <v>40070</v>
      </c>
      <c r="B1003" s="8">
        <f t="shared" si="82"/>
        <v>40070</v>
      </c>
      <c r="C1003" s="9" t="s">
        <v>1301</v>
      </c>
      <c r="D1003">
        <v>10021435490</v>
      </c>
      <c r="E1003" t="s">
        <v>47</v>
      </c>
      <c r="F1003" t="s">
        <v>230</v>
      </c>
      <c r="G1003" t="s">
        <v>231</v>
      </c>
      <c r="H1003" t="s">
        <v>1186</v>
      </c>
      <c r="I1003" t="s">
        <v>1187</v>
      </c>
      <c r="J1003" t="s">
        <v>668</v>
      </c>
      <c r="K1003" s="3">
        <v>100132963926</v>
      </c>
      <c r="L1003" s="10">
        <v>40071</v>
      </c>
      <c r="M1003">
        <v>296.84</v>
      </c>
      <c r="N1003" s="11">
        <v>7</v>
      </c>
      <c r="O1003" s="12">
        <v>45.19</v>
      </c>
      <c r="P1003" s="12">
        <v>1.99</v>
      </c>
      <c r="Q1003" s="13">
        <v>-71.83</v>
      </c>
      <c r="R1003" s="36" t="s">
        <v>921</v>
      </c>
      <c r="S1003" s="7">
        <f t="shared" si="77"/>
        <v>1</v>
      </c>
      <c r="T1003" s="15" t="str">
        <f>VLOOKUP(R1003,产品分类!$C$2:$D$1278,2,0)</f>
        <v>家具产品</v>
      </c>
    </row>
    <row r="1004" spans="1:20">
      <c r="A1004" s="8">
        <f t="shared" si="82"/>
        <v>40070</v>
      </c>
      <c r="B1004" s="8">
        <f t="shared" si="82"/>
        <v>40070</v>
      </c>
      <c r="C1004" s="9" t="s">
        <v>1301</v>
      </c>
      <c r="D1004">
        <v>10021326366</v>
      </c>
      <c r="E1004" t="s">
        <v>47</v>
      </c>
      <c r="F1004" t="s">
        <v>434</v>
      </c>
      <c r="G1004" t="s">
        <v>435</v>
      </c>
      <c r="H1004" t="s">
        <v>436</v>
      </c>
      <c r="I1004" t="s">
        <v>437</v>
      </c>
      <c r="J1004" t="s">
        <v>668</v>
      </c>
      <c r="K1004" s="3">
        <v>100932846421</v>
      </c>
      <c r="L1004" s="10">
        <v>40071</v>
      </c>
      <c r="M1004">
        <v>1620.94</v>
      </c>
      <c r="N1004" s="11">
        <v>4</v>
      </c>
      <c r="O1004" s="12">
        <v>400.98</v>
      </c>
      <c r="P1004" s="12">
        <v>76.37</v>
      </c>
      <c r="Q1004" s="13">
        <v>-969.048366</v>
      </c>
      <c r="R1004" s="36" t="s">
        <v>1048</v>
      </c>
      <c r="S1004" s="7">
        <f t="shared" si="77"/>
        <v>1</v>
      </c>
      <c r="T1004" s="15" t="str">
        <f>VLOOKUP(R1004,产品分类!$C$2:$D$1278,2,0)</f>
        <v>办公用品</v>
      </c>
    </row>
    <row r="1005" spans="1:20">
      <c r="A1005" s="8">
        <f>DATE(2012,12,31)-734</f>
        <v>40540</v>
      </c>
      <c r="B1005" s="8">
        <f>DATE(2012,12,31)-734</f>
        <v>40540</v>
      </c>
      <c r="C1005" s="9" t="s">
        <v>877</v>
      </c>
      <c r="D1005">
        <v>10021309988</v>
      </c>
      <c r="E1005" t="s">
        <v>47</v>
      </c>
      <c r="F1005" t="s">
        <v>122</v>
      </c>
      <c r="G1005" t="s">
        <v>123</v>
      </c>
      <c r="H1005" t="s">
        <v>124</v>
      </c>
      <c r="I1005" t="s">
        <v>125</v>
      </c>
      <c r="J1005" t="s">
        <v>668</v>
      </c>
      <c r="K1005" s="3">
        <v>100432811294</v>
      </c>
      <c r="L1005" s="10">
        <v>40557</v>
      </c>
      <c r="M1005">
        <v>959.089</v>
      </c>
      <c r="N1005" s="11">
        <v>17</v>
      </c>
      <c r="O1005" s="12">
        <v>65.99</v>
      </c>
      <c r="P1005" s="12">
        <v>2.5</v>
      </c>
      <c r="Q1005" s="13">
        <v>124.992</v>
      </c>
      <c r="R1005" s="36" t="s">
        <v>1303</v>
      </c>
      <c r="S1005" s="7">
        <f t="shared" si="77"/>
        <v>17</v>
      </c>
      <c r="T1005" s="15" t="str">
        <f>VLOOKUP(R1005,产品分类!$C$2:$D$1278,2,0)</f>
        <v>办公用品</v>
      </c>
    </row>
    <row r="1006" spans="1:20">
      <c r="A1006" s="8">
        <f>DATE(2012,12,31)-947</f>
        <v>40327</v>
      </c>
      <c r="B1006" s="8">
        <f>DATE(2012,12,31)-947</f>
        <v>40327</v>
      </c>
      <c r="C1006" s="9" t="s">
        <v>1304</v>
      </c>
      <c r="D1006">
        <v>10021292500</v>
      </c>
      <c r="E1006" t="s">
        <v>47</v>
      </c>
      <c r="F1006" t="s">
        <v>61</v>
      </c>
      <c r="G1006" t="s">
        <v>62</v>
      </c>
      <c r="H1006" t="s">
        <v>1077</v>
      </c>
      <c r="I1006" t="s">
        <v>1078</v>
      </c>
      <c r="J1006" t="s">
        <v>668</v>
      </c>
      <c r="K1006" s="3">
        <v>100132792377</v>
      </c>
      <c r="L1006" s="10">
        <v>40332</v>
      </c>
      <c r="M1006">
        <v>3681.7495</v>
      </c>
      <c r="N1006" s="11">
        <v>43</v>
      </c>
      <c r="O1006" s="12">
        <v>95.99</v>
      </c>
      <c r="P1006" s="12">
        <v>4.9</v>
      </c>
      <c r="Q1006" s="13">
        <v>1196.442</v>
      </c>
      <c r="R1006" s="36" t="s">
        <v>509</v>
      </c>
      <c r="S1006" s="7">
        <f t="shared" si="77"/>
        <v>5</v>
      </c>
      <c r="T1006" s="15" t="str">
        <f>VLOOKUP(R1006,产品分类!$C$2:$D$1278,2,0)</f>
        <v>数码电子</v>
      </c>
    </row>
    <row r="1007" spans="1:20">
      <c r="A1007" s="8">
        <f>DATE(2012,12,31)-783</f>
        <v>40491</v>
      </c>
      <c r="B1007" s="8">
        <f>DATE(2012,12,31)-783</f>
        <v>40491</v>
      </c>
      <c r="C1007" s="9" t="s">
        <v>439</v>
      </c>
      <c r="D1007">
        <v>10021351293</v>
      </c>
      <c r="E1007" t="s">
        <v>47</v>
      </c>
      <c r="F1007" t="s">
        <v>171</v>
      </c>
      <c r="G1007" t="s">
        <v>172</v>
      </c>
      <c r="H1007" t="s">
        <v>933</v>
      </c>
      <c r="I1007" t="s">
        <v>934</v>
      </c>
      <c r="J1007" t="s">
        <v>668</v>
      </c>
      <c r="K1007" s="3">
        <v>100432390463</v>
      </c>
      <c r="L1007" s="10">
        <v>40493</v>
      </c>
      <c r="M1007">
        <v>875.52</v>
      </c>
      <c r="N1007" s="11">
        <v>24</v>
      </c>
      <c r="O1007" s="12">
        <v>37.93</v>
      </c>
      <c r="P1007" s="12">
        <v>13.99</v>
      </c>
      <c r="Q1007" s="13">
        <v>5.71000000000001</v>
      </c>
      <c r="R1007" s="36" t="s">
        <v>1305</v>
      </c>
      <c r="S1007" s="7">
        <f t="shared" si="77"/>
        <v>2</v>
      </c>
      <c r="T1007" s="15" t="str">
        <f>VLOOKUP(R1007,产品分类!$C$2:$D$1278,2,0)</f>
        <v>家具产品</v>
      </c>
    </row>
    <row r="1008" spans="1:20">
      <c r="A1008" s="8">
        <f>DATE(2012,12,31)-1333</f>
        <v>39941</v>
      </c>
      <c r="B1008" s="8">
        <f>DATE(2012,12,31)-1333</f>
        <v>39941</v>
      </c>
      <c r="C1008" s="9" t="s">
        <v>1306</v>
      </c>
      <c r="D1008">
        <v>10021393436</v>
      </c>
      <c r="E1008" t="s">
        <v>47</v>
      </c>
      <c r="F1008" t="s">
        <v>72</v>
      </c>
      <c r="G1008" t="s">
        <v>73</v>
      </c>
      <c r="H1008" t="s">
        <v>1277</v>
      </c>
      <c r="I1008" t="s">
        <v>1278</v>
      </c>
      <c r="J1008" t="s">
        <v>668</v>
      </c>
      <c r="K1008" s="3">
        <v>100122913148</v>
      </c>
      <c r="L1008" s="10">
        <v>39943</v>
      </c>
      <c r="M1008">
        <v>260.39</v>
      </c>
      <c r="N1008" s="11">
        <v>15</v>
      </c>
      <c r="O1008" s="12">
        <v>16.98</v>
      </c>
      <c r="P1008" s="12">
        <v>12.39</v>
      </c>
      <c r="Q1008" s="13">
        <v>-48.57</v>
      </c>
      <c r="R1008" s="36" t="s">
        <v>1307</v>
      </c>
      <c r="S1008" s="7">
        <f t="shared" si="77"/>
        <v>2</v>
      </c>
      <c r="T1008" s="15" t="str">
        <f>VLOOKUP(R1008,产品分类!$C$2:$D$1278,2,0)</f>
        <v>办公用品</v>
      </c>
    </row>
    <row r="1009" spans="1:20">
      <c r="A1009" s="8">
        <f>DATE(2012,12,31)-575</f>
        <v>40699</v>
      </c>
      <c r="B1009" s="8">
        <f>DATE(2012,12,31)-575</f>
        <v>40699</v>
      </c>
      <c r="C1009" s="9" t="s">
        <v>1130</v>
      </c>
      <c r="D1009">
        <v>10021309850</v>
      </c>
      <c r="E1009" t="s">
        <v>47</v>
      </c>
      <c r="F1009" t="s">
        <v>102</v>
      </c>
      <c r="G1009" t="s">
        <v>103</v>
      </c>
      <c r="H1009" t="s">
        <v>1217</v>
      </c>
      <c r="I1009" t="s">
        <v>1218</v>
      </c>
      <c r="J1009" t="s">
        <v>668</v>
      </c>
      <c r="K1009" s="3">
        <v>100932810691</v>
      </c>
      <c r="L1009" s="10">
        <v>40704</v>
      </c>
      <c r="M1009">
        <v>269.93</v>
      </c>
      <c r="N1009" s="11">
        <v>48</v>
      </c>
      <c r="O1009" s="12">
        <v>5.43</v>
      </c>
      <c r="P1009" s="12">
        <v>0.95</v>
      </c>
      <c r="Q1009" s="13">
        <v>119.64</v>
      </c>
      <c r="R1009" s="36" t="s">
        <v>1308</v>
      </c>
      <c r="S1009" s="7">
        <f t="shared" si="77"/>
        <v>5</v>
      </c>
      <c r="T1009" s="15" t="str">
        <f>VLOOKUP(R1009,产品分类!$C$2:$D$1278,2,0)</f>
        <v>办公用品</v>
      </c>
    </row>
    <row r="1010" spans="1:20">
      <c r="A1010" s="8">
        <f>DATE(2012,12,31)-575</f>
        <v>40699</v>
      </c>
      <c r="B1010" s="8">
        <f>DATE(2012,12,31)-575</f>
        <v>40699</v>
      </c>
      <c r="C1010" s="9" t="s">
        <v>1130</v>
      </c>
      <c r="D1010">
        <v>10021355045</v>
      </c>
      <c r="E1010" t="s">
        <v>47</v>
      </c>
      <c r="F1010" t="s">
        <v>61</v>
      </c>
      <c r="G1010" t="s">
        <v>62</v>
      </c>
      <c r="H1010" t="s">
        <v>1077</v>
      </c>
      <c r="I1010" t="s">
        <v>1078</v>
      </c>
      <c r="J1010" t="s">
        <v>668</v>
      </c>
      <c r="K1010" s="3">
        <v>100132352366</v>
      </c>
      <c r="L1010" s="10">
        <v>40706</v>
      </c>
      <c r="M1010">
        <v>303.62</v>
      </c>
      <c r="N1010" s="11">
        <v>46</v>
      </c>
      <c r="O1010" s="12">
        <v>6.48</v>
      </c>
      <c r="P1010" s="12">
        <v>2.74</v>
      </c>
      <c r="Q1010" s="13">
        <v>-59.98</v>
      </c>
      <c r="R1010" s="36" t="s">
        <v>1309</v>
      </c>
      <c r="S1010" s="7">
        <f t="shared" si="77"/>
        <v>7</v>
      </c>
      <c r="T1010" s="15" t="str">
        <f>VLOOKUP(R1010,产品分类!$C$2:$D$1278,2,0)</f>
        <v>数码电子</v>
      </c>
    </row>
    <row r="1011" spans="1:20">
      <c r="A1011" s="8">
        <f>DATE(2012,12,31)-1309</f>
        <v>39965</v>
      </c>
      <c r="B1011" s="8">
        <f>DATE(2012,12,31)-1309</f>
        <v>39965</v>
      </c>
      <c r="C1011" s="9" t="s">
        <v>440</v>
      </c>
      <c r="D1011">
        <v>10021351141</v>
      </c>
      <c r="E1011" t="s">
        <v>47</v>
      </c>
      <c r="F1011" t="s">
        <v>48</v>
      </c>
      <c r="G1011" t="s">
        <v>49</v>
      </c>
      <c r="H1011" t="s">
        <v>50</v>
      </c>
      <c r="I1011" t="s">
        <v>51</v>
      </c>
      <c r="J1011" t="s">
        <v>668</v>
      </c>
      <c r="K1011" s="3">
        <v>100332207439</v>
      </c>
      <c r="L1011" s="10">
        <v>39968</v>
      </c>
      <c r="M1011">
        <v>55.77</v>
      </c>
      <c r="N1011" s="11">
        <v>6</v>
      </c>
      <c r="O1011" s="12">
        <v>9.11</v>
      </c>
      <c r="P1011" s="12">
        <v>2.25</v>
      </c>
      <c r="Q1011" s="13">
        <v>-4.37</v>
      </c>
      <c r="R1011" s="36" t="s">
        <v>82</v>
      </c>
      <c r="S1011" s="7">
        <f t="shared" si="77"/>
        <v>3</v>
      </c>
      <c r="T1011" s="15" t="str">
        <f>VLOOKUP(R1011,产品分类!$C$2:$D$1278,2,0)</f>
        <v>数码电子</v>
      </c>
    </row>
    <row r="1012" spans="1:20">
      <c r="A1012" s="8">
        <f>DATE(2012,12,31)-1309</f>
        <v>39965</v>
      </c>
      <c r="B1012" s="8">
        <f>DATE(2012,12,31)-1309</f>
        <v>39965</v>
      </c>
      <c r="C1012" s="9" t="s">
        <v>440</v>
      </c>
      <c r="D1012">
        <v>10021269508</v>
      </c>
      <c r="E1012" t="s">
        <v>47</v>
      </c>
      <c r="F1012" t="s">
        <v>72</v>
      </c>
      <c r="G1012" t="s">
        <v>73</v>
      </c>
      <c r="H1012" t="s">
        <v>1277</v>
      </c>
      <c r="I1012" t="s">
        <v>1278</v>
      </c>
      <c r="J1012" t="s">
        <v>668</v>
      </c>
      <c r="K1012" s="3">
        <v>100932447371</v>
      </c>
      <c r="L1012" s="10">
        <v>39967</v>
      </c>
      <c r="M1012">
        <v>2181.44</v>
      </c>
      <c r="N1012" s="11">
        <v>34</v>
      </c>
      <c r="O1012" s="12">
        <v>64.65</v>
      </c>
      <c r="P1012" s="12">
        <v>35</v>
      </c>
      <c r="Q1012" s="13">
        <v>-896.34</v>
      </c>
      <c r="R1012" s="36" t="s">
        <v>1310</v>
      </c>
      <c r="S1012" s="7">
        <f t="shared" si="77"/>
        <v>2</v>
      </c>
      <c r="T1012" s="15" t="str">
        <f>VLOOKUP(R1012,产品分类!$C$2:$D$1278,2,0)</f>
        <v>办公用品</v>
      </c>
    </row>
    <row r="1013" spans="1:20">
      <c r="A1013" s="8">
        <f>DATE(2012,12,31)-16</f>
        <v>41258</v>
      </c>
      <c r="B1013" s="8">
        <f>DATE(2012,12,31)-16</f>
        <v>41258</v>
      </c>
      <c r="C1013" s="9" t="s">
        <v>1216</v>
      </c>
      <c r="D1013">
        <v>10021343608</v>
      </c>
      <c r="E1013" t="s">
        <v>47</v>
      </c>
      <c r="F1013" t="s">
        <v>122</v>
      </c>
      <c r="G1013" t="s">
        <v>123</v>
      </c>
      <c r="H1013" t="s">
        <v>124</v>
      </c>
      <c r="I1013" t="s">
        <v>125</v>
      </c>
      <c r="J1013" t="s">
        <v>668</v>
      </c>
      <c r="K1013" s="3">
        <v>100729126965</v>
      </c>
      <c r="L1013" s="10">
        <v>41258</v>
      </c>
      <c r="M1013">
        <v>16002.29</v>
      </c>
      <c r="N1013" s="11">
        <v>47</v>
      </c>
      <c r="O1013" s="12">
        <v>363.25</v>
      </c>
      <c r="P1013" s="12">
        <v>19.99</v>
      </c>
      <c r="Q1013" s="13">
        <v>4604.79</v>
      </c>
      <c r="R1013" s="36" t="s">
        <v>192</v>
      </c>
      <c r="S1013" s="7">
        <f t="shared" si="77"/>
        <v>0</v>
      </c>
      <c r="T1013" s="15" t="str">
        <f>VLOOKUP(R1013,产品分类!$C$2:$D$1278,2,0)</f>
        <v>办公用品</v>
      </c>
    </row>
    <row r="1014" spans="1:20">
      <c r="A1014" s="8">
        <f>DATE(2012,12,31)-16</f>
        <v>41258</v>
      </c>
      <c r="B1014" s="8">
        <f>DATE(2012,12,31)-16</f>
        <v>41258</v>
      </c>
      <c r="C1014" s="9" t="s">
        <v>1216</v>
      </c>
      <c r="D1014">
        <v>10021266998</v>
      </c>
      <c r="E1014" t="s">
        <v>47</v>
      </c>
      <c r="F1014" t="s">
        <v>91</v>
      </c>
      <c r="G1014" t="s">
        <v>92</v>
      </c>
      <c r="H1014" t="s">
        <v>774</v>
      </c>
      <c r="I1014" t="s">
        <v>775</v>
      </c>
      <c r="J1014" t="s">
        <v>668</v>
      </c>
      <c r="K1014" s="3">
        <v>100132068416</v>
      </c>
      <c r="L1014" s="10">
        <v>41259</v>
      </c>
      <c r="M1014">
        <v>182.26</v>
      </c>
      <c r="N1014" s="11">
        <v>9</v>
      </c>
      <c r="O1014" s="12">
        <v>18.94</v>
      </c>
      <c r="P1014" s="12">
        <v>1.49</v>
      </c>
      <c r="Q1014" s="13">
        <v>60.6135</v>
      </c>
      <c r="R1014" s="36" t="s">
        <v>1311</v>
      </c>
      <c r="S1014" s="7">
        <f t="shared" si="77"/>
        <v>1</v>
      </c>
      <c r="T1014" s="15" t="str">
        <f>VLOOKUP(R1014,产品分类!$C$2:$D$1278,2,0)</f>
        <v>家具产品</v>
      </c>
    </row>
    <row r="1015" spans="1:20">
      <c r="A1015" s="8">
        <f>DATE(2012,12,31)-950</f>
        <v>40324</v>
      </c>
      <c r="B1015" s="8">
        <f>DATE(2012,12,31)-950</f>
        <v>40324</v>
      </c>
      <c r="C1015" s="9" t="s">
        <v>264</v>
      </c>
      <c r="D1015">
        <v>10021274111</v>
      </c>
      <c r="E1015" t="s">
        <v>47</v>
      </c>
      <c r="F1015" t="s">
        <v>152</v>
      </c>
      <c r="G1015" t="s">
        <v>153</v>
      </c>
      <c r="H1015" t="s">
        <v>1136</v>
      </c>
      <c r="I1015" t="s">
        <v>1137</v>
      </c>
      <c r="J1015" t="s">
        <v>668</v>
      </c>
      <c r="K1015" s="3">
        <v>100131195326</v>
      </c>
      <c r="L1015" s="10">
        <v>40325</v>
      </c>
      <c r="M1015">
        <v>1379.34</v>
      </c>
      <c r="N1015" s="11">
        <v>33</v>
      </c>
      <c r="O1015" s="12">
        <v>40.48</v>
      </c>
      <c r="P1015" s="12">
        <v>19.99</v>
      </c>
      <c r="Q1015" s="13">
        <v>-470.85</v>
      </c>
      <c r="R1015" s="36" t="s">
        <v>1312</v>
      </c>
      <c r="S1015" s="7">
        <f t="shared" si="77"/>
        <v>1</v>
      </c>
      <c r="T1015" s="15" t="str">
        <f>VLOOKUP(R1015,产品分类!$C$2:$D$1278,2,0)</f>
        <v>办公用品</v>
      </c>
    </row>
    <row r="1016" spans="1:20">
      <c r="A1016" s="8">
        <f>DATE(2012,12,31)-950</f>
        <v>40324</v>
      </c>
      <c r="B1016" s="8">
        <f>DATE(2012,12,31)-950</f>
        <v>40324</v>
      </c>
      <c r="C1016" s="9" t="s">
        <v>264</v>
      </c>
      <c r="D1016">
        <v>10021393361</v>
      </c>
      <c r="E1016" t="s">
        <v>47</v>
      </c>
      <c r="F1016" t="s">
        <v>66</v>
      </c>
      <c r="G1016" t="s">
        <v>67</v>
      </c>
      <c r="H1016" t="s">
        <v>68</v>
      </c>
      <c r="I1016" t="s">
        <v>69</v>
      </c>
      <c r="J1016" t="s">
        <v>668</v>
      </c>
      <c r="K1016" s="3">
        <v>100910087861</v>
      </c>
      <c r="L1016" s="10">
        <v>40325</v>
      </c>
      <c r="M1016">
        <v>168.25</v>
      </c>
      <c r="N1016" s="11">
        <v>6</v>
      </c>
      <c r="O1016" s="12">
        <v>26.48</v>
      </c>
      <c r="P1016" s="12">
        <v>6.93</v>
      </c>
      <c r="Q1016" s="13">
        <v>101.78</v>
      </c>
      <c r="R1016" s="36" t="s">
        <v>1313</v>
      </c>
      <c r="S1016" s="7">
        <f t="shared" si="77"/>
        <v>1</v>
      </c>
      <c r="T1016" s="15" t="str">
        <f>VLOOKUP(R1016,产品分类!$C$2:$D$1278,2,0)</f>
        <v>数码电子</v>
      </c>
    </row>
    <row r="1017" spans="1:20">
      <c r="A1017" s="8">
        <f>DATE(2012,12,31)-937</f>
        <v>40337</v>
      </c>
      <c r="B1017" s="8">
        <f>DATE(2012,12,31)-937</f>
        <v>40337</v>
      </c>
      <c r="C1017" s="9" t="s">
        <v>1191</v>
      </c>
      <c r="D1017">
        <v>10021377672</v>
      </c>
      <c r="E1017" t="s">
        <v>47</v>
      </c>
      <c r="F1017" t="s">
        <v>230</v>
      </c>
      <c r="G1017" t="s">
        <v>231</v>
      </c>
      <c r="H1017" t="s">
        <v>1186</v>
      </c>
      <c r="I1017" t="s">
        <v>1187</v>
      </c>
      <c r="J1017" t="s">
        <v>668</v>
      </c>
      <c r="K1017" s="3">
        <v>100129727607</v>
      </c>
      <c r="L1017" s="10">
        <v>40338</v>
      </c>
      <c r="M1017">
        <v>751.77</v>
      </c>
      <c r="N1017" s="11">
        <v>50</v>
      </c>
      <c r="O1017" s="12">
        <v>15.67</v>
      </c>
      <c r="P1017" s="12">
        <v>1.39</v>
      </c>
      <c r="Q1017" s="13">
        <v>353.2</v>
      </c>
      <c r="R1017" s="36" t="s">
        <v>1012</v>
      </c>
      <c r="S1017" s="7">
        <f t="shared" si="77"/>
        <v>1</v>
      </c>
      <c r="T1017" s="15" t="str">
        <f>VLOOKUP(R1017,产品分类!$C$2:$D$1278,2,0)</f>
        <v>家具产品</v>
      </c>
    </row>
    <row r="1018" spans="1:20">
      <c r="A1018" s="8">
        <f>DATE(2012,12,31)-1340</f>
        <v>39934</v>
      </c>
      <c r="B1018" s="8">
        <f>DATE(2012,12,31)-1340</f>
        <v>39934</v>
      </c>
      <c r="C1018" s="9" t="s">
        <v>1282</v>
      </c>
      <c r="D1018">
        <v>10021398034</v>
      </c>
      <c r="E1018" t="s">
        <v>47</v>
      </c>
      <c r="F1018" t="s">
        <v>91</v>
      </c>
      <c r="G1018" t="s">
        <v>92</v>
      </c>
      <c r="H1018" t="s">
        <v>774</v>
      </c>
      <c r="I1018" t="s">
        <v>775</v>
      </c>
      <c r="J1018" t="s">
        <v>668</v>
      </c>
      <c r="K1018" s="3">
        <v>1008804422</v>
      </c>
      <c r="L1018" s="10">
        <v>39935</v>
      </c>
      <c r="M1018">
        <v>78.81</v>
      </c>
      <c r="N1018" s="11">
        <v>33</v>
      </c>
      <c r="O1018" s="12">
        <v>2.23</v>
      </c>
      <c r="P1018" s="12">
        <v>4.57</v>
      </c>
      <c r="Q1018" s="13">
        <v>-93.25</v>
      </c>
      <c r="R1018" s="36" t="s">
        <v>1314</v>
      </c>
      <c r="S1018" s="7">
        <f t="shared" si="77"/>
        <v>1</v>
      </c>
      <c r="T1018" s="15" t="str">
        <f>VLOOKUP(R1018,产品分类!$C$2:$D$1278,2,0)</f>
        <v>家具产品</v>
      </c>
    </row>
    <row r="1019" spans="1:20">
      <c r="A1019" s="8">
        <f>DATE(2012,12,31)-823</f>
        <v>40451</v>
      </c>
      <c r="B1019" s="8">
        <f>DATE(2012,12,31)-823</f>
        <v>40451</v>
      </c>
      <c r="C1019" s="9" t="s">
        <v>1315</v>
      </c>
      <c r="D1019">
        <v>10021373830</v>
      </c>
      <c r="E1019" t="s">
        <v>47</v>
      </c>
      <c r="F1019" t="s">
        <v>97</v>
      </c>
      <c r="G1019" t="s">
        <v>98</v>
      </c>
      <c r="H1019" t="s">
        <v>99</v>
      </c>
      <c r="I1019" t="s">
        <v>98</v>
      </c>
      <c r="J1019" t="s">
        <v>668</v>
      </c>
      <c r="K1019" s="3">
        <v>100129237458</v>
      </c>
      <c r="L1019" s="10">
        <v>40454</v>
      </c>
      <c r="M1019">
        <v>2300.45</v>
      </c>
      <c r="N1019" s="11">
        <v>36</v>
      </c>
      <c r="O1019" s="12">
        <v>60.98</v>
      </c>
      <c r="P1019" s="12">
        <v>19.99</v>
      </c>
      <c r="Q1019" s="13">
        <v>624.64</v>
      </c>
      <c r="R1019" s="36" t="s">
        <v>1316</v>
      </c>
      <c r="S1019" s="7">
        <f t="shared" si="77"/>
        <v>3</v>
      </c>
      <c r="T1019" s="15" t="str">
        <f>VLOOKUP(R1019,产品分类!$C$2:$D$1278,2,0)</f>
        <v>办公用品</v>
      </c>
    </row>
    <row r="1020" spans="1:20">
      <c r="A1020" s="8">
        <f>DATE(2012,12,31)-823</f>
        <v>40451</v>
      </c>
      <c r="B1020" s="8">
        <f>DATE(2012,12,31)-823</f>
        <v>40451</v>
      </c>
      <c r="C1020" s="9" t="s">
        <v>1315</v>
      </c>
      <c r="D1020">
        <v>10021323975</v>
      </c>
      <c r="E1020" t="s">
        <v>47</v>
      </c>
      <c r="F1020" t="s">
        <v>132</v>
      </c>
      <c r="G1020" t="s">
        <v>133</v>
      </c>
      <c r="H1020" t="s">
        <v>134</v>
      </c>
      <c r="I1020" t="s">
        <v>133</v>
      </c>
      <c r="J1020" t="s">
        <v>668</v>
      </c>
      <c r="K1020" s="3">
        <v>100129175376</v>
      </c>
      <c r="L1020" s="10">
        <v>40453</v>
      </c>
      <c r="M1020">
        <v>548.11</v>
      </c>
      <c r="N1020" s="11">
        <v>46</v>
      </c>
      <c r="O1020" s="12">
        <v>11.55</v>
      </c>
      <c r="P1020" s="12">
        <v>2.36</v>
      </c>
      <c r="Q1020" s="13">
        <v>124.24</v>
      </c>
      <c r="R1020" s="36" t="s">
        <v>1043</v>
      </c>
      <c r="S1020" s="7">
        <f t="shared" si="77"/>
        <v>2</v>
      </c>
      <c r="T1020" s="15" t="str">
        <f>VLOOKUP(R1020,产品分类!$C$2:$D$1278,2,0)</f>
        <v>家具产品</v>
      </c>
    </row>
    <row r="1021" spans="1:20">
      <c r="A1021" s="8">
        <f t="shared" ref="A1021:B1023" si="83">DATE(2012,12,31)-271</f>
        <v>41003</v>
      </c>
      <c r="B1021" s="8">
        <f t="shared" si="83"/>
        <v>41003</v>
      </c>
      <c r="C1021" s="9" t="s">
        <v>373</v>
      </c>
      <c r="D1021">
        <v>10021398028</v>
      </c>
      <c r="E1021" t="s">
        <v>47</v>
      </c>
      <c r="F1021" t="s">
        <v>61</v>
      </c>
      <c r="G1021" t="s">
        <v>62</v>
      </c>
      <c r="H1021" t="s">
        <v>1077</v>
      </c>
      <c r="I1021" t="s">
        <v>1078</v>
      </c>
      <c r="J1021" t="s">
        <v>668</v>
      </c>
      <c r="K1021" s="3">
        <v>100810900622</v>
      </c>
      <c r="L1021" s="10">
        <v>41005</v>
      </c>
      <c r="M1021">
        <v>226.81</v>
      </c>
      <c r="N1021" s="11">
        <v>16</v>
      </c>
      <c r="O1021" s="12">
        <v>14.45</v>
      </c>
      <c r="P1021" s="12">
        <v>7.17</v>
      </c>
      <c r="Q1021" s="13">
        <v>-5.3705</v>
      </c>
      <c r="R1021" s="36" t="s">
        <v>1317</v>
      </c>
      <c r="S1021" s="7">
        <f t="shared" si="77"/>
        <v>2</v>
      </c>
      <c r="T1021" s="15" t="str">
        <f>VLOOKUP(R1021,产品分类!$C$2:$D$1278,2,0)</f>
        <v>家具产品</v>
      </c>
    </row>
    <row r="1022" spans="1:20">
      <c r="A1022" s="8">
        <f t="shared" si="83"/>
        <v>41003</v>
      </c>
      <c r="B1022" s="8">
        <f t="shared" si="83"/>
        <v>41003</v>
      </c>
      <c r="C1022" s="9" t="s">
        <v>373</v>
      </c>
      <c r="D1022">
        <v>10021325982</v>
      </c>
      <c r="E1022" t="s">
        <v>47</v>
      </c>
      <c r="F1022" t="s">
        <v>132</v>
      </c>
      <c r="G1022" t="s">
        <v>133</v>
      </c>
      <c r="H1022" t="s">
        <v>134</v>
      </c>
      <c r="I1022" t="s">
        <v>133</v>
      </c>
      <c r="J1022" t="s">
        <v>668</v>
      </c>
      <c r="K1022" s="3">
        <v>100832251322</v>
      </c>
      <c r="L1022" s="10">
        <v>41004</v>
      </c>
      <c r="M1022">
        <v>511.07</v>
      </c>
      <c r="N1022" s="11">
        <v>46</v>
      </c>
      <c r="O1022" s="12">
        <v>10.97</v>
      </c>
      <c r="P1022" s="12">
        <v>6.5</v>
      </c>
      <c r="Q1022" s="13">
        <v>-165.74</v>
      </c>
      <c r="R1022" s="36" t="s">
        <v>381</v>
      </c>
      <c r="S1022" s="7">
        <f t="shared" si="77"/>
        <v>1</v>
      </c>
      <c r="T1022" s="15" t="str">
        <f>VLOOKUP(R1022,产品分类!$C$2:$D$1278,2,0)</f>
        <v>数码电子</v>
      </c>
    </row>
    <row r="1023" spans="1:20">
      <c r="A1023" s="8">
        <f t="shared" si="83"/>
        <v>41003</v>
      </c>
      <c r="B1023" s="8">
        <f t="shared" si="83"/>
        <v>41003</v>
      </c>
      <c r="C1023" s="9" t="s">
        <v>373</v>
      </c>
      <c r="D1023">
        <v>10021271820</v>
      </c>
      <c r="E1023" t="s">
        <v>47</v>
      </c>
      <c r="F1023" t="s">
        <v>177</v>
      </c>
      <c r="G1023" t="s">
        <v>178</v>
      </c>
      <c r="H1023" t="s">
        <v>1292</v>
      </c>
      <c r="I1023" t="s">
        <v>1293</v>
      </c>
      <c r="J1023" t="s">
        <v>668</v>
      </c>
      <c r="K1023" s="3">
        <v>100111249797</v>
      </c>
      <c r="L1023" s="10">
        <v>41005</v>
      </c>
      <c r="M1023">
        <v>337.34</v>
      </c>
      <c r="N1023" s="11">
        <v>9</v>
      </c>
      <c r="O1023" s="12">
        <v>39.48</v>
      </c>
      <c r="P1023" s="12">
        <v>1.99</v>
      </c>
      <c r="Q1023" s="13">
        <v>-69.84</v>
      </c>
      <c r="R1023" s="36" t="s">
        <v>235</v>
      </c>
      <c r="S1023" s="7">
        <f t="shared" si="77"/>
        <v>2</v>
      </c>
      <c r="T1023" s="15" t="str">
        <f>VLOOKUP(R1023,产品分类!$C$2:$D$1278,2,0)</f>
        <v>办公用品</v>
      </c>
    </row>
    <row r="1024" spans="1:20">
      <c r="A1024" s="8">
        <f t="shared" ref="A1024:B1026" si="84">DATE(2012,12,31)-1449</f>
        <v>39825</v>
      </c>
      <c r="B1024" s="8">
        <f t="shared" si="84"/>
        <v>39825</v>
      </c>
      <c r="C1024" s="9" t="s">
        <v>1318</v>
      </c>
      <c r="D1024">
        <v>10021429343</v>
      </c>
      <c r="E1024" t="s">
        <v>47</v>
      </c>
      <c r="F1024" t="s">
        <v>97</v>
      </c>
      <c r="G1024" t="s">
        <v>98</v>
      </c>
      <c r="H1024" t="s">
        <v>99</v>
      </c>
      <c r="I1024" t="s">
        <v>98</v>
      </c>
      <c r="J1024" t="s">
        <v>668</v>
      </c>
      <c r="K1024" s="3">
        <v>100131418986</v>
      </c>
      <c r="L1024" s="10">
        <v>39827</v>
      </c>
      <c r="M1024">
        <v>4080.3</v>
      </c>
      <c r="N1024" s="11">
        <v>12</v>
      </c>
      <c r="O1024" s="12">
        <v>350.99</v>
      </c>
      <c r="P1024" s="12">
        <v>39</v>
      </c>
      <c r="Q1024" s="13">
        <v>593.79</v>
      </c>
      <c r="R1024" s="36" t="s">
        <v>1319</v>
      </c>
      <c r="S1024" s="7">
        <f t="shared" si="77"/>
        <v>2</v>
      </c>
      <c r="T1024" s="15" t="str">
        <f>VLOOKUP(R1024,产品分类!$C$2:$D$1278,2,0)</f>
        <v>家具产品</v>
      </c>
    </row>
    <row r="1025" spans="1:20">
      <c r="A1025" s="8">
        <f t="shared" si="84"/>
        <v>39825</v>
      </c>
      <c r="B1025" s="8">
        <f t="shared" si="84"/>
        <v>39825</v>
      </c>
      <c r="C1025" s="9" t="s">
        <v>1318</v>
      </c>
      <c r="D1025">
        <v>10021414360</v>
      </c>
      <c r="E1025" t="s">
        <v>47</v>
      </c>
      <c r="F1025" t="s">
        <v>66</v>
      </c>
      <c r="G1025" t="s">
        <v>67</v>
      </c>
      <c r="H1025" t="s">
        <v>68</v>
      </c>
      <c r="I1025" t="s">
        <v>69</v>
      </c>
      <c r="J1025" t="s">
        <v>668</v>
      </c>
      <c r="K1025" s="3">
        <v>10089520572</v>
      </c>
      <c r="L1025" s="10">
        <v>39829</v>
      </c>
      <c r="M1025">
        <v>260.79</v>
      </c>
      <c r="N1025" s="11">
        <v>28</v>
      </c>
      <c r="O1025" s="12">
        <v>8.74</v>
      </c>
      <c r="P1025" s="12">
        <v>1.39</v>
      </c>
      <c r="Q1025" s="13">
        <v>111.4</v>
      </c>
      <c r="R1025" s="36" t="s">
        <v>618</v>
      </c>
      <c r="S1025" s="7">
        <f t="shared" si="77"/>
        <v>4</v>
      </c>
      <c r="T1025" s="15" t="str">
        <f>VLOOKUP(R1025,产品分类!$C$2:$D$1278,2,0)</f>
        <v>办公用品</v>
      </c>
    </row>
    <row r="1026" spans="1:20">
      <c r="A1026" s="8">
        <f t="shared" si="84"/>
        <v>39825</v>
      </c>
      <c r="B1026" s="8">
        <f t="shared" si="84"/>
        <v>39825</v>
      </c>
      <c r="C1026" s="9" t="s">
        <v>1318</v>
      </c>
      <c r="D1026">
        <v>10021253388</v>
      </c>
      <c r="E1026" t="s">
        <v>47</v>
      </c>
      <c r="F1026" t="s">
        <v>66</v>
      </c>
      <c r="G1026" t="s">
        <v>67</v>
      </c>
      <c r="H1026" t="s">
        <v>68</v>
      </c>
      <c r="I1026" t="s">
        <v>69</v>
      </c>
      <c r="J1026" t="s">
        <v>668</v>
      </c>
      <c r="K1026" s="3">
        <v>100119035327</v>
      </c>
      <c r="L1026" s="10">
        <v>39829</v>
      </c>
      <c r="M1026">
        <v>90.35</v>
      </c>
      <c r="N1026" s="11">
        <v>44</v>
      </c>
      <c r="O1026" s="12">
        <v>1.98</v>
      </c>
      <c r="P1026" s="12">
        <v>0.7</v>
      </c>
      <c r="Q1026" s="13">
        <v>-16.72</v>
      </c>
      <c r="R1026" s="36" t="s">
        <v>1320</v>
      </c>
      <c r="S1026" s="7">
        <f t="shared" si="77"/>
        <v>4</v>
      </c>
      <c r="T1026" s="15" t="str">
        <f>VLOOKUP(R1026,产品分类!$C$2:$D$1278,2,0)</f>
        <v>办公用品</v>
      </c>
    </row>
    <row r="1027" spans="1:20">
      <c r="A1027" s="8">
        <f>DATE(2012,12,31)-680</f>
        <v>40594</v>
      </c>
      <c r="B1027" s="8">
        <f>DATE(2012,12,31)-680</f>
        <v>40594</v>
      </c>
      <c r="C1027" s="9" t="s">
        <v>518</v>
      </c>
      <c r="D1027">
        <v>10021342489</v>
      </c>
      <c r="E1027" t="s">
        <v>47</v>
      </c>
      <c r="F1027" t="s">
        <v>66</v>
      </c>
      <c r="G1027" t="s">
        <v>67</v>
      </c>
      <c r="H1027" t="s">
        <v>68</v>
      </c>
      <c r="I1027" t="s">
        <v>69</v>
      </c>
      <c r="J1027" t="s">
        <v>668</v>
      </c>
      <c r="K1027" s="3">
        <v>100428131744</v>
      </c>
      <c r="L1027" s="10">
        <v>40595</v>
      </c>
      <c r="M1027">
        <v>72.63</v>
      </c>
      <c r="N1027" s="11">
        <v>3</v>
      </c>
      <c r="O1027" s="12">
        <v>22.01</v>
      </c>
      <c r="P1027" s="12">
        <v>5.53</v>
      </c>
      <c r="Q1027" s="13">
        <v>-26.94</v>
      </c>
      <c r="R1027" s="36" t="s">
        <v>747</v>
      </c>
      <c r="S1027" s="7">
        <f t="shared" ref="S1027:S1090" si="85">+L1027-B1027</f>
        <v>1</v>
      </c>
      <c r="T1027" s="15" t="str">
        <f>VLOOKUP(R1027,产品分类!$C$2:$D$1278,2,0)</f>
        <v>数码电子</v>
      </c>
    </row>
    <row r="1028" spans="1:20">
      <c r="A1028" s="8">
        <f>DATE(2012,12,31)-242</f>
        <v>41032</v>
      </c>
      <c r="B1028" s="8">
        <f>DATE(2012,12,31)-242</f>
        <v>41032</v>
      </c>
      <c r="C1028" s="9" t="s">
        <v>1258</v>
      </c>
      <c r="D1028">
        <v>10021364010</v>
      </c>
      <c r="E1028" t="s">
        <v>47</v>
      </c>
      <c r="F1028" t="s">
        <v>66</v>
      </c>
      <c r="G1028" t="s">
        <v>67</v>
      </c>
      <c r="H1028" t="s">
        <v>68</v>
      </c>
      <c r="I1028" t="s">
        <v>69</v>
      </c>
      <c r="J1028" t="s">
        <v>668</v>
      </c>
      <c r="K1028" s="3">
        <v>10019325218</v>
      </c>
      <c r="L1028" s="10">
        <v>41033</v>
      </c>
      <c r="M1028">
        <v>26.09</v>
      </c>
      <c r="N1028" s="11">
        <v>9</v>
      </c>
      <c r="O1028" s="12">
        <v>2.84</v>
      </c>
      <c r="P1028" s="12">
        <v>0.93</v>
      </c>
      <c r="Q1028" s="13">
        <v>-1.76</v>
      </c>
      <c r="R1028" s="36" t="s">
        <v>544</v>
      </c>
      <c r="S1028" s="7">
        <f t="shared" si="85"/>
        <v>1</v>
      </c>
      <c r="T1028" s="15" t="str">
        <f>VLOOKUP(R1028,产品分类!$C$2:$D$1278,2,0)</f>
        <v>办公用品</v>
      </c>
    </row>
    <row r="1029" spans="1:20">
      <c r="A1029" s="8">
        <f>DATE(2012,12,31)-823</f>
        <v>40451</v>
      </c>
      <c r="B1029" s="8">
        <f>DATE(2012,12,31)-823</f>
        <v>40451</v>
      </c>
      <c r="C1029" s="9" t="s">
        <v>1321</v>
      </c>
      <c r="D1029">
        <v>10021419496</v>
      </c>
      <c r="E1029" t="s">
        <v>47</v>
      </c>
      <c r="F1029" t="s">
        <v>152</v>
      </c>
      <c r="G1029" t="s">
        <v>153</v>
      </c>
      <c r="H1029" t="s">
        <v>1136</v>
      </c>
      <c r="I1029" t="s">
        <v>1137</v>
      </c>
      <c r="J1029" t="s">
        <v>668</v>
      </c>
      <c r="K1029" s="3">
        <v>100314663299</v>
      </c>
      <c r="L1029" s="10">
        <v>40454</v>
      </c>
      <c r="M1029">
        <v>6900.13</v>
      </c>
      <c r="N1029" s="11">
        <v>38</v>
      </c>
      <c r="O1029" s="12">
        <v>180.98</v>
      </c>
      <c r="P1029" s="12">
        <v>23.58</v>
      </c>
      <c r="Q1029" s="13">
        <v>552.97</v>
      </c>
      <c r="R1029" s="36" t="s">
        <v>1322</v>
      </c>
      <c r="S1029" s="7">
        <f t="shared" si="85"/>
        <v>3</v>
      </c>
      <c r="T1029" s="15" t="str">
        <f>VLOOKUP(R1029,产品分类!$C$2:$D$1278,2,0)</f>
        <v>办公用品</v>
      </c>
    </row>
    <row r="1030" spans="1:20">
      <c r="A1030" s="8">
        <f>DATE(2012,12,31)-673</f>
        <v>40601</v>
      </c>
      <c r="B1030" s="8">
        <f>DATE(2012,12,31)-673</f>
        <v>40601</v>
      </c>
      <c r="C1030" s="9" t="s">
        <v>1323</v>
      </c>
      <c r="D1030">
        <v>10021353476</v>
      </c>
      <c r="E1030" t="s">
        <v>47</v>
      </c>
      <c r="F1030" t="s">
        <v>66</v>
      </c>
      <c r="G1030" t="s">
        <v>67</v>
      </c>
      <c r="H1030" t="s">
        <v>68</v>
      </c>
      <c r="I1030" t="s">
        <v>69</v>
      </c>
      <c r="J1030" t="s">
        <v>668</v>
      </c>
      <c r="K1030" s="3">
        <v>100132568466</v>
      </c>
      <c r="L1030" s="10">
        <v>40607</v>
      </c>
      <c r="M1030">
        <v>1942.1735</v>
      </c>
      <c r="N1030" s="11">
        <v>19</v>
      </c>
      <c r="O1030" s="12">
        <v>115.99</v>
      </c>
      <c r="P1030" s="12">
        <v>2.5</v>
      </c>
      <c r="Q1030" s="13">
        <v>400.824</v>
      </c>
      <c r="R1030" s="36" t="s">
        <v>857</v>
      </c>
      <c r="S1030" s="7">
        <f t="shared" si="85"/>
        <v>6</v>
      </c>
      <c r="T1030" s="15" t="str">
        <f>VLOOKUP(R1030,产品分类!$C$2:$D$1278,2,0)</f>
        <v>办公用品</v>
      </c>
    </row>
    <row r="1031" spans="1:20">
      <c r="A1031" s="8">
        <f>DATE(2012,12,31)-1116</f>
        <v>40158</v>
      </c>
      <c r="B1031" s="8">
        <f>DATE(2012,12,31)-1116</f>
        <v>40158</v>
      </c>
      <c r="C1031" s="9" t="s">
        <v>766</v>
      </c>
      <c r="D1031">
        <v>10021423102</v>
      </c>
      <c r="E1031" t="s">
        <v>47</v>
      </c>
      <c r="F1031" t="s">
        <v>72</v>
      </c>
      <c r="G1031" t="s">
        <v>73</v>
      </c>
      <c r="H1031" t="s">
        <v>1277</v>
      </c>
      <c r="I1031" t="s">
        <v>1278</v>
      </c>
      <c r="J1031" t="s">
        <v>668</v>
      </c>
      <c r="K1031" s="3">
        <v>100927693031</v>
      </c>
      <c r="L1031" s="10">
        <v>40159</v>
      </c>
      <c r="M1031">
        <v>560.39</v>
      </c>
      <c r="N1031" s="11">
        <v>37</v>
      </c>
      <c r="O1031" s="12">
        <v>15.68</v>
      </c>
      <c r="P1031" s="12">
        <v>3.73</v>
      </c>
      <c r="Q1031" s="13">
        <v>186.87</v>
      </c>
      <c r="R1031" s="36" t="s">
        <v>756</v>
      </c>
      <c r="S1031" s="7">
        <f t="shared" si="85"/>
        <v>1</v>
      </c>
      <c r="T1031" s="15" t="str">
        <f>VLOOKUP(R1031,产品分类!$C$2:$D$1278,2,0)</f>
        <v>办公用品</v>
      </c>
    </row>
    <row r="1032" spans="1:20">
      <c r="A1032" s="8">
        <f>DATE(2012,12,31)-1116</f>
        <v>40158</v>
      </c>
      <c r="B1032" s="8">
        <f>DATE(2012,12,31)-1116</f>
        <v>40158</v>
      </c>
      <c r="C1032" s="9" t="s">
        <v>766</v>
      </c>
      <c r="D1032">
        <v>10021262512</v>
      </c>
      <c r="E1032" t="s">
        <v>47</v>
      </c>
      <c r="F1032" t="s">
        <v>78</v>
      </c>
      <c r="G1032" t="s">
        <v>79</v>
      </c>
      <c r="H1032" t="s">
        <v>1264</v>
      </c>
      <c r="I1032" t="s">
        <v>79</v>
      </c>
      <c r="J1032" t="s">
        <v>668</v>
      </c>
      <c r="K1032" s="3">
        <v>100130084546</v>
      </c>
      <c r="L1032" s="10">
        <v>40159</v>
      </c>
      <c r="M1032">
        <v>7062.616</v>
      </c>
      <c r="N1032" s="11">
        <v>42</v>
      </c>
      <c r="O1032" s="12">
        <v>195.99</v>
      </c>
      <c r="P1032" s="12">
        <v>4.2</v>
      </c>
      <c r="Q1032" s="13">
        <v>2288.637</v>
      </c>
      <c r="R1032" s="36" t="s">
        <v>1279</v>
      </c>
      <c r="S1032" s="7">
        <f t="shared" si="85"/>
        <v>1</v>
      </c>
      <c r="T1032" s="15" t="str">
        <f>VLOOKUP(R1032,产品分类!$C$2:$D$1278,2,0)</f>
        <v>家具产品</v>
      </c>
    </row>
    <row r="1033" spans="1:20">
      <c r="A1033" s="8">
        <f>DATE(2012,12,31)-112</f>
        <v>41162</v>
      </c>
      <c r="B1033" s="8">
        <f>DATE(2012,12,31)-112</f>
        <v>41162</v>
      </c>
      <c r="C1033" s="9" t="s">
        <v>1258</v>
      </c>
      <c r="D1033">
        <v>10021268650</v>
      </c>
      <c r="E1033" t="s">
        <v>47</v>
      </c>
      <c r="F1033" t="s">
        <v>72</v>
      </c>
      <c r="G1033" t="s">
        <v>73</v>
      </c>
      <c r="H1033" t="s">
        <v>1277</v>
      </c>
      <c r="I1033" t="s">
        <v>1278</v>
      </c>
      <c r="J1033" t="s">
        <v>668</v>
      </c>
      <c r="K1033" s="3">
        <v>100432405673</v>
      </c>
      <c r="L1033" s="10">
        <v>41164</v>
      </c>
      <c r="M1033">
        <v>1406.49</v>
      </c>
      <c r="N1033" s="11">
        <v>47</v>
      </c>
      <c r="O1033" s="12">
        <v>28.15</v>
      </c>
      <c r="P1033" s="12">
        <v>6.17</v>
      </c>
      <c r="Q1033" s="13">
        <v>332.52</v>
      </c>
      <c r="R1033" s="36" t="s">
        <v>645</v>
      </c>
      <c r="S1033" s="7">
        <f t="shared" si="85"/>
        <v>2</v>
      </c>
      <c r="T1033" s="15" t="str">
        <f>VLOOKUP(R1033,产品分类!$C$2:$D$1278,2,0)</f>
        <v>数码电子</v>
      </c>
    </row>
    <row r="1034" spans="1:20">
      <c r="A1034" s="8">
        <f>DATE(2012,12,31)-112</f>
        <v>41162</v>
      </c>
      <c r="B1034" s="8">
        <f>DATE(2012,12,31)-112</f>
        <v>41162</v>
      </c>
      <c r="C1034" s="9" t="s">
        <v>1258</v>
      </c>
      <c r="D1034">
        <v>10021421620</v>
      </c>
      <c r="E1034" t="s">
        <v>47</v>
      </c>
      <c r="F1034" t="s">
        <v>72</v>
      </c>
      <c r="G1034" t="s">
        <v>73</v>
      </c>
      <c r="H1034" t="s">
        <v>1277</v>
      </c>
      <c r="I1034" t="s">
        <v>1278</v>
      </c>
      <c r="J1034" t="s">
        <v>668</v>
      </c>
      <c r="K1034" s="3">
        <v>100425980754</v>
      </c>
      <c r="L1034" s="10">
        <v>41164</v>
      </c>
      <c r="M1034">
        <v>587.71</v>
      </c>
      <c r="N1034" s="11">
        <v>49</v>
      </c>
      <c r="O1034" s="12">
        <v>12.98</v>
      </c>
      <c r="P1034" s="12">
        <v>3.14</v>
      </c>
      <c r="Q1034" s="13">
        <v>26.28</v>
      </c>
      <c r="R1034" s="36" t="s">
        <v>161</v>
      </c>
      <c r="S1034" s="7">
        <f t="shared" si="85"/>
        <v>2</v>
      </c>
      <c r="T1034" s="15" t="str">
        <f>VLOOKUP(R1034,产品分类!$C$2:$D$1278,2,0)</f>
        <v>办公用品</v>
      </c>
    </row>
    <row r="1035" spans="1:20">
      <c r="A1035" s="8">
        <f>DATE(2012,12,31)-969</f>
        <v>40305</v>
      </c>
      <c r="B1035" s="8">
        <f>DATE(2012,12,31)-969</f>
        <v>40305</v>
      </c>
      <c r="C1035" s="9" t="s">
        <v>250</v>
      </c>
      <c r="D1035">
        <v>10021251878</v>
      </c>
      <c r="E1035" t="s">
        <v>47</v>
      </c>
      <c r="F1035" t="s">
        <v>78</v>
      </c>
      <c r="G1035" t="s">
        <v>79</v>
      </c>
      <c r="H1035" t="s">
        <v>1264</v>
      </c>
      <c r="I1035" t="s">
        <v>79</v>
      </c>
      <c r="J1035" t="s">
        <v>668</v>
      </c>
      <c r="K1035" s="3">
        <v>100114878138</v>
      </c>
      <c r="L1035" s="10">
        <v>40306</v>
      </c>
      <c r="M1035">
        <v>1079.19</v>
      </c>
      <c r="N1035" s="11">
        <v>12</v>
      </c>
      <c r="O1035" s="12">
        <v>92.23</v>
      </c>
      <c r="P1035" s="12">
        <v>39.61</v>
      </c>
      <c r="Q1035" s="13">
        <v>46.8</v>
      </c>
      <c r="R1035" s="36" t="s">
        <v>1164</v>
      </c>
      <c r="S1035" s="7">
        <f t="shared" si="85"/>
        <v>1</v>
      </c>
      <c r="T1035" s="15" t="str">
        <f>VLOOKUP(R1035,产品分类!$C$2:$D$1278,2,0)</f>
        <v>数码电子</v>
      </c>
    </row>
    <row r="1036" spans="1:20">
      <c r="A1036" s="8">
        <f>DATE(2012,12,31)-969</f>
        <v>40305</v>
      </c>
      <c r="B1036" s="8">
        <f>DATE(2012,12,31)-969</f>
        <v>40305</v>
      </c>
      <c r="C1036" s="9" t="s">
        <v>250</v>
      </c>
      <c r="D1036">
        <v>10021250918</v>
      </c>
      <c r="E1036" t="s">
        <v>47</v>
      </c>
      <c r="F1036" t="s">
        <v>72</v>
      </c>
      <c r="G1036" t="s">
        <v>73</v>
      </c>
      <c r="H1036" t="s">
        <v>1277</v>
      </c>
      <c r="I1036" t="s">
        <v>1278</v>
      </c>
      <c r="J1036" t="s">
        <v>668</v>
      </c>
      <c r="K1036" s="3">
        <v>100116230387</v>
      </c>
      <c r="L1036" s="10">
        <v>40308</v>
      </c>
      <c r="M1036">
        <v>19.05</v>
      </c>
      <c r="N1036" s="11">
        <v>3</v>
      </c>
      <c r="O1036" s="12">
        <v>4.28</v>
      </c>
      <c r="P1036" s="12">
        <v>6.72</v>
      </c>
      <c r="Q1036" s="13">
        <v>-14.81</v>
      </c>
      <c r="R1036" s="36" t="s">
        <v>833</v>
      </c>
      <c r="S1036" s="7">
        <f t="shared" si="85"/>
        <v>3</v>
      </c>
      <c r="T1036" s="15" t="str">
        <f>VLOOKUP(R1036,产品分类!$C$2:$D$1278,2,0)</f>
        <v>家具产品</v>
      </c>
    </row>
    <row r="1037" spans="1:20">
      <c r="A1037" s="8">
        <f>DATE(2012,12,31)-811</f>
        <v>40463</v>
      </c>
      <c r="B1037" s="8">
        <f>DATE(2012,12,31)-811</f>
        <v>40463</v>
      </c>
      <c r="C1037" s="9" t="s">
        <v>712</v>
      </c>
      <c r="D1037">
        <v>10021396679</v>
      </c>
      <c r="E1037" t="s">
        <v>47</v>
      </c>
      <c r="F1037" t="s">
        <v>78</v>
      </c>
      <c r="G1037" t="s">
        <v>79</v>
      </c>
      <c r="H1037" t="s">
        <v>1264</v>
      </c>
      <c r="I1037" t="s">
        <v>79</v>
      </c>
      <c r="J1037" t="s">
        <v>668</v>
      </c>
      <c r="K1037" s="3">
        <v>100423523104</v>
      </c>
      <c r="L1037" s="10">
        <v>40465</v>
      </c>
      <c r="M1037">
        <v>90.37</v>
      </c>
      <c r="N1037" s="11">
        <v>9</v>
      </c>
      <c r="O1037" s="12">
        <v>4.48</v>
      </c>
      <c r="P1037" s="12">
        <v>49</v>
      </c>
      <c r="Q1037" s="13">
        <v>-374.82</v>
      </c>
      <c r="R1037" s="36" t="s">
        <v>337</v>
      </c>
      <c r="S1037" s="7">
        <f t="shared" si="85"/>
        <v>2</v>
      </c>
      <c r="T1037" s="15" t="str">
        <f>VLOOKUP(R1037,产品分类!$C$2:$D$1278,2,0)</f>
        <v>数码电子</v>
      </c>
    </row>
    <row r="1038" spans="1:20">
      <c r="A1038" s="8">
        <f>DATE(2012,12,31)-811</f>
        <v>40463</v>
      </c>
      <c r="B1038" s="8">
        <f>DATE(2012,12,31)-811</f>
        <v>40463</v>
      </c>
      <c r="C1038" s="9" t="s">
        <v>712</v>
      </c>
      <c r="D1038">
        <v>10021257066</v>
      </c>
      <c r="E1038" t="s">
        <v>47</v>
      </c>
      <c r="F1038" t="s">
        <v>72</v>
      </c>
      <c r="G1038" t="s">
        <v>73</v>
      </c>
      <c r="H1038" t="s">
        <v>1277</v>
      </c>
      <c r="I1038" t="s">
        <v>1278</v>
      </c>
      <c r="J1038" t="s">
        <v>668</v>
      </c>
      <c r="K1038" s="3">
        <v>100325983599</v>
      </c>
      <c r="L1038" s="10">
        <v>40464</v>
      </c>
      <c r="M1038">
        <v>806.05</v>
      </c>
      <c r="N1038" s="11">
        <v>39</v>
      </c>
      <c r="O1038" s="12">
        <v>20.95</v>
      </c>
      <c r="P1038" s="12">
        <v>5.99</v>
      </c>
      <c r="Q1038" s="13">
        <v>-63.39</v>
      </c>
      <c r="R1038" s="36" t="s">
        <v>1324</v>
      </c>
      <c r="S1038" s="7">
        <f t="shared" si="85"/>
        <v>1</v>
      </c>
      <c r="T1038" s="15" t="str">
        <f>VLOOKUP(R1038,产品分类!$C$2:$D$1278,2,0)</f>
        <v>家具产品</v>
      </c>
    </row>
    <row r="1039" spans="1:20">
      <c r="A1039" s="8">
        <f>DATE(2012,12,31)-592</f>
        <v>40682</v>
      </c>
      <c r="B1039" s="8">
        <f>DATE(2012,12,31)-592</f>
        <v>40682</v>
      </c>
      <c r="C1039" s="9" t="s">
        <v>1325</v>
      </c>
      <c r="D1039">
        <v>10021419016</v>
      </c>
      <c r="E1039" t="s">
        <v>47</v>
      </c>
      <c r="F1039" t="s">
        <v>72</v>
      </c>
      <c r="G1039" t="s">
        <v>73</v>
      </c>
      <c r="H1039" t="s">
        <v>1277</v>
      </c>
      <c r="I1039" t="s">
        <v>1278</v>
      </c>
      <c r="J1039" t="s">
        <v>668</v>
      </c>
      <c r="K1039" s="3">
        <v>100822779102</v>
      </c>
      <c r="L1039" s="10">
        <v>40684</v>
      </c>
      <c r="M1039">
        <v>650.1395</v>
      </c>
      <c r="N1039" s="11">
        <v>34</v>
      </c>
      <c r="O1039" s="12">
        <v>20.99</v>
      </c>
      <c r="P1039" s="12">
        <v>1.25</v>
      </c>
      <c r="Q1039" s="13">
        <v>22.572</v>
      </c>
      <c r="R1039" s="36" t="s">
        <v>1326</v>
      </c>
      <c r="S1039" s="7">
        <f t="shared" si="85"/>
        <v>2</v>
      </c>
      <c r="T1039" s="15" t="str">
        <f>VLOOKUP(R1039,产品分类!$C$2:$D$1278,2,0)</f>
        <v>家具产品</v>
      </c>
    </row>
    <row r="1040" spans="1:20">
      <c r="A1040" s="8">
        <f>DATE(2012,12,31)-815</f>
        <v>40459</v>
      </c>
      <c r="B1040" s="8">
        <f>DATE(2012,12,31)-815</f>
        <v>40459</v>
      </c>
      <c r="C1040" s="9" t="s">
        <v>675</v>
      </c>
      <c r="D1040">
        <v>10021258109</v>
      </c>
      <c r="E1040" t="s">
        <v>47</v>
      </c>
      <c r="F1040" t="s">
        <v>230</v>
      </c>
      <c r="G1040" t="s">
        <v>231</v>
      </c>
      <c r="H1040" t="s">
        <v>1186</v>
      </c>
      <c r="I1040" t="s">
        <v>1187</v>
      </c>
      <c r="J1040" t="s">
        <v>668</v>
      </c>
      <c r="K1040" s="3">
        <v>100126960296</v>
      </c>
      <c r="L1040" s="10">
        <v>40460</v>
      </c>
      <c r="M1040">
        <v>141.77</v>
      </c>
      <c r="N1040" s="11">
        <v>8</v>
      </c>
      <c r="O1040" s="12">
        <v>17.48</v>
      </c>
      <c r="P1040" s="12">
        <v>1.99</v>
      </c>
      <c r="Q1040" s="13">
        <v>-24.48</v>
      </c>
      <c r="R1040" s="36" t="s">
        <v>1327</v>
      </c>
      <c r="S1040" s="7">
        <f t="shared" si="85"/>
        <v>1</v>
      </c>
      <c r="T1040" s="15" t="str">
        <f>VLOOKUP(R1040,产品分类!$C$2:$D$1278,2,0)</f>
        <v>数码电子</v>
      </c>
    </row>
    <row r="1041" spans="1:20">
      <c r="A1041" s="8">
        <f t="shared" ref="A1041:B1043" si="86">DATE(2012,12,31)-1160</f>
        <v>40114</v>
      </c>
      <c r="B1041" s="8">
        <f t="shared" si="86"/>
        <v>40114</v>
      </c>
      <c r="C1041" s="9" t="s">
        <v>291</v>
      </c>
      <c r="D1041">
        <v>10021425627</v>
      </c>
      <c r="E1041" t="s">
        <v>47</v>
      </c>
      <c r="F1041" t="s">
        <v>78</v>
      </c>
      <c r="G1041" t="s">
        <v>79</v>
      </c>
      <c r="H1041" t="s">
        <v>1264</v>
      </c>
      <c r="I1041" t="s">
        <v>79</v>
      </c>
      <c r="J1041" t="s">
        <v>668</v>
      </c>
      <c r="K1041" s="3">
        <v>100129596946</v>
      </c>
      <c r="L1041" s="10">
        <v>40116</v>
      </c>
      <c r="M1041">
        <v>5459.32</v>
      </c>
      <c r="N1041" s="11">
        <v>18</v>
      </c>
      <c r="O1041" s="12">
        <v>300.65</v>
      </c>
      <c r="P1041" s="12">
        <v>24.49</v>
      </c>
      <c r="Q1041" s="13">
        <v>1603.12</v>
      </c>
      <c r="R1041" s="36" t="s">
        <v>979</v>
      </c>
      <c r="S1041" s="7">
        <f t="shared" si="85"/>
        <v>2</v>
      </c>
      <c r="T1041" s="15" t="str">
        <f>VLOOKUP(R1041,产品分类!$C$2:$D$1278,2,0)</f>
        <v>办公用品</v>
      </c>
    </row>
    <row r="1042" spans="1:20">
      <c r="A1042" s="8">
        <f t="shared" si="86"/>
        <v>40114</v>
      </c>
      <c r="B1042" s="8">
        <f t="shared" si="86"/>
        <v>40114</v>
      </c>
      <c r="C1042" s="9" t="s">
        <v>291</v>
      </c>
      <c r="D1042">
        <v>10021336545</v>
      </c>
      <c r="E1042" t="s">
        <v>47</v>
      </c>
      <c r="F1042" t="s">
        <v>473</v>
      </c>
      <c r="G1042" t="s">
        <v>474</v>
      </c>
      <c r="H1042" t="s">
        <v>475</v>
      </c>
      <c r="I1042" t="s">
        <v>476</v>
      </c>
      <c r="J1042" t="s">
        <v>668</v>
      </c>
      <c r="K1042" s="3">
        <v>100319402239</v>
      </c>
      <c r="L1042" s="10">
        <v>40116</v>
      </c>
      <c r="M1042">
        <v>1793.42</v>
      </c>
      <c r="N1042" s="11">
        <v>37</v>
      </c>
      <c r="O1042" s="12">
        <v>49.99</v>
      </c>
      <c r="P1042" s="12">
        <v>19.99</v>
      </c>
      <c r="Q1042" s="13">
        <v>21.5</v>
      </c>
      <c r="R1042" s="36" t="s">
        <v>1328</v>
      </c>
      <c r="S1042" s="7">
        <f t="shared" si="85"/>
        <v>2</v>
      </c>
      <c r="T1042" s="15" t="str">
        <f>VLOOKUP(R1042,产品分类!$C$2:$D$1278,2,0)</f>
        <v>家具产品</v>
      </c>
    </row>
    <row r="1043" spans="1:20">
      <c r="A1043" s="8">
        <f t="shared" si="86"/>
        <v>40114</v>
      </c>
      <c r="B1043" s="8">
        <f t="shared" si="86"/>
        <v>40114</v>
      </c>
      <c r="C1043" s="9" t="s">
        <v>291</v>
      </c>
      <c r="D1043">
        <v>10021386565</v>
      </c>
      <c r="E1043" t="s">
        <v>47</v>
      </c>
      <c r="F1043" t="s">
        <v>122</v>
      </c>
      <c r="G1043" t="s">
        <v>123</v>
      </c>
      <c r="H1043" t="s">
        <v>124</v>
      </c>
      <c r="I1043" t="s">
        <v>125</v>
      </c>
      <c r="J1043" t="s">
        <v>668</v>
      </c>
      <c r="K1043" s="3">
        <v>100911154891</v>
      </c>
      <c r="L1043" s="10">
        <v>40115</v>
      </c>
      <c r="M1043">
        <v>3080.07</v>
      </c>
      <c r="N1043" s="11">
        <v>32</v>
      </c>
      <c r="O1043" s="12">
        <v>104.85</v>
      </c>
      <c r="P1043" s="12">
        <v>4.65</v>
      </c>
      <c r="Q1043" s="13">
        <v>1480.15</v>
      </c>
      <c r="R1043" s="36" t="s">
        <v>1329</v>
      </c>
      <c r="S1043" s="7">
        <f t="shared" si="85"/>
        <v>1</v>
      </c>
      <c r="T1043" s="15" t="str">
        <f>VLOOKUP(R1043,产品分类!$C$2:$D$1278,2,0)</f>
        <v>办公用品</v>
      </c>
    </row>
    <row r="1044" spans="1:20">
      <c r="A1044" s="8">
        <f>DATE(2012,12,31)-308</f>
        <v>40966</v>
      </c>
      <c r="B1044" s="8">
        <f>DATE(2012,12,31)-308</f>
        <v>40966</v>
      </c>
      <c r="C1044" s="9" t="s">
        <v>1330</v>
      </c>
      <c r="D1044">
        <v>10021338469</v>
      </c>
      <c r="E1044" t="s">
        <v>47</v>
      </c>
      <c r="F1044" t="s">
        <v>55</v>
      </c>
      <c r="G1044" t="s">
        <v>56</v>
      </c>
      <c r="H1044" t="s">
        <v>1331</v>
      </c>
      <c r="I1044" t="s">
        <v>1332</v>
      </c>
      <c r="J1044" t="s">
        <v>668</v>
      </c>
      <c r="K1044" s="3">
        <v>100823931192</v>
      </c>
      <c r="L1044" s="10">
        <v>40969</v>
      </c>
      <c r="M1044">
        <v>1425.06</v>
      </c>
      <c r="N1044" s="11">
        <v>32</v>
      </c>
      <c r="O1044" s="12">
        <v>48.04</v>
      </c>
      <c r="P1044" s="12">
        <v>5.09</v>
      </c>
      <c r="Q1044" s="13">
        <v>597.31</v>
      </c>
      <c r="R1044" s="36" t="s">
        <v>1333</v>
      </c>
      <c r="S1044" s="7">
        <f t="shared" si="85"/>
        <v>3</v>
      </c>
      <c r="T1044" s="15" t="str">
        <f>VLOOKUP(R1044,产品分类!$C$2:$D$1278,2,0)</f>
        <v>办公用品</v>
      </c>
    </row>
    <row r="1045" spans="1:20">
      <c r="A1045" s="8">
        <f>DATE(2012,12,31)-1055</f>
        <v>40219</v>
      </c>
      <c r="B1045" s="8">
        <f>DATE(2012,12,31)-1055</f>
        <v>40219</v>
      </c>
      <c r="C1045" s="9" t="s">
        <v>1334</v>
      </c>
      <c r="D1045">
        <v>10021264454</v>
      </c>
      <c r="E1045" t="s">
        <v>47</v>
      </c>
      <c r="F1045" t="s">
        <v>91</v>
      </c>
      <c r="G1045" t="s">
        <v>92</v>
      </c>
      <c r="H1045" t="s">
        <v>774</v>
      </c>
      <c r="I1045" t="s">
        <v>775</v>
      </c>
      <c r="J1045" t="s">
        <v>668</v>
      </c>
      <c r="K1045" s="3">
        <v>100131174707</v>
      </c>
      <c r="L1045" s="10">
        <v>40221</v>
      </c>
      <c r="M1045">
        <v>19.47</v>
      </c>
      <c r="N1045" s="11">
        <v>3</v>
      </c>
      <c r="O1045" s="12">
        <v>4.13</v>
      </c>
      <c r="P1045" s="12">
        <v>6.89</v>
      </c>
      <c r="Q1045" s="13">
        <v>-14.29</v>
      </c>
      <c r="R1045" s="36" t="s">
        <v>1335</v>
      </c>
      <c r="S1045" s="7">
        <f t="shared" si="85"/>
        <v>2</v>
      </c>
      <c r="T1045" s="15" t="str">
        <f>VLOOKUP(R1045,产品分类!$C$2:$D$1278,2,0)</f>
        <v>数码电子</v>
      </c>
    </row>
    <row r="1046" spans="1:20">
      <c r="A1046" s="8">
        <f>DATE(2012,12,31)-633</f>
        <v>40641</v>
      </c>
      <c r="B1046" s="8">
        <f>DATE(2012,12,31)-633</f>
        <v>40641</v>
      </c>
      <c r="C1046" s="9" t="s">
        <v>1336</v>
      </c>
      <c r="D1046">
        <v>10021426067</v>
      </c>
      <c r="E1046" t="s">
        <v>47</v>
      </c>
      <c r="F1046" t="s">
        <v>122</v>
      </c>
      <c r="G1046" t="s">
        <v>123</v>
      </c>
      <c r="H1046" t="s">
        <v>124</v>
      </c>
      <c r="I1046" t="s">
        <v>125</v>
      </c>
      <c r="J1046" t="s">
        <v>668</v>
      </c>
      <c r="K1046" s="3">
        <v>100429907904</v>
      </c>
      <c r="L1046" s="10">
        <v>40641</v>
      </c>
      <c r="M1046">
        <v>1141.37</v>
      </c>
      <c r="N1046" s="11">
        <v>32</v>
      </c>
      <c r="O1046" s="12">
        <v>35.44</v>
      </c>
      <c r="P1046" s="12">
        <v>19.99</v>
      </c>
      <c r="Q1046" s="13">
        <v>-0.140000000000001</v>
      </c>
      <c r="R1046" s="36" t="s">
        <v>1146</v>
      </c>
      <c r="S1046" s="7">
        <f t="shared" si="85"/>
        <v>0</v>
      </c>
      <c r="T1046" s="15" t="str">
        <f>VLOOKUP(R1046,产品分类!$C$2:$D$1278,2,0)</f>
        <v>数码电子</v>
      </c>
    </row>
    <row r="1047" spans="1:20">
      <c r="A1047" s="8">
        <f>DATE(2012,12,31)-1381</f>
        <v>39893</v>
      </c>
      <c r="B1047" s="8">
        <f>DATE(2012,12,31)-1381</f>
        <v>39893</v>
      </c>
      <c r="C1047" s="9" t="s">
        <v>250</v>
      </c>
      <c r="D1047">
        <v>10021413557</v>
      </c>
      <c r="E1047" t="s">
        <v>47</v>
      </c>
      <c r="F1047" t="s">
        <v>91</v>
      </c>
      <c r="G1047" t="s">
        <v>92</v>
      </c>
      <c r="H1047" t="s">
        <v>774</v>
      </c>
      <c r="I1047" t="s">
        <v>775</v>
      </c>
      <c r="J1047" t="s">
        <v>668</v>
      </c>
      <c r="K1047" s="3">
        <v>1007986115</v>
      </c>
      <c r="L1047" s="10">
        <v>39895</v>
      </c>
      <c r="M1047">
        <v>522.62</v>
      </c>
      <c r="N1047" s="11">
        <v>37</v>
      </c>
      <c r="O1047" s="12">
        <v>13.48</v>
      </c>
      <c r="P1047" s="12">
        <v>4.51</v>
      </c>
      <c r="Q1047" s="13">
        <v>34.52</v>
      </c>
      <c r="R1047" s="36" t="s">
        <v>550</v>
      </c>
      <c r="S1047" s="7">
        <f t="shared" si="85"/>
        <v>2</v>
      </c>
      <c r="T1047" s="15" t="str">
        <f>VLOOKUP(R1047,产品分类!$C$2:$D$1278,2,0)</f>
        <v>办公用品</v>
      </c>
    </row>
    <row r="1048" spans="1:20">
      <c r="A1048" s="16">
        <f>DATE(2012,12,31)-1140</f>
        <v>40134</v>
      </c>
      <c r="B1048" s="16">
        <f>DATE(2012,12,31)-1140</f>
        <v>40134</v>
      </c>
      <c r="C1048" s="9" t="s">
        <v>347</v>
      </c>
      <c r="D1048">
        <v>10021340477</v>
      </c>
      <c r="E1048" t="s">
        <v>47</v>
      </c>
      <c r="F1048" t="s">
        <v>122</v>
      </c>
      <c r="G1048" t="s">
        <v>123</v>
      </c>
      <c r="H1048" t="s">
        <v>124</v>
      </c>
      <c r="I1048" t="s">
        <v>125</v>
      </c>
      <c r="J1048" t="s">
        <v>668</v>
      </c>
      <c r="K1048" s="3">
        <v>100426148874</v>
      </c>
      <c r="L1048" s="10">
        <v>40134</v>
      </c>
      <c r="M1048">
        <v>4286.55</v>
      </c>
      <c r="N1048" s="17">
        <v>26</v>
      </c>
      <c r="O1048" s="5">
        <v>172.99</v>
      </c>
      <c r="P1048" s="5">
        <v>19.99</v>
      </c>
      <c r="Q1048" s="6">
        <v>1416.7035</v>
      </c>
      <c r="R1048" s="37" t="s">
        <v>1337</v>
      </c>
      <c r="S1048" s="7">
        <f t="shared" si="85"/>
        <v>0</v>
      </c>
      <c r="T1048" s="15" t="str">
        <f>VLOOKUP(R1048,产品分类!$C$2:$D$1278,2,0)</f>
        <v>办公用品</v>
      </c>
    </row>
    <row r="1049" spans="1:20">
      <c r="A1049" s="16">
        <f>DATE(2012,12,31)-1140</f>
        <v>40134</v>
      </c>
      <c r="B1049" s="16">
        <f>DATE(2012,12,31)-1140</f>
        <v>40134</v>
      </c>
      <c r="C1049" s="9" t="s">
        <v>347</v>
      </c>
      <c r="D1049">
        <v>10021347628</v>
      </c>
      <c r="E1049" t="s">
        <v>47</v>
      </c>
      <c r="F1049" t="s">
        <v>91</v>
      </c>
      <c r="G1049" t="s">
        <v>92</v>
      </c>
      <c r="H1049" t="s">
        <v>774</v>
      </c>
      <c r="I1049" t="s">
        <v>775</v>
      </c>
      <c r="J1049" t="s">
        <v>668</v>
      </c>
      <c r="K1049" s="3">
        <v>100131284156</v>
      </c>
      <c r="L1049" s="10">
        <v>40143</v>
      </c>
      <c r="M1049">
        <v>8.34</v>
      </c>
      <c r="N1049" s="17">
        <v>1</v>
      </c>
      <c r="O1049" s="5">
        <v>7.64</v>
      </c>
      <c r="P1049" s="5">
        <v>1.39</v>
      </c>
      <c r="Q1049" s="6">
        <v>-3.44</v>
      </c>
      <c r="R1049" s="37" t="s">
        <v>1338</v>
      </c>
      <c r="S1049" s="7">
        <f t="shared" si="85"/>
        <v>9</v>
      </c>
      <c r="T1049" s="15" t="str">
        <f>VLOOKUP(R1049,产品分类!$C$2:$D$1278,2,0)</f>
        <v>办公用品</v>
      </c>
    </row>
    <row r="1050" spans="1:20">
      <c r="A1050" s="8">
        <f>DATE(2012,12,31)-757</f>
        <v>40517</v>
      </c>
      <c r="B1050" s="8">
        <f>DATE(2012,12,31)-757</f>
        <v>40517</v>
      </c>
      <c r="C1050" s="9" t="s">
        <v>1339</v>
      </c>
      <c r="D1050">
        <v>10021425026</v>
      </c>
      <c r="E1050" t="s">
        <v>47</v>
      </c>
      <c r="F1050" t="s">
        <v>83</v>
      </c>
      <c r="G1050" t="s">
        <v>84</v>
      </c>
      <c r="H1050" t="s">
        <v>1259</v>
      </c>
      <c r="I1050" t="s">
        <v>1260</v>
      </c>
      <c r="J1050" t="s">
        <v>668</v>
      </c>
      <c r="K1050" s="3">
        <v>100929254891</v>
      </c>
      <c r="L1050" s="10">
        <v>40519</v>
      </c>
      <c r="M1050">
        <v>28.96</v>
      </c>
      <c r="N1050" s="11">
        <v>1</v>
      </c>
      <c r="O1050" s="12">
        <v>19.98</v>
      </c>
      <c r="P1050" s="12">
        <v>8.68</v>
      </c>
      <c r="Q1050" s="13">
        <v>-27.07</v>
      </c>
      <c r="R1050" s="36" t="s">
        <v>1340</v>
      </c>
      <c r="S1050" s="7">
        <f t="shared" si="85"/>
        <v>2</v>
      </c>
      <c r="T1050" s="15" t="str">
        <f>VLOOKUP(R1050,产品分类!$C$2:$D$1278,2,0)</f>
        <v>办公用品</v>
      </c>
    </row>
    <row r="1051" spans="1:20">
      <c r="A1051" s="8">
        <f>DATE(2012,12,31)-8</f>
        <v>41266</v>
      </c>
      <c r="B1051" s="8">
        <f>DATE(2012,12,31)-8</f>
        <v>41266</v>
      </c>
      <c r="C1051" s="9" t="s">
        <v>879</v>
      </c>
      <c r="D1051">
        <v>10021259248</v>
      </c>
      <c r="E1051" t="s">
        <v>47</v>
      </c>
      <c r="F1051" t="s">
        <v>55</v>
      </c>
      <c r="G1051" t="s">
        <v>56</v>
      </c>
      <c r="H1051" t="s">
        <v>1331</v>
      </c>
      <c r="I1051" t="s">
        <v>1332</v>
      </c>
      <c r="J1051" t="s">
        <v>668</v>
      </c>
      <c r="K1051" s="3">
        <v>100926206131</v>
      </c>
      <c r="L1051" s="10">
        <v>41267</v>
      </c>
      <c r="M1051">
        <v>4547.9</v>
      </c>
      <c r="N1051" s="11">
        <v>45</v>
      </c>
      <c r="O1051" s="12">
        <v>95.98</v>
      </c>
      <c r="P1051" s="12">
        <v>58.2</v>
      </c>
      <c r="Q1051" s="13">
        <v>-768.14</v>
      </c>
      <c r="R1051" s="36" t="s">
        <v>1341</v>
      </c>
      <c r="S1051" s="7">
        <f t="shared" si="85"/>
        <v>1</v>
      </c>
      <c r="T1051" s="15" t="str">
        <f>VLOOKUP(R1051,产品分类!$C$2:$D$1278,2,0)</f>
        <v>办公用品</v>
      </c>
    </row>
    <row r="1052" spans="1:20">
      <c r="A1052" s="8">
        <f>DATE(2012,12,31)-1388</f>
        <v>39886</v>
      </c>
      <c r="B1052" s="8">
        <f>DATE(2012,12,31)-1388</f>
        <v>39886</v>
      </c>
      <c r="C1052" s="9" t="s">
        <v>1342</v>
      </c>
      <c r="D1052">
        <v>10021292874</v>
      </c>
      <c r="E1052" t="s">
        <v>47</v>
      </c>
      <c r="F1052" t="s">
        <v>91</v>
      </c>
      <c r="G1052" t="s">
        <v>92</v>
      </c>
      <c r="H1052" t="s">
        <v>774</v>
      </c>
      <c r="I1052" t="s">
        <v>775</v>
      </c>
      <c r="J1052" t="s">
        <v>668</v>
      </c>
      <c r="K1052" s="3">
        <v>10092619561</v>
      </c>
      <c r="L1052" s="10">
        <v>39887</v>
      </c>
      <c r="M1052">
        <v>7223.59</v>
      </c>
      <c r="N1052" s="11">
        <v>36</v>
      </c>
      <c r="O1052" s="12">
        <v>200.98</v>
      </c>
      <c r="P1052" s="12">
        <v>23.76</v>
      </c>
      <c r="Q1052" s="13">
        <v>1769.81</v>
      </c>
      <c r="R1052" s="36" t="s">
        <v>1343</v>
      </c>
      <c r="S1052" s="7">
        <f t="shared" si="85"/>
        <v>1</v>
      </c>
      <c r="T1052" s="15" t="str">
        <f>VLOOKUP(R1052,产品分类!$C$2:$D$1278,2,0)</f>
        <v>办公用品</v>
      </c>
    </row>
    <row r="1053" spans="1:20">
      <c r="A1053" s="8">
        <f>DATE(2012,12,31)-1388</f>
        <v>39886</v>
      </c>
      <c r="B1053" s="8">
        <f>DATE(2012,12,31)-1388</f>
        <v>39886</v>
      </c>
      <c r="C1053" s="9" t="s">
        <v>1342</v>
      </c>
      <c r="D1053">
        <v>10021431066</v>
      </c>
      <c r="E1053" t="s">
        <v>47</v>
      </c>
      <c r="F1053" t="s">
        <v>83</v>
      </c>
      <c r="G1053" t="s">
        <v>84</v>
      </c>
      <c r="H1053" t="s">
        <v>1259</v>
      </c>
      <c r="I1053" t="s">
        <v>1260</v>
      </c>
      <c r="J1053" t="s">
        <v>668</v>
      </c>
      <c r="K1053" s="3">
        <v>100432068524</v>
      </c>
      <c r="L1053" s="10">
        <v>39886</v>
      </c>
      <c r="M1053">
        <v>934.216</v>
      </c>
      <c r="N1053" s="11">
        <v>6</v>
      </c>
      <c r="O1053" s="12">
        <v>179.29</v>
      </c>
      <c r="P1053" s="12">
        <v>29.21</v>
      </c>
      <c r="Q1053" s="13">
        <v>-4.34</v>
      </c>
      <c r="R1053" s="36" t="s">
        <v>629</v>
      </c>
      <c r="S1053" s="7">
        <f t="shared" si="85"/>
        <v>0</v>
      </c>
      <c r="T1053" s="15" t="str">
        <f>VLOOKUP(R1053,产品分类!$C$2:$D$1278,2,0)</f>
        <v>办公用品</v>
      </c>
    </row>
    <row r="1054" spans="1:20">
      <c r="A1054" s="8">
        <f>DATE(2012,12,31)-1278</f>
        <v>39996</v>
      </c>
      <c r="B1054" s="8">
        <f>DATE(2012,12,31)-1278</f>
        <v>39996</v>
      </c>
      <c r="C1054" s="9" t="s">
        <v>781</v>
      </c>
      <c r="D1054">
        <v>10021261117</v>
      </c>
      <c r="E1054" t="s">
        <v>47</v>
      </c>
      <c r="F1054" t="s">
        <v>253</v>
      </c>
      <c r="G1054" t="s">
        <v>254</v>
      </c>
      <c r="H1054" t="s">
        <v>255</v>
      </c>
      <c r="I1054" t="s">
        <v>256</v>
      </c>
      <c r="J1054" t="s">
        <v>668</v>
      </c>
      <c r="K1054" s="3">
        <v>10042675424</v>
      </c>
      <c r="L1054" s="10">
        <v>39998</v>
      </c>
      <c r="M1054">
        <v>1205.73</v>
      </c>
      <c r="N1054" s="11">
        <v>20</v>
      </c>
      <c r="O1054" s="12">
        <v>60.97</v>
      </c>
      <c r="P1054" s="12">
        <v>4.5</v>
      </c>
      <c r="Q1054" s="13">
        <v>310.93</v>
      </c>
      <c r="R1054" s="36" t="s">
        <v>608</v>
      </c>
      <c r="S1054" s="7">
        <f t="shared" si="85"/>
        <v>2</v>
      </c>
      <c r="T1054" s="15" t="str">
        <f>VLOOKUP(R1054,产品分类!$C$2:$D$1278,2,0)</f>
        <v>家具产品</v>
      </c>
    </row>
    <row r="1055" spans="1:20">
      <c r="A1055" s="8">
        <f>DATE(2012,12,31)-354</f>
        <v>40920</v>
      </c>
      <c r="B1055" s="8">
        <f>DATE(2012,12,31)-354</f>
        <v>40920</v>
      </c>
      <c r="C1055" s="9" t="s">
        <v>1344</v>
      </c>
      <c r="D1055">
        <v>10021264806</v>
      </c>
      <c r="E1055" t="s">
        <v>47</v>
      </c>
      <c r="F1055" t="s">
        <v>132</v>
      </c>
      <c r="G1055" t="s">
        <v>133</v>
      </c>
      <c r="H1055" t="s">
        <v>134</v>
      </c>
      <c r="I1055" t="s">
        <v>133</v>
      </c>
      <c r="J1055" t="s">
        <v>668</v>
      </c>
      <c r="K1055" s="3">
        <v>100131227447</v>
      </c>
      <c r="L1055" s="10">
        <v>40921</v>
      </c>
      <c r="M1055">
        <v>31.35</v>
      </c>
      <c r="N1055" s="11">
        <v>3</v>
      </c>
      <c r="O1055" s="12">
        <v>8.85</v>
      </c>
      <c r="P1055" s="12">
        <v>5.6</v>
      </c>
      <c r="Q1055" s="13">
        <v>-14.6165</v>
      </c>
      <c r="R1055" s="36" t="s">
        <v>1281</v>
      </c>
      <c r="S1055" s="7">
        <f t="shared" si="85"/>
        <v>1</v>
      </c>
      <c r="T1055" s="15" t="str">
        <f>VLOOKUP(R1055,产品分类!$C$2:$D$1278,2,0)</f>
        <v>办公用品</v>
      </c>
    </row>
    <row r="1056" spans="1:20">
      <c r="A1056" s="8">
        <f>DATE(2012,12,31)-621</f>
        <v>40653</v>
      </c>
      <c r="B1056" s="8">
        <f>DATE(2012,12,31)-621</f>
        <v>40653</v>
      </c>
      <c r="C1056" s="9" t="s">
        <v>433</v>
      </c>
      <c r="D1056">
        <v>10021421813</v>
      </c>
      <c r="E1056" t="s">
        <v>47</v>
      </c>
      <c r="F1056" t="s">
        <v>97</v>
      </c>
      <c r="G1056" t="s">
        <v>98</v>
      </c>
      <c r="H1056" t="s">
        <v>99</v>
      </c>
      <c r="I1056" t="s">
        <v>98</v>
      </c>
      <c r="J1056" t="s">
        <v>668</v>
      </c>
      <c r="K1056" s="3">
        <v>100126256676</v>
      </c>
      <c r="L1056" s="10">
        <v>40660</v>
      </c>
      <c r="M1056">
        <v>475.9</v>
      </c>
      <c r="N1056" s="11">
        <v>17</v>
      </c>
      <c r="O1056" s="12">
        <v>27.42</v>
      </c>
      <c r="P1056" s="12">
        <v>19.46</v>
      </c>
      <c r="Q1056" s="13">
        <v>-5.17999999999999</v>
      </c>
      <c r="R1056" s="36" t="s">
        <v>1345</v>
      </c>
      <c r="S1056" s="7">
        <f t="shared" si="85"/>
        <v>7</v>
      </c>
      <c r="T1056" s="15" t="str">
        <f>VLOOKUP(R1056,产品分类!$C$2:$D$1278,2,0)</f>
        <v>家具产品</v>
      </c>
    </row>
    <row r="1057" spans="1:20">
      <c r="A1057" s="8">
        <f>DATE(2012,12,31)-621</f>
        <v>40653</v>
      </c>
      <c r="B1057" s="8">
        <f>DATE(2012,12,31)-621</f>
        <v>40653</v>
      </c>
      <c r="C1057" s="9" t="s">
        <v>433</v>
      </c>
      <c r="D1057">
        <v>10021293479</v>
      </c>
      <c r="E1057" t="s">
        <v>47</v>
      </c>
      <c r="F1057" t="s">
        <v>132</v>
      </c>
      <c r="G1057" t="s">
        <v>133</v>
      </c>
      <c r="H1057" t="s">
        <v>134</v>
      </c>
      <c r="I1057" t="s">
        <v>133</v>
      </c>
      <c r="J1057" t="s">
        <v>668</v>
      </c>
      <c r="K1057" s="3">
        <v>10019688658</v>
      </c>
      <c r="L1057" s="10">
        <v>40655</v>
      </c>
      <c r="M1057">
        <v>3635.63</v>
      </c>
      <c r="N1057" s="11">
        <v>12</v>
      </c>
      <c r="O1057" s="12">
        <v>320.64</v>
      </c>
      <c r="P1057" s="12">
        <v>29.2</v>
      </c>
      <c r="Q1057" s="13">
        <v>104.48</v>
      </c>
      <c r="R1057" s="36" t="s">
        <v>1346</v>
      </c>
      <c r="S1057" s="7">
        <f t="shared" si="85"/>
        <v>2</v>
      </c>
      <c r="T1057" s="15" t="str">
        <f>VLOOKUP(R1057,产品分类!$C$2:$D$1278,2,0)</f>
        <v>办公用品</v>
      </c>
    </row>
    <row r="1058" spans="1:20">
      <c r="A1058" s="8">
        <f>DATE(2012,12,31)-1439</f>
        <v>39835</v>
      </c>
      <c r="B1058" s="8">
        <f>DATE(2012,12,31)-1439</f>
        <v>39835</v>
      </c>
      <c r="C1058" s="9" t="s">
        <v>1347</v>
      </c>
      <c r="D1058">
        <v>10021416157</v>
      </c>
      <c r="E1058" t="s">
        <v>47</v>
      </c>
      <c r="F1058" t="s">
        <v>97</v>
      </c>
      <c r="G1058" t="s">
        <v>98</v>
      </c>
      <c r="H1058" t="s">
        <v>99</v>
      </c>
      <c r="I1058" t="s">
        <v>98</v>
      </c>
      <c r="J1058" t="s">
        <v>668</v>
      </c>
      <c r="K1058" s="3">
        <v>100913882081</v>
      </c>
      <c r="L1058" s="10">
        <v>39836</v>
      </c>
      <c r="M1058">
        <v>187.37</v>
      </c>
      <c r="N1058" s="11">
        <v>6</v>
      </c>
      <c r="O1058" s="12">
        <v>32.98</v>
      </c>
      <c r="P1058" s="12">
        <v>5.5</v>
      </c>
      <c r="Q1058" s="13">
        <v>-125.96</v>
      </c>
      <c r="R1058" s="36" t="s">
        <v>1040</v>
      </c>
      <c r="S1058" s="7">
        <f t="shared" si="85"/>
        <v>1</v>
      </c>
      <c r="T1058" s="15" t="str">
        <f>VLOOKUP(R1058,产品分类!$C$2:$D$1278,2,0)</f>
        <v>数码电子</v>
      </c>
    </row>
    <row r="1059" spans="1:20">
      <c r="A1059" s="8">
        <f>DATE(2012,12,31)-723</f>
        <v>40551</v>
      </c>
      <c r="B1059" s="8">
        <f>DATE(2012,12,31)-723</f>
        <v>40551</v>
      </c>
      <c r="C1059" s="9" t="s">
        <v>1263</v>
      </c>
      <c r="D1059">
        <v>10021386601</v>
      </c>
      <c r="E1059" t="s">
        <v>47</v>
      </c>
      <c r="F1059" t="s">
        <v>97</v>
      </c>
      <c r="G1059" t="s">
        <v>98</v>
      </c>
      <c r="H1059" t="s">
        <v>99</v>
      </c>
      <c r="I1059" t="s">
        <v>98</v>
      </c>
      <c r="J1059" t="s">
        <v>668</v>
      </c>
      <c r="K1059" s="3">
        <v>100811413622</v>
      </c>
      <c r="L1059" s="10">
        <v>40555</v>
      </c>
      <c r="M1059">
        <v>157.56</v>
      </c>
      <c r="N1059" s="11">
        <v>34</v>
      </c>
      <c r="O1059" s="12">
        <v>4.89</v>
      </c>
      <c r="P1059" s="12">
        <v>4.93</v>
      </c>
      <c r="Q1059" s="13">
        <v>-139.35</v>
      </c>
      <c r="R1059" s="36" t="s">
        <v>512</v>
      </c>
      <c r="S1059" s="7">
        <f t="shared" si="85"/>
        <v>4</v>
      </c>
      <c r="T1059" s="15" t="str">
        <f>VLOOKUP(R1059,产品分类!$C$2:$D$1278,2,0)</f>
        <v>办公用品</v>
      </c>
    </row>
    <row r="1060" spans="1:20">
      <c r="A1060" s="8">
        <f>DATE(2012,12,31)-225</f>
        <v>41049</v>
      </c>
      <c r="B1060" s="8">
        <f>DATE(2012,12,31)-225</f>
        <v>41049</v>
      </c>
      <c r="C1060" s="9" t="s">
        <v>1348</v>
      </c>
      <c r="D1060">
        <v>10021423010</v>
      </c>
      <c r="E1060" t="s">
        <v>47</v>
      </c>
      <c r="F1060" t="s">
        <v>132</v>
      </c>
      <c r="G1060" t="s">
        <v>133</v>
      </c>
      <c r="H1060" t="s">
        <v>134</v>
      </c>
      <c r="I1060" t="s">
        <v>133</v>
      </c>
      <c r="J1060" t="s">
        <v>668</v>
      </c>
      <c r="K1060" s="3">
        <v>100727666535</v>
      </c>
      <c r="L1060" s="10">
        <v>41051</v>
      </c>
      <c r="M1060">
        <v>1002.77</v>
      </c>
      <c r="N1060" s="11">
        <v>21</v>
      </c>
      <c r="O1060" s="12">
        <v>49.34</v>
      </c>
      <c r="P1060" s="12">
        <v>10.25</v>
      </c>
      <c r="Q1060" s="13">
        <v>295.6</v>
      </c>
      <c r="R1060" s="36" t="s">
        <v>1349</v>
      </c>
      <c r="S1060" s="7">
        <f t="shared" si="85"/>
        <v>2</v>
      </c>
      <c r="T1060" s="15" t="str">
        <f>VLOOKUP(R1060,产品分类!$C$2:$D$1278,2,0)</f>
        <v>数码电子</v>
      </c>
    </row>
    <row r="1061" spans="1:20">
      <c r="A1061" s="8">
        <f>DATE(2012,12,31)-225</f>
        <v>41049</v>
      </c>
      <c r="B1061" s="8">
        <f>DATE(2012,12,31)-225</f>
        <v>41049</v>
      </c>
      <c r="C1061" s="9" t="s">
        <v>1348</v>
      </c>
      <c r="D1061">
        <v>10021425006</v>
      </c>
      <c r="E1061" t="s">
        <v>47</v>
      </c>
      <c r="F1061" t="s">
        <v>132</v>
      </c>
      <c r="G1061" t="s">
        <v>133</v>
      </c>
      <c r="H1061" t="s">
        <v>134</v>
      </c>
      <c r="I1061" t="s">
        <v>133</v>
      </c>
      <c r="J1061" t="s">
        <v>668</v>
      </c>
      <c r="K1061" s="3">
        <v>100929251281</v>
      </c>
      <c r="L1061" s="10">
        <v>41051</v>
      </c>
      <c r="M1061">
        <v>178.14</v>
      </c>
      <c r="N1061" s="11">
        <v>17</v>
      </c>
      <c r="O1061" s="12">
        <v>10.06</v>
      </c>
      <c r="P1061" s="12">
        <v>2.06</v>
      </c>
      <c r="Q1061" s="13">
        <v>56.3</v>
      </c>
      <c r="R1061" s="36" t="s">
        <v>975</v>
      </c>
      <c r="S1061" s="7">
        <f t="shared" si="85"/>
        <v>2</v>
      </c>
      <c r="T1061" s="15" t="str">
        <f>VLOOKUP(R1061,产品分类!$C$2:$D$1278,2,0)</f>
        <v>家具产品</v>
      </c>
    </row>
    <row r="1062" spans="1:20">
      <c r="A1062" s="8">
        <f>DATE(2012,12,31)-1114</f>
        <v>40160</v>
      </c>
      <c r="B1062" s="8">
        <f>DATE(2012,12,31)-1114</f>
        <v>40160</v>
      </c>
      <c r="C1062" s="9" t="s">
        <v>623</v>
      </c>
      <c r="D1062">
        <v>10021261378</v>
      </c>
      <c r="E1062" t="s">
        <v>47</v>
      </c>
      <c r="F1062" t="s">
        <v>102</v>
      </c>
      <c r="G1062" t="s">
        <v>103</v>
      </c>
      <c r="H1062" t="s">
        <v>1217</v>
      </c>
      <c r="I1062" t="s">
        <v>1218</v>
      </c>
      <c r="J1062" t="s">
        <v>668</v>
      </c>
      <c r="K1062" s="3">
        <v>100329426269</v>
      </c>
      <c r="L1062" s="10">
        <v>40160</v>
      </c>
      <c r="M1062">
        <v>118.56</v>
      </c>
      <c r="N1062" s="11">
        <v>22</v>
      </c>
      <c r="O1062" s="12">
        <v>4.91</v>
      </c>
      <c r="P1062" s="12">
        <v>5.68</v>
      </c>
      <c r="Q1062" s="13">
        <v>-63.3765</v>
      </c>
      <c r="R1062" s="36" t="s">
        <v>1350</v>
      </c>
      <c r="S1062" s="7">
        <f t="shared" si="85"/>
        <v>0</v>
      </c>
      <c r="T1062" s="15" t="str">
        <f>VLOOKUP(R1062,产品分类!$C$2:$D$1278,2,0)</f>
        <v>办公用品</v>
      </c>
    </row>
    <row r="1063" spans="1:20">
      <c r="A1063" s="8">
        <f>DATE(2012,12,31)-1114</f>
        <v>40160</v>
      </c>
      <c r="B1063" s="8">
        <f>DATE(2012,12,31)-1114</f>
        <v>40160</v>
      </c>
      <c r="C1063" s="9" t="s">
        <v>623</v>
      </c>
      <c r="D1063">
        <v>10021426227</v>
      </c>
      <c r="E1063" t="s">
        <v>47</v>
      </c>
      <c r="F1063" t="s">
        <v>137</v>
      </c>
      <c r="G1063" t="s">
        <v>138</v>
      </c>
      <c r="H1063" t="s">
        <v>139</v>
      </c>
      <c r="I1063" t="s">
        <v>140</v>
      </c>
      <c r="J1063" t="s">
        <v>668</v>
      </c>
      <c r="K1063" s="3">
        <v>100129942446</v>
      </c>
      <c r="L1063" s="10">
        <v>40161</v>
      </c>
      <c r="M1063">
        <v>2145.05</v>
      </c>
      <c r="N1063" s="11">
        <v>45</v>
      </c>
      <c r="O1063" s="12">
        <v>48.94</v>
      </c>
      <c r="P1063" s="12">
        <v>5.86</v>
      </c>
      <c r="Q1063" s="13">
        <v>1012.67</v>
      </c>
      <c r="R1063" s="36" t="s">
        <v>1200</v>
      </c>
      <c r="S1063" s="7">
        <f t="shared" si="85"/>
        <v>1</v>
      </c>
      <c r="T1063" s="15" t="str">
        <f>VLOOKUP(R1063,产品分类!$C$2:$D$1278,2,0)</f>
        <v>数码电子</v>
      </c>
    </row>
    <row r="1064" spans="1:20">
      <c r="A1064" s="8">
        <f t="shared" ref="A1064:B1067" si="87">DATE(2012,12,31)-555</f>
        <v>40719</v>
      </c>
      <c r="B1064" s="8">
        <f t="shared" si="87"/>
        <v>40719</v>
      </c>
      <c r="C1064" s="9" t="s">
        <v>297</v>
      </c>
      <c r="D1064">
        <v>10021341162</v>
      </c>
      <c r="E1064" t="s">
        <v>47</v>
      </c>
      <c r="F1064" t="s">
        <v>208</v>
      </c>
      <c r="G1064" t="s">
        <v>209</v>
      </c>
      <c r="H1064" t="s">
        <v>210</v>
      </c>
      <c r="I1064" t="s">
        <v>211</v>
      </c>
      <c r="J1064" t="s">
        <v>668</v>
      </c>
      <c r="K1064" s="3">
        <v>100426788973</v>
      </c>
      <c r="L1064" s="10">
        <v>40724</v>
      </c>
      <c r="M1064">
        <v>2926.33</v>
      </c>
      <c r="N1064" s="11">
        <v>47</v>
      </c>
      <c r="O1064" s="12">
        <v>67.28</v>
      </c>
      <c r="P1064" s="12">
        <v>19.99</v>
      </c>
      <c r="Q1064" s="13">
        <v>499.273</v>
      </c>
      <c r="R1064" s="36" t="s">
        <v>862</v>
      </c>
      <c r="S1064" s="7">
        <f t="shared" si="85"/>
        <v>5</v>
      </c>
      <c r="T1064" s="15" t="str">
        <f>VLOOKUP(R1064,产品分类!$C$2:$D$1278,2,0)</f>
        <v>办公用品</v>
      </c>
    </row>
    <row r="1065" spans="1:20">
      <c r="A1065" s="8">
        <f t="shared" si="87"/>
        <v>40719</v>
      </c>
      <c r="B1065" s="8">
        <f t="shared" si="87"/>
        <v>40719</v>
      </c>
      <c r="C1065" s="9" t="s">
        <v>297</v>
      </c>
      <c r="D1065">
        <v>10021348508</v>
      </c>
      <c r="E1065" t="s">
        <v>47</v>
      </c>
      <c r="F1065" t="s">
        <v>208</v>
      </c>
      <c r="G1065" t="s">
        <v>209</v>
      </c>
      <c r="H1065" t="s">
        <v>210</v>
      </c>
      <c r="I1065" t="s">
        <v>211</v>
      </c>
      <c r="J1065" t="s">
        <v>668</v>
      </c>
      <c r="K1065" s="3">
        <v>100931583631</v>
      </c>
      <c r="L1065" s="10">
        <v>40724</v>
      </c>
      <c r="M1065">
        <v>40.05</v>
      </c>
      <c r="N1065" s="11">
        <v>20</v>
      </c>
      <c r="O1065" s="12">
        <v>2.08</v>
      </c>
      <c r="P1065" s="12">
        <v>1.49</v>
      </c>
      <c r="Q1065" s="13">
        <v>-10.2235</v>
      </c>
      <c r="R1065" s="36" t="s">
        <v>1351</v>
      </c>
      <c r="S1065" s="7">
        <f t="shared" si="85"/>
        <v>5</v>
      </c>
      <c r="T1065" s="15" t="str">
        <f>VLOOKUP(R1065,产品分类!$C$2:$D$1278,2,0)</f>
        <v>办公用品</v>
      </c>
    </row>
    <row r="1066" spans="1:20">
      <c r="A1066" s="8">
        <f t="shared" si="87"/>
        <v>40719</v>
      </c>
      <c r="B1066" s="8">
        <f t="shared" si="87"/>
        <v>40719</v>
      </c>
      <c r="C1066" s="9" t="s">
        <v>297</v>
      </c>
      <c r="D1066">
        <v>10021349386</v>
      </c>
      <c r="E1066" t="s">
        <v>47</v>
      </c>
      <c r="F1066" t="s">
        <v>102</v>
      </c>
      <c r="G1066" t="s">
        <v>103</v>
      </c>
      <c r="H1066" t="s">
        <v>1217</v>
      </c>
      <c r="I1066" t="s">
        <v>1218</v>
      </c>
      <c r="J1066" t="s">
        <v>668</v>
      </c>
      <c r="K1066" s="3">
        <v>100431859374</v>
      </c>
      <c r="L1066" s="10">
        <v>40726</v>
      </c>
      <c r="M1066">
        <v>552.87</v>
      </c>
      <c r="N1066" s="11">
        <v>20</v>
      </c>
      <c r="O1066" s="12">
        <v>26.31</v>
      </c>
      <c r="P1066" s="12">
        <v>5.89</v>
      </c>
      <c r="Q1066" s="13">
        <v>-64.82</v>
      </c>
      <c r="R1066" s="36" t="s">
        <v>1352</v>
      </c>
      <c r="S1066" s="7">
        <f t="shared" si="85"/>
        <v>7</v>
      </c>
      <c r="T1066" s="15" t="str">
        <f>VLOOKUP(R1066,产品分类!$C$2:$D$1278,2,0)</f>
        <v>数码电子</v>
      </c>
    </row>
    <row r="1067" spans="1:20">
      <c r="A1067" s="8">
        <f t="shared" si="87"/>
        <v>40719</v>
      </c>
      <c r="B1067" s="8">
        <f t="shared" si="87"/>
        <v>40719</v>
      </c>
      <c r="C1067" s="9" t="s">
        <v>297</v>
      </c>
      <c r="D1067">
        <v>10021338836</v>
      </c>
      <c r="E1067" t="s">
        <v>47</v>
      </c>
      <c r="F1067" t="s">
        <v>102</v>
      </c>
      <c r="G1067" t="s">
        <v>103</v>
      </c>
      <c r="H1067" t="s">
        <v>1217</v>
      </c>
      <c r="I1067" t="s">
        <v>1218</v>
      </c>
      <c r="J1067" t="s">
        <v>668</v>
      </c>
      <c r="K1067" s="3">
        <v>100324514149</v>
      </c>
      <c r="L1067" s="10">
        <v>40719</v>
      </c>
      <c r="M1067">
        <v>26.33</v>
      </c>
      <c r="N1067" s="11">
        <v>12</v>
      </c>
      <c r="O1067" s="12">
        <v>1.76</v>
      </c>
      <c r="P1067" s="12">
        <v>4.86</v>
      </c>
      <c r="Q1067" s="13">
        <v>-33.61</v>
      </c>
      <c r="R1067" s="36" t="s">
        <v>1353</v>
      </c>
      <c r="S1067" s="7">
        <f t="shared" si="85"/>
        <v>0</v>
      </c>
      <c r="T1067" s="15" t="str">
        <f>VLOOKUP(R1067,产品分类!$C$2:$D$1278,2,0)</f>
        <v>办公用品</v>
      </c>
    </row>
    <row r="1068" spans="1:20">
      <c r="A1068" s="8">
        <f t="shared" ref="A1068:B1070" si="88">DATE(2012,12,31)-610</f>
        <v>40664</v>
      </c>
      <c r="B1068" s="8">
        <f t="shared" si="88"/>
        <v>40664</v>
      </c>
      <c r="C1068" s="9" t="s">
        <v>375</v>
      </c>
      <c r="D1068">
        <v>10021319871</v>
      </c>
      <c r="E1068" t="s">
        <v>47</v>
      </c>
      <c r="F1068" t="s">
        <v>208</v>
      </c>
      <c r="G1068" t="s">
        <v>209</v>
      </c>
      <c r="H1068" t="s">
        <v>210</v>
      </c>
      <c r="I1068" t="s">
        <v>211</v>
      </c>
      <c r="J1068" t="s">
        <v>668</v>
      </c>
      <c r="K1068" s="3">
        <v>100917122891</v>
      </c>
      <c r="L1068" s="10">
        <v>40669</v>
      </c>
      <c r="M1068">
        <v>3904.12</v>
      </c>
      <c r="N1068" s="11">
        <v>50</v>
      </c>
      <c r="O1068" s="12">
        <v>81.94</v>
      </c>
      <c r="P1068" s="12">
        <v>55.81</v>
      </c>
      <c r="Q1068" s="13">
        <v>-1508.46</v>
      </c>
      <c r="R1068" s="36" t="s">
        <v>1354</v>
      </c>
      <c r="S1068" s="7">
        <f t="shared" si="85"/>
        <v>5</v>
      </c>
      <c r="T1068" s="15" t="str">
        <f>VLOOKUP(R1068,产品分类!$C$2:$D$1278,2,0)</f>
        <v>办公用品</v>
      </c>
    </row>
    <row r="1069" spans="1:20">
      <c r="A1069" s="8">
        <f t="shared" si="88"/>
        <v>40664</v>
      </c>
      <c r="B1069" s="8">
        <f t="shared" si="88"/>
        <v>40664</v>
      </c>
      <c r="C1069" s="9" t="s">
        <v>375</v>
      </c>
      <c r="D1069">
        <v>10021371803</v>
      </c>
      <c r="E1069" t="s">
        <v>47</v>
      </c>
      <c r="F1069" t="s">
        <v>171</v>
      </c>
      <c r="G1069" t="s">
        <v>172</v>
      </c>
      <c r="H1069" t="s">
        <v>933</v>
      </c>
      <c r="I1069" t="s">
        <v>934</v>
      </c>
      <c r="J1069" t="s">
        <v>668</v>
      </c>
      <c r="K1069" s="3">
        <v>100132214747</v>
      </c>
      <c r="L1069" s="10">
        <v>40666</v>
      </c>
      <c r="M1069">
        <v>343.64</v>
      </c>
      <c r="N1069" s="11">
        <v>41</v>
      </c>
      <c r="O1069" s="12">
        <v>8.57</v>
      </c>
      <c r="P1069" s="12">
        <v>3.44</v>
      </c>
      <c r="Q1069" s="13">
        <v>13.29</v>
      </c>
      <c r="R1069" s="36" t="s">
        <v>1355</v>
      </c>
      <c r="S1069" s="7">
        <f t="shared" si="85"/>
        <v>2</v>
      </c>
      <c r="T1069" s="15" t="str">
        <f>VLOOKUP(R1069,产品分类!$C$2:$D$1278,2,0)</f>
        <v>办公用品</v>
      </c>
    </row>
    <row r="1070" spans="1:20">
      <c r="A1070" s="8">
        <f t="shared" si="88"/>
        <v>40664</v>
      </c>
      <c r="B1070" s="8">
        <f t="shared" si="88"/>
        <v>40664</v>
      </c>
      <c r="C1070" s="9" t="s">
        <v>375</v>
      </c>
      <c r="D1070">
        <v>10021363748</v>
      </c>
      <c r="E1070" t="s">
        <v>47</v>
      </c>
      <c r="F1070" t="s">
        <v>527</v>
      </c>
      <c r="G1070" t="s">
        <v>528</v>
      </c>
      <c r="H1070" t="s">
        <v>1356</v>
      </c>
      <c r="I1070" t="s">
        <v>1357</v>
      </c>
      <c r="J1070" t="s">
        <v>668</v>
      </c>
      <c r="K1070" s="3">
        <v>10046050874</v>
      </c>
      <c r="L1070" s="10">
        <v>40671</v>
      </c>
      <c r="M1070">
        <v>256.64</v>
      </c>
      <c r="N1070" s="11">
        <v>42</v>
      </c>
      <c r="O1070" s="12">
        <v>5.81</v>
      </c>
      <c r="P1070" s="12">
        <v>3.37</v>
      </c>
      <c r="Q1070" s="13">
        <v>-28.29</v>
      </c>
      <c r="R1070" s="36" t="s">
        <v>224</v>
      </c>
      <c r="S1070" s="7">
        <f t="shared" si="85"/>
        <v>7</v>
      </c>
      <c r="T1070" s="15" t="str">
        <f>VLOOKUP(R1070,产品分类!$C$2:$D$1278,2,0)</f>
        <v>办公用品</v>
      </c>
    </row>
    <row r="1071" spans="1:20">
      <c r="A1071" s="8">
        <f>DATE(2012,12,31)-949</f>
        <v>40325</v>
      </c>
      <c r="B1071" s="8">
        <f>DATE(2012,12,31)-949</f>
        <v>40325</v>
      </c>
      <c r="C1071" s="9" t="s">
        <v>1358</v>
      </c>
      <c r="D1071">
        <v>10021286921</v>
      </c>
      <c r="E1071" t="s">
        <v>47</v>
      </c>
      <c r="F1071" t="s">
        <v>171</v>
      </c>
      <c r="G1071" t="s">
        <v>172</v>
      </c>
      <c r="H1071" t="s">
        <v>933</v>
      </c>
      <c r="I1071" t="s">
        <v>934</v>
      </c>
      <c r="J1071" t="s">
        <v>668</v>
      </c>
      <c r="K1071" s="3">
        <v>100131210337</v>
      </c>
      <c r="L1071" s="10">
        <v>40334</v>
      </c>
      <c r="M1071">
        <v>298.3</v>
      </c>
      <c r="N1071" s="11">
        <v>47</v>
      </c>
      <c r="O1071" s="12">
        <v>6.3</v>
      </c>
      <c r="P1071" s="12">
        <v>0.5</v>
      </c>
      <c r="Q1071" s="13">
        <v>146.72</v>
      </c>
      <c r="R1071" s="36" t="s">
        <v>961</v>
      </c>
      <c r="S1071" s="7">
        <f t="shared" si="85"/>
        <v>9</v>
      </c>
      <c r="T1071" s="15" t="str">
        <f>VLOOKUP(R1071,产品分类!$C$2:$D$1278,2,0)</f>
        <v>办公用品</v>
      </c>
    </row>
    <row r="1072" spans="1:20">
      <c r="A1072" s="8">
        <f>DATE(2012,12,31)-1307</f>
        <v>39967</v>
      </c>
      <c r="B1072" s="8">
        <f>DATE(2012,12,31)-1307</f>
        <v>39967</v>
      </c>
      <c r="C1072" s="9" t="s">
        <v>1359</v>
      </c>
      <c r="D1072">
        <v>10021429973</v>
      </c>
      <c r="E1072" t="s">
        <v>47</v>
      </c>
      <c r="F1072" t="s">
        <v>527</v>
      </c>
      <c r="G1072" t="s">
        <v>528</v>
      </c>
      <c r="H1072" t="s">
        <v>1356</v>
      </c>
      <c r="I1072" t="s">
        <v>1357</v>
      </c>
      <c r="J1072" t="s">
        <v>668</v>
      </c>
      <c r="K1072" s="3">
        <v>100131806417</v>
      </c>
      <c r="L1072" s="10">
        <v>39971</v>
      </c>
      <c r="M1072">
        <v>11057.6</v>
      </c>
      <c r="N1072" s="11">
        <v>46</v>
      </c>
      <c r="O1072" s="12">
        <v>259.71</v>
      </c>
      <c r="P1072" s="12">
        <v>66.67</v>
      </c>
      <c r="Q1072" s="13">
        <v>183.9</v>
      </c>
      <c r="R1072" s="36" t="s">
        <v>1360</v>
      </c>
      <c r="S1072" s="7">
        <f t="shared" si="85"/>
        <v>4</v>
      </c>
      <c r="T1072" s="15" t="str">
        <f>VLOOKUP(R1072,产品分类!$C$2:$D$1278,2,0)</f>
        <v>办公用品</v>
      </c>
    </row>
    <row r="1073" spans="1:20">
      <c r="A1073" s="8">
        <f>DATE(2012,12,31)-1171</f>
        <v>40103</v>
      </c>
      <c r="B1073" s="8">
        <f>DATE(2012,12,31)-1171</f>
        <v>40103</v>
      </c>
      <c r="C1073" s="9" t="s">
        <v>1361</v>
      </c>
      <c r="D1073">
        <v>10021260815</v>
      </c>
      <c r="E1073" t="s">
        <v>47</v>
      </c>
      <c r="F1073" t="s">
        <v>171</v>
      </c>
      <c r="G1073" t="s">
        <v>172</v>
      </c>
      <c r="H1073" t="s">
        <v>933</v>
      </c>
      <c r="I1073" t="s">
        <v>934</v>
      </c>
      <c r="J1073" t="s">
        <v>668</v>
      </c>
      <c r="K1073" s="3">
        <v>100129048296</v>
      </c>
      <c r="L1073" s="10">
        <v>40103</v>
      </c>
      <c r="M1073">
        <v>1003.06</v>
      </c>
      <c r="N1073" s="11">
        <v>37</v>
      </c>
      <c r="O1073" s="12">
        <v>25.98</v>
      </c>
      <c r="P1073" s="12">
        <v>5.37</v>
      </c>
      <c r="Q1073" s="13">
        <v>271.78</v>
      </c>
      <c r="R1073" s="36" t="s">
        <v>1173</v>
      </c>
      <c r="S1073" s="7">
        <f t="shared" si="85"/>
        <v>0</v>
      </c>
      <c r="T1073" s="15" t="str">
        <f>VLOOKUP(R1073,产品分类!$C$2:$D$1278,2,0)</f>
        <v>家具产品</v>
      </c>
    </row>
    <row r="1074" spans="1:20">
      <c r="A1074" s="8">
        <f>DATE(2012,12,31)-1458</f>
        <v>39816</v>
      </c>
      <c r="B1074" s="8">
        <f>DATE(2012,12,31)-1458</f>
        <v>39816</v>
      </c>
      <c r="C1074" s="9" t="s">
        <v>1362</v>
      </c>
      <c r="D1074">
        <v>10021338738</v>
      </c>
      <c r="E1074" t="s">
        <v>47</v>
      </c>
      <c r="F1074" t="s">
        <v>171</v>
      </c>
      <c r="G1074" t="s">
        <v>172</v>
      </c>
      <c r="H1074" t="s">
        <v>933</v>
      </c>
      <c r="I1074" t="s">
        <v>934</v>
      </c>
      <c r="J1074" t="s">
        <v>668</v>
      </c>
      <c r="K1074" s="3">
        <v>100924457981</v>
      </c>
      <c r="L1074" s="10">
        <v>39817</v>
      </c>
      <c r="M1074">
        <v>122.23</v>
      </c>
      <c r="N1074" s="11">
        <v>29</v>
      </c>
      <c r="O1074" s="12">
        <v>4.26</v>
      </c>
      <c r="P1074" s="12">
        <v>1.2</v>
      </c>
      <c r="Q1074" s="13">
        <v>24.55</v>
      </c>
      <c r="R1074" s="36" t="s">
        <v>340</v>
      </c>
      <c r="S1074" s="7">
        <f t="shared" si="85"/>
        <v>1</v>
      </c>
      <c r="T1074" s="15" t="str">
        <f>VLOOKUP(R1074,产品分类!$C$2:$D$1278,2,0)</f>
        <v>办公用品</v>
      </c>
    </row>
    <row r="1075" spans="1:20">
      <c r="A1075" s="8">
        <f>DATE(2012,12,31)-986</f>
        <v>40288</v>
      </c>
      <c r="B1075" s="8">
        <f>DATE(2012,12,31)-986</f>
        <v>40288</v>
      </c>
      <c r="C1075" s="9" t="s">
        <v>1363</v>
      </c>
      <c r="D1075">
        <v>10021248396</v>
      </c>
      <c r="E1075" t="s">
        <v>47</v>
      </c>
      <c r="F1075" t="s">
        <v>171</v>
      </c>
      <c r="G1075" t="s">
        <v>172</v>
      </c>
      <c r="H1075" t="s">
        <v>933</v>
      </c>
      <c r="I1075" t="s">
        <v>934</v>
      </c>
      <c r="J1075" t="s">
        <v>668</v>
      </c>
      <c r="K1075" s="3">
        <v>10081873362</v>
      </c>
      <c r="L1075" s="10">
        <v>40291</v>
      </c>
      <c r="M1075">
        <v>1871.13</v>
      </c>
      <c r="N1075" s="11">
        <v>41</v>
      </c>
      <c r="O1075" s="12">
        <v>45.98</v>
      </c>
      <c r="P1075" s="12">
        <v>4.8</v>
      </c>
      <c r="Q1075" s="13">
        <v>346.43</v>
      </c>
      <c r="R1075" s="36" t="s">
        <v>1364</v>
      </c>
      <c r="S1075" s="7">
        <f t="shared" si="85"/>
        <v>3</v>
      </c>
      <c r="T1075" s="15" t="str">
        <f>VLOOKUP(R1075,产品分类!$C$2:$D$1278,2,0)</f>
        <v>数码电子</v>
      </c>
    </row>
    <row r="1076" spans="1:20">
      <c r="A1076" s="16">
        <f>DATE(2012,12,31)-986</f>
        <v>40288</v>
      </c>
      <c r="B1076" s="16">
        <f>DATE(2012,12,31)-986</f>
        <v>40288</v>
      </c>
      <c r="C1076" s="9" t="s">
        <v>1363</v>
      </c>
      <c r="D1076">
        <v>10021286628</v>
      </c>
      <c r="E1076" t="s">
        <v>47</v>
      </c>
      <c r="F1076" t="s">
        <v>183</v>
      </c>
      <c r="G1076" t="s">
        <v>184</v>
      </c>
      <c r="H1076" t="s">
        <v>185</v>
      </c>
      <c r="I1076" t="s">
        <v>186</v>
      </c>
      <c r="J1076" t="s">
        <v>668</v>
      </c>
      <c r="K1076" s="3">
        <v>100127108048</v>
      </c>
      <c r="L1076" s="10">
        <v>40288</v>
      </c>
      <c r="M1076">
        <v>729.57</v>
      </c>
      <c r="N1076" s="17">
        <v>22</v>
      </c>
      <c r="O1076" s="5">
        <v>35.44</v>
      </c>
      <c r="P1076" s="5">
        <v>5.09</v>
      </c>
      <c r="Q1076" s="6">
        <v>250.43</v>
      </c>
      <c r="R1076" s="37" t="s">
        <v>1365</v>
      </c>
      <c r="S1076" s="7">
        <f t="shared" si="85"/>
        <v>0</v>
      </c>
      <c r="T1076" s="15" t="str">
        <f>VLOOKUP(R1076,产品分类!$C$2:$D$1278,2,0)</f>
        <v>办公用品</v>
      </c>
    </row>
    <row r="1077" spans="1:20">
      <c r="A1077" s="8">
        <f>DATE(2012,12,31)-1001</f>
        <v>40273</v>
      </c>
      <c r="B1077" s="8">
        <f>DATE(2012,12,31)-1001</f>
        <v>40273</v>
      </c>
      <c r="C1077" s="9" t="s">
        <v>1076</v>
      </c>
      <c r="D1077">
        <v>10021287523</v>
      </c>
      <c r="E1077" t="s">
        <v>47</v>
      </c>
      <c r="F1077" t="s">
        <v>127</v>
      </c>
      <c r="G1077" t="s">
        <v>128</v>
      </c>
      <c r="H1077" t="s">
        <v>1366</v>
      </c>
      <c r="I1077" t="s">
        <v>1367</v>
      </c>
      <c r="J1077" t="s">
        <v>668</v>
      </c>
      <c r="K1077" s="3">
        <v>100731859545</v>
      </c>
      <c r="L1077" s="10">
        <v>40273</v>
      </c>
      <c r="M1077">
        <v>2851.17</v>
      </c>
      <c r="N1077" s="11">
        <v>50</v>
      </c>
      <c r="O1077" s="12">
        <v>58.14</v>
      </c>
      <c r="P1077" s="12">
        <v>36.61</v>
      </c>
      <c r="Q1077" s="13">
        <v>-868.88</v>
      </c>
      <c r="R1077" s="36" t="s">
        <v>1368</v>
      </c>
      <c r="S1077" s="7">
        <f t="shared" si="85"/>
        <v>0</v>
      </c>
      <c r="T1077" s="15" t="str">
        <f>VLOOKUP(R1077,产品分类!$C$2:$D$1278,2,0)</f>
        <v>数码电子</v>
      </c>
    </row>
    <row r="1078" spans="1:20">
      <c r="A1078" s="8">
        <f>DATE(2012,12,31)-1001</f>
        <v>40273</v>
      </c>
      <c r="B1078" s="8">
        <f>DATE(2012,12,31)-1001</f>
        <v>40273</v>
      </c>
      <c r="C1078" s="9" t="s">
        <v>1076</v>
      </c>
      <c r="D1078">
        <v>10021256747</v>
      </c>
      <c r="E1078" t="s">
        <v>47</v>
      </c>
      <c r="F1078" t="s">
        <v>177</v>
      </c>
      <c r="G1078" t="s">
        <v>178</v>
      </c>
      <c r="H1078" t="s">
        <v>1292</v>
      </c>
      <c r="I1078" t="s">
        <v>1293</v>
      </c>
      <c r="J1078" t="s">
        <v>668</v>
      </c>
      <c r="K1078" s="3">
        <v>100925495591</v>
      </c>
      <c r="L1078" s="10">
        <v>40278</v>
      </c>
      <c r="M1078">
        <v>183.43</v>
      </c>
      <c r="N1078" s="11">
        <v>15</v>
      </c>
      <c r="O1078" s="12">
        <v>12.44</v>
      </c>
      <c r="P1078" s="12">
        <v>6.27</v>
      </c>
      <c r="Q1078" s="13">
        <v>-41.86</v>
      </c>
      <c r="R1078" s="36" t="s">
        <v>150</v>
      </c>
      <c r="S1078" s="7">
        <f t="shared" si="85"/>
        <v>5</v>
      </c>
      <c r="T1078" s="15" t="str">
        <f>VLOOKUP(R1078,产品分类!$C$2:$D$1278,2,0)</f>
        <v>家具产品</v>
      </c>
    </row>
    <row r="1079" spans="1:20">
      <c r="A1079" s="16">
        <f t="shared" ref="A1079:B1081" si="89">DATE(2012,12,31)-1024</f>
        <v>40250</v>
      </c>
      <c r="B1079" s="16">
        <f t="shared" si="89"/>
        <v>40250</v>
      </c>
      <c r="C1079" s="9" t="s">
        <v>1019</v>
      </c>
      <c r="D1079">
        <v>10021258661</v>
      </c>
      <c r="E1079" t="s">
        <v>47</v>
      </c>
      <c r="F1079" t="s">
        <v>342</v>
      </c>
      <c r="G1079" t="s">
        <v>343</v>
      </c>
      <c r="H1079" t="s">
        <v>344</v>
      </c>
      <c r="I1079" t="s">
        <v>345</v>
      </c>
      <c r="J1079" t="s">
        <v>668</v>
      </c>
      <c r="K1079" s="3">
        <v>100827152292</v>
      </c>
      <c r="L1079" s="10">
        <v>40251</v>
      </c>
      <c r="M1079">
        <v>334.66</v>
      </c>
      <c r="N1079" s="17">
        <v>34</v>
      </c>
      <c r="O1079" s="5">
        <v>9.93</v>
      </c>
      <c r="P1079" s="5">
        <v>1.09</v>
      </c>
      <c r="Q1079" s="6">
        <v>132.56</v>
      </c>
      <c r="R1079" s="37" t="s">
        <v>393</v>
      </c>
      <c r="S1079" s="7">
        <f t="shared" si="85"/>
        <v>1</v>
      </c>
      <c r="T1079" s="15" t="str">
        <f>VLOOKUP(R1079,产品分类!$C$2:$D$1278,2,0)</f>
        <v>数码电子</v>
      </c>
    </row>
    <row r="1080" spans="1:20">
      <c r="A1080" s="16">
        <f t="shared" si="89"/>
        <v>40250</v>
      </c>
      <c r="B1080" s="16">
        <f t="shared" si="89"/>
        <v>40250</v>
      </c>
      <c r="C1080" s="9" t="s">
        <v>1019</v>
      </c>
      <c r="D1080">
        <v>10021332358</v>
      </c>
      <c r="E1080" t="s">
        <v>47</v>
      </c>
      <c r="F1080" t="s">
        <v>61</v>
      </c>
      <c r="G1080" t="s">
        <v>62</v>
      </c>
      <c r="H1080" t="s">
        <v>1369</v>
      </c>
      <c r="I1080" t="s">
        <v>1370</v>
      </c>
      <c r="J1080" t="s">
        <v>668</v>
      </c>
      <c r="K1080" s="3">
        <v>10019614956</v>
      </c>
      <c r="L1080" s="10">
        <v>40252</v>
      </c>
      <c r="M1080">
        <v>139.19</v>
      </c>
      <c r="N1080" s="17">
        <v>23</v>
      </c>
      <c r="O1080" s="5">
        <v>5.98</v>
      </c>
      <c r="P1080" s="5">
        <v>7.15</v>
      </c>
      <c r="Q1080" s="6">
        <v>-86.73</v>
      </c>
      <c r="R1080" s="37" t="s">
        <v>640</v>
      </c>
      <c r="S1080" s="7">
        <f t="shared" si="85"/>
        <v>2</v>
      </c>
      <c r="T1080" s="15" t="str">
        <f>VLOOKUP(R1080,产品分类!$C$2:$D$1278,2,0)</f>
        <v>办公用品</v>
      </c>
    </row>
    <row r="1081" spans="1:20">
      <c r="A1081" s="8">
        <f t="shared" si="89"/>
        <v>40250</v>
      </c>
      <c r="B1081" s="8">
        <f t="shared" si="89"/>
        <v>40250</v>
      </c>
      <c r="C1081" s="9" t="s">
        <v>1019</v>
      </c>
      <c r="D1081">
        <v>10021254496</v>
      </c>
      <c r="E1081" t="s">
        <v>47</v>
      </c>
      <c r="F1081" t="s">
        <v>61</v>
      </c>
      <c r="G1081" t="s">
        <v>62</v>
      </c>
      <c r="H1081" t="s">
        <v>1369</v>
      </c>
      <c r="I1081" t="s">
        <v>1370</v>
      </c>
      <c r="J1081" t="s">
        <v>668</v>
      </c>
      <c r="K1081" s="3">
        <v>100122336158</v>
      </c>
      <c r="L1081" s="10">
        <v>40252</v>
      </c>
      <c r="M1081">
        <v>2026.05</v>
      </c>
      <c r="N1081" s="11">
        <v>16</v>
      </c>
      <c r="O1081" s="12">
        <v>135.99</v>
      </c>
      <c r="P1081" s="12">
        <v>28.63</v>
      </c>
      <c r="Q1081" s="13">
        <v>-357.65</v>
      </c>
      <c r="R1081" s="36" t="s">
        <v>1371</v>
      </c>
      <c r="S1081" s="7">
        <f t="shared" si="85"/>
        <v>2</v>
      </c>
      <c r="T1081" s="15" t="str">
        <f>VLOOKUP(R1081,产品分类!$C$2:$D$1278,2,0)</f>
        <v>数码电子</v>
      </c>
    </row>
    <row r="1082" spans="1:20">
      <c r="A1082" s="8">
        <f>DATE(2012,12,31)-283</f>
        <v>40991</v>
      </c>
      <c r="B1082" s="8">
        <f>DATE(2012,12,31)-283</f>
        <v>40991</v>
      </c>
      <c r="C1082" s="9" t="s">
        <v>826</v>
      </c>
      <c r="D1082">
        <v>10021425714</v>
      </c>
      <c r="E1082" t="s">
        <v>47</v>
      </c>
      <c r="F1082" t="s">
        <v>61</v>
      </c>
      <c r="G1082" t="s">
        <v>62</v>
      </c>
      <c r="H1082" t="s">
        <v>1369</v>
      </c>
      <c r="I1082" t="s">
        <v>1370</v>
      </c>
      <c r="J1082" t="s">
        <v>668</v>
      </c>
      <c r="K1082" s="3">
        <v>100129617357</v>
      </c>
      <c r="L1082" s="10">
        <v>40998</v>
      </c>
      <c r="M1082">
        <v>2796.67</v>
      </c>
      <c r="N1082" s="11">
        <v>50</v>
      </c>
      <c r="O1082" s="12">
        <v>55.29</v>
      </c>
      <c r="P1082" s="12">
        <v>5.08</v>
      </c>
      <c r="Q1082" s="13">
        <v>801.04</v>
      </c>
      <c r="R1082" s="36" t="s">
        <v>1294</v>
      </c>
      <c r="S1082" s="7">
        <f t="shared" si="85"/>
        <v>7</v>
      </c>
      <c r="T1082" s="15" t="str">
        <f>VLOOKUP(R1082,产品分类!$C$2:$D$1278,2,0)</f>
        <v>办公用品</v>
      </c>
    </row>
    <row r="1083" spans="1:20">
      <c r="A1083" s="8">
        <f>DATE(2012,12,31)-838</f>
        <v>40436</v>
      </c>
      <c r="B1083" s="8">
        <f>DATE(2012,12,31)-838</f>
        <v>40436</v>
      </c>
      <c r="C1083" s="9" t="s">
        <v>1372</v>
      </c>
      <c r="D1083">
        <v>10021415088</v>
      </c>
      <c r="E1083" t="s">
        <v>47</v>
      </c>
      <c r="F1083" t="s">
        <v>61</v>
      </c>
      <c r="G1083" t="s">
        <v>62</v>
      </c>
      <c r="H1083" t="s">
        <v>1369</v>
      </c>
      <c r="I1083" t="s">
        <v>1370</v>
      </c>
      <c r="J1083" t="s">
        <v>668</v>
      </c>
      <c r="K1083" s="3">
        <v>100110285518</v>
      </c>
      <c r="L1083" s="10">
        <v>40436</v>
      </c>
      <c r="M1083">
        <v>1449.21</v>
      </c>
      <c r="N1083" s="11">
        <v>10</v>
      </c>
      <c r="O1083" s="12">
        <v>150.98</v>
      </c>
      <c r="P1083" s="12">
        <v>30</v>
      </c>
      <c r="Q1083" s="13">
        <v>-270</v>
      </c>
      <c r="R1083" s="36" t="s">
        <v>1373</v>
      </c>
      <c r="S1083" s="7">
        <f t="shared" si="85"/>
        <v>0</v>
      </c>
      <c r="T1083" s="15" t="str">
        <f>VLOOKUP(R1083,产品分类!$C$2:$D$1278,2,0)</f>
        <v>家具产品</v>
      </c>
    </row>
    <row r="1084" spans="1:20">
      <c r="A1084" s="8">
        <f>DATE(2012,12,31)-834</f>
        <v>40440</v>
      </c>
      <c r="B1084" s="8">
        <f>DATE(2012,12,31)-834</f>
        <v>40440</v>
      </c>
      <c r="C1084" s="9" t="s">
        <v>928</v>
      </c>
      <c r="D1084">
        <v>10021417738</v>
      </c>
      <c r="E1084" t="s">
        <v>47</v>
      </c>
      <c r="F1084" t="s">
        <v>61</v>
      </c>
      <c r="G1084" t="s">
        <v>62</v>
      </c>
      <c r="H1084" t="s">
        <v>1369</v>
      </c>
      <c r="I1084" t="s">
        <v>1370</v>
      </c>
      <c r="J1084" t="s">
        <v>668</v>
      </c>
      <c r="K1084" s="3">
        <v>100917548861</v>
      </c>
      <c r="L1084" s="10">
        <v>40442</v>
      </c>
      <c r="M1084">
        <v>149.25</v>
      </c>
      <c r="N1084" s="11">
        <v>10</v>
      </c>
      <c r="O1084" s="12">
        <v>15.01</v>
      </c>
      <c r="P1084" s="12">
        <v>8.4</v>
      </c>
      <c r="Q1084" s="13">
        <v>-26.8065</v>
      </c>
      <c r="R1084" s="36" t="s">
        <v>1374</v>
      </c>
      <c r="S1084" s="7">
        <f t="shared" si="85"/>
        <v>2</v>
      </c>
      <c r="T1084" s="15" t="str">
        <f>VLOOKUP(R1084,产品分类!$C$2:$D$1278,2,0)</f>
        <v>办公用品</v>
      </c>
    </row>
    <row r="1085" spans="1:20">
      <c r="A1085" s="8">
        <f>DATE(2012,12,31)-834</f>
        <v>40440</v>
      </c>
      <c r="B1085" s="8">
        <f>DATE(2012,12,31)-834</f>
        <v>40440</v>
      </c>
      <c r="C1085" s="9" t="s">
        <v>928</v>
      </c>
      <c r="D1085">
        <v>10021294994</v>
      </c>
      <c r="E1085" t="s">
        <v>47</v>
      </c>
      <c r="F1085" t="s">
        <v>61</v>
      </c>
      <c r="G1085" t="s">
        <v>62</v>
      </c>
      <c r="H1085" t="s">
        <v>1369</v>
      </c>
      <c r="I1085" t="s">
        <v>1370</v>
      </c>
      <c r="J1085" t="s">
        <v>668</v>
      </c>
      <c r="K1085" s="3">
        <v>100412409923</v>
      </c>
      <c r="L1085" s="10">
        <v>40442</v>
      </c>
      <c r="M1085">
        <v>10.14</v>
      </c>
      <c r="N1085" s="11">
        <v>1</v>
      </c>
      <c r="O1085" s="12">
        <v>4.82</v>
      </c>
      <c r="P1085" s="12">
        <v>5.24</v>
      </c>
      <c r="Q1085" s="13">
        <v>-7.613</v>
      </c>
      <c r="R1085" s="36" t="s">
        <v>1375</v>
      </c>
      <c r="S1085" s="7">
        <f t="shared" si="85"/>
        <v>2</v>
      </c>
      <c r="T1085" s="15" t="str">
        <f>VLOOKUP(R1085,产品分类!$C$2:$D$1278,2,0)</f>
        <v>办公用品</v>
      </c>
    </row>
    <row r="1086" spans="1:20">
      <c r="A1086" s="8">
        <f>DATE(2012,12,31)-773</f>
        <v>40501</v>
      </c>
      <c r="B1086" s="8">
        <f>DATE(2012,12,31)-773</f>
        <v>40501</v>
      </c>
      <c r="C1086" s="9" t="s">
        <v>780</v>
      </c>
      <c r="D1086">
        <v>10021419065</v>
      </c>
      <c r="E1086" t="s">
        <v>47</v>
      </c>
      <c r="F1086" t="s">
        <v>61</v>
      </c>
      <c r="G1086" t="s">
        <v>62</v>
      </c>
      <c r="H1086" t="s">
        <v>1369</v>
      </c>
      <c r="I1086" t="s">
        <v>1370</v>
      </c>
      <c r="J1086" t="s">
        <v>668</v>
      </c>
      <c r="K1086" s="3">
        <v>100922817821</v>
      </c>
      <c r="L1086" s="10">
        <v>40503</v>
      </c>
      <c r="M1086">
        <v>37.7</v>
      </c>
      <c r="N1086" s="11">
        <v>15</v>
      </c>
      <c r="O1086" s="12">
        <v>2.18</v>
      </c>
      <c r="P1086" s="12">
        <v>7.09</v>
      </c>
      <c r="Q1086" s="13">
        <v>-81.08</v>
      </c>
      <c r="R1086" s="36" t="s">
        <v>1095</v>
      </c>
      <c r="S1086" s="7">
        <f t="shared" si="85"/>
        <v>2</v>
      </c>
      <c r="T1086" s="15" t="str">
        <f>VLOOKUP(R1086,产品分类!$C$2:$D$1278,2,0)</f>
        <v>办公用品</v>
      </c>
    </row>
    <row r="1087" spans="1:20">
      <c r="A1087" s="8">
        <f>DATE(2012,12,31)-773</f>
        <v>40501</v>
      </c>
      <c r="B1087" s="8">
        <f>DATE(2012,12,31)-773</f>
        <v>40501</v>
      </c>
      <c r="C1087" s="9" t="s">
        <v>780</v>
      </c>
      <c r="D1087">
        <v>10021293085</v>
      </c>
      <c r="E1087" t="s">
        <v>47</v>
      </c>
      <c r="F1087" t="s">
        <v>61</v>
      </c>
      <c r="G1087" t="s">
        <v>62</v>
      </c>
      <c r="H1087" t="s">
        <v>1369</v>
      </c>
      <c r="I1087" t="s">
        <v>1370</v>
      </c>
      <c r="J1087" t="s">
        <v>668</v>
      </c>
      <c r="K1087" s="3">
        <v>10044379863</v>
      </c>
      <c r="L1087" s="10">
        <v>40503</v>
      </c>
      <c r="M1087">
        <v>1059.72</v>
      </c>
      <c r="N1087" s="11">
        <v>47</v>
      </c>
      <c r="O1087" s="12">
        <v>20.98</v>
      </c>
      <c r="P1087" s="12">
        <v>5.42</v>
      </c>
      <c r="Q1087" s="13">
        <v>112.22</v>
      </c>
      <c r="R1087" s="36" t="s">
        <v>659</v>
      </c>
      <c r="S1087" s="7">
        <f t="shared" si="85"/>
        <v>2</v>
      </c>
      <c r="T1087" s="15" t="str">
        <f>VLOOKUP(R1087,产品分类!$C$2:$D$1278,2,0)</f>
        <v>办公用品</v>
      </c>
    </row>
    <row r="1088" spans="1:20">
      <c r="A1088" s="8">
        <f>DATE(2012,12,31)-270</f>
        <v>41004</v>
      </c>
      <c r="B1088" s="8">
        <f>DATE(2012,12,31)-270</f>
        <v>41004</v>
      </c>
      <c r="C1088" s="9" t="s">
        <v>440</v>
      </c>
      <c r="D1088">
        <v>10021293761</v>
      </c>
      <c r="E1088" t="s">
        <v>47</v>
      </c>
      <c r="F1088" t="s">
        <v>253</v>
      </c>
      <c r="G1088" t="s">
        <v>254</v>
      </c>
      <c r="H1088" t="s">
        <v>255</v>
      </c>
      <c r="I1088" t="s">
        <v>256</v>
      </c>
      <c r="J1088" t="s">
        <v>668</v>
      </c>
      <c r="K1088" s="3">
        <v>10096923631</v>
      </c>
      <c r="L1088" s="10">
        <v>41006</v>
      </c>
      <c r="M1088">
        <v>790.63</v>
      </c>
      <c r="N1088" s="11">
        <v>24</v>
      </c>
      <c r="O1088" s="12">
        <v>34.54</v>
      </c>
      <c r="P1088" s="12">
        <v>14.72</v>
      </c>
      <c r="Q1088" s="13">
        <v>52.3175</v>
      </c>
      <c r="R1088" s="36" t="s">
        <v>1376</v>
      </c>
      <c r="S1088" s="7">
        <f t="shared" si="85"/>
        <v>2</v>
      </c>
      <c r="T1088" s="15" t="str">
        <f>VLOOKUP(R1088,产品分类!$C$2:$D$1278,2,0)</f>
        <v>办公用品</v>
      </c>
    </row>
    <row r="1089" spans="1:20">
      <c r="A1089" s="16">
        <f>DATE(2012,12,31)-577</f>
        <v>40697</v>
      </c>
      <c r="B1089" s="16">
        <f>DATE(2012,12,31)-577</f>
        <v>40697</v>
      </c>
      <c r="C1089" s="9" t="s">
        <v>245</v>
      </c>
      <c r="D1089">
        <v>10021294721</v>
      </c>
      <c r="E1089" t="s">
        <v>47</v>
      </c>
      <c r="F1089" t="s">
        <v>61</v>
      </c>
      <c r="G1089" t="s">
        <v>62</v>
      </c>
      <c r="H1089" t="s">
        <v>1369</v>
      </c>
      <c r="I1089" t="s">
        <v>1370</v>
      </c>
      <c r="J1089" t="s">
        <v>668</v>
      </c>
      <c r="K1089" s="3">
        <v>10047607154</v>
      </c>
      <c r="L1089" s="10">
        <v>40699</v>
      </c>
      <c r="M1089">
        <v>197.15</v>
      </c>
      <c r="N1089" s="17">
        <v>27</v>
      </c>
      <c r="O1089" s="5">
        <v>6.68</v>
      </c>
      <c r="P1089" s="5">
        <v>5.2</v>
      </c>
      <c r="Q1089" s="6">
        <v>-23.34</v>
      </c>
      <c r="R1089" s="37" t="s">
        <v>1377</v>
      </c>
      <c r="S1089" s="7">
        <f t="shared" si="85"/>
        <v>2</v>
      </c>
      <c r="T1089" s="15" t="str">
        <f>VLOOKUP(R1089,产品分类!$C$2:$D$1278,2,0)</f>
        <v>办公用品</v>
      </c>
    </row>
    <row r="1090" spans="1:20">
      <c r="A1090" s="8">
        <f>DATE(2012,12,31)-324</f>
        <v>40950</v>
      </c>
      <c r="B1090" s="8">
        <f>DATE(2012,12,31)-324</f>
        <v>40950</v>
      </c>
      <c r="C1090" s="9" t="s">
        <v>1378</v>
      </c>
      <c r="D1090">
        <v>10021425794</v>
      </c>
      <c r="E1090" t="s">
        <v>47</v>
      </c>
      <c r="F1090" t="s">
        <v>61</v>
      </c>
      <c r="G1090" t="s">
        <v>62</v>
      </c>
      <c r="H1090" t="s">
        <v>1369</v>
      </c>
      <c r="I1090" t="s">
        <v>1370</v>
      </c>
      <c r="J1090" t="s">
        <v>668</v>
      </c>
      <c r="K1090" s="3">
        <v>100729628715</v>
      </c>
      <c r="L1090" s="10">
        <v>40950</v>
      </c>
      <c r="M1090">
        <v>820.5645</v>
      </c>
      <c r="N1090" s="11">
        <v>5</v>
      </c>
      <c r="O1090" s="12">
        <v>205.99</v>
      </c>
      <c r="P1090" s="12">
        <v>8.99</v>
      </c>
      <c r="Q1090" s="13">
        <v>-800.25</v>
      </c>
      <c r="R1090" s="36" t="s">
        <v>930</v>
      </c>
      <c r="S1090" s="7">
        <f t="shared" si="85"/>
        <v>0</v>
      </c>
      <c r="T1090" s="15" t="str">
        <f>VLOOKUP(R1090,产品分类!$C$2:$D$1278,2,0)</f>
        <v>办公用品</v>
      </c>
    </row>
    <row r="1091" spans="1:20">
      <c r="A1091" s="8">
        <f>DATE(2012,12,31)-324</f>
        <v>40950</v>
      </c>
      <c r="B1091" s="8">
        <f>DATE(2012,12,31)-324</f>
        <v>40950</v>
      </c>
      <c r="C1091" s="9" t="s">
        <v>1378</v>
      </c>
      <c r="D1091">
        <v>10021335098</v>
      </c>
      <c r="E1091" t="s">
        <v>47</v>
      </c>
      <c r="F1091" t="s">
        <v>61</v>
      </c>
      <c r="G1091" t="s">
        <v>62</v>
      </c>
      <c r="H1091" t="s">
        <v>1369</v>
      </c>
      <c r="I1091" t="s">
        <v>1370</v>
      </c>
      <c r="J1091" t="s">
        <v>668</v>
      </c>
      <c r="K1091" s="3">
        <v>10018048488</v>
      </c>
      <c r="L1091" s="10">
        <v>40950</v>
      </c>
      <c r="M1091">
        <v>3332.06</v>
      </c>
      <c r="N1091" s="11">
        <v>35</v>
      </c>
      <c r="O1091" s="12">
        <v>99.99</v>
      </c>
      <c r="P1091" s="12">
        <v>19.99</v>
      </c>
      <c r="Q1091" s="13">
        <v>412.63</v>
      </c>
      <c r="R1091" s="36" t="s">
        <v>1379</v>
      </c>
      <c r="S1091" s="7">
        <f t="shared" ref="S1091:S1154" si="90">+L1091-B1091</f>
        <v>0</v>
      </c>
      <c r="T1091" s="15" t="str">
        <f>VLOOKUP(R1091,产品分类!$C$2:$D$1278,2,0)</f>
        <v>家具产品</v>
      </c>
    </row>
    <row r="1092" spans="1:20">
      <c r="A1092" s="8">
        <f>DATE(2012,12,31)-251</f>
        <v>41023</v>
      </c>
      <c r="B1092" s="8">
        <f>DATE(2012,12,31)-251</f>
        <v>41023</v>
      </c>
      <c r="C1092" s="9" t="s">
        <v>1380</v>
      </c>
      <c r="D1092">
        <v>10021258151</v>
      </c>
      <c r="E1092" t="s">
        <v>47</v>
      </c>
      <c r="F1092" t="s">
        <v>61</v>
      </c>
      <c r="G1092" t="s">
        <v>62</v>
      </c>
      <c r="H1092" t="s">
        <v>1369</v>
      </c>
      <c r="I1092" t="s">
        <v>1370</v>
      </c>
      <c r="J1092" t="s">
        <v>668</v>
      </c>
      <c r="K1092" s="3">
        <v>10098398751</v>
      </c>
      <c r="L1092" s="10">
        <v>41024</v>
      </c>
      <c r="M1092">
        <v>118.18</v>
      </c>
      <c r="N1092" s="11">
        <v>27</v>
      </c>
      <c r="O1092" s="12">
        <v>4.06</v>
      </c>
      <c r="P1092" s="12">
        <v>6.89</v>
      </c>
      <c r="Q1092" s="13">
        <v>-133.62</v>
      </c>
      <c r="R1092" s="36" t="s">
        <v>1285</v>
      </c>
      <c r="S1092" s="7">
        <f t="shared" si="90"/>
        <v>1</v>
      </c>
      <c r="T1092" s="15" t="str">
        <f>VLOOKUP(R1092,产品分类!$C$2:$D$1278,2,0)</f>
        <v>办公用品</v>
      </c>
    </row>
    <row r="1093" spans="1:20">
      <c r="A1093" s="8">
        <f t="shared" ref="A1093:B1095" si="91">DATE(2012,12,31)-347</f>
        <v>40927</v>
      </c>
      <c r="B1093" s="8">
        <f t="shared" si="91"/>
        <v>40927</v>
      </c>
      <c r="C1093" s="9" t="s">
        <v>1381</v>
      </c>
      <c r="D1093">
        <v>10021430549</v>
      </c>
      <c r="E1093" t="s">
        <v>47</v>
      </c>
      <c r="F1093" t="s">
        <v>171</v>
      </c>
      <c r="G1093" t="s">
        <v>172</v>
      </c>
      <c r="H1093" t="s">
        <v>933</v>
      </c>
      <c r="I1093" t="s">
        <v>934</v>
      </c>
      <c r="J1093" t="s">
        <v>668</v>
      </c>
      <c r="K1093" s="3">
        <v>100428182973</v>
      </c>
      <c r="L1093" s="10">
        <v>40927</v>
      </c>
      <c r="M1093">
        <v>354.45</v>
      </c>
      <c r="N1093" s="11">
        <v>31</v>
      </c>
      <c r="O1093" s="12">
        <v>10.98</v>
      </c>
      <c r="P1093" s="12">
        <v>3.99</v>
      </c>
      <c r="Q1093" s="13">
        <v>11.38</v>
      </c>
      <c r="R1093" s="36" t="s">
        <v>1382</v>
      </c>
      <c r="S1093" s="7">
        <f t="shared" si="90"/>
        <v>0</v>
      </c>
      <c r="T1093" s="15" t="str">
        <f>VLOOKUP(R1093,产品分类!$C$2:$D$1278,2,0)</f>
        <v>办公用品</v>
      </c>
    </row>
    <row r="1094" spans="1:20">
      <c r="A1094" s="8">
        <f t="shared" si="91"/>
        <v>40927</v>
      </c>
      <c r="B1094" s="8">
        <f t="shared" si="91"/>
        <v>40927</v>
      </c>
      <c r="C1094" s="9" t="s">
        <v>1381</v>
      </c>
      <c r="D1094">
        <v>10021404512</v>
      </c>
      <c r="E1094" t="s">
        <v>47</v>
      </c>
      <c r="F1094" t="s">
        <v>72</v>
      </c>
      <c r="G1094" t="s">
        <v>73</v>
      </c>
      <c r="H1094" t="s">
        <v>1277</v>
      </c>
      <c r="I1094" t="s">
        <v>1278</v>
      </c>
      <c r="J1094" t="s">
        <v>668</v>
      </c>
      <c r="K1094" s="3">
        <v>100932676151</v>
      </c>
      <c r="L1094" s="10">
        <v>40928</v>
      </c>
      <c r="M1094">
        <v>238.43</v>
      </c>
      <c r="N1094" s="11">
        <v>13</v>
      </c>
      <c r="O1094" s="12">
        <v>16.99</v>
      </c>
      <c r="P1094" s="12">
        <v>8.99</v>
      </c>
      <c r="Q1094" s="13">
        <v>-36.11</v>
      </c>
      <c r="R1094" s="36" t="s">
        <v>1383</v>
      </c>
      <c r="S1094" s="7">
        <f t="shared" si="90"/>
        <v>1</v>
      </c>
      <c r="T1094" s="15" t="str">
        <f>VLOOKUP(R1094,产品分类!$C$2:$D$1278,2,0)</f>
        <v>家具产品</v>
      </c>
    </row>
    <row r="1095" spans="1:20">
      <c r="A1095" s="8">
        <f t="shared" si="91"/>
        <v>40927</v>
      </c>
      <c r="B1095" s="8">
        <f t="shared" si="91"/>
        <v>40927</v>
      </c>
      <c r="C1095" s="9" t="s">
        <v>1381</v>
      </c>
      <c r="D1095">
        <v>10021357698</v>
      </c>
      <c r="E1095" t="s">
        <v>47</v>
      </c>
      <c r="F1095" t="s">
        <v>91</v>
      </c>
      <c r="G1095" t="s">
        <v>92</v>
      </c>
      <c r="H1095" t="s">
        <v>774</v>
      </c>
      <c r="I1095" t="s">
        <v>775</v>
      </c>
      <c r="J1095" t="s">
        <v>668</v>
      </c>
      <c r="K1095" s="3">
        <v>100432298204</v>
      </c>
      <c r="L1095" s="10">
        <v>40929</v>
      </c>
      <c r="M1095">
        <v>1606.4</v>
      </c>
      <c r="N1095" s="11">
        <v>36</v>
      </c>
      <c r="O1095" s="12">
        <v>44.43</v>
      </c>
      <c r="P1095" s="12">
        <v>46.59</v>
      </c>
      <c r="Q1095" s="13">
        <v>-1231.35</v>
      </c>
      <c r="R1095" s="36" t="s">
        <v>1384</v>
      </c>
      <c r="S1095" s="7">
        <f t="shared" si="90"/>
        <v>2</v>
      </c>
      <c r="T1095" s="15" t="str">
        <f>VLOOKUP(R1095,产品分类!$C$2:$D$1278,2,0)</f>
        <v>家具产品</v>
      </c>
    </row>
    <row r="1096" spans="1:20">
      <c r="A1096" s="16">
        <f>DATE(2012,12,31)-305</f>
        <v>40969</v>
      </c>
      <c r="B1096" s="16">
        <f>DATE(2012,12,31)-305</f>
        <v>40969</v>
      </c>
      <c r="C1096" s="9" t="s">
        <v>453</v>
      </c>
      <c r="D1096">
        <v>10021399671</v>
      </c>
      <c r="E1096" t="s">
        <v>47</v>
      </c>
      <c r="F1096" t="s">
        <v>122</v>
      </c>
      <c r="G1096" t="s">
        <v>123</v>
      </c>
      <c r="H1096" t="s">
        <v>124</v>
      </c>
      <c r="I1096" t="s">
        <v>125</v>
      </c>
      <c r="J1096" t="s">
        <v>668</v>
      </c>
      <c r="K1096" s="3">
        <v>100111470908</v>
      </c>
      <c r="L1096" s="10">
        <v>40971</v>
      </c>
      <c r="M1096">
        <v>104.38</v>
      </c>
      <c r="N1096" s="17">
        <v>7</v>
      </c>
      <c r="O1096" s="5">
        <v>14.42</v>
      </c>
      <c r="P1096" s="5">
        <v>6.75</v>
      </c>
      <c r="Q1096" s="6">
        <v>-24.2</v>
      </c>
      <c r="R1096" s="37" t="s">
        <v>441</v>
      </c>
      <c r="S1096" s="7">
        <f t="shared" si="90"/>
        <v>2</v>
      </c>
      <c r="T1096" s="15" t="str">
        <f>VLOOKUP(R1096,产品分类!$C$2:$D$1278,2,0)</f>
        <v>办公用品</v>
      </c>
    </row>
    <row r="1097" spans="1:20">
      <c r="A1097" s="8">
        <f>DATE(2012,12,31)-130</f>
        <v>41144</v>
      </c>
      <c r="B1097" s="8">
        <f>DATE(2012,12,31)-130</f>
        <v>41144</v>
      </c>
      <c r="C1097" s="9" t="s">
        <v>1182</v>
      </c>
      <c r="D1097">
        <v>10021315898</v>
      </c>
      <c r="E1097" t="s">
        <v>47</v>
      </c>
      <c r="F1097" t="s">
        <v>527</v>
      </c>
      <c r="G1097" t="s">
        <v>528</v>
      </c>
      <c r="H1097" t="s">
        <v>1356</v>
      </c>
      <c r="I1097" t="s">
        <v>1357</v>
      </c>
      <c r="J1097" t="s">
        <v>668</v>
      </c>
      <c r="K1097" s="3">
        <v>100416868434</v>
      </c>
      <c r="L1097" s="10">
        <v>41145</v>
      </c>
      <c r="M1097">
        <v>1199.7</v>
      </c>
      <c r="N1097" s="11">
        <v>37</v>
      </c>
      <c r="O1097" s="12">
        <v>30.98</v>
      </c>
      <c r="P1097" s="12">
        <v>19.51</v>
      </c>
      <c r="Q1097" s="13">
        <v>3.22</v>
      </c>
      <c r="R1097" s="36" t="s">
        <v>1385</v>
      </c>
      <c r="S1097" s="7">
        <f t="shared" si="90"/>
        <v>1</v>
      </c>
      <c r="T1097" s="15" t="str">
        <f>VLOOKUP(R1097,产品分类!$C$2:$D$1278,2,0)</f>
        <v>家具产品</v>
      </c>
    </row>
    <row r="1098" spans="1:20">
      <c r="A1098" s="8">
        <f>DATE(2012,12,31)-599</f>
        <v>40675</v>
      </c>
      <c r="B1098" s="8">
        <f>DATE(2012,12,31)-599</f>
        <v>40675</v>
      </c>
      <c r="C1098" s="9" t="s">
        <v>851</v>
      </c>
      <c r="D1098">
        <v>10021430653</v>
      </c>
      <c r="E1098" t="s">
        <v>47</v>
      </c>
      <c r="F1098" t="s">
        <v>152</v>
      </c>
      <c r="G1098" t="s">
        <v>153</v>
      </c>
      <c r="H1098" t="s">
        <v>1136</v>
      </c>
      <c r="I1098" t="s">
        <v>1137</v>
      </c>
      <c r="J1098" t="s">
        <v>668</v>
      </c>
      <c r="K1098" s="3">
        <v>100131937106</v>
      </c>
      <c r="L1098" s="10">
        <v>40676</v>
      </c>
      <c r="M1098">
        <v>10445.95</v>
      </c>
      <c r="N1098" s="11">
        <v>44</v>
      </c>
      <c r="O1098" s="12">
        <v>243.98</v>
      </c>
      <c r="P1098" s="12">
        <v>62.94</v>
      </c>
      <c r="Q1098" s="13">
        <v>1069.61</v>
      </c>
      <c r="R1098" s="36" t="s">
        <v>1386</v>
      </c>
      <c r="S1098" s="7">
        <f t="shared" si="90"/>
        <v>1</v>
      </c>
      <c r="T1098" s="15" t="str">
        <f>VLOOKUP(R1098,产品分类!$C$2:$D$1278,2,0)</f>
        <v>家具产品</v>
      </c>
    </row>
    <row r="1099" spans="1:20">
      <c r="A1099" s="8">
        <f>DATE(2012,12,31)-71</f>
        <v>41203</v>
      </c>
      <c r="B1099" s="8">
        <f>DATE(2012,12,31)-71</f>
        <v>41203</v>
      </c>
      <c r="C1099" s="9" t="s">
        <v>1301</v>
      </c>
      <c r="D1099">
        <v>10021422985</v>
      </c>
      <c r="E1099" t="s">
        <v>47</v>
      </c>
      <c r="F1099" t="s">
        <v>66</v>
      </c>
      <c r="G1099" t="s">
        <v>67</v>
      </c>
      <c r="H1099" t="s">
        <v>68</v>
      </c>
      <c r="I1099" t="s">
        <v>69</v>
      </c>
      <c r="J1099" t="s">
        <v>668</v>
      </c>
      <c r="K1099" s="3">
        <v>100127639977</v>
      </c>
      <c r="L1099" s="10">
        <v>41205</v>
      </c>
      <c r="M1099">
        <v>1125.76</v>
      </c>
      <c r="N1099" s="11">
        <v>17</v>
      </c>
      <c r="O1099" s="12">
        <v>60.65</v>
      </c>
      <c r="P1099" s="12">
        <v>12.23</v>
      </c>
      <c r="Q1099" s="13">
        <v>379.28</v>
      </c>
      <c r="R1099" s="36" t="s">
        <v>1387</v>
      </c>
      <c r="S1099" s="7">
        <f t="shared" si="90"/>
        <v>2</v>
      </c>
      <c r="T1099" s="15" t="str">
        <f>VLOOKUP(R1099,产品分类!$C$2:$D$1278,2,0)</f>
        <v>家具产品</v>
      </c>
    </row>
    <row r="1100" spans="1:20">
      <c r="A1100" s="8">
        <f>DATE(2012,12,31)-338</f>
        <v>40936</v>
      </c>
      <c r="B1100" s="8">
        <f>DATE(2012,12,31)-338</f>
        <v>40936</v>
      </c>
      <c r="C1100" s="9" t="s">
        <v>1122</v>
      </c>
      <c r="D1100">
        <v>10021351514</v>
      </c>
      <c r="E1100" t="s">
        <v>47</v>
      </c>
      <c r="F1100" t="s">
        <v>66</v>
      </c>
      <c r="G1100" t="s">
        <v>67</v>
      </c>
      <c r="H1100" t="s">
        <v>68</v>
      </c>
      <c r="I1100" t="s">
        <v>69</v>
      </c>
      <c r="J1100" t="s">
        <v>668</v>
      </c>
      <c r="K1100" s="3">
        <v>100432487934</v>
      </c>
      <c r="L1100" s="10">
        <v>40937</v>
      </c>
      <c r="M1100">
        <v>622.72</v>
      </c>
      <c r="N1100" s="11">
        <v>14</v>
      </c>
      <c r="O1100" s="12">
        <v>40.97</v>
      </c>
      <c r="P1100" s="12">
        <v>8.99</v>
      </c>
      <c r="Q1100" s="13">
        <v>76.51</v>
      </c>
      <c r="R1100" s="36" t="s">
        <v>983</v>
      </c>
      <c r="S1100" s="7">
        <f t="shared" si="90"/>
        <v>1</v>
      </c>
      <c r="T1100" s="15" t="str">
        <f>VLOOKUP(R1100,产品分类!$C$2:$D$1278,2,0)</f>
        <v>办公用品</v>
      </c>
    </row>
    <row r="1101" spans="1:20">
      <c r="A1101" s="8">
        <f>DATE(2012,12,31)-753</f>
        <v>40521</v>
      </c>
      <c r="B1101" s="8">
        <f>DATE(2012,12,31)-753</f>
        <v>40521</v>
      </c>
      <c r="C1101" s="9" t="s">
        <v>1388</v>
      </c>
      <c r="D1101">
        <v>10021252349</v>
      </c>
      <c r="E1101" t="s">
        <v>47</v>
      </c>
      <c r="F1101" t="s">
        <v>48</v>
      </c>
      <c r="G1101" t="s">
        <v>49</v>
      </c>
      <c r="H1101" t="s">
        <v>50</v>
      </c>
      <c r="I1101" t="s">
        <v>51</v>
      </c>
      <c r="J1101" t="s">
        <v>668</v>
      </c>
      <c r="K1101" s="3">
        <v>10098640021</v>
      </c>
      <c r="L1101" s="10">
        <v>40523</v>
      </c>
      <c r="M1101">
        <v>7522.8</v>
      </c>
      <c r="N1101" s="11">
        <v>48</v>
      </c>
      <c r="O1101" s="12">
        <v>162.93</v>
      </c>
      <c r="P1101" s="12">
        <v>19.99</v>
      </c>
      <c r="Q1101" s="13">
        <v>3187.37</v>
      </c>
      <c r="R1101" s="36" t="s">
        <v>778</v>
      </c>
      <c r="S1101" s="7">
        <f t="shared" si="90"/>
        <v>2</v>
      </c>
      <c r="T1101" s="15" t="str">
        <f>VLOOKUP(R1101,产品分类!$C$2:$D$1278,2,0)</f>
        <v>办公用品</v>
      </c>
    </row>
    <row r="1102" spans="1:20">
      <c r="A1102" s="8">
        <f>DATE(2012,12,31)-1033</f>
        <v>40241</v>
      </c>
      <c r="B1102" s="8">
        <f>DATE(2012,12,31)-1033</f>
        <v>40241</v>
      </c>
      <c r="C1102" s="9" t="s">
        <v>396</v>
      </c>
      <c r="D1102">
        <v>10021382047</v>
      </c>
      <c r="E1102" t="s">
        <v>47</v>
      </c>
      <c r="F1102" t="s">
        <v>66</v>
      </c>
      <c r="G1102" t="s">
        <v>67</v>
      </c>
      <c r="H1102" t="s">
        <v>68</v>
      </c>
      <c r="I1102" t="s">
        <v>69</v>
      </c>
      <c r="J1102" t="s">
        <v>668</v>
      </c>
      <c r="K1102" s="3">
        <v>100428463223</v>
      </c>
      <c r="L1102" s="10">
        <v>40243</v>
      </c>
      <c r="M1102">
        <v>3491.71</v>
      </c>
      <c r="N1102" s="11">
        <v>35</v>
      </c>
      <c r="O1102" s="12">
        <v>95.95</v>
      </c>
      <c r="P1102" s="12">
        <v>74.35</v>
      </c>
      <c r="Q1102" s="13">
        <v>-1216.64</v>
      </c>
      <c r="R1102" s="36" t="s">
        <v>574</v>
      </c>
      <c r="S1102" s="7">
        <f t="shared" si="90"/>
        <v>2</v>
      </c>
      <c r="T1102" s="15" t="str">
        <f>VLOOKUP(R1102,产品分类!$C$2:$D$1278,2,0)</f>
        <v>办公用品</v>
      </c>
    </row>
    <row r="1103" spans="1:20">
      <c r="A1103" s="8">
        <f>DATE(2012,12,31)-1033</f>
        <v>40241</v>
      </c>
      <c r="B1103" s="8">
        <f>DATE(2012,12,31)-1033</f>
        <v>40241</v>
      </c>
      <c r="C1103" s="9" t="s">
        <v>396</v>
      </c>
      <c r="D1103">
        <v>10021350563</v>
      </c>
      <c r="E1103" t="s">
        <v>47</v>
      </c>
      <c r="F1103" t="s">
        <v>48</v>
      </c>
      <c r="G1103" t="s">
        <v>49</v>
      </c>
      <c r="H1103" t="s">
        <v>50</v>
      </c>
      <c r="I1103" t="s">
        <v>51</v>
      </c>
      <c r="J1103" t="s">
        <v>668</v>
      </c>
      <c r="K1103" s="3">
        <v>100732163285</v>
      </c>
      <c r="L1103" s="10">
        <v>40243</v>
      </c>
      <c r="M1103">
        <v>485.16</v>
      </c>
      <c r="N1103" s="11">
        <v>15</v>
      </c>
      <c r="O1103" s="12">
        <v>34.58</v>
      </c>
      <c r="P1103" s="12">
        <v>8.99</v>
      </c>
      <c r="Q1103" s="13">
        <v>-9.31999999999999</v>
      </c>
      <c r="R1103" s="36" t="s">
        <v>260</v>
      </c>
      <c r="S1103" s="7">
        <f t="shared" si="90"/>
        <v>2</v>
      </c>
      <c r="T1103" s="15" t="str">
        <f>VLOOKUP(R1103,产品分类!$C$2:$D$1278,2,0)</f>
        <v>数码电子</v>
      </c>
    </row>
    <row r="1104" spans="1:20">
      <c r="A1104" s="8">
        <f>DATE(2012,12,31)-1155</f>
        <v>40119</v>
      </c>
      <c r="B1104" s="8">
        <f>DATE(2012,12,31)-1155</f>
        <v>40119</v>
      </c>
      <c r="C1104" s="9" t="s">
        <v>1389</v>
      </c>
      <c r="D1104">
        <v>10021339541</v>
      </c>
      <c r="E1104" t="s">
        <v>47</v>
      </c>
      <c r="F1104" t="s">
        <v>78</v>
      </c>
      <c r="G1104" t="s">
        <v>79</v>
      </c>
      <c r="H1104" t="s">
        <v>1264</v>
      </c>
      <c r="I1104" t="s">
        <v>79</v>
      </c>
      <c r="J1104" t="s">
        <v>668</v>
      </c>
      <c r="K1104" s="3">
        <v>100925128391</v>
      </c>
      <c r="L1104" s="10">
        <v>40123</v>
      </c>
      <c r="M1104">
        <v>457.68</v>
      </c>
      <c r="N1104" s="11">
        <v>16</v>
      </c>
      <c r="O1104" s="12">
        <v>29.17</v>
      </c>
      <c r="P1104" s="12">
        <v>6.27</v>
      </c>
      <c r="Q1104" s="13">
        <v>107.3805</v>
      </c>
      <c r="R1104" s="36" t="s">
        <v>1115</v>
      </c>
      <c r="S1104" s="7">
        <f t="shared" si="90"/>
        <v>4</v>
      </c>
      <c r="T1104" s="15" t="str">
        <f>VLOOKUP(R1104,产品分类!$C$2:$D$1278,2,0)</f>
        <v>家具产品</v>
      </c>
    </row>
    <row r="1105" spans="1:20">
      <c r="A1105" s="8">
        <f>DATE(2012,12,31)-232</f>
        <v>41042</v>
      </c>
      <c r="B1105" s="8">
        <f>DATE(2012,12,31)-232</f>
        <v>41042</v>
      </c>
      <c r="C1105" s="9" t="s">
        <v>1390</v>
      </c>
      <c r="D1105">
        <v>10021265334</v>
      </c>
      <c r="E1105" t="s">
        <v>47</v>
      </c>
      <c r="F1105" t="s">
        <v>72</v>
      </c>
      <c r="G1105" t="s">
        <v>73</v>
      </c>
      <c r="H1105" t="s">
        <v>1277</v>
      </c>
      <c r="I1105" t="s">
        <v>1278</v>
      </c>
      <c r="J1105" t="s">
        <v>668</v>
      </c>
      <c r="K1105" s="3">
        <v>100131411136</v>
      </c>
      <c r="L1105" s="10">
        <v>41044</v>
      </c>
      <c r="M1105">
        <v>66.33</v>
      </c>
      <c r="N1105" s="11">
        <v>15</v>
      </c>
      <c r="O1105" s="12">
        <v>4.13</v>
      </c>
      <c r="P1105" s="12">
        <v>5.04</v>
      </c>
      <c r="Q1105" s="13">
        <v>-47.2305</v>
      </c>
      <c r="R1105" s="36" t="s">
        <v>554</v>
      </c>
      <c r="S1105" s="7">
        <f t="shared" si="90"/>
        <v>2</v>
      </c>
      <c r="T1105" s="15" t="str">
        <f>VLOOKUP(R1105,产品分类!$C$2:$D$1278,2,0)</f>
        <v>办公用品</v>
      </c>
    </row>
    <row r="1106" spans="1:20">
      <c r="A1106" s="8">
        <f>DATE(2012,12,31)-973</f>
        <v>40301</v>
      </c>
      <c r="B1106" s="8">
        <f>DATE(2012,12,31)-973</f>
        <v>40301</v>
      </c>
      <c r="C1106" s="9" t="s">
        <v>334</v>
      </c>
      <c r="D1106">
        <v>10021395456</v>
      </c>
      <c r="E1106" t="s">
        <v>47</v>
      </c>
      <c r="F1106" t="s">
        <v>72</v>
      </c>
      <c r="G1106" t="s">
        <v>73</v>
      </c>
      <c r="H1106" t="s">
        <v>1277</v>
      </c>
      <c r="I1106" t="s">
        <v>1278</v>
      </c>
      <c r="J1106" t="s">
        <v>668</v>
      </c>
      <c r="K1106" s="3">
        <v>100411182403</v>
      </c>
      <c r="L1106" s="10">
        <v>40301</v>
      </c>
      <c r="M1106">
        <v>717.29</v>
      </c>
      <c r="N1106" s="11">
        <v>24</v>
      </c>
      <c r="O1106" s="12">
        <v>29.89</v>
      </c>
      <c r="P1106" s="12">
        <v>1.99</v>
      </c>
      <c r="Q1106" s="13">
        <v>191.29</v>
      </c>
      <c r="R1106" s="36" t="s">
        <v>866</v>
      </c>
      <c r="S1106" s="7">
        <f t="shared" si="90"/>
        <v>0</v>
      </c>
      <c r="T1106" s="15" t="str">
        <f>VLOOKUP(R1106,产品分类!$C$2:$D$1278,2,0)</f>
        <v>办公用品</v>
      </c>
    </row>
    <row r="1107" spans="1:20">
      <c r="A1107" s="8">
        <f>DATE(2012,12,31)-1327</f>
        <v>39947</v>
      </c>
      <c r="B1107" s="8">
        <f>DATE(2012,12,31)-1327</f>
        <v>39947</v>
      </c>
      <c r="C1107" s="9" t="s">
        <v>1391</v>
      </c>
      <c r="D1107">
        <v>10021248657</v>
      </c>
      <c r="E1107" t="s">
        <v>47</v>
      </c>
      <c r="F1107" t="s">
        <v>72</v>
      </c>
      <c r="G1107" t="s">
        <v>73</v>
      </c>
      <c r="H1107" t="s">
        <v>1277</v>
      </c>
      <c r="I1107" t="s">
        <v>1278</v>
      </c>
      <c r="J1107" t="s">
        <v>668</v>
      </c>
      <c r="K1107" s="3">
        <v>10013546688</v>
      </c>
      <c r="L1107" s="10">
        <v>39947</v>
      </c>
      <c r="M1107">
        <v>229.35</v>
      </c>
      <c r="N1107" s="11">
        <v>46</v>
      </c>
      <c r="O1107" s="12">
        <v>4.89</v>
      </c>
      <c r="P1107" s="12">
        <v>4.93</v>
      </c>
      <c r="Q1107" s="13">
        <v>-165.45</v>
      </c>
      <c r="R1107" s="36" t="s">
        <v>512</v>
      </c>
      <c r="S1107" s="7">
        <f t="shared" si="90"/>
        <v>0</v>
      </c>
      <c r="T1107" s="15" t="str">
        <f>VLOOKUP(R1107,产品分类!$C$2:$D$1278,2,0)</f>
        <v>办公用品</v>
      </c>
    </row>
    <row r="1108" spans="1:20">
      <c r="A1108" s="8">
        <f>DATE(2012,12,31)-1327</f>
        <v>39947</v>
      </c>
      <c r="B1108" s="8">
        <f>DATE(2012,12,31)-1327</f>
        <v>39947</v>
      </c>
      <c r="C1108" s="9" t="s">
        <v>1391</v>
      </c>
      <c r="D1108">
        <v>10021257980</v>
      </c>
      <c r="E1108" t="s">
        <v>47</v>
      </c>
      <c r="F1108" t="s">
        <v>78</v>
      </c>
      <c r="G1108" t="s">
        <v>79</v>
      </c>
      <c r="H1108" t="s">
        <v>1264</v>
      </c>
      <c r="I1108" t="s">
        <v>79</v>
      </c>
      <c r="J1108" t="s">
        <v>668</v>
      </c>
      <c r="K1108" s="3">
        <v>100926932071</v>
      </c>
      <c r="L1108" s="10">
        <v>39954</v>
      </c>
      <c r="M1108">
        <v>294.86</v>
      </c>
      <c r="N1108" s="11">
        <v>45</v>
      </c>
      <c r="O1108" s="12">
        <v>6.68</v>
      </c>
      <c r="P1108" s="12">
        <v>6.92</v>
      </c>
      <c r="Q1108" s="13">
        <v>-141.12</v>
      </c>
      <c r="R1108" s="36" t="s">
        <v>922</v>
      </c>
      <c r="S1108" s="7">
        <f t="shared" si="90"/>
        <v>7</v>
      </c>
      <c r="T1108" s="15" t="str">
        <f>VLOOKUP(R1108,产品分类!$C$2:$D$1278,2,0)</f>
        <v>家具产品</v>
      </c>
    </row>
    <row r="1109" spans="1:20">
      <c r="A1109" s="16">
        <f>DATE(2012,12,31)-674</f>
        <v>40600</v>
      </c>
      <c r="B1109" s="16">
        <f>DATE(2012,12,31)-674</f>
        <v>40600</v>
      </c>
      <c r="C1109" s="9" t="s">
        <v>1049</v>
      </c>
      <c r="D1109">
        <v>10021432012</v>
      </c>
      <c r="E1109" t="s">
        <v>47</v>
      </c>
      <c r="F1109" t="s">
        <v>122</v>
      </c>
      <c r="G1109" t="s">
        <v>123</v>
      </c>
      <c r="H1109" t="s">
        <v>124</v>
      </c>
      <c r="I1109" t="s">
        <v>125</v>
      </c>
      <c r="J1109" t="s">
        <v>668</v>
      </c>
      <c r="K1109" s="3">
        <v>100432276343</v>
      </c>
      <c r="L1109" s="10">
        <v>40601</v>
      </c>
      <c r="M1109">
        <v>405.53</v>
      </c>
      <c r="N1109" s="17">
        <v>11</v>
      </c>
      <c r="O1109" s="5">
        <v>35.44</v>
      </c>
      <c r="P1109" s="5">
        <v>5.09</v>
      </c>
      <c r="Q1109" s="6">
        <v>130.52</v>
      </c>
      <c r="R1109" s="37" t="s">
        <v>1365</v>
      </c>
      <c r="S1109" s="7">
        <f t="shared" si="90"/>
        <v>1</v>
      </c>
      <c r="T1109" s="15" t="str">
        <f>VLOOKUP(R1109,产品分类!$C$2:$D$1278,2,0)</f>
        <v>办公用品</v>
      </c>
    </row>
    <row r="1110" spans="1:20">
      <c r="A1110" s="8">
        <f>DATE(2012,12,31)-554</f>
        <v>40720</v>
      </c>
      <c r="B1110" s="8">
        <f>DATE(2012,12,31)-554</f>
        <v>40720</v>
      </c>
      <c r="C1110" s="9" t="s">
        <v>525</v>
      </c>
      <c r="D1110">
        <v>10021336174</v>
      </c>
      <c r="E1110" t="s">
        <v>47</v>
      </c>
      <c r="F1110" t="s">
        <v>91</v>
      </c>
      <c r="G1110" t="s">
        <v>92</v>
      </c>
      <c r="H1110" t="s">
        <v>774</v>
      </c>
      <c r="I1110" t="s">
        <v>775</v>
      </c>
      <c r="J1110" t="s">
        <v>668</v>
      </c>
      <c r="K1110" s="3">
        <v>100915685781</v>
      </c>
      <c r="L1110" s="10">
        <v>40721</v>
      </c>
      <c r="M1110">
        <v>772.412</v>
      </c>
      <c r="N1110" s="11">
        <v>16</v>
      </c>
      <c r="O1110" s="12">
        <v>55.99</v>
      </c>
      <c r="P1110" s="12">
        <v>5</v>
      </c>
      <c r="Q1110" s="13">
        <v>-184.69</v>
      </c>
      <c r="R1110" s="36" t="s">
        <v>1020</v>
      </c>
      <c r="S1110" s="7">
        <f t="shared" si="90"/>
        <v>1</v>
      </c>
      <c r="T1110" s="15" t="str">
        <f>VLOOKUP(R1110,产品分类!$C$2:$D$1278,2,0)</f>
        <v>办公用品</v>
      </c>
    </row>
    <row r="1111" spans="1:20">
      <c r="A1111" s="8">
        <f>DATE(2012,12,31)-1307</f>
        <v>39967</v>
      </c>
      <c r="B1111" s="8">
        <f>DATE(2012,12,31)-1307</f>
        <v>39967</v>
      </c>
      <c r="C1111" s="9" t="s">
        <v>1054</v>
      </c>
      <c r="D1111">
        <v>10021415312</v>
      </c>
      <c r="E1111" t="s">
        <v>47</v>
      </c>
      <c r="F1111" t="s">
        <v>122</v>
      </c>
      <c r="G1111" t="s">
        <v>123</v>
      </c>
      <c r="H1111" t="s">
        <v>124</v>
      </c>
      <c r="I1111" t="s">
        <v>125</v>
      </c>
      <c r="J1111" t="s">
        <v>668</v>
      </c>
      <c r="K1111" s="3">
        <v>100810916292</v>
      </c>
      <c r="L1111" s="10">
        <v>39969</v>
      </c>
      <c r="M1111">
        <v>112.72</v>
      </c>
      <c r="N1111" s="11">
        <v>45</v>
      </c>
      <c r="O1111" s="12">
        <v>2.61</v>
      </c>
      <c r="P1111" s="12">
        <v>0.5</v>
      </c>
      <c r="Q1111" s="13">
        <v>39.19</v>
      </c>
      <c r="R1111" s="36" t="s">
        <v>630</v>
      </c>
      <c r="S1111" s="7">
        <f t="shared" si="90"/>
        <v>2</v>
      </c>
      <c r="T1111" s="15" t="str">
        <f>VLOOKUP(R1111,产品分类!$C$2:$D$1278,2,0)</f>
        <v>数码电子</v>
      </c>
    </row>
    <row r="1112" spans="1:20">
      <c r="A1112" s="8">
        <f t="shared" ref="A1112:B1114" si="92">DATE(2012,12,31)-1181</f>
        <v>40093</v>
      </c>
      <c r="B1112" s="8">
        <f t="shared" si="92"/>
        <v>40093</v>
      </c>
      <c r="C1112" s="9" t="s">
        <v>1196</v>
      </c>
      <c r="D1112">
        <v>10021251380</v>
      </c>
      <c r="E1112" t="s">
        <v>47</v>
      </c>
      <c r="F1112" t="s">
        <v>91</v>
      </c>
      <c r="G1112" t="s">
        <v>92</v>
      </c>
      <c r="H1112" t="s">
        <v>774</v>
      </c>
      <c r="I1112" t="s">
        <v>775</v>
      </c>
      <c r="J1112" t="s">
        <v>668</v>
      </c>
      <c r="K1112" s="3">
        <v>10047477113</v>
      </c>
      <c r="L1112" s="10">
        <v>40094</v>
      </c>
      <c r="M1112">
        <v>670.39</v>
      </c>
      <c r="N1112" s="11">
        <v>25</v>
      </c>
      <c r="O1112" s="12">
        <v>27.48</v>
      </c>
      <c r="P1112" s="12">
        <v>4</v>
      </c>
      <c r="Q1112" s="13">
        <v>-82.26</v>
      </c>
      <c r="R1112" s="36" t="s">
        <v>1392</v>
      </c>
      <c r="S1112" s="7">
        <f t="shared" si="90"/>
        <v>1</v>
      </c>
      <c r="T1112" s="15" t="str">
        <f>VLOOKUP(R1112,产品分类!$C$2:$D$1278,2,0)</f>
        <v>办公用品</v>
      </c>
    </row>
    <row r="1113" spans="1:20">
      <c r="A1113" s="8">
        <f t="shared" si="92"/>
        <v>40093</v>
      </c>
      <c r="B1113" s="8">
        <f t="shared" si="92"/>
        <v>40093</v>
      </c>
      <c r="C1113" s="9" t="s">
        <v>1196</v>
      </c>
      <c r="D1113">
        <v>10021394952</v>
      </c>
      <c r="E1113" t="s">
        <v>47</v>
      </c>
      <c r="F1113" t="s">
        <v>91</v>
      </c>
      <c r="G1113" t="s">
        <v>92</v>
      </c>
      <c r="H1113" t="s">
        <v>774</v>
      </c>
      <c r="I1113" t="s">
        <v>775</v>
      </c>
      <c r="J1113" t="s">
        <v>668</v>
      </c>
      <c r="K1113" s="3">
        <v>10013767908</v>
      </c>
      <c r="L1113" s="10">
        <v>40094</v>
      </c>
      <c r="M1113">
        <v>5618.4</v>
      </c>
      <c r="N1113" s="11">
        <v>32</v>
      </c>
      <c r="O1113" s="12">
        <v>179.99</v>
      </c>
      <c r="P1113" s="12">
        <v>19.99</v>
      </c>
      <c r="Q1113" s="13">
        <v>1314.12</v>
      </c>
      <c r="R1113" s="36" t="s">
        <v>804</v>
      </c>
      <c r="S1113" s="7">
        <f t="shared" si="90"/>
        <v>1</v>
      </c>
      <c r="T1113" s="15" t="str">
        <f>VLOOKUP(R1113,产品分类!$C$2:$D$1278,2,0)</f>
        <v>家具产品</v>
      </c>
    </row>
    <row r="1114" spans="1:20">
      <c r="A1114" s="8">
        <f t="shared" si="92"/>
        <v>40093</v>
      </c>
      <c r="B1114" s="8">
        <f t="shared" si="92"/>
        <v>40093</v>
      </c>
      <c r="C1114" s="9" t="s">
        <v>1196</v>
      </c>
      <c r="D1114">
        <v>10021300608</v>
      </c>
      <c r="E1114" t="s">
        <v>47</v>
      </c>
      <c r="F1114" t="s">
        <v>122</v>
      </c>
      <c r="G1114" t="s">
        <v>123</v>
      </c>
      <c r="H1114" t="s">
        <v>124</v>
      </c>
      <c r="I1114" t="s">
        <v>125</v>
      </c>
      <c r="J1114" t="s">
        <v>668</v>
      </c>
      <c r="K1114" s="3">
        <v>100129639407</v>
      </c>
      <c r="L1114" s="10">
        <v>40095</v>
      </c>
      <c r="M1114">
        <v>5450.6</v>
      </c>
      <c r="N1114" s="11">
        <v>42</v>
      </c>
      <c r="O1114" s="12">
        <v>140.85</v>
      </c>
      <c r="P1114" s="12">
        <v>19.99</v>
      </c>
      <c r="Q1114" s="13">
        <v>10.86</v>
      </c>
      <c r="R1114" s="36" t="s">
        <v>672</v>
      </c>
      <c r="S1114" s="7">
        <f t="shared" si="90"/>
        <v>2</v>
      </c>
      <c r="T1114" s="15" t="str">
        <f>VLOOKUP(R1114,产品分类!$C$2:$D$1278,2,0)</f>
        <v>办公用品</v>
      </c>
    </row>
    <row r="1115" spans="1:20">
      <c r="A1115" s="8">
        <f>DATE(2012,12,31)-1173</f>
        <v>40101</v>
      </c>
      <c r="B1115" s="8">
        <f>DATE(2012,12,31)-1173</f>
        <v>40101</v>
      </c>
      <c r="C1115" s="9" t="s">
        <v>236</v>
      </c>
      <c r="D1115">
        <v>10021259998</v>
      </c>
      <c r="E1115" t="s">
        <v>47</v>
      </c>
      <c r="F1115" t="s">
        <v>132</v>
      </c>
      <c r="G1115" t="s">
        <v>133</v>
      </c>
      <c r="H1115" t="s">
        <v>134</v>
      </c>
      <c r="I1115" t="s">
        <v>133</v>
      </c>
      <c r="J1115" t="s">
        <v>668</v>
      </c>
      <c r="K1115" s="3">
        <v>100128277798</v>
      </c>
      <c r="L1115" s="10">
        <v>40110</v>
      </c>
      <c r="M1115">
        <v>183.45</v>
      </c>
      <c r="N1115" s="11">
        <v>35</v>
      </c>
      <c r="O1115" s="12">
        <v>4.98</v>
      </c>
      <c r="P1115" s="12">
        <v>7.44</v>
      </c>
      <c r="Q1115" s="13">
        <v>-149.66</v>
      </c>
      <c r="R1115" s="36" t="s">
        <v>287</v>
      </c>
      <c r="S1115" s="7">
        <f t="shared" si="90"/>
        <v>9</v>
      </c>
      <c r="T1115" s="15" t="str">
        <f>VLOOKUP(R1115,产品分类!$C$2:$D$1278,2,0)</f>
        <v>办公用品</v>
      </c>
    </row>
    <row r="1116" spans="1:20">
      <c r="A1116" s="8">
        <f>DATE(2012,12,31)-149</f>
        <v>41125</v>
      </c>
      <c r="B1116" s="8">
        <f>DATE(2012,12,31)-149</f>
        <v>41125</v>
      </c>
      <c r="C1116" s="9" t="s">
        <v>1336</v>
      </c>
      <c r="D1116">
        <v>10021287463</v>
      </c>
      <c r="E1116" t="s">
        <v>47</v>
      </c>
      <c r="F1116" t="s">
        <v>132</v>
      </c>
      <c r="G1116" t="s">
        <v>133</v>
      </c>
      <c r="H1116" t="s">
        <v>134</v>
      </c>
      <c r="I1116" t="s">
        <v>133</v>
      </c>
      <c r="J1116" t="s">
        <v>668</v>
      </c>
      <c r="K1116" s="3">
        <v>100331796149</v>
      </c>
      <c r="L1116" s="10">
        <v>41127</v>
      </c>
      <c r="M1116">
        <v>30.95</v>
      </c>
      <c r="N1116" s="11">
        <v>4</v>
      </c>
      <c r="O1116" s="12">
        <v>6.48</v>
      </c>
      <c r="P1116" s="12">
        <v>6.22</v>
      </c>
      <c r="Q1116" s="13">
        <v>-16.48</v>
      </c>
      <c r="R1116" s="36" t="s">
        <v>1393</v>
      </c>
      <c r="S1116" s="7">
        <f t="shared" si="90"/>
        <v>2</v>
      </c>
      <c r="T1116" s="15" t="str">
        <f>VLOOKUP(R1116,产品分类!$C$2:$D$1278,2,0)</f>
        <v>家具产品</v>
      </c>
    </row>
    <row r="1117" spans="1:20">
      <c r="A1117" s="8">
        <f>DATE(2012,12,31)-149</f>
        <v>41125</v>
      </c>
      <c r="B1117" s="8">
        <f>DATE(2012,12,31)-149</f>
        <v>41125</v>
      </c>
      <c r="C1117" s="9" t="s">
        <v>1336</v>
      </c>
      <c r="D1117">
        <v>10021264383</v>
      </c>
      <c r="E1117" t="s">
        <v>47</v>
      </c>
      <c r="F1117" t="s">
        <v>102</v>
      </c>
      <c r="G1117" t="s">
        <v>103</v>
      </c>
      <c r="H1117" t="s">
        <v>1217</v>
      </c>
      <c r="I1117" t="s">
        <v>1218</v>
      </c>
      <c r="J1117" t="s">
        <v>668</v>
      </c>
      <c r="K1117" s="3">
        <v>100931014471</v>
      </c>
      <c r="L1117" s="10">
        <v>41127</v>
      </c>
      <c r="M1117">
        <v>1449.301</v>
      </c>
      <c r="N1117" s="11">
        <v>48</v>
      </c>
      <c r="O1117" s="12">
        <v>35.99</v>
      </c>
      <c r="P1117" s="12">
        <v>1.25</v>
      </c>
      <c r="Q1117" s="13">
        <v>432.378</v>
      </c>
      <c r="R1117" s="36" t="s">
        <v>718</v>
      </c>
      <c r="S1117" s="7">
        <f t="shared" si="90"/>
        <v>2</v>
      </c>
      <c r="T1117" s="15" t="str">
        <f>VLOOKUP(R1117,产品分类!$C$2:$D$1278,2,0)</f>
        <v>数码电子</v>
      </c>
    </row>
    <row r="1118" spans="1:20">
      <c r="A1118" s="8">
        <f t="shared" ref="A1118:B1120" si="93">DATE(2012,12,31)-725</f>
        <v>40549</v>
      </c>
      <c r="B1118" s="8">
        <f t="shared" si="93"/>
        <v>40549</v>
      </c>
      <c r="C1118" s="9" t="s">
        <v>1228</v>
      </c>
      <c r="D1118">
        <v>10021348687</v>
      </c>
      <c r="E1118" t="s">
        <v>47</v>
      </c>
      <c r="F1118" t="s">
        <v>102</v>
      </c>
      <c r="G1118" t="s">
        <v>103</v>
      </c>
      <c r="H1118" t="s">
        <v>1217</v>
      </c>
      <c r="I1118" t="s">
        <v>1218</v>
      </c>
      <c r="J1118" t="s">
        <v>668</v>
      </c>
      <c r="K1118" s="3">
        <v>100731604835</v>
      </c>
      <c r="L1118" s="10">
        <v>40550</v>
      </c>
      <c r="M1118">
        <v>51.3</v>
      </c>
      <c r="N1118" s="11">
        <v>5</v>
      </c>
      <c r="O1118" s="12">
        <v>7.28</v>
      </c>
      <c r="P1118" s="12">
        <v>11.15</v>
      </c>
      <c r="Q1118" s="13">
        <v>-32.48</v>
      </c>
      <c r="R1118" s="36" t="s">
        <v>1394</v>
      </c>
      <c r="S1118" s="7">
        <f t="shared" si="90"/>
        <v>1</v>
      </c>
      <c r="T1118" s="15" t="str">
        <f>VLOOKUP(R1118,产品分类!$C$2:$D$1278,2,0)</f>
        <v>办公用品</v>
      </c>
    </row>
    <row r="1119" spans="1:20">
      <c r="A1119" s="8">
        <f t="shared" si="93"/>
        <v>40549</v>
      </c>
      <c r="B1119" s="8">
        <f t="shared" si="93"/>
        <v>40549</v>
      </c>
      <c r="C1119" s="9" t="s">
        <v>1228</v>
      </c>
      <c r="D1119">
        <v>10021252353</v>
      </c>
      <c r="E1119" t="s">
        <v>47</v>
      </c>
      <c r="F1119" t="s">
        <v>137</v>
      </c>
      <c r="G1119" t="s">
        <v>138</v>
      </c>
      <c r="H1119" t="s">
        <v>139</v>
      </c>
      <c r="I1119" t="s">
        <v>140</v>
      </c>
      <c r="J1119" t="s">
        <v>668</v>
      </c>
      <c r="K1119" s="3">
        <v>10078688145</v>
      </c>
      <c r="L1119" s="10">
        <v>40551</v>
      </c>
      <c r="M1119">
        <v>8.48</v>
      </c>
      <c r="N1119" s="11">
        <v>1</v>
      </c>
      <c r="O1119" s="12">
        <v>5.08</v>
      </c>
      <c r="P1119" s="12">
        <v>3.63</v>
      </c>
      <c r="Q1119" s="13">
        <v>-7.9</v>
      </c>
      <c r="R1119" s="36" t="s">
        <v>1395</v>
      </c>
      <c r="S1119" s="7">
        <f t="shared" si="90"/>
        <v>2</v>
      </c>
      <c r="T1119" s="15" t="str">
        <f>VLOOKUP(R1119,产品分类!$C$2:$D$1278,2,0)</f>
        <v>办公用品</v>
      </c>
    </row>
    <row r="1120" spans="1:20">
      <c r="A1120" s="8">
        <f t="shared" si="93"/>
        <v>40549</v>
      </c>
      <c r="B1120" s="8">
        <f t="shared" si="93"/>
        <v>40549</v>
      </c>
      <c r="C1120" s="9" t="s">
        <v>1228</v>
      </c>
      <c r="D1120">
        <v>10021351529</v>
      </c>
      <c r="E1120" t="s">
        <v>47</v>
      </c>
      <c r="F1120" t="s">
        <v>171</v>
      </c>
      <c r="G1120" t="s">
        <v>172</v>
      </c>
      <c r="H1120" t="s">
        <v>933</v>
      </c>
      <c r="I1120" t="s">
        <v>934</v>
      </c>
      <c r="J1120" t="s">
        <v>668</v>
      </c>
      <c r="K1120" s="3">
        <v>100832488302</v>
      </c>
      <c r="L1120" s="10">
        <v>40550</v>
      </c>
      <c r="M1120">
        <v>87.52</v>
      </c>
      <c r="N1120" s="11">
        <v>26</v>
      </c>
      <c r="O1120" s="12">
        <v>3.28</v>
      </c>
      <c r="P1120" s="12">
        <v>3.97</v>
      </c>
      <c r="Q1120" s="13">
        <v>-70.02</v>
      </c>
      <c r="R1120" s="36" t="s">
        <v>1396</v>
      </c>
      <c r="S1120" s="7">
        <f t="shared" si="90"/>
        <v>1</v>
      </c>
      <c r="T1120" s="15" t="str">
        <f>VLOOKUP(R1120,产品分类!$C$2:$D$1278,2,0)</f>
        <v>家具产品</v>
      </c>
    </row>
    <row r="1121" spans="1:20">
      <c r="A1121" s="16">
        <f>DATE(2012,12,31)-328</f>
        <v>40946</v>
      </c>
      <c r="B1121" s="16">
        <f>DATE(2012,12,31)-328</f>
        <v>40946</v>
      </c>
      <c r="C1121" s="9" t="s">
        <v>1397</v>
      </c>
      <c r="D1121">
        <v>10021417231</v>
      </c>
      <c r="E1121" t="s">
        <v>47</v>
      </c>
      <c r="F1121" t="s">
        <v>61</v>
      </c>
      <c r="G1121" t="s">
        <v>62</v>
      </c>
      <c r="H1121" t="s">
        <v>1369</v>
      </c>
      <c r="I1121" t="s">
        <v>1370</v>
      </c>
      <c r="J1121" t="s">
        <v>668</v>
      </c>
      <c r="K1121" s="3">
        <v>100916363831</v>
      </c>
      <c r="L1121" s="10">
        <v>40948</v>
      </c>
      <c r="M1121">
        <v>89.77</v>
      </c>
      <c r="N1121" s="17">
        <v>41</v>
      </c>
      <c r="O1121" s="5">
        <v>2.21</v>
      </c>
      <c r="P1121" s="5">
        <v>1</v>
      </c>
      <c r="Q1121" s="6">
        <v>9.92</v>
      </c>
      <c r="R1121" s="37" t="s">
        <v>226</v>
      </c>
      <c r="S1121" s="7">
        <f t="shared" si="90"/>
        <v>2</v>
      </c>
      <c r="T1121" s="15" t="str">
        <f>VLOOKUP(R1121,产品分类!$C$2:$D$1278,2,0)</f>
        <v>家具产品</v>
      </c>
    </row>
    <row r="1122" spans="1:20">
      <c r="A1122" s="8">
        <f>DATE(2012,12,31)-1086</f>
        <v>40188</v>
      </c>
      <c r="B1122" s="8">
        <f>DATE(2012,12,31)-1086</f>
        <v>40188</v>
      </c>
      <c r="C1122" s="9" t="s">
        <v>835</v>
      </c>
      <c r="D1122">
        <v>10021431678</v>
      </c>
      <c r="E1122" t="s">
        <v>47</v>
      </c>
      <c r="F1122" t="s">
        <v>61</v>
      </c>
      <c r="G1122" t="s">
        <v>62</v>
      </c>
      <c r="H1122" t="s">
        <v>1369</v>
      </c>
      <c r="I1122" t="s">
        <v>1370</v>
      </c>
      <c r="J1122" t="s">
        <v>668</v>
      </c>
      <c r="K1122" s="3">
        <v>100132251827</v>
      </c>
      <c r="L1122" s="10">
        <v>40189</v>
      </c>
      <c r="M1122">
        <v>162.25</v>
      </c>
      <c r="N1122" s="11">
        <v>32</v>
      </c>
      <c r="O1122" s="12">
        <v>4.77</v>
      </c>
      <c r="P1122" s="12">
        <v>2.39</v>
      </c>
      <c r="Q1122" s="13">
        <v>-43.21</v>
      </c>
      <c r="R1122" s="36" t="s">
        <v>1398</v>
      </c>
      <c r="S1122" s="7">
        <f t="shared" si="90"/>
        <v>1</v>
      </c>
      <c r="T1122" s="15" t="str">
        <f>VLOOKUP(R1122,产品分类!$C$2:$D$1278,2,0)</f>
        <v>办公用品</v>
      </c>
    </row>
    <row r="1123" spans="1:20">
      <c r="A1123" s="8">
        <f>DATE(2012,12,31)-1120</f>
        <v>40154</v>
      </c>
      <c r="B1123" s="8">
        <f>DATE(2012,12,31)-1120</f>
        <v>40154</v>
      </c>
      <c r="C1123" s="9" t="s">
        <v>1399</v>
      </c>
      <c r="D1123">
        <v>10021369841</v>
      </c>
      <c r="E1123" t="s">
        <v>47</v>
      </c>
      <c r="F1123" t="s">
        <v>61</v>
      </c>
      <c r="G1123" t="s">
        <v>62</v>
      </c>
      <c r="H1123" t="s">
        <v>1369</v>
      </c>
      <c r="I1123" t="s">
        <v>1370</v>
      </c>
      <c r="J1123" t="s">
        <v>668</v>
      </c>
      <c r="K1123" s="3">
        <v>100930543961</v>
      </c>
      <c r="L1123" s="10">
        <v>40156</v>
      </c>
      <c r="M1123">
        <v>3565.27</v>
      </c>
      <c r="N1123" s="11">
        <v>7</v>
      </c>
      <c r="O1123" s="12">
        <v>510.14</v>
      </c>
      <c r="P1123" s="12">
        <v>14.7</v>
      </c>
      <c r="Q1123" s="13">
        <v>-502.8078</v>
      </c>
      <c r="R1123" s="36" t="s">
        <v>1400</v>
      </c>
      <c r="S1123" s="7">
        <f t="shared" si="90"/>
        <v>2</v>
      </c>
      <c r="T1123" s="15" t="str">
        <f>VLOOKUP(R1123,产品分类!$C$2:$D$1278,2,0)</f>
        <v>办公用品</v>
      </c>
    </row>
    <row r="1124" spans="1:20">
      <c r="A1124" s="8">
        <f>DATE(2012,12,31)-1120</f>
        <v>40154</v>
      </c>
      <c r="B1124" s="8">
        <f>DATE(2012,12,31)-1120</f>
        <v>40154</v>
      </c>
      <c r="C1124" s="9" t="s">
        <v>1399</v>
      </c>
      <c r="D1124">
        <v>10021368443</v>
      </c>
      <c r="E1124" t="s">
        <v>47</v>
      </c>
      <c r="F1124" t="s">
        <v>83</v>
      </c>
      <c r="G1124" t="s">
        <v>84</v>
      </c>
      <c r="H1124" t="s">
        <v>1259</v>
      </c>
      <c r="I1124" t="s">
        <v>1260</v>
      </c>
      <c r="J1124" t="s">
        <v>668</v>
      </c>
      <c r="K1124" s="3">
        <v>10014838188</v>
      </c>
      <c r="L1124" s="10">
        <v>40156</v>
      </c>
      <c r="M1124">
        <v>241.01</v>
      </c>
      <c r="N1124" s="11">
        <v>50</v>
      </c>
      <c r="O1124" s="12">
        <v>4.76</v>
      </c>
      <c r="P1124" s="12">
        <v>3.01</v>
      </c>
      <c r="Q1124" s="13">
        <v>-4.69</v>
      </c>
      <c r="R1124" s="36" t="s">
        <v>1401</v>
      </c>
      <c r="S1124" s="7">
        <f t="shared" si="90"/>
        <v>2</v>
      </c>
      <c r="T1124" s="15" t="str">
        <f>VLOOKUP(R1124,产品分类!$C$2:$D$1278,2,0)</f>
        <v>办公用品</v>
      </c>
    </row>
    <row r="1125" spans="1:20">
      <c r="A1125" s="8">
        <f>DATE(2012,12,31)-74</f>
        <v>41200</v>
      </c>
      <c r="B1125" s="8">
        <f>DATE(2012,12,31)-74</f>
        <v>41200</v>
      </c>
      <c r="C1125" s="9" t="s">
        <v>119</v>
      </c>
      <c r="D1125">
        <v>10021285465</v>
      </c>
      <c r="E1125" t="s">
        <v>47</v>
      </c>
      <c r="F1125" t="s">
        <v>61</v>
      </c>
      <c r="G1125" t="s">
        <v>62</v>
      </c>
      <c r="H1125" t="s">
        <v>1369</v>
      </c>
      <c r="I1125" t="s">
        <v>1370</v>
      </c>
      <c r="J1125" t="s">
        <v>668</v>
      </c>
      <c r="K1125" s="3">
        <v>10036963439</v>
      </c>
      <c r="L1125" s="10">
        <v>41202</v>
      </c>
      <c r="M1125">
        <v>79.44</v>
      </c>
      <c r="N1125" s="11">
        <v>27</v>
      </c>
      <c r="O1125" s="12">
        <v>2.88</v>
      </c>
      <c r="P1125" s="12">
        <v>0.5</v>
      </c>
      <c r="Q1125" s="13">
        <v>29.85</v>
      </c>
      <c r="R1125" s="36" t="s">
        <v>1194</v>
      </c>
      <c r="S1125" s="7">
        <f t="shared" si="90"/>
        <v>2</v>
      </c>
      <c r="T1125" s="15" t="str">
        <f>VLOOKUP(R1125,产品分类!$C$2:$D$1278,2,0)</f>
        <v>办公用品</v>
      </c>
    </row>
    <row r="1126" spans="1:20">
      <c r="A1126" s="8">
        <f>DATE(2012,12,31)-74</f>
        <v>41200</v>
      </c>
      <c r="B1126" s="8">
        <f>DATE(2012,12,31)-74</f>
        <v>41200</v>
      </c>
      <c r="C1126" s="9" t="s">
        <v>119</v>
      </c>
      <c r="D1126">
        <v>10021302958</v>
      </c>
      <c r="E1126" t="s">
        <v>47</v>
      </c>
      <c r="F1126" t="s">
        <v>253</v>
      </c>
      <c r="G1126" t="s">
        <v>254</v>
      </c>
      <c r="H1126" t="s">
        <v>255</v>
      </c>
      <c r="I1126" t="s">
        <v>256</v>
      </c>
      <c r="J1126" t="s">
        <v>668</v>
      </c>
      <c r="K1126" s="3">
        <v>100131490508</v>
      </c>
      <c r="L1126" s="10">
        <v>41201</v>
      </c>
      <c r="M1126">
        <v>110.03</v>
      </c>
      <c r="N1126" s="11">
        <v>5</v>
      </c>
      <c r="O1126" s="12">
        <v>19.98</v>
      </c>
      <c r="P1126" s="12">
        <v>10.49</v>
      </c>
      <c r="Q1126" s="13">
        <v>-31.33</v>
      </c>
      <c r="R1126" s="36" t="s">
        <v>932</v>
      </c>
      <c r="S1126" s="7">
        <f t="shared" si="90"/>
        <v>1</v>
      </c>
      <c r="T1126" s="15" t="str">
        <f>VLOOKUP(R1126,产品分类!$C$2:$D$1278,2,0)</f>
        <v>数码电子</v>
      </c>
    </row>
    <row r="1127" spans="1:20">
      <c r="A1127" s="8">
        <f t="shared" ref="A1127:B1129" si="94">DATE(2012,12,31)-1380</f>
        <v>39894</v>
      </c>
      <c r="B1127" s="8">
        <f t="shared" si="94"/>
        <v>39894</v>
      </c>
      <c r="C1127" s="9" t="s">
        <v>1153</v>
      </c>
      <c r="D1127">
        <v>10021264363</v>
      </c>
      <c r="E1127" t="s">
        <v>47</v>
      </c>
      <c r="F1127" t="s">
        <v>61</v>
      </c>
      <c r="G1127" t="s">
        <v>62</v>
      </c>
      <c r="H1127" t="s">
        <v>1369</v>
      </c>
      <c r="I1127" t="s">
        <v>1370</v>
      </c>
      <c r="J1127" t="s">
        <v>668</v>
      </c>
      <c r="K1127" s="3">
        <v>100930930411</v>
      </c>
      <c r="L1127" s="10">
        <v>39894</v>
      </c>
      <c r="M1127">
        <v>7486.09</v>
      </c>
      <c r="N1127" s="11">
        <v>5</v>
      </c>
      <c r="O1127" s="12">
        <v>1500.97</v>
      </c>
      <c r="P1127" s="12">
        <v>29.7</v>
      </c>
      <c r="Q1127" s="13">
        <v>-2561.3235</v>
      </c>
      <c r="R1127" s="36" t="s">
        <v>1402</v>
      </c>
      <c r="S1127" s="7">
        <f t="shared" si="90"/>
        <v>0</v>
      </c>
      <c r="T1127" s="15" t="str">
        <f>VLOOKUP(R1127,产品分类!$C$2:$D$1278,2,0)</f>
        <v>家具产品</v>
      </c>
    </row>
    <row r="1128" spans="1:20">
      <c r="A1128" s="8">
        <f t="shared" si="94"/>
        <v>39894</v>
      </c>
      <c r="B1128" s="8">
        <f t="shared" si="94"/>
        <v>39894</v>
      </c>
      <c r="C1128" s="9" t="s">
        <v>1153</v>
      </c>
      <c r="D1128">
        <v>10021250937</v>
      </c>
      <c r="E1128" t="s">
        <v>47</v>
      </c>
      <c r="F1128" t="s">
        <v>61</v>
      </c>
      <c r="G1128" t="s">
        <v>62</v>
      </c>
      <c r="H1128" t="s">
        <v>1369</v>
      </c>
      <c r="I1128" t="s">
        <v>1370</v>
      </c>
      <c r="J1128" t="s">
        <v>668</v>
      </c>
      <c r="K1128" s="3">
        <v>100316308039</v>
      </c>
      <c r="L1128" s="10">
        <v>39898</v>
      </c>
      <c r="M1128">
        <v>881.32</v>
      </c>
      <c r="N1128" s="11">
        <v>18</v>
      </c>
      <c r="O1128" s="12">
        <v>48.04</v>
      </c>
      <c r="P1128" s="12">
        <v>5.09</v>
      </c>
      <c r="Q1128" s="13">
        <v>373.67</v>
      </c>
      <c r="R1128" s="36" t="s">
        <v>1333</v>
      </c>
      <c r="S1128" s="7">
        <f t="shared" si="90"/>
        <v>4</v>
      </c>
      <c r="T1128" s="15" t="str">
        <f>VLOOKUP(R1128,产品分类!$C$2:$D$1278,2,0)</f>
        <v>办公用品</v>
      </c>
    </row>
    <row r="1129" spans="1:20">
      <c r="A1129" s="8">
        <f t="shared" si="94"/>
        <v>39894</v>
      </c>
      <c r="B1129" s="8">
        <f t="shared" si="94"/>
        <v>39894</v>
      </c>
      <c r="C1129" s="9" t="s">
        <v>1153</v>
      </c>
      <c r="D1129">
        <v>10021250238</v>
      </c>
      <c r="E1129" t="s">
        <v>47</v>
      </c>
      <c r="F1129" t="s">
        <v>61</v>
      </c>
      <c r="G1129" t="s">
        <v>62</v>
      </c>
      <c r="H1129" t="s">
        <v>1369</v>
      </c>
      <c r="I1129" t="s">
        <v>1370</v>
      </c>
      <c r="J1129" t="s">
        <v>668</v>
      </c>
      <c r="K1129" s="3">
        <v>10035843479</v>
      </c>
      <c r="L1129" s="10">
        <v>39901</v>
      </c>
      <c r="M1129">
        <v>22.77</v>
      </c>
      <c r="N1129" s="11">
        <v>5</v>
      </c>
      <c r="O1129" s="12">
        <v>4.28</v>
      </c>
      <c r="P1129" s="12">
        <v>1.6</v>
      </c>
      <c r="Q1129" s="13">
        <v>-6.2</v>
      </c>
      <c r="R1129" s="36" t="s">
        <v>1403</v>
      </c>
      <c r="S1129" s="7">
        <f t="shared" si="90"/>
        <v>7</v>
      </c>
      <c r="T1129" s="15" t="str">
        <f>VLOOKUP(R1129,产品分类!$C$2:$D$1278,2,0)</f>
        <v>办公用品</v>
      </c>
    </row>
    <row r="1130" spans="1:20">
      <c r="A1130" s="8">
        <f>DATE(2012,12,31)-1401</f>
        <v>39873</v>
      </c>
      <c r="B1130" s="8">
        <f>DATE(2012,12,31)-1401</f>
        <v>39873</v>
      </c>
      <c r="C1130" s="9" t="s">
        <v>818</v>
      </c>
      <c r="D1130">
        <v>10021349053</v>
      </c>
      <c r="E1130" t="s">
        <v>47</v>
      </c>
      <c r="F1130" t="s">
        <v>61</v>
      </c>
      <c r="G1130" t="s">
        <v>62</v>
      </c>
      <c r="H1130" t="s">
        <v>1369</v>
      </c>
      <c r="I1130" t="s">
        <v>1370</v>
      </c>
      <c r="J1130" t="s">
        <v>668</v>
      </c>
      <c r="K1130" s="3">
        <v>100331820169</v>
      </c>
      <c r="L1130" s="10">
        <v>39874</v>
      </c>
      <c r="M1130">
        <v>434.77</v>
      </c>
      <c r="N1130" s="11">
        <v>37</v>
      </c>
      <c r="O1130" s="12">
        <v>11.34</v>
      </c>
      <c r="P1130" s="12">
        <v>11.25</v>
      </c>
      <c r="Q1130" s="13">
        <v>-155.21</v>
      </c>
      <c r="R1130" s="36" t="s">
        <v>699</v>
      </c>
      <c r="S1130" s="7">
        <f t="shared" si="90"/>
        <v>1</v>
      </c>
      <c r="T1130" s="15" t="str">
        <f>VLOOKUP(R1130,产品分类!$C$2:$D$1278,2,0)</f>
        <v>办公用品</v>
      </c>
    </row>
    <row r="1131" spans="1:20">
      <c r="A1131" s="8">
        <f>DATE(2012,12,31)-1353</f>
        <v>39921</v>
      </c>
      <c r="B1131" s="8">
        <f>DATE(2012,12,31)-1353</f>
        <v>39921</v>
      </c>
      <c r="C1131" s="9" t="s">
        <v>176</v>
      </c>
      <c r="D1131">
        <v>10021396005</v>
      </c>
      <c r="E1131" t="s">
        <v>47</v>
      </c>
      <c r="F1131" t="s">
        <v>55</v>
      </c>
      <c r="G1131" t="s">
        <v>56</v>
      </c>
      <c r="H1131" t="s">
        <v>1331</v>
      </c>
      <c r="I1131" t="s">
        <v>1332</v>
      </c>
      <c r="J1131" t="s">
        <v>668</v>
      </c>
      <c r="K1131" s="3">
        <v>100316323159</v>
      </c>
      <c r="L1131" s="10">
        <v>39921</v>
      </c>
      <c r="M1131">
        <v>2130.22</v>
      </c>
      <c r="N1131" s="11">
        <v>25</v>
      </c>
      <c r="O1131" s="12">
        <v>89.99</v>
      </c>
      <c r="P1131" s="12">
        <v>42</v>
      </c>
      <c r="Q1131" s="13">
        <v>-584.6</v>
      </c>
      <c r="R1131" s="36" t="s">
        <v>891</v>
      </c>
      <c r="S1131" s="7">
        <f t="shared" si="90"/>
        <v>0</v>
      </c>
      <c r="T1131" s="15" t="str">
        <f>VLOOKUP(R1131,产品分类!$C$2:$D$1278,2,0)</f>
        <v>家具产品</v>
      </c>
    </row>
    <row r="1132" spans="1:20">
      <c r="A1132" s="8">
        <f>DATE(2012,12,31)-602</f>
        <v>40672</v>
      </c>
      <c r="B1132" s="8">
        <f>DATE(2012,12,31)-602</f>
        <v>40672</v>
      </c>
      <c r="C1132" s="9" t="s">
        <v>1404</v>
      </c>
      <c r="D1132">
        <v>10021293678</v>
      </c>
      <c r="E1132" t="s">
        <v>47</v>
      </c>
      <c r="F1132" t="s">
        <v>61</v>
      </c>
      <c r="G1132" t="s">
        <v>62</v>
      </c>
      <c r="H1132" t="s">
        <v>1369</v>
      </c>
      <c r="I1132" t="s">
        <v>1370</v>
      </c>
      <c r="J1132" t="s">
        <v>668</v>
      </c>
      <c r="K1132" s="3">
        <v>10096037591</v>
      </c>
      <c r="L1132" s="10">
        <v>40673</v>
      </c>
      <c r="M1132">
        <v>1337.81</v>
      </c>
      <c r="N1132" s="11">
        <v>22</v>
      </c>
      <c r="O1132" s="12">
        <v>59.78</v>
      </c>
      <c r="P1132" s="12">
        <v>10.29</v>
      </c>
      <c r="Q1132" s="13">
        <v>407.116</v>
      </c>
      <c r="R1132" s="36" t="s">
        <v>1405</v>
      </c>
      <c r="S1132" s="7">
        <f t="shared" si="90"/>
        <v>1</v>
      </c>
      <c r="T1132" s="15" t="str">
        <f>VLOOKUP(R1132,产品分类!$C$2:$D$1278,2,0)</f>
        <v>办公用品</v>
      </c>
    </row>
    <row r="1133" spans="1:20">
      <c r="A1133" s="8">
        <f>DATE(2012,12,31)-64</f>
        <v>41210</v>
      </c>
      <c r="B1133" s="8">
        <f>DATE(2012,12,31)-64</f>
        <v>41210</v>
      </c>
      <c r="C1133" s="9" t="s">
        <v>1325</v>
      </c>
      <c r="D1133">
        <v>10021354568</v>
      </c>
      <c r="E1133" t="s">
        <v>47</v>
      </c>
      <c r="F1133" t="s">
        <v>72</v>
      </c>
      <c r="G1133" t="s">
        <v>73</v>
      </c>
      <c r="H1133" t="s">
        <v>1277</v>
      </c>
      <c r="I1133" t="s">
        <v>1278</v>
      </c>
      <c r="J1133" t="s">
        <v>668</v>
      </c>
      <c r="K1133" s="3">
        <v>100132862946</v>
      </c>
      <c r="L1133" s="10">
        <v>41210</v>
      </c>
      <c r="M1133">
        <v>572.74</v>
      </c>
      <c r="N1133" s="11">
        <v>38</v>
      </c>
      <c r="O1133" s="12">
        <v>14.45</v>
      </c>
      <c r="P1133" s="12">
        <v>7.17</v>
      </c>
      <c r="Q1133" s="13">
        <v>53.312</v>
      </c>
      <c r="R1133" s="36" t="s">
        <v>1317</v>
      </c>
      <c r="S1133" s="7">
        <f t="shared" si="90"/>
        <v>0</v>
      </c>
      <c r="T1133" s="15" t="str">
        <f>VLOOKUP(R1133,产品分类!$C$2:$D$1278,2,0)</f>
        <v>家具产品</v>
      </c>
    </row>
    <row r="1134" spans="1:20">
      <c r="A1134" s="8">
        <f>DATE(2012,12,31)-1118</f>
        <v>40156</v>
      </c>
      <c r="B1134" s="8">
        <f>DATE(2012,12,31)-1118</f>
        <v>40156</v>
      </c>
      <c r="C1134" s="9" t="s">
        <v>1399</v>
      </c>
      <c r="D1134">
        <v>10021394388</v>
      </c>
      <c r="E1134" t="s">
        <v>47</v>
      </c>
      <c r="F1134" t="s">
        <v>61</v>
      </c>
      <c r="G1134" t="s">
        <v>62</v>
      </c>
      <c r="H1134" t="s">
        <v>1369</v>
      </c>
      <c r="I1134" t="s">
        <v>1370</v>
      </c>
      <c r="J1134" t="s">
        <v>668</v>
      </c>
      <c r="K1134" s="3">
        <v>100132919088</v>
      </c>
      <c r="L1134" s="10">
        <v>40158</v>
      </c>
      <c r="M1134">
        <v>209.02</v>
      </c>
      <c r="N1134" s="11">
        <v>32</v>
      </c>
      <c r="O1134" s="12">
        <v>6.3</v>
      </c>
      <c r="P1134" s="12">
        <v>0.5</v>
      </c>
      <c r="Q1134" s="13">
        <v>101.8</v>
      </c>
      <c r="R1134" s="36" t="s">
        <v>741</v>
      </c>
      <c r="S1134" s="7">
        <f t="shared" si="90"/>
        <v>2</v>
      </c>
      <c r="T1134" s="15" t="str">
        <f>VLOOKUP(R1134,产品分类!$C$2:$D$1278,2,0)</f>
        <v>办公用品</v>
      </c>
    </row>
    <row r="1135" spans="1:20">
      <c r="A1135" s="16">
        <f>DATE(2012,12,31)-1064</f>
        <v>40210</v>
      </c>
      <c r="B1135" s="16">
        <f>DATE(2012,12,31)-1064</f>
        <v>40210</v>
      </c>
      <c r="C1135" s="9" t="s">
        <v>1172</v>
      </c>
      <c r="D1135">
        <v>10021309338</v>
      </c>
      <c r="E1135" t="s">
        <v>47</v>
      </c>
      <c r="F1135" t="s">
        <v>72</v>
      </c>
      <c r="G1135" t="s">
        <v>73</v>
      </c>
      <c r="H1135" t="s">
        <v>1277</v>
      </c>
      <c r="I1135" t="s">
        <v>1278</v>
      </c>
      <c r="J1135" t="s">
        <v>668</v>
      </c>
      <c r="K1135" s="3">
        <v>100332809369</v>
      </c>
      <c r="L1135" s="10">
        <v>40211</v>
      </c>
      <c r="M1135">
        <v>299.87</v>
      </c>
      <c r="N1135" s="17">
        <v>18</v>
      </c>
      <c r="O1135" s="5">
        <v>15.74</v>
      </c>
      <c r="P1135" s="5">
        <v>1.39</v>
      </c>
      <c r="Q1135" s="6">
        <v>130.04</v>
      </c>
      <c r="R1135" s="37" t="s">
        <v>404</v>
      </c>
      <c r="S1135" s="7">
        <f t="shared" si="90"/>
        <v>1</v>
      </c>
      <c r="T1135" s="15" t="str">
        <f>VLOOKUP(R1135,产品分类!$C$2:$D$1278,2,0)</f>
        <v>办公用品</v>
      </c>
    </row>
    <row r="1136" spans="1:20">
      <c r="A1136" s="8">
        <f>DATE(2012,12,31)-143</f>
        <v>41131</v>
      </c>
      <c r="B1136" s="8">
        <f>DATE(2012,12,31)-143</f>
        <v>41131</v>
      </c>
      <c r="C1136" s="9" t="s">
        <v>1406</v>
      </c>
      <c r="D1136">
        <v>10021411702</v>
      </c>
      <c r="E1136" t="s">
        <v>47</v>
      </c>
      <c r="F1136" t="s">
        <v>102</v>
      </c>
      <c r="G1136" t="s">
        <v>103</v>
      </c>
      <c r="H1136" t="s">
        <v>1217</v>
      </c>
      <c r="I1136" t="s">
        <v>1218</v>
      </c>
      <c r="J1136" t="s">
        <v>668</v>
      </c>
      <c r="K1136" s="3">
        <v>100732956465</v>
      </c>
      <c r="L1136" s="10">
        <v>41135</v>
      </c>
      <c r="M1136">
        <v>75.03</v>
      </c>
      <c r="N1136" s="11">
        <v>22</v>
      </c>
      <c r="O1136" s="12">
        <v>3.14</v>
      </c>
      <c r="P1136" s="12">
        <v>1.92</v>
      </c>
      <c r="Q1136" s="13">
        <v>-31.52</v>
      </c>
      <c r="R1136" s="36" t="s">
        <v>157</v>
      </c>
      <c r="S1136" s="7">
        <f t="shared" si="90"/>
        <v>4</v>
      </c>
      <c r="T1136" s="15" t="str">
        <f>VLOOKUP(R1136,产品分类!$C$2:$D$1278,2,0)</f>
        <v>数码电子</v>
      </c>
    </row>
    <row r="1137" spans="1:20">
      <c r="A1137" s="8">
        <f>DATE(2012,12,31)-143</f>
        <v>41131</v>
      </c>
      <c r="B1137" s="8">
        <f>DATE(2012,12,31)-143</f>
        <v>41131</v>
      </c>
      <c r="C1137" s="9" t="s">
        <v>1406</v>
      </c>
      <c r="D1137">
        <v>10021362978</v>
      </c>
      <c r="E1137" t="s">
        <v>47</v>
      </c>
      <c r="F1137" t="s">
        <v>61</v>
      </c>
      <c r="G1137" t="s">
        <v>62</v>
      </c>
      <c r="H1137" t="s">
        <v>1369</v>
      </c>
      <c r="I1137" t="s">
        <v>1370</v>
      </c>
      <c r="J1137" t="s">
        <v>668</v>
      </c>
      <c r="K1137" s="3">
        <v>100732888425</v>
      </c>
      <c r="L1137" s="10">
        <v>41136</v>
      </c>
      <c r="M1137">
        <v>1497.7595</v>
      </c>
      <c r="N1137" s="11">
        <v>50</v>
      </c>
      <c r="O1137" s="12">
        <v>35.99</v>
      </c>
      <c r="P1137" s="12">
        <v>1.1</v>
      </c>
      <c r="Q1137" s="13">
        <v>483.66</v>
      </c>
      <c r="R1137" s="36" t="s">
        <v>537</v>
      </c>
      <c r="S1137" s="7">
        <f t="shared" si="90"/>
        <v>5</v>
      </c>
      <c r="T1137" s="15" t="str">
        <f>VLOOKUP(R1137,产品分类!$C$2:$D$1278,2,0)</f>
        <v>办公用品</v>
      </c>
    </row>
    <row r="1138" spans="1:20">
      <c r="A1138" s="8">
        <f>DATE(2012,12,31)-194</f>
        <v>41080</v>
      </c>
      <c r="B1138" s="8">
        <f>DATE(2012,12,31)-194</f>
        <v>41080</v>
      </c>
      <c r="C1138" s="9" t="s">
        <v>1407</v>
      </c>
      <c r="D1138">
        <v>10021307969</v>
      </c>
      <c r="E1138" t="s">
        <v>47</v>
      </c>
      <c r="F1138" t="s">
        <v>72</v>
      </c>
      <c r="G1138" t="s">
        <v>73</v>
      </c>
      <c r="H1138" t="s">
        <v>1408</v>
      </c>
      <c r="I1138" t="s">
        <v>1409</v>
      </c>
      <c r="J1138" t="s">
        <v>668</v>
      </c>
      <c r="K1138" s="3">
        <v>100732807055</v>
      </c>
      <c r="L1138" s="10">
        <v>41081</v>
      </c>
      <c r="M1138">
        <v>197.574</v>
      </c>
      <c r="N1138" s="11">
        <v>28</v>
      </c>
      <c r="O1138" s="12">
        <v>7.99</v>
      </c>
      <c r="P1138" s="12">
        <v>5.03</v>
      </c>
      <c r="Q1138" s="13">
        <v>-90.838</v>
      </c>
      <c r="R1138" s="36" t="s">
        <v>71</v>
      </c>
      <c r="S1138" s="7">
        <f t="shared" si="90"/>
        <v>1</v>
      </c>
      <c r="T1138" s="15" t="str">
        <f>VLOOKUP(R1138,产品分类!$C$2:$D$1278,2,0)</f>
        <v>办公用品</v>
      </c>
    </row>
    <row r="1139" spans="1:20">
      <c r="A1139" s="8">
        <f>DATE(2012,12,31)-1370</f>
        <v>39904</v>
      </c>
      <c r="B1139" s="8">
        <f>DATE(2012,12,31)-1370</f>
        <v>39904</v>
      </c>
      <c r="C1139" s="9" t="s">
        <v>1410</v>
      </c>
      <c r="D1139">
        <v>10021393450</v>
      </c>
      <c r="E1139" t="s">
        <v>47</v>
      </c>
      <c r="F1139" t="s">
        <v>72</v>
      </c>
      <c r="G1139" t="s">
        <v>73</v>
      </c>
      <c r="H1139" t="s">
        <v>1408</v>
      </c>
      <c r="I1139" t="s">
        <v>1409</v>
      </c>
      <c r="J1139" t="s">
        <v>668</v>
      </c>
      <c r="K1139" s="3">
        <v>100432916784</v>
      </c>
      <c r="L1139" s="10">
        <v>39906</v>
      </c>
      <c r="M1139">
        <v>835.1505</v>
      </c>
      <c r="N1139" s="11">
        <v>30</v>
      </c>
      <c r="O1139" s="12">
        <v>35.99</v>
      </c>
      <c r="P1139" s="12">
        <v>1.1</v>
      </c>
      <c r="Q1139" s="13">
        <v>158.175</v>
      </c>
      <c r="R1139" s="36" t="s">
        <v>537</v>
      </c>
      <c r="S1139" s="7">
        <f t="shared" si="90"/>
        <v>2</v>
      </c>
      <c r="T1139" s="15" t="str">
        <f>VLOOKUP(R1139,产品分类!$C$2:$D$1278,2,0)</f>
        <v>办公用品</v>
      </c>
    </row>
    <row r="1140" spans="1:20">
      <c r="A1140" s="8">
        <f>DATE(2012,12,31)-1370</f>
        <v>39904</v>
      </c>
      <c r="B1140" s="8">
        <f>DATE(2012,12,31)-1370</f>
        <v>39904</v>
      </c>
      <c r="C1140" s="9" t="s">
        <v>1410</v>
      </c>
      <c r="D1140">
        <v>10021316979</v>
      </c>
      <c r="E1140" t="s">
        <v>47</v>
      </c>
      <c r="F1140" t="s">
        <v>230</v>
      </c>
      <c r="G1140" t="s">
        <v>231</v>
      </c>
      <c r="H1140" t="s">
        <v>1186</v>
      </c>
      <c r="I1140" t="s">
        <v>1187</v>
      </c>
      <c r="J1140" t="s">
        <v>668</v>
      </c>
      <c r="K1140" s="3">
        <v>100132826586</v>
      </c>
      <c r="L1140" s="10">
        <v>39905</v>
      </c>
      <c r="M1140">
        <v>771.834</v>
      </c>
      <c r="N1140" s="11">
        <v>7</v>
      </c>
      <c r="O1140" s="12">
        <v>125.99</v>
      </c>
      <c r="P1140" s="12">
        <v>2.5</v>
      </c>
      <c r="Q1140" s="13">
        <v>-295.427</v>
      </c>
      <c r="R1140" s="36" t="s">
        <v>1411</v>
      </c>
      <c r="S1140" s="7">
        <f t="shared" si="90"/>
        <v>1</v>
      </c>
      <c r="T1140" s="15" t="str">
        <f>VLOOKUP(R1140,产品分类!$C$2:$D$1278,2,0)</f>
        <v>办公用品</v>
      </c>
    </row>
    <row r="1141" spans="1:20">
      <c r="A1141" s="8">
        <f>DATE(2012,12,31)-1199</f>
        <v>40075</v>
      </c>
      <c r="B1141" s="8">
        <f>DATE(2012,12,31)-1199</f>
        <v>40075</v>
      </c>
      <c r="C1141" s="9" t="s">
        <v>433</v>
      </c>
      <c r="D1141">
        <v>10021399648</v>
      </c>
      <c r="E1141" t="s">
        <v>47</v>
      </c>
      <c r="F1141" t="s">
        <v>122</v>
      </c>
      <c r="G1141" t="s">
        <v>123</v>
      </c>
      <c r="H1141" t="s">
        <v>124</v>
      </c>
      <c r="I1141" t="s">
        <v>125</v>
      </c>
      <c r="J1141" t="s">
        <v>668</v>
      </c>
      <c r="K1141" s="3">
        <v>100929986241</v>
      </c>
      <c r="L1141" s="10">
        <v>40077</v>
      </c>
      <c r="M1141">
        <v>150.34</v>
      </c>
      <c r="N1141" s="11">
        <v>22</v>
      </c>
      <c r="O1141" s="12">
        <v>6.48</v>
      </c>
      <c r="P1141" s="12">
        <v>5.14</v>
      </c>
      <c r="Q1141" s="13">
        <v>-28.45</v>
      </c>
      <c r="R1141" s="36" t="s">
        <v>325</v>
      </c>
      <c r="S1141" s="7">
        <f t="shared" si="90"/>
        <v>2</v>
      </c>
      <c r="T1141" s="15" t="str">
        <f>VLOOKUP(R1141,产品分类!$C$2:$D$1278,2,0)</f>
        <v>数码电子</v>
      </c>
    </row>
    <row r="1142" spans="1:20">
      <c r="A1142" s="8">
        <f>DATE(2012,12,31)-1199</f>
        <v>40075</v>
      </c>
      <c r="B1142" s="8">
        <f>DATE(2012,12,31)-1199</f>
        <v>40075</v>
      </c>
      <c r="C1142" s="9" t="s">
        <v>433</v>
      </c>
      <c r="D1142">
        <v>10021408608</v>
      </c>
      <c r="E1142" t="s">
        <v>47</v>
      </c>
      <c r="F1142" t="s">
        <v>91</v>
      </c>
      <c r="G1142" t="s">
        <v>92</v>
      </c>
      <c r="H1142" t="s">
        <v>1412</v>
      </c>
      <c r="I1142" t="s">
        <v>1413</v>
      </c>
      <c r="J1142" t="s">
        <v>668</v>
      </c>
      <c r="K1142" s="3">
        <v>100132503106</v>
      </c>
      <c r="L1142" s="10">
        <v>40078</v>
      </c>
      <c r="M1142">
        <v>1142.36</v>
      </c>
      <c r="N1142" s="11">
        <v>35</v>
      </c>
      <c r="O1142" s="12">
        <v>30.73</v>
      </c>
      <c r="P1142" s="12">
        <v>4</v>
      </c>
      <c r="Q1142" s="13">
        <v>72.78</v>
      </c>
      <c r="R1142" s="36" t="s">
        <v>1016</v>
      </c>
      <c r="S1142" s="7">
        <f t="shared" si="90"/>
        <v>3</v>
      </c>
      <c r="T1142" s="15" t="str">
        <f>VLOOKUP(R1142,产品分类!$C$2:$D$1278,2,0)</f>
        <v>办公用品</v>
      </c>
    </row>
    <row r="1143" spans="1:20">
      <c r="A1143" s="8">
        <f>DATE(2012,12,31)-482</f>
        <v>40792</v>
      </c>
      <c r="B1143" s="8">
        <f>DATE(2012,12,31)-482</f>
        <v>40792</v>
      </c>
      <c r="C1143" s="9" t="s">
        <v>394</v>
      </c>
      <c r="D1143">
        <v>10021276166</v>
      </c>
      <c r="E1143" t="s">
        <v>47</v>
      </c>
      <c r="F1143" t="s">
        <v>177</v>
      </c>
      <c r="G1143" t="s">
        <v>178</v>
      </c>
      <c r="H1143" t="s">
        <v>1292</v>
      </c>
      <c r="I1143" t="s">
        <v>1293</v>
      </c>
      <c r="J1143" t="s">
        <v>668</v>
      </c>
      <c r="K1143" s="3">
        <v>100832600342</v>
      </c>
      <c r="L1143" s="10">
        <v>40793</v>
      </c>
      <c r="M1143">
        <v>766.9635</v>
      </c>
      <c r="N1143" s="11">
        <v>45</v>
      </c>
      <c r="O1143" s="12">
        <v>20.99</v>
      </c>
      <c r="P1143" s="12">
        <v>2.5</v>
      </c>
      <c r="Q1143" s="13">
        <v>-88.253</v>
      </c>
      <c r="R1143" s="36" t="s">
        <v>478</v>
      </c>
      <c r="S1143" s="7">
        <f t="shared" si="90"/>
        <v>1</v>
      </c>
      <c r="T1143" s="15" t="str">
        <f>VLOOKUP(R1143,产品分类!$C$2:$D$1278,2,0)</f>
        <v>办公用品</v>
      </c>
    </row>
    <row r="1144" spans="1:20">
      <c r="A1144" s="8">
        <f>DATE(2012,12,31)-1447</f>
        <v>39827</v>
      </c>
      <c r="B1144" s="8">
        <f>DATE(2012,12,31)-1447</f>
        <v>39827</v>
      </c>
      <c r="C1144" s="9" t="s">
        <v>1414</v>
      </c>
      <c r="D1144">
        <v>10021271949</v>
      </c>
      <c r="E1144" t="s">
        <v>47</v>
      </c>
      <c r="F1144" t="s">
        <v>61</v>
      </c>
      <c r="G1144" t="s">
        <v>62</v>
      </c>
      <c r="H1144" t="s">
        <v>1369</v>
      </c>
      <c r="I1144" t="s">
        <v>1370</v>
      </c>
      <c r="J1144" t="s">
        <v>668</v>
      </c>
      <c r="K1144" s="3">
        <v>100831860462</v>
      </c>
      <c r="L1144" s="10">
        <v>39829</v>
      </c>
      <c r="M1144">
        <v>2364.29</v>
      </c>
      <c r="N1144" s="11">
        <v>21</v>
      </c>
      <c r="O1144" s="12">
        <v>115.99</v>
      </c>
      <c r="P1144" s="12">
        <v>56.14</v>
      </c>
      <c r="Q1144" s="13">
        <v>-220.0491</v>
      </c>
      <c r="R1144" s="36" t="s">
        <v>329</v>
      </c>
      <c r="S1144" s="7">
        <f t="shared" si="90"/>
        <v>2</v>
      </c>
      <c r="T1144" s="15" t="str">
        <f>VLOOKUP(R1144,产品分类!$C$2:$D$1278,2,0)</f>
        <v>办公用品</v>
      </c>
    </row>
    <row r="1145" spans="1:20">
      <c r="A1145" s="8">
        <f>DATE(2012,12,31)-1447</f>
        <v>39827</v>
      </c>
      <c r="B1145" s="8">
        <f>DATE(2012,12,31)-1447</f>
        <v>39827</v>
      </c>
      <c r="C1145" s="9" t="s">
        <v>1414</v>
      </c>
      <c r="D1145">
        <v>10021391786</v>
      </c>
      <c r="E1145" t="s">
        <v>47</v>
      </c>
      <c r="F1145" t="s">
        <v>66</v>
      </c>
      <c r="G1145" t="s">
        <v>67</v>
      </c>
      <c r="H1145" t="s">
        <v>68</v>
      </c>
      <c r="I1145" t="s">
        <v>69</v>
      </c>
      <c r="J1145" t="s">
        <v>668</v>
      </c>
      <c r="K1145" s="3">
        <v>100430419643</v>
      </c>
      <c r="L1145" s="10">
        <v>39830</v>
      </c>
      <c r="M1145">
        <v>112.57</v>
      </c>
      <c r="N1145" s="11">
        <v>27</v>
      </c>
      <c r="O1145" s="12">
        <v>4.28</v>
      </c>
      <c r="P1145" s="12">
        <v>0.94</v>
      </c>
      <c r="Q1145" s="13">
        <v>13.92</v>
      </c>
      <c r="R1145" s="36" t="s">
        <v>637</v>
      </c>
      <c r="S1145" s="7">
        <f t="shared" si="90"/>
        <v>3</v>
      </c>
      <c r="T1145" s="15" t="str">
        <f>VLOOKUP(R1145,产品分类!$C$2:$D$1278,2,0)</f>
        <v>数码电子</v>
      </c>
    </row>
    <row r="1146" spans="1:20">
      <c r="A1146" s="8">
        <f>DATE(2012,12,31)-1326</f>
        <v>39948</v>
      </c>
      <c r="B1146" s="8">
        <f>DATE(2012,12,31)-1326</f>
        <v>39948</v>
      </c>
      <c r="C1146" s="9" t="s">
        <v>1099</v>
      </c>
      <c r="D1146">
        <v>10021262723</v>
      </c>
      <c r="E1146" t="s">
        <v>47</v>
      </c>
      <c r="F1146" t="s">
        <v>66</v>
      </c>
      <c r="G1146" t="s">
        <v>67</v>
      </c>
      <c r="H1146" t="s">
        <v>68</v>
      </c>
      <c r="I1146" t="s">
        <v>69</v>
      </c>
      <c r="J1146" t="s">
        <v>668</v>
      </c>
      <c r="K1146" s="3">
        <v>100130128376</v>
      </c>
      <c r="L1146" s="10">
        <v>39950</v>
      </c>
      <c r="M1146">
        <v>286.9</v>
      </c>
      <c r="N1146" s="11">
        <v>34</v>
      </c>
      <c r="O1146" s="12">
        <v>8.32</v>
      </c>
      <c r="P1146" s="12">
        <v>2.38</v>
      </c>
      <c r="Q1146" s="13">
        <v>-36.63</v>
      </c>
      <c r="R1146" s="36" t="s">
        <v>920</v>
      </c>
      <c r="S1146" s="7">
        <f t="shared" si="90"/>
        <v>2</v>
      </c>
      <c r="T1146" s="15" t="str">
        <f>VLOOKUP(R1146,产品分类!$C$2:$D$1278,2,0)</f>
        <v>家具产品</v>
      </c>
    </row>
    <row r="1147" spans="1:20">
      <c r="A1147" s="8">
        <f>DATE(2012,12,31)-1326</f>
        <v>39948</v>
      </c>
      <c r="B1147" s="8">
        <f>DATE(2012,12,31)-1326</f>
        <v>39948</v>
      </c>
      <c r="C1147" s="9" t="s">
        <v>1099</v>
      </c>
      <c r="D1147">
        <v>10021338527</v>
      </c>
      <c r="E1147" t="s">
        <v>47</v>
      </c>
      <c r="F1147" t="s">
        <v>177</v>
      </c>
      <c r="G1147" t="s">
        <v>178</v>
      </c>
      <c r="H1147" t="s">
        <v>1292</v>
      </c>
      <c r="I1147" t="s">
        <v>1293</v>
      </c>
      <c r="J1147" t="s">
        <v>668</v>
      </c>
      <c r="K1147" s="3">
        <v>100723965195</v>
      </c>
      <c r="L1147" s="10">
        <v>39950</v>
      </c>
      <c r="M1147">
        <v>46.4</v>
      </c>
      <c r="N1147" s="11">
        <v>16</v>
      </c>
      <c r="O1147" s="12">
        <v>2.94</v>
      </c>
      <c r="P1147" s="12">
        <v>0.96</v>
      </c>
      <c r="Q1147" s="13">
        <v>-2.12</v>
      </c>
      <c r="R1147" s="36" t="s">
        <v>872</v>
      </c>
      <c r="S1147" s="7">
        <f t="shared" si="90"/>
        <v>2</v>
      </c>
      <c r="T1147" s="15" t="str">
        <f>VLOOKUP(R1147,产品分类!$C$2:$D$1278,2,0)</f>
        <v>数码电子</v>
      </c>
    </row>
    <row r="1148" spans="1:20">
      <c r="A1148" s="8">
        <f>DATE(2012,12,31)-971</f>
        <v>40303</v>
      </c>
      <c r="B1148" s="8">
        <f>DATE(2012,12,31)-971</f>
        <v>40303</v>
      </c>
      <c r="C1148" s="9" t="s">
        <v>1359</v>
      </c>
      <c r="D1148">
        <v>10021261938</v>
      </c>
      <c r="E1148" t="s">
        <v>47</v>
      </c>
      <c r="F1148" t="s">
        <v>171</v>
      </c>
      <c r="G1148" t="s">
        <v>172</v>
      </c>
      <c r="H1148" t="s">
        <v>933</v>
      </c>
      <c r="I1148" t="s">
        <v>934</v>
      </c>
      <c r="J1148" t="s">
        <v>668</v>
      </c>
      <c r="K1148" s="3">
        <v>100129753536</v>
      </c>
      <c r="L1148" s="10">
        <v>40304</v>
      </c>
      <c r="M1148">
        <v>4935.72</v>
      </c>
      <c r="N1148" s="11">
        <v>37</v>
      </c>
      <c r="O1148" s="12">
        <v>140.98</v>
      </c>
      <c r="P1148" s="12">
        <v>36.09</v>
      </c>
      <c r="Q1148" s="13">
        <v>-698.09</v>
      </c>
      <c r="R1148" s="36" t="s">
        <v>1090</v>
      </c>
      <c r="S1148" s="7">
        <f t="shared" si="90"/>
        <v>1</v>
      </c>
      <c r="T1148" s="15" t="str">
        <f>VLOOKUP(R1148,产品分类!$C$2:$D$1278,2,0)</f>
        <v>办公用品</v>
      </c>
    </row>
    <row r="1149" spans="1:20">
      <c r="A1149" s="8">
        <f>DATE(2012,12,31)-1017</f>
        <v>40257</v>
      </c>
      <c r="B1149" s="8">
        <f>DATE(2012,12,31)-1017</f>
        <v>40257</v>
      </c>
      <c r="C1149" s="9" t="s">
        <v>1415</v>
      </c>
      <c r="D1149">
        <v>10021423340</v>
      </c>
      <c r="E1149" t="s">
        <v>47</v>
      </c>
      <c r="F1149" t="s">
        <v>61</v>
      </c>
      <c r="G1149" t="s">
        <v>62</v>
      </c>
      <c r="H1149" t="s">
        <v>1369</v>
      </c>
      <c r="I1149" t="s">
        <v>1370</v>
      </c>
      <c r="J1149" t="s">
        <v>668</v>
      </c>
      <c r="K1149" s="3">
        <v>100927799411</v>
      </c>
      <c r="L1149" s="10">
        <v>40258</v>
      </c>
      <c r="M1149">
        <v>1133.96</v>
      </c>
      <c r="N1149" s="11">
        <v>35</v>
      </c>
      <c r="O1149" s="12">
        <v>31.74</v>
      </c>
      <c r="P1149" s="12">
        <v>12.62</v>
      </c>
      <c r="Q1149" s="13">
        <v>185.0875</v>
      </c>
      <c r="R1149" s="36" t="s">
        <v>1416</v>
      </c>
      <c r="S1149" s="7">
        <f t="shared" si="90"/>
        <v>1</v>
      </c>
      <c r="T1149" s="15" t="str">
        <f>VLOOKUP(R1149,产品分类!$C$2:$D$1278,2,0)</f>
        <v>数码电子</v>
      </c>
    </row>
    <row r="1150" spans="1:20">
      <c r="A1150" s="8">
        <f t="shared" ref="A1150:B1152" si="95">DATE(2012,12,31)-312</f>
        <v>40962</v>
      </c>
      <c r="B1150" s="8">
        <f t="shared" si="95"/>
        <v>40962</v>
      </c>
      <c r="C1150" s="9" t="s">
        <v>356</v>
      </c>
      <c r="D1150">
        <v>10021378626</v>
      </c>
      <c r="E1150" t="s">
        <v>47</v>
      </c>
      <c r="F1150" t="s">
        <v>152</v>
      </c>
      <c r="G1150" t="s">
        <v>153</v>
      </c>
      <c r="H1150" t="s">
        <v>1136</v>
      </c>
      <c r="I1150" t="s">
        <v>1137</v>
      </c>
      <c r="J1150" t="s">
        <v>668</v>
      </c>
      <c r="K1150" s="3">
        <v>100129649208</v>
      </c>
      <c r="L1150" s="10">
        <v>40964</v>
      </c>
      <c r="M1150">
        <v>290.3</v>
      </c>
      <c r="N1150" s="11">
        <v>39</v>
      </c>
      <c r="O1150" s="12">
        <v>7.59</v>
      </c>
      <c r="P1150" s="12">
        <v>4</v>
      </c>
      <c r="Q1150" s="13">
        <v>25.16</v>
      </c>
      <c r="R1150" s="36" t="s">
        <v>996</v>
      </c>
      <c r="S1150" s="7">
        <f t="shared" si="90"/>
        <v>2</v>
      </c>
      <c r="T1150" s="15" t="str">
        <f>VLOOKUP(R1150,产品分类!$C$2:$D$1278,2,0)</f>
        <v>家具产品</v>
      </c>
    </row>
    <row r="1151" spans="1:20">
      <c r="A1151" s="8">
        <f t="shared" si="95"/>
        <v>40962</v>
      </c>
      <c r="B1151" s="8">
        <f t="shared" si="95"/>
        <v>40962</v>
      </c>
      <c r="C1151" s="9" t="s">
        <v>356</v>
      </c>
      <c r="D1151">
        <v>10021362498</v>
      </c>
      <c r="E1151" t="s">
        <v>47</v>
      </c>
      <c r="F1151" t="s">
        <v>78</v>
      </c>
      <c r="G1151" t="s">
        <v>79</v>
      </c>
      <c r="H1151" t="s">
        <v>1264</v>
      </c>
      <c r="I1151" t="s">
        <v>79</v>
      </c>
      <c r="J1151" t="s">
        <v>668</v>
      </c>
      <c r="K1151" s="3">
        <v>100132763748</v>
      </c>
      <c r="L1151" s="10">
        <v>40964</v>
      </c>
      <c r="M1151">
        <v>434.11</v>
      </c>
      <c r="N1151" s="11">
        <v>37</v>
      </c>
      <c r="O1151" s="12">
        <v>11.7</v>
      </c>
      <c r="P1151" s="12">
        <v>5.63</v>
      </c>
      <c r="Q1151" s="13">
        <v>24.854</v>
      </c>
      <c r="R1151" s="36" t="s">
        <v>348</v>
      </c>
      <c r="S1151" s="7">
        <f t="shared" si="90"/>
        <v>2</v>
      </c>
      <c r="T1151" s="15" t="str">
        <f>VLOOKUP(R1151,产品分类!$C$2:$D$1278,2,0)</f>
        <v>办公用品</v>
      </c>
    </row>
    <row r="1152" spans="1:20">
      <c r="A1152" s="8">
        <f t="shared" si="95"/>
        <v>40962</v>
      </c>
      <c r="B1152" s="8">
        <f t="shared" si="95"/>
        <v>40962</v>
      </c>
      <c r="C1152" s="9" t="s">
        <v>356</v>
      </c>
      <c r="D1152">
        <v>10021270645</v>
      </c>
      <c r="E1152" t="s">
        <v>47</v>
      </c>
      <c r="F1152" t="s">
        <v>230</v>
      </c>
      <c r="G1152" t="s">
        <v>231</v>
      </c>
      <c r="H1152" t="s">
        <v>1186</v>
      </c>
      <c r="I1152" t="s">
        <v>1187</v>
      </c>
      <c r="J1152" t="s">
        <v>668</v>
      </c>
      <c r="K1152" s="3">
        <v>100314670769</v>
      </c>
      <c r="L1152" s="10">
        <v>40964</v>
      </c>
      <c r="M1152">
        <v>288.9</v>
      </c>
      <c r="N1152" s="11">
        <v>42</v>
      </c>
      <c r="O1152" s="12">
        <v>6.98</v>
      </c>
      <c r="P1152" s="12">
        <v>1.6</v>
      </c>
      <c r="Q1152" s="13">
        <v>96.34</v>
      </c>
      <c r="R1152" s="36" t="s">
        <v>1417</v>
      </c>
      <c r="S1152" s="7">
        <f t="shared" si="90"/>
        <v>2</v>
      </c>
      <c r="T1152" s="15" t="str">
        <f>VLOOKUP(R1152,产品分类!$C$2:$D$1278,2,0)</f>
        <v>数码电子</v>
      </c>
    </row>
    <row r="1153" spans="1:20">
      <c r="A1153" s="8">
        <f>DATE(2012,12,31)-254</f>
        <v>41020</v>
      </c>
      <c r="B1153" s="8">
        <f>DATE(2012,12,31)-254</f>
        <v>41020</v>
      </c>
      <c r="C1153" s="9" t="s">
        <v>450</v>
      </c>
      <c r="D1153">
        <v>10021442876</v>
      </c>
      <c r="E1153" t="s">
        <v>47</v>
      </c>
      <c r="F1153" t="s">
        <v>114</v>
      </c>
      <c r="G1153" t="s">
        <v>115</v>
      </c>
      <c r="H1153" t="s">
        <v>1242</v>
      </c>
      <c r="I1153" t="s">
        <v>1243</v>
      </c>
      <c r="J1153" t="s">
        <v>668</v>
      </c>
      <c r="K1153" s="3">
        <v>100732627055</v>
      </c>
      <c r="L1153" s="10">
        <v>41020</v>
      </c>
      <c r="M1153">
        <v>715.4</v>
      </c>
      <c r="N1153" s="11">
        <v>24</v>
      </c>
      <c r="O1153" s="12">
        <v>30.98</v>
      </c>
      <c r="P1153" s="12">
        <v>4</v>
      </c>
      <c r="Q1153" s="13">
        <v>-99.34</v>
      </c>
      <c r="R1153" s="36" t="s">
        <v>1418</v>
      </c>
      <c r="S1153" s="7">
        <f t="shared" si="90"/>
        <v>0</v>
      </c>
      <c r="T1153" s="15" t="str">
        <f>VLOOKUP(R1153,产品分类!$C$2:$D$1278,2,0)</f>
        <v>家具产品</v>
      </c>
    </row>
    <row r="1154" spans="1:20">
      <c r="A1154" s="8">
        <f>DATE(2012,12,31)-491</f>
        <v>40783</v>
      </c>
      <c r="B1154" s="8">
        <f>DATE(2012,12,31)-491</f>
        <v>40783</v>
      </c>
      <c r="C1154" s="9" t="s">
        <v>425</v>
      </c>
      <c r="D1154">
        <v>10021372644</v>
      </c>
      <c r="E1154" t="s">
        <v>47</v>
      </c>
      <c r="F1154" t="s">
        <v>91</v>
      </c>
      <c r="G1154" t="s">
        <v>92</v>
      </c>
      <c r="H1154" t="s">
        <v>1412</v>
      </c>
      <c r="I1154" t="s">
        <v>1413</v>
      </c>
      <c r="J1154" t="s">
        <v>668</v>
      </c>
      <c r="K1154" s="3">
        <v>1001276447</v>
      </c>
      <c r="L1154" s="10">
        <v>40784</v>
      </c>
      <c r="M1154">
        <v>1266.72</v>
      </c>
      <c r="N1154" s="11">
        <v>4</v>
      </c>
      <c r="O1154" s="12">
        <v>300.98</v>
      </c>
      <c r="P1154" s="12">
        <v>64.73</v>
      </c>
      <c r="Q1154" s="13">
        <v>-268.36</v>
      </c>
      <c r="R1154" s="36" t="s">
        <v>1063</v>
      </c>
      <c r="S1154" s="7">
        <f t="shared" si="90"/>
        <v>1</v>
      </c>
      <c r="T1154" s="15" t="str">
        <f>VLOOKUP(R1154,产品分类!$C$2:$D$1278,2,0)</f>
        <v>办公用品</v>
      </c>
    </row>
    <row r="1155" spans="1:20">
      <c r="A1155" s="16">
        <f>DATE(2012,12,31)-878</f>
        <v>40396</v>
      </c>
      <c r="B1155" s="16">
        <f>DATE(2012,12,31)-878</f>
        <v>40396</v>
      </c>
      <c r="C1155" s="9" t="s">
        <v>1419</v>
      </c>
      <c r="D1155">
        <v>10021277747</v>
      </c>
      <c r="E1155" t="s">
        <v>47</v>
      </c>
      <c r="F1155" t="s">
        <v>91</v>
      </c>
      <c r="G1155" t="s">
        <v>92</v>
      </c>
      <c r="H1155" t="s">
        <v>1412</v>
      </c>
      <c r="I1155" t="s">
        <v>1413</v>
      </c>
      <c r="J1155" t="s">
        <v>668</v>
      </c>
      <c r="K1155" s="3">
        <v>100431952433</v>
      </c>
      <c r="L1155" s="10">
        <v>40400</v>
      </c>
      <c r="M1155">
        <v>22.07</v>
      </c>
      <c r="N1155" s="17">
        <v>2</v>
      </c>
      <c r="O1155" s="5">
        <v>5.98</v>
      </c>
      <c r="P1155" s="5">
        <v>10.39</v>
      </c>
      <c r="Q1155" s="6">
        <v>-15.45</v>
      </c>
      <c r="R1155" s="37" t="s">
        <v>1123</v>
      </c>
      <c r="S1155" s="7">
        <f t="shared" ref="S1155:S1218" si="96">+L1155-B1155</f>
        <v>4</v>
      </c>
      <c r="T1155" s="15" t="str">
        <f>VLOOKUP(R1155,产品分类!$C$2:$D$1278,2,0)</f>
        <v>数码电子</v>
      </c>
    </row>
    <row r="1156" spans="1:20">
      <c r="A1156" s="8">
        <f>DATE(2012,12,31)-459</f>
        <v>40815</v>
      </c>
      <c r="B1156" s="8">
        <f>DATE(2012,12,31)-459</f>
        <v>40815</v>
      </c>
      <c r="C1156" s="9" t="s">
        <v>867</v>
      </c>
      <c r="D1156">
        <v>10021401695</v>
      </c>
      <c r="E1156" t="s">
        <v>47</v>
      </c>
      <c r="F1156" t="s">
        <v>132</v>
      </c>
      <c r="G1156" t="s">
        <v>133</v>
      </c>
      <c r="H1156" t="s">
        <v>134</v>
      </c>
      <c r="I1156" t="s">
        <v>133</v>
      </c>
      <c r="J1156" t="s">
        <v>668</v>
      </c>
      <c r="K1156" s="3">
        <v>100132932597</v>
      </c>
      <c r="L1156" s="10">
        <v>40817</v>
      </c>
      <c r="M1156">
        <v>368.04</v>
      </c>
      <c r="N1156" s="11">
        <v>19</v>
      </c>
      <c r="O1156" s="12">
        <v>19.98</v>
      </c>
      <c r="P1156" s="12">
        <v>5.97</v>
      </c>
      <c r="Q1156" s="13">
        <v>70.39</v>
      </c>
      <c r="R1156" s="36" t="s">
        <v>1420</v>
      </c>
      <c r="S1156" s="7">
        <f t="shared" si="96"/>
        <v>2</v>
      </c>
      <c r="T1156" s="15" t="str">
        <f>VLOOKUP(R1156,产品分类!$C$2:$D$1278,2,0)</f>
        <v>家具产品</v>
      </c>
    </row>
    <row r="1157" spans="1:20">
      <c r="A1157" s="8">
        <f>DATE(2012,12,31)-459</f>
        <v>40815</v>
      </c>
      <c r="B1157" s="8">
        <f>DATE(2012,12,31)-459</f>
        <v>40815</v>
      </c>
      <c r="C1157" s="9" t="s">
        <v>867</v>
      </c>
      <c r="D1157">
        <v>10021378200</v>
      </c>
      <c r="E1157" t="s">
        <v>47</v>
      </c>
      <c r="F1157" t="s">
        <v>102</v>
      </c>
      <c r="G1157" t="s">
        <v>103</v>
      </c>
      <c r="H1157" t="s">
        <v>1217</v>
      </c>
      <c r="I1157" t="s">
        <v>1218</v>
      </c>
      <c r="J1157" t="s">
        <v>668</v>
      </c>
      <c r="K1157" s="3">
        <v>100731964025</v>
      </c>
      <c r="L1157" s="10">
        <v>40816</v>
      </c>
      <c r="M1157">
        <v>152.6</v>
      </c>
      <c r="N1157" s="11">
        <v>24</v>
      </c>
      <c r="O1157" s="12">
        <v>6.48</v>
      </c>
      <c r="P1157" s="12">
        <v>7.03</v>
      </c>
      <c r="Q1157" s="13">
        <v>-86.62</v>
      </c>
      <c r="R1157" s="36" t="s">
        <v>1421</v>
      </c>
      <c r="S1157" s="7">
        <f t="shared" si="96"/>
        <v>1</v>
      </c>
      <c r="T1157" s="15" t="str">
        <f>VLOOKUP(R1157,产品分类!$C$2:$D$1278,2,0)</f>
        <v>办公用品</v>
      </c>
    </row>
    <row r="1158" spans="1:20">
      <c r="A1158" s="8">
        <f>DATE(2012,12,31)-1357</f>
        <v>39917</v>
      </c>
      <c r="B1158" s="8">
        <f>DATE(2012,12,31)-1357</f>
        <v>39917</v>
      </c>
      <c r="C1158" s="9" t="s">
        <v>1422</v>
      </c>
      <c r="D1158">
        <v>10021363358</v>
      </c>
      <c r="E1158" t="s">
        <v>47</v>
      </c>
      <c r="F1158" t="s">
        <v>102</v>
      </c>
      <c r="G1158" t="s">
        <v>103</v>
      </c>
      <c r="H1158" t="s">
        <v>1217</v>
      </c>
      <c r="I1158" t="s">
        <v>1218</v>
      </c>
      <c r="J1158" t="s">
        <v>668</v>
      </c>
      <c r="K1158" s="3">
        <v>100429876044</v>
      </c>
      <c r="L1158" s="10">
        <v>39919</v>
      </c>
      <c r="M1158">
        <v>1003.71</v>
      </c>
      <c r="N1158" s="11">
        <v>33</v>
      </c>
      <c r="O1158" s="12">
        <v>29.1</v>
      </c>
      <c r="P1158" s="12">
        <v>4</v>
      </c>
      <c r="Q1158" s="13">
        <v>-22.82</v>
      </c>
      <c r="R1158" s="36" t="s">
        <v>1423</v>
      </c>
      <c r="S1158" s="7">
        <f t="shared" si="96"/>
        <v>2</v>
      </c>
      <c r="T1158" s="15" t="str">
        <f>VLOOKUP(R1158,产品分类!$C$2:$D$1278,2,0)</f>
        <v>数码电子</v>
      </c>
    </row>
    <row r="1159" spans="1:20">
      <c r="A1159" s="8">
        <f>DATE(2012,12,31)-1357</f>
        <v>39917</v>
      </c>
      <c r="B1159" s="8">
        <f>DATE(2012,12,31)-1357</f>
        <v>39917</v>
      </c>
      <c r="C1159" s="9" t="s">
        <v>1422</v>
      </c>
      <c r="D1159">
        <v>10021392322</v>
      </c>
      <c r="E1159" t="s">
        <v>47</v>
      </c>
      <c r="F1159" t="s">
        <v>171</v>
      </c>
      <c r="G1159" t="s">
        <v>172</v>
      </c>
      <c r="H1159" t="s">
        <v>933</v>
      </c>
      <c r="I1159" t="s">
        <v>934</v>
      </c>
      <c r="J1159" t="s">
        <v>668</v>
      </c>
      <c r="K1159" s="3">
        <v>100117241357</v>
      </c>
      <c r="L1159" s="10">
        <v>39918</v>
      </c>
      <c r="M1159">
        <v>4212.752</v>
      </c>
      <c r="N1159" s="11">
        <v>18</v>
      </c>
      <c r="O1159" s="12">
        <v>296.18</v>
      </c>
      <c r="P1159" s="12">
        <v>54.12</v>
      </c>
      <c r="Q1159" s="13">
        <v>-715.778206</v>
      </c>
      <c r="R1159" s="36" t="s">
        <v>372</v>
      </c>
      <c r="S1159" s="7">
        <f t="shared" si="96"/>
        <v>1</v>
      </c>
      <c r="T1159" s="15" t="str">
        <f>VLOOKUP(R1159,产品分类!$C$2:$D$1278,2,0)</f>
        <v>办公用品</v>
      </c>
    </row>
    <row r="1160" spans="1:20">
      <c r="A1160" s="8">
        <f>DATE(2012,12,31)-262</f>
        <v>41012</v>
      </c>
      <c r="B1160" s="8">
        <f>DATE(2012,12,31)-262</f>
        <v>41012</v>
      </c>
      <c r="C1160" s="9" t="s">
        <v>1424</v>
      </c>
      <c r="D1160">
        <v>10021400871</v>
      </c>
      <c r="E1160" t="s">
        <v>47</v>
      </c>
      <c r="F1160" t="s">
        <v>171</v>
      </c>
      <c r="G1160" t="s">
        <v>172</v>
      </c>
      <c r="H1160" t="s">
        <v>933</v>
      </c>
      <c r="I1160" t="s">
        <v>934</v>
      </c>
      <c r="J1160" t="s">
        <v>668</v>
      </c>
      <c r="K1160" s="3">
        <v>100929863111</v>
      </c>
      <c r="L1160" s="10">
        <v>41014</v>
      </c>
      <c r="M1160">
        <v>1307</v>
      </c>
      <c r="N1160" s="11">
        <v>24</v>
      </c>
      <c r="O1160" s="12">
        <v>54.48</v>
      </c>
      <c r="P1160" s="12">
        <v>0.99</v>
      </c>
      <c r="Q1160" s="13">
        <v>428.99</v>
      </c>
      <c r="R1160" s="36" t="s">
        <v>1425</v>
      </c>
      <c r="S1160" s="7">
        <f t="shared" si="96"/>
        <v>2</v>
      </c>
      <c r="T1160" s="15" t="str">
        <f>VLOOKUP(R1160,产品分类!$C$2:$D$1278,2,0)</f>
        <v>家具产品</v>
      </c>
    </row>
    <row r="1161" spans="1:20">
      <c r="A1161" s="8">
        <f>DATE(2012,12,31)-262</f>
        <v>41012</v>
      </c>
      <c r="B1161" s="8">
        <f>DATE(2012,12,31)-262</f>
        <v>41012</v>
      </c>
      <c r="C1161" s="9" t="s">
        <v>1424</v>
      </c>
      <c r="D1161">
        <v>10021305551</v>
      </c>
      <c r="E1161" t="s">
        <v>47</v>
      </c>
      <c r="F1161" t="s">
        <v>167</v>
      </c>
      <c r="G1161" t="s">
        <v>168</v>
      </c>
      <c r="H1161" t="s">
        <v>169</v>
      </c>
      <c r="I1161" t="s">
        <v>168</v>
      </c>
      <c r="J1161" t="s">
        <v>668</v>
      </c>
      <c r="K1161" s="3">
        <v>100814012642</v>
      </c>
      <c r="L1161" s="10">
        <v>41013</v>
      </c>
      <c r="M1161">
        <v>41.39</v>
      </c>
      <c r="N1161" s="11">
        <v>22</v>
      </c>
      <c r="O1161" s="12">
        <v>1.88</v>
      </c>
      <c r="P1161" s="12">
        <v>1.49</v>
      </c>
      <c r="Q1161" s="13">
        <v>-12.0175</v>
      </c>
      <c r="R1161" s="36" t="s">
        <v>1426</v>
      </c>
      <c r="S1161" s="7">
        <f t="shared" si="96"/>
        <v>1</v>
      </c>
      <c r="T1161" s="15" t="str">
        <f>VLOOKUP(R1161,产品分类!$C$2:$D$1278,2,0)</f>
        <v>办公用品</v>
      </c>
    </row>
    <row r="1162" spans="1:20">
      <c r="A1162" s="8">
        <f>DATE(2012,12,31)-138</f>
        <v>41136</v>
      </c>
      <c r="B1162" s="8">
        <f>DATE(2012,12,31)-138</f>
        <v>41136</v>
      </c>
      <c r="C1162" s="9" t="s">
        <v>1427</v>
      </c>
      <c r="D1162">
        <v>10021397996</v>
      </c>
      <c r="E1162" t="s">
        <v>47</v>
      </c>
      <c r="F1162" t="s">
        <v>127</v>
      </c>
      <c r="G1162" t="s">
        <v>128</v>
      </c>
      <c r="H1162" t="s">
        <v>1366</v>
      </c>
      <c r="I1162" t="s">
        <v>1367</v>
      </c>
      <c r="J1162" t="s">
        <v>668</v>
      </c>
      <c r="K1162" s="3">
        <v>10032130419</v>
      </c>
      <c r="L1162" s="10">
        <v>41139</v>
      </c>
      <c r="M1162">
        <v>218.77</v>
      </c>
      <c r="N1162" s="11">
        <v>38</v>
      </c>
      <c r="O1162" s="12">
        <v>5.4</v>
      </c>
      <c r="P1162" s="12">
        <v>7.78</v>
      </c>
      <c r="Q1162" s="13">
        <v>-188.1285</v>
      </c>
      <c r="R1162" s="36" t="s">
        <v>200</v>
      </c>
      <c r="S1162" s="7">
        <f t="shared" si="96"/>
        <v>3</v>
      </c>
      <c r="T1162" s="15" t="str">
        <f>VLOOKUP(R1162,产品分类!$C$2:$D$1278,2,0)</f>
        <v>数码电子</v>
      </c>
    </row>
    <row r="1163" spans="1:20">
      <c r="A1163" s="16">
        <f>DATE(2012,12,31)-702</f>
        <v>40572</v>
      </c>
      <c r="B1163" s="16">
        <f>DATE(2012,12,31)-702</f>
        <v>40572</v>
      </c>
      <c r="C1163" s="9" t="s">
        <v>1428</v>
      </c>
      <c r="D1163">
        <v>10021438609</v>
      </c>
      <c r="E1163" t="s">
        <v>47</v>
      </c>
      <c r="F1163" t="s">
        <v>342</v>
      </c>
      <c r="G1163" t="s">
        <v>343</v>
      </c>
      <c r="H1163" t="s">
        <v>344</v>
      </c>
      <c r="I1163" t="s">
        <v>345</v>
      </c>
      <c r="J1163" t="s">
        <v>668</v>
      </c>
      <c r="K1163" s="3">
        <v>100132973538</v>
      </c>
      <c r="L1163" s="10">
        <v>40574</v>
      </c>
      <c r="M1163">
        <v>76.36</v>
      </c>
      <c r="N1163" s="17">
        <v>11</v>
      </c>
      <c r="O1163" s="5">
        <v>6.48</v>
      </c>
      <c r="P1163" s="5">
        <v>8.74</v>
      </c>
      <c r="Q1163" s="6">
        <v>-58.4</v>
      </c>
      <c r="R1163" s="37" t="s">
        <v>194</v>
      </c>
      <c r="S1163" s="7">
        <f t="shared" si="96"/>
        <v>2</v>
      </c>
      <c r="T1163" s="15" t="str">
        <f>VLOOKUP(R1163,产品分类!$C$2:$D$1278,2,0)</f>
        <v>办公用品</v>
      </c>
    </row>
    <row r="1164" spans="1:20">
      <c r="A1164" s="8">
        <f>DATE(2012,12,31)-702</f>
        <v>40572</v>
      </c>
      <c r="B1164" s="8">
        <f>DATE(2012,12,31)-702</f>
        <v>40572</v>
      </c>
      <c r="C1164" s="9" t="s">
        <v>1428</v>
      </c>
      <c r="D1164">
        <v>10021376568</v>
      </c>
      <c r="E1164" t="s">
        <v>47</v>
      </c>
      <c r="F1164" t="s">
        <v>61</v>
      </c>
      <c r="G1164" t="s">
        <v>62</v>
      </c>
      <c r="H1164" t="s">
        <v>1369</v>
      </c>
      <c r="I1164" t="s">
        <v>1370</v>
      </c>
      <c r="J1164" t="s">
        <v>668</v>
      </c>
      <c r="K1164" s="3">
        <v>10098516631</v>
      </c>
      <c r="L1164" s="10">
        <v>40574</v>
      </c>
      <c r="M1164">
        <v>309.9015</v>
      </c>
      <c r="N1164" s="11">
        <v>3</v>
      </c>
      <c r="O1164" s="12">
        <v>125.99</v>
      </c>
      <c r="P1164" s="12">
        <v>7.69</v>
      </c>
      <c r="Q1164" s="13">
        <v>-558.415</v>
      </c>
      <c r="R1164" s="36" t="s">
        <v>903</v>
      </c>
      <c r="S1164" s="7">
        <f t="shared" si="96"/>
        <v>2</v>
      </c>
      <c r="T1164" s="15" t="str">
        <f>VLOOKUP(R1164,产品分类!$C$2:$D$1278,2,0)</f>
        <v>家具产品</v>
      </c>
    </row>
    <row r="1165" spans="1:20">
      <c r="A1165" s="8">
        <f>DATE(2012,12,31)-535</f>
        <v>40739</v>
      </c>
      <c r="B1165" s="8">
        <f>DATE(2012,12,31)-535</f>
        <v>40739</v>
      </c>
      <c r="C1165" s="9" t="s">
        <v>1429</v>
      </c>
      <c r="D1165">
        <v>10021378682</v>
      </c>
      <c r="E1165" t="s">
        <v>47</v>
      </c>
      <c r="F1165" t="s">
        <v>61</v>
      </c>
      <c r="G1165" t="s">
        <v>62</v>
      </c>
      <c r="H1165" t="s">
        <v>1369</v>
      </c>
      <c r="I1165" t="s">
        <v>1370</v>
      </c>
      <c r="J1165" t="s">
        <v>668</v>
      </c>
      <c r="K1165" s="3">
        <v>100128208037</v>
      </c>
      <c r="L1165" s="10">
        <v>40741</v>
      </c>
      <c r="M1165">
        <v>163.78</v>
      </c>
      <c r="N1165" s="11">
        <v>9</v>
      </c>
      <c r="O1165" s="12">
        <v>17.98</v>
      </c>
      <c r="P1165" s="12">
        <v>8.51</v>
      </c>
      <c r="Q1165" s="13">
        <v>-43.0302</v>
      </c>
      <c r="R1165" s="36" t="s">
        <v>1430</v>
      </c>
      <c r="S1165" s="7">
        <f t="shared" si="96"/>
        <v>2</v>
      </c>
      <c r="T1165" s="15" t="str">
        <f>VLOOKUP(R1165,产品分类!$C$2:$D$1278,2,0)</f>
        <v>办公用品</v>
      </c>
    </row>
    <row r="1166" spans="1:20">
      <c r="A1166" s="16">
        <f>DATE(2012,12,31)-535</f>
        <v>40739</v>
      </c>
      <c r="B1166" s="16">
        <f>DATE(2012,12,31)-535</f>
        <v>40739</v>
      </c>
      <c r="C1166" s="9" t="s">
        <v>1429</v>
      </c>
      <c r="D1166">
        <v>10021310600</v>
      </c>
      <c r="E1166" t="s">
        <v>47</v>
      </c>
      <c r="F1166" t="s">
        <v>152</v>
      </c>
      <c r="G1166" t="s">
        <v>153</v>
      </c>
      <c r="H1166" t="s">
        <v>1136</v>
      </c>
      <c r="I1166" t="s">
        <v>1137</v>
      </c>
      <c r="J1166" t="s">
        <v>668</v>
      </c>
      <c r="K1166" s="3">
        <v>100124246967</v>
      </c>
      <c r="L1166" s="10">
        <v>40746</v>
      </c>
      <c r="M1166">
        <v>84.64</v>
      </c>
      <c r="N1166" s="17">
        <v>8</v>
      </c>
      <c r="O1166" s="5">
        <v>8.62</v>
      </c>
      <c r="P1166" s="5">
        <v>4.5</v>
      </c>
      <c r="Q1166" s="6">
        <v>-9.29</v>
      </c>
      <c r="R1166" s="37" t="s">
        <v>1431</v>
      </c>
      <c r="S1166" s="7">
        <f t="shared" si="96"/>
        <v>7</v>
      </c>
      <c r="T1166" s="15" t="str">
        <f>VLOOKUP(R1166,产品分类!$C$2:$D$1278,2,0)</f>
        <v>办公用品</v>
      </c>
    </row>
    <row r="1167" spans="1:20">
      <c r="A1167" s="8">
        <f>DATE(2012,12,31)-741</f>
        <v>40533</v>
      </c>
      <c r="B1167" s="8">
        <f>DATE(2012,12,31)-741</f>
        <v>40533</v>
      </c>
      <c r="C1167" s="9" t="s">
        <v>555</v>
      </c>
      <c r="D1167">
        <v>10021257188</v>
      </c>
      <c r="E1167" t="s">
        <v>47</v>
      </c>
      <c r="F1167" t="s">
        <v>66</v>
      </c>
      <c r="G1167" t="s">
        <v>67</v>
      </c>
      <c r="H1167" t="s">
        <v>68</v>
      </c>
      <c r="I1167" t="s">
        <v>69</v>
      </c>
      <c r="J1167" t="s">
        <v>668</v>
      </c>
      <c r="K1167" s="3">
        <v>100117072328</v>
      </c>
      <c r="L1167" s="10">
        <v>40534</v>
      </c>
      <c r="M1167">
        <v>729.92</v>
      </c>
      <c r="N1167" s="11">
        <v>33</v>
      </c>
      <c r="O1167" s="12">
        <v>20.95</v>
      </c>
      <c r="P1167" s="12">
        <v>4</v>
      </c>
      <c r="Q1167" s="13">
        <v>99.31</v>
      </c>
      <c r="R1167" s="36" t="s">
        <v>1324</v>
      </c>
      <c r="S1167" s="7">
        <f t="shared" si="96"/>
        <v>1</v>
      </c>
      <c r="T1167" s="15" t="str">
        <f>VLOOKUP(R1167,产品分类!$C$2:$D$1278,2,0)</f>
        <v>家具产品</v>
      </c>
    </row>
    <row r="1168" spans="1:20">
      <c r="A1168" s="8">
        <f>DATE(2012,12,31)-1293</f>
        <v>39981</v>
      </c>
      <c r="B1168" s="8">
        <f>DATE(2012,12,31)-1293</f>
        <v>39981</v>
      </c>
      <c r="C1168" s="9" t="s">
        <v>1432</v>
      </c>
      <c r="D1168">
        <v>10021300825</v>
      </c>
      <c r="E1168" t="s">
        <v>47</v>
      </c>
      <c r="F1168" t="s">
        <v>48</v>
      </c>
      <c r="G1168" t="s">
        <v>49</v>
      </c>
      <c r="H1168" t="s">
        <v>1433</v>
      </c>
      <c r="I1168" t="s">
        <v>1434</v>
      </c>
      <c r="J1168" t="s">
        <v>668</v>
      </c>
      <c r="K1168" s="3">
        <v>100829708752</v>
      </c>
      <c r="L1168" s="10">
        <v>39985</v>
      </c>
      <c r="M1168">
        <v>113.75</v>
      </c>
      <c r="N1168" s="11">
        <v>25</v>
      </c>
      <c r="O1168" s="12">
        <v>4.13</v>
      </c>
      <c r="P1168" s="12">
        <v>5.34</v>
      </c>
      <c r="Q1168" s="13">
        <v>-77.3375</v>
      </c>
      <c r="R1168" s="36" t="s">
        <v>612</v>
      </c>
      <c r="S1168" s="7">
        <f t="shared" si="96"/>
        <v>4</v>
      </c>
      <c r="T1168" s="15" t="str">
        <f>VLOOKUP(R1168,产品分类!$C$2:$D$1278,2,0)</f>
        <v>办公用品</v>
      </c>
    </row>
    <row r="1169" spans="1:20">
      <c r="A1169" s="8">
        <f>DATE(2012,12,31)-1293</f>
        <v>39981</v>
      </c>
      <c r="B1169" s="8">
        <f>DATE(2012,12,31)-1293</f>
        <v>39981</v>
      </c>
      <c r="C1169" s="9" t="s">
        <v>1432</v>
      </c>
      <c r="D1169">
        <v>10021428353</v>
      </c>
      <c r="E1169" t="s">
        <v>47</v>
      </c>
      <c r="F1169" t="s">
        <v>66</v>
      </c>
      <c r="G1169" t="s">
        <v>67</v>
      </c>
      <c r="H1169" t="s">
        <v>1435</v>
      </c>
      <c r="I1169" t="s">
        <v>1436</v>
      </c>
      <c r="J1169" t="s">
        <v>668</v>
      </c>
      <c r="K1169" s="3">
        <v>100431056393</v>
      </c>
      <c r="L1169" s="10">
        <v>39985</v>
      </c>
      <c r="M1169">
        <v>3081.95</v>
      </c>
      <c r="N1169" s="11">
        <v>24</v>
      </c>
      <c r="O1169" s="12">
        <v>130.98</v>
      </c>
      <c r="P1169" s="12">
        <v>54.74</v>
      </c>
      <c r="Q1169" s="13">
        <v>-662.8</v>
      </c>
      <c r="R1169" s="36" t="s">
        <v>142</v>
      </c>
      <c r="S1169" s="7">
        <f t="shared" si="96"/>
        <v>4</v>
      </c>
      <c r="T1169" s="15" t="str">
        <f>VLOOKUP(R1169,产品分类!$C$2:$D$1278,2,0)</f>
        <v>数码电子</v>
      </c>
    </row>
    <row r="1170" spans="1:20">
      <c r="A1170" s="8">
        <f>DATE(2012,12,31)-274</f>
        <v>41000</v>
      </c>
      <c r="B1170" s="8">
        <f>DATE(2012,12,31)-274</f>
        <v>41000</v>
      </c>
      <c r="C1170" s="9" t="s">
        <v>766</v>
      </c>
      <c r="D1170">
        <v>10021428933</v>
      </c>
      <c r="E1170" t="s">
        <v>47</v>
      </c>
      <c r="F1170" t="s">
        <v>66</v>
      </c>
      <c r="G1170" t="s">
        <v>67</v>
      </c>
      <c r="H1170" t="s">
        <v>1435</v>
      </c>
      <c r="I1170" t="s">
        <v>1436</v>
      </c>
      <c r="J1170" t="s">
        <v>668</v>
      </c>
      <c r="K1170" s="3">
        <v>100931351891</v>
      </c>
      <c r="L1170" s="10">
        <v>41002</v>
      </c>
      <c r="M1170">
        <v>51.94</v>
      </c>
      <c r="N1170" s="11">
        <v>4</v>
      </c>
      <c r="O1170" s="12">
        <v>10.01</v>
      </c>
      <c r="P1170" s="12">
        <v>1.99</v>
      </c>
      <c r="Q1170" s="13">
        <v>-12.48</v>
      </c>
      <c r="R1170" s="36" t="s">
        <v>503</v>
      </c>
      <c r="S1170" s="7">
        <f t="shared" si="96"/>
        <v>2</v>
      </c>
      <c r="T1170" s="15" t="str">
        <f>VLOOKUP(R1170,产品分类!$C$2:$D$1278,2,0)</f>
        <v>数码电子</v>
      </c>
    </row>
    <row r="1171" spans="1:20">
      <c r="A1171" s="8">
        <f>DATE(2012,12,31)-1251</f>
        <v>40023</v>
      </c>
      <c r="B1171" s="8">
        <f>DATE(2012,12,31)-1251</f>
        <v>40023</v>
      </c>
      <c r="C1171" s="9" t="s">
        <v>375</v>
      </c>
      <c r="D1171">
        <v>10021346435</v>
      </c>
      <c r="E1171" t="s">
        <v>47</v>
      </c>
      <c r="F1171" t="s">
        <v>66</v>
      </c>
      <c r="G1171" t="s">
        <v>67</v>
      </c>
      <c r="H1171" t="s">
        <v>1435</v>
      </c>
      <c r="I1171" t="s">
        <v>1436</v>
      </c>
      <c r="J1171" t="s">
        <v>668</v>
      </c>
      <c r="K1171" s="3">
        <v>100930596421</v>
      </c>
      <c r="L1171" s="10">
        <v>40026</v>
      </c>
      <c r="M1171">
        <v>185.64</v>
      </c>
      <c r="N1171" s="11">
        <v>25</v>
      </c>
      <c r="O1171" s="12">
        <v>7.45</v>
      </c>
      <c r="P1171" s="12">
        <v>6.28</v>
      </c>
      <c r="Q1171" s="13">
        <v>-69.874</v>
      </c>
      <c r="R1171" s="36" t="s">
        <v>665</v>
      </c>
      <c r="S1171" s="7">
        <f t="shared" si="96"/>
        <v>3</v>
      </c>
      <c r="T1171" s="15" t="str">
        <f>VLOOKUP(R1171,产品分类!$C$2:$D$1278,2,0)</f>
        <v>数码电子</v>
      </c>
    </row>
    <row r="1172" spans="1:20">
      <c r="A1172" s="8">
        <f>DATE(2012,12,31)-1251</f>
        <v>40023</v>
      </c>
      <c r="B1172" s="8">
        <f>DATE(2012,12,31)-1251</f>
        <v>40023</v>
      </c>
      <c r="C1172" s="9" t="s">
        <v>375</v>
      </c>
      <c r="D1172">
        <v>10021415793</v>
      </c>
      <c r="E1172" t="s">
        <v>47</v>
      </c>
      <c r="F1172" t="s">
        <v>78</v>
      </c>
      <c r="G1172" t="s">
        <v>79</v>
      </c>
      <c r="H1172" t="s">
        <v>1264</v>
      </c>
      <c r="I1172" t="s">
        <v>79</v>
      </c>
      <c r="J1172" t="s">
        <v>668</v>
      </c>
      <c r="K1172" s="3">
        <v>100910890921</v>
      </c>
      <c r="L1172" s="10">
        <v>40025</v>
      </c>
      <c r="M1172">
        <v>225.98</v>
      </c>
      <c r="N1172" s="11">
        <v>34</v>
      </c>
      <c r="O1172" s="12">
        <v>6.48</v>
      </c>
      <c r="P1172" s="12">
        <v>7.86</v>
      </c>
      <c r="Q1172" s="13">
        <v>-135.74</v>
      </c>
      <c r="R1172" s="36" t="s">
        <v>957</v>
      </c>
      <c r="S1172" s="7">
        <f t="shared" si="96"/>
        <v>2</v>
      </c>
      <c r="T1172" s="15" t="str">
        <f>VLOOKUP(R1172,产品分类!$C$2:$D$1278,2,0)</f>
        <v>办公用品</v>
      </c>
    </row>
    <row r="1173" spans="1:20">
      <c r="A1173" s="8">
        <f>DATE(2012,12,31)-1452</f>
        <v>39822</v>
      </c>
      <c r="B1173" s="8">
        <f>DATE(2012,12,31)-1452</f>
        <v>39822</v>
      </c>
      <c r="C1173" s="9" t="s">
        <v>1437</v>
      </c>
      <c r="D1173">
        <v>10021262685</v>
      </c>
      <c r="E1173" t="s">
        <v>47</v>
      </c>
      <c r="F1173" t="s">
        <v>78</v>
      </c>
      <c r="G1173" t="s">
        <v>79</v>
      </c>
      <c r="H1173" t="s">
        <v>1264</v>
      </c>
      <c r="I1173" t="s">
        <v>79</v>
      </c>
      <c r="J1173" t="s">
        <v>668</v>
      </c>
      <c r="K1173" s="3">
        <v>100730122255</v>
      </c>
      <c r="L1173" s="10">
        <v>39824</v>
      </c>
      <c r="M1173">
        <v>541.45</v>
      </c>
      <c r="N1173" s="11">
        <v>43</v>
      </c>
      <c r="O1173" s="12">
        <v>11.66</v>
      </c>
      <c r="P1173" s="12">
        <v>8.99</v>
      </c>
      <c r="Q1173" s="13">
        <v>-164.25</v>
      </c>
      <c r="R1173" s="36" t="s">
        <v>963</v>
      </c>
      <c r="S1173" s="7">
        <f t="shared" si="96"/>
        <v>2</v>
      </c>
      <c r="T1173" s="15" t="str">
        <f>VLOOKUP(R1173,产品分类!$C$2:$D$1278,2,0)</f>
        <v>家具产品</v>
      </c>
    </row>
    <row r="1174" spans="1:20">
      <c r="A1174" s="8">
        <f>DATE(2012,12,31)-486</f>
        <v>40788</v>
      </c>
      <c r="B1174" s="8">
        <f>DATE(2012,12,31)-486</f>
        <v>40788</v>
      </c>
      <c r="C1174" s="9" t="s">
        <v>849</v>
      </c>
      <c r="D1174">
        <v>10021252101</v>
      </c>
      <c r="E1174" t="s">
        <v>47</v>
      </c>
      <c r="F1174" t="s">
        <v>78</v>
      </c>
      <c r="G1174" t="s">
        <v>79</v>
      </c>
      <c r="H1174" t="s">
        <v>1264</v>
      </c>
      <c r="I1174" t="s">
        <v>79</v>
      </c>
      <c r="J1174" t="s">
        <v>668</v>
      </c>
      <c r="K1174" s="3">
        <v>100917468131</v>
      </c>
      <c r="L1174" s="10">
        <v>40789</v>
      </c>
      <c r="M1174">
        <v>366.87</v>
      </c>
      <c r="N1174" s="11">
        <v>40</v>
      </c>
      <c r="O1174" s="12">
        <v>9.74</v>
      </c>
      <c r="P1174" s="12">
        <v>5.71</v>
      </c>
      <c r="Q1174" s="13">
        <v>-1.79</v>
      </c>
      <c r="R1174" s="36" t="s">
        <v>1438</v>
      </c>
      <c r="S1174" s="7">
        <f t="shared" si="96"/>
        <v>1</v>
      </c>
      <c r="T1174" s="15" t="str">
        <f>VLOOKUP(R1174,产品分类!$C$2:$D$1278,2,0)</f>
        <v>数码电子</v>
      </c>
    </row>
    <row r="1175" spans="1:20">
      <c r="A1175" s="8">
        <f>DATE(2012,12,31)-650</f>
        <v>40624</v>
      </c>
      <c r="B1175" s="8">
        <f>DATE(2012,12,31)-650</f>
        <v>40624</v>
      </c>
      <c r="C1175" s="9" t="s">
        <v>1439</v>
      </c>
      <c r="D1175">
        <v>10021424158</v>
      </c>
      <c r="E1175" t="s">
        <v>47</v>
      </c>
      <c r="F1175" t="s">
        <v>72</v>
      </c>
      <c r="G1175" t="s">
        <v>73</v>
      </c>
      <c r="H1175" t="s">
        <v>1408</v>
      </c>
      <c r="I1175" t="s">
        <v>1409</v>
      </c>
      <c r="J1175" t="s">
        <v>668</v>
      </c>
      <c r="K1175" s="3">
        <v>100328427719</v>
      </c>
      <c r="L1175" s="10">
        <v>40624</v>
      </c>
      <c r="M1175">
        <v>151.49</v>
      </c>
      <c r="N1175" s="11">
        <v>12</v>
      </c>
      <c r="O1175" s="12">
        <v>11.58</v>
      </c>
      <c r="P1175" s="12">
        <v>6.97</v>
      </c>
      <c r="Q1175" s="13">
        <v>-3.95</v>
      </c>
      <c r="R1175" s="36" t="s">
        <v>1022</v>
      </c>
      <c r="S1175" s="7">
        <f t="shared" si="96"/>
        <v>0</v>
      </c>
      <c r="T1175" s="15" t="str">
        <f>VLOOKUP(R1175,产品分类!$C$2:$D$1278,2,0)</f>
        <v>办公用品</v>
      </c>
    </row>
    <row r="1176" spans="1:20">
      <c r="A1176" s="8">
        <f>DATE(2012,12,31)-650</f>
        <v>40624</v>
      </c>
      <c r="B1176" s="8">
        <f>DATE(2012,12,31)-650</f>
        <v>40624</v>
      </c>
      <c r="C1176" s="9" t="s">
        <v>1439</v>
      </c>
      <c r="D1176">
        <v>10021364062</v>
      </c>
      <c r="E1176" t="s">
        <v>47</v>
      </c>
      <c r="F1176" t="s">
        <v>72</v>
      </c>
      <c r="G1176" t="s">
        <v>73</v>
      </c>
      <c r="H1176" t="s">
        <v>1408</v>
      </c>
      <c r="I1176" t="s">
        <v>1409</v>
      </c>
      <c r="J1176" t="s">
        <v>668</v>
      </c>
      <c r="K1176" s="3">
        <v>10039843169</v>
      </c>
      <c r="L1176" s="10">
        <v>40625</v>
      </c>
      <c r="M1176">
        <v>308.22</v>
      </c>
      <c r="N1176" s="11">
        <v>37</v>
      </c>
      <c r="O1176" s="12">
        <v>7.77</v>
      </c>
      <c r="P1176" s="12">
        <v>9.23</v>
      </c>
      <c r="Q1176" s="13">
        <v>-215.57</v>
      </c>
      <c r="R1176" s="36" t="s">
        <v>1440</v>
      </c>
      <c r="S1176" s="7">
        <f t="shared" si="96"/>
        <v>1</v>
      </c>
      <c r="T1176" s="15" t="str">
        <f>VLOOKUP(R1176,产品分类!$C$2:$D$1278,2,0)</f>
        <v>家具产品</v>
      </c>
    </row>
    <row r="1177" spans="1:20">
      <c r="A1177" s="8">
        <f>DATE(2012,12,31)-772</f>
        <v>40502</v>
      </c>
      <c r="B1177" s="8">
        <f>DATE(2012,12,31)-772</f>
        <v>40502</v>
      </c>
      <c r="C1177" s="9" t="s">
        <v>366</v>
      </c>
      <c r="D1177">
        <v>10021256695</v>
      </c>
      <c r="E1177" t="s">
        <v>47</v>
      </c>
      <c r="F1177" t="s">
        <v>230</v>
      </c>
      <c r="G1177" t="s">
        <v>231</v>
      </c>
      <c r="H1177" t="s">
        <v>1186</v>
      </c>
      <c r="I1177" t="s">
        <v>1187</v>
      </c>
      <c r="J1177" t="s">
        <v>668</v>
      </c>
      <c r="K1177" s="3">
        <v>100925476881</v>
      </c>
      <c r="L1177" s="10">
        <v>40502</v>
      </c>
      <c r="M1177">
        <v>1556.55</v>
      </c>
      <c r="N1177" s="11">
        <v>15</v>
      </c>
      <c r="O1177" s="12">
        <v>105.34</v>
      </c>
      <c r="P1177" s="12">
        <v>24.49</v>
      </c>
      <c r="Q1177" s="13">
        <v>436.02</v>
      </c>
      <c r="R1177" s="36" t="s">
        <v>1441</v>
      </c>
      <c r="S1177" s="7">
        <f t="shared" si="96"/>
        <v>0</v>
      </c>
      <c r="T1177" s="15" t="str">
        <f>VLOOKUP(R1177,产品分类!$C$2:$D$1278,2,0)</f>
        <v>办公用品</v>
      </c>
    </row>
    <row r="1178" spans="1:20">
      <c r="A1178" s="8">
        <f>DATE(2012,12,31)-261</f>
        <v>41013</v>
      </c>
      <c r="B1178" s="8">
        <f>DATE(2012,12,31)-261</f>
        <v>41013</v>
      </c>
      <c r="C1178" s="9" t="s">
        <v>571</v>
      </c>
      <c r="D1178">
        <v>10021280656</v>
      </c>
      <c r="E1178" t="s">
        <v>47</v>
      </c>
      <c r="F1178" t="s">
        <v>230</v>
      </c>
      <c r="G1178" t="s">
        <v>231</v>
      </c>
      <c r="H1178" t="s">
        <v>1186</v>
      </c>
      <c r="I1178" t="s">
        <v>1187</v>
      </c>
      <c r="J1178" t="s">
        <v>668</v>
      </c>
      <c r="K1178" s="3">
        <v>100816067712</v>
      </c>
      <c r="L1178" s="10">
        <v>41014</v>
      </c>
      <c r="M1178">
        <v>72.0035</v>
      </c>
      <c r="N1178" s="11">
        <v>4</v>
      </c>
      <c r="O1178" s="12">
        <v>20.99</v>
      </c>
      <c r="P1178" s="12">
        <v>2.5</v>
      </c>
      <c r="Q1178" s="13">
        <v>-108.075</v>
      </c>
      <c r="R1178" s="36" t="s">
        <v>478</v>
      </c>
      <c r="S1178" s="7">
        <f t="shared" si="96"/>
        <v>1</v>
      </c>
      <c r="T1178" s="15" t="str">
        <f>VLOOKUP(R1178,产品分类!$C$2:$D$1278,2,0)</f>
        <v>办公用品</v>
      </c>
    </row>
    <row r="1179" spans="1:20">
      <c r="A1179" s="8">
        <f>DATE(2012,12,31)-1306</f>
        <v>39968</v>
      </c>
      <c r="B1179" s="8">
        <f>DATE(2012,12,31)-1306</f>
        <v>39968</v>
      </c>
      <c r="C1179" s="9" t="s">
        <v>1358</v>
      </c>
      <c r="D1179">
        <v>10021422617</v>
      </c>
      <c r="E1179" t="s">
        <v>47</v>
      </c>
      <c r="F1179" t="s">
        <v>230</v>
      </c>
      <c r="G1179" t="s">
        <v>231</v>
      </c>
      <c r="H1179" t="s">
        <v>1186</v>
      </c>
      <c r="I1179" t="s">
        <v>1187</v>
      </c>
      <c r="J1179" t="s">
        <v>668</v>
      </c>
      <c r="K1179" s="3">
        <v>100427132933</v>
      </c>
      <c r="L1179" s="10">
        <v>39970</v>
      </c>
      <c r="M1179">
        <v>1289.127</v>
      </c>
      <c r="N1179" s="11">
        <v>13</v>
      </c>
      <c r="O1179" s="12">
        <v>115.99</v>
      </c>
      <c r="P1179" s="12">
        <v>5.92</v>
      </c>
      <c r="Q1179" s="13">
        <v>-16.335</v>
      </c>
      <c r="R1179" s="36" t="s">
        <v>1104</v>
      </c>
      <c r="S1179" s="7">
        <f t="shared" si="96"/>
        <v>2</v>
      </c>
      <c r="T1179" s="15" t="str">
        <f>VLOOKUP(R1179,产品分类!$C$2:$D$1278,2,0)</f>
        <v>办公用品</v>
      </c>
    </row>
    <row r="1180" spans="1:20">
      <c r="A1180" s="8">
        <f>DATE(2012,12,31)-1080</f>
        <v>40194</v>
      </c>
      <c r="B1180" s="8">
        <f>DATE(2012,12,31)-1080</f>
        <v>40194</v>
      </c>
      <c r="C1180" s="9" t="s">
        <v>712</v>
      </c>
      <c r="D1180">
        <v>10021251030</v>
      </c>
      <c r="E1180" t="s">
        <v>47</v>
      </c>
      <c r="F1180" t="s">
        <v>114</v>
      </c>
      <c r="G1180" t="s">
        <v>115</v>
      </c>
      <c r="H1180" t="s">
        <v>1242</v>
      </c>
      <c r="I1180" t="s">
        <v>1243</v>
      </c>
      <c r="J1180" t="s">
        <v>668</v>
      </c>
      <c r="K1180" s="3">
        <v>100116633768</v>
      </c>
      <c r="L1180" s="10">
        <v>40195</v>
      </c>
      <c r="M1180">
        <v>151.05</v>
      </c>
      <c r="N1180" s="11">
        <v>26</v>
      </c>
      <c r="O1180" s="12">
        <v>5.8</v>
      </c>
      <c r="P1180" s="12">
        <v>5.59</v>
      </c>
      <c r="Q1180" s="13">
        <v>-76.1415</v>
      </c>
      <c r="R1180" s="36" t="s">
        <v>1053</v>
      </c>
      <c r="S1180" s="7">
        <f t="shared" si="96"/>
        <v>1</v>
      </c>
      <c r="T1180" s="15" t="str">
        <f>VLOOKUP(R1180,产品分类!$C$2:$D$1278,2,0)</f>
        <v>家具产品</v>
      </c>
    </row>
    <row r="1181" spans="1:20">
      <c r="A1181" s="8">
        <f>DATE(2012,12,31)-1080</f>
        <v>40194</v>
      </c>
      <c r="B1181" s="8">
        <f>DATE(2012,12,31)-1080</f>
        <v>40194</v>
      </c>
      <c r="C1181" s="9" t="s">
        <v>712</v>
      </c>
      <c r="D1181">
        <v>10021430048</v>
      </c>
      <c r="E1181" t="s">
        <v>47</v>
      </c>
      <c r="F1181" t="s">
        <v>91</v>
      </c>
      <c r="G1181" t="s">
        <v>92</v>
      </c>
      <c r="H1181" t="s">
        <v>1412</v>
      </c>
      <c r="I1181" t="s">
        <v>1413</v>
      </c>
      <c r="J1181" t="s">
        <v>668</v>
      </c>
      <c r="K1181" s="3">
        <v>100931895401</v>
      </c>
      <c r="L1181" s="10">
        <v>40195</v>
      </c>
      <c r="M1181">
        <v>133.04</v>
      </c>
      <c r="N1181" s="11">
        <v>13</v>
      </c>
      <c r="O1181" s="12">
        <v>10.35</v>
      </c>
      <c r="P1181" s="12">
        <v>0.99</v>
      </c>
      <c r="Q1181" s="13">
        <v>49.69</v>
      </c>
      <c r="R1181" s="36" t="s">
        <v>1442</v>
      </c>
      <c r="S1181" s="7">
        <f t="shared" si="96"/>
        <v>1</v>
      </c>
      <c r="T1181" s="15" t="str">
        <f>VLOOKUP(R1181,产品分类!$C$2:$D$1278,2,0)</f>
        <v>家具产品</v>
      </c>
    </row>
    <row r="1182" spans="1:20">
      <c r="A1182" s="8">
        <f t="shared" ref="A1182:B1185" si="97">DATE(2012,12,31)-1362</f>
        <v>39912</v>
      </c>
      <c r="B1182" s="8">
        <f t="shared" si="97"/>
        <v>39912</v>
      </c>
      <c r="C1182" s="9" t="s">
        <v>1443</v>
      </c>
      <c r="D1182">
        <v>10021340940</v>
      </c>
      <c r="E1182" t="s">
        <v>47</v>
      </c>
      <c r="F1182" t="s">
        <v>91</v>
      </c>
      <c r="G1182" t="s">
        <v>92</v>
      </c>
      <c r="H1182" t="s">
        <v>1412</v>
      </c>
      <c r="I1182" t="s">
        <v>1413</v>
      </c>
      <c r="J1182" t="s">
        <v>668</v>
      </c>
      <c r="K1182" s="3">
        <v>100926772781</v>
      </c>
      <c r="L1182" s="10">
        <v>39914</v>
      </c>
      <c r="M1182">
        <v>85.85</v>
      </c>
      <c r="N1182" s="11">
        <v>8</v>
      </c>
      <c r="O1182" s="12">
        <v>4.48</v>
      </c>
      <c r="P1182" s="12">
        <v>49</v>
      </c>
      <c r="Q1182" s="13">
        <v>-327.65</v>
      </c>
      <c r="R1182" s="36" t="s">
        <v>337</v>
      </c>
      <c r="S1182" s="7">
        <f t="shared" si="96"/>
        <v>2</v>
      </c>
      <c r="T1182" s="15" t="str">
        <f>VLOOKUP(R1182,产品分类!$C$2:$D$1278,2,0)</f>
        <v>数码电子</v>
      </c>
    </row>
    <row r="1183" spans="1:20">
      <c r="A1183" s="8">
        <f t="shared" si="97"/>
        <v>39912</v>
      </c>
      <c r="B1183" s="8">
        <f t="shared" si="97"/>
        <v>39912</v>
      </c>
      <c r="C1183" s="9" t="s">
        <v>1443</v>
      </c>
      <c r="D1183">
        <v>10021414685</v>
      </c>
      <c r="E1183" t="s">
        <v>47</v>
      </c>
      <c r="F1183" t="s">
        <v>91</v>
      </c>
      <c r="G1183" t="s">
        <v>92</v>
      </c>
      <c r="H1183" t="s">
        <v>1412</v>
      </c>
      <c r="I1183" t="s">
        <v>1413</v>
      </c>
      <c r="J1183" t="s">
        <v>668</v>
      </c>
      <c r="K1183" s="3">
        <v>10015762938</v>
      </c>
      <c r="L1183" s="10">
        <v>39914</v>
      </c>
      <c r="M1183">
        <v>14377.78</v>
      </c>
      <c r="N1183" s="11">
        <v>41</v>
      </c>
      <c r="O1183" s="12">
        <v>350.99</v>
      </c>
      <c r="P1183" s="12">
        <v>39</v>
      </c>
      <c r="Q1183" s="13">
        <v>4161.98</v>
      </c>
      <c r="R1183" s="36" t="s">
        <v>1319</v>
      </c>
      <c r="S1183" s="7">
        <f t="shared" si="96"/>
        <v>2</v>
      </c>
      <c r="T1183" s="15" t="str">
        <f>VLOOKUP(R1183,产品分类!$C$2:$D$1278,2,0)</f>
        <v>家具产品</v>
      </c>
    </row>
    <row r="1184" spans="1:20">
      <c r="A1184" s="8">
        <f t="shared" si="97"/>
        <v>39912</v>
      </c>
      <c r="B1184" s="8">
        <f t="shared" si="97"/>
        <v>39912</v>
      </c>
      <c r="C1184" s="9" t="s">
        <v>1443</v>
      </c>
      <c r="D1184">
        <v>10021426866</v>
      </c>
      <c r="E1184" t="s">
        <v>47</v>
      </c>
      <c r="F1184" t="s">
        <v>91</v>
      </c>
      <c r="G1184" t="s">
        <v>92</v>
      </c>
      <c r="H1184" t="s">
        <v>1412</v>
      </c>
      <c r="I1184" t="s">
        <v>1413</v>
      </c>
      <c r="J1184" t="s">
        <v>668</v>
      </c>
      <c r="K1184" s="3">
        <v>100430292464</v>
      </c>
      <c r="L1184" s="10">
        <v>39914</v>
      </c>
      <c r="M1184">
        <v>994.27</v>
      </c>
      <c r="N1184" s="11">
        <v>26</v>
      </c>
      <c r="O1184" s="12">
        <v>40.98</v>
      </c>
      <c r="P1184" s="12">
        <v>6.5</v>
      </c>
      <c r="Q1184" s="13">
        <v>-127.11</v>
      </c>
      <c r="R1184" s="36" t="s">
        <v>1444</v>
      </c>
      <c r="S1184" s="7">
        <f t="shared" si="96"/>
        <v>2</v>
      </c>
      <c r="T1184" s="15" t="str">
        <f>VLOOKUP(R1184,产品分类!$C$2:$D$1278,2,0)</f>
        <v>数码电子</v>
      </c>
    </row>
    <row r="1185" spans="1:20">
      <c r="A1185" s="8">
        <f t="shared" si="97"/>
        <v>39912</v>
      </c>
      <c r="B1185" s="8">
        <f t="shared" si="97"/>
        <v>39912</v>
      </c>
      <c r="C1185" s="9" t="s">
        <v>1443</v>
      </c>
      <c r="D1185">
        <v>10021415737</v>
      </c>
      <c r="E1185" t="s">
        <v>47</v>
      </c>
      <c r="F1185" t="s">
        <v>127</v>
      </c>
      <c r="G1185" t="s">
        <v>128</v>
      </c>
      <c r="H1185" t="s">
        <v>1366</v>
      </c>
      <c r="I1185" t="s">
        <v>1367</v>
      </c>
      <c r="J1185" t="s">
        <v>668</v>
      </c>
      <c r="K1185" s="3">
        <v>10097777471</v>
      </c>
      <c r="L1185" s="10">
        <v>39913</v>
      </c>
      <c r="M1185">
        <v>9558.65</v>
      </c>
      <c r="N1185" s="11">
        <v>29</v>
      </c>
      <c r="O1185" s="12">
        <v>349.45</v>
      </c>
      <c r="P1185" s="12">
        <v>60</v>
      </c>
      <c r="Q1185" s="13">
        <v>2154.07</v>
      </c>
      <c r="R1185" s="36" t="s">
        <v>1081</v>
      </c>
      <c r="S1185" s="7">
        <f t="shared" si="96"/>
        <v>1</v>
      </c>
      <c r="T1185" s="15" t="str">
        <f>VLOOKUP(R1185,产品分类!$C$2:$D$1278,2,0)</f>
        <v>办公用品</v>
      </c>
    </row>
    <row r="1186" spans="1:20">
      <c r="A1186" s="8">
        <f>DATE(2012,12,31)-85</f>
        <v>41189</v>
      </c>
      <c r="B1186" s="8">
        <f>DATE(2012,12,31)-85</f>
        <v>41189</v>
      </c>
      <c r="C1186" s="9" t="s">
        <v>1445</v>
      </c>
      <c r="D1186">
        <v>10021350208</v>
      </c>
      <c r="E1186" t="s">
        <v>47</v>
      </c>
      <c r="F1186" t="s">
        <v>97</v>
      </c>
      <c r="G1186" t="s">
        <v>98</v>
      </c>
      <c r="H1186" t="s">
        <v>99</v>
      </c>
      <c r="I1186" t="s">
        <v>98</v>
      </c>
      <c r="J1186" t="s">
        <v>668</v>
      </c>
      <c r="K1186" s="3">
        <v>100932037221</v>
      </c>
      <c r="L1186" s="10">
        <v>41191</v>
      </c>
      <c r="M1186">
        <v>1610.76</v>
      </c>
      <c r="N1186" s="11">
        <v>38</v>
      </c>
      <c r="O1186" s="12">
        <v>43.57</v>
      </c>
      <c r="P1186" s="12">
        <v>16.36</v>
      </c>
      <c r="Q1186" s="13">
        <v>-8.67</v>
      </c>
      <c r="R1186" s="36" t="s">
        <v>1446</v>
      </c>
      <c r="S1186" s="7">
        <f t="shared" si="96"/>
        <v>2</v>
      </c>
      <c r="T1186" s="15" t="str">
        <f>VLOOKUP(R1186,产品分类!$C$2:$D$1278,2,0)</f>
        <v>数码电子</v>
      </c>
    </row>
    <row r="1187" spans="1:20">
      <c r="A1187" s="8">
        <f>DATE(2012,12,31)-92</f>
        <v>41182</v>
      </c>
      <c r="B1187" s="8">
        <f>DATE(2012,12,31)-92</f>
        <v>41182</v>
      </c>
      <c r="C1187" s="9" t="s">
        <v>916</v>
      </c>
      <c r="D1187">
        <v>10021388448</v>
      </c>
      <c r="E1187" t="s">
        <v>47</v>
      </c>
      <c r="F1187" t="s">
        <v>97</v>
      </c>
      <c r="G1187" t="s">
        <v>98</v>
      </c>
      <c r="H1187" t="s">
        <v>99</v>
      </c>
      <c r="I1187" t="s">
        <v>98</v>
      </c>
      <c r="J1187" t="s">
        <v>668</v>
      </c>
      <c r="K1187" s="3">
        <v>100128758677</v>
      </c>
      <c r="L1187" s="10">
        <v>41187</v>
      </c>
      <c r="M1187">
        <v>937.8</v>
      </c>
      <c r="N1187" s="11">
        <v>31</v>
      </c>
      <c r="O1187" s="12">
        <v>29.74</v>
      </c>
      <c r="P1187" s="12">
        <v>6.64</v>
      </c>
      <c r="Q1187" s="13">
        <v>27.12</v>
      </c>
      <c r="R1187" s="36" t="s">
        <v>1447</v>
      </c>
      <c r="S1187" s="7">
        <f t="shared" si="96"/>
        <v>5</v>
      </c>
      <c r="T1187" s="15" t="str">
        <f>VLOOKUP(R1187,产品分类!$C$2:$D$1278,2,0)</f>
        <v>数码电子</v>
      </c>
    </row>
    <row r="1188" spans="1:20">
      <c r="A1188" s="8">
        <f>DATE(2012,12,31)-239</f>
        <v>41035</v>
      </c>
      <c r="B1188" s="8">
        <f>DATE(2012,12,31)-239</f>
        <v>41035</v>
      </c>
      <c r="C1188" s="9" t="s">
        <v>1448</v>
      </c>
      <c r="D1188">
        <v>10021386501</v>
      </c>
      <c r="E1188" t="s">
        <v>47</v>
      </c>
      <c r="F1188" t="s">
        <v>304</v>
      </c>
      <c r="G1188" t="s">
        <v>305</v>
      </c>
      <c r="H1188" t="s">
        <v>306</v>
      </c>
      <c r="I1188" t="s">
        <v>307</v>
      </c>
      <c r="J1188" t="s">
        <v>668</v>
      </c>
      <c r="K1188" s="3">
        <v>100910382051</v>
      </c>
      <c r="L1188" s="10">
        <v>41036</v>
      </c>
      <c r="M1188">
        <v>446.06</v>
      </c>
      <c r="N1188" s="11">
        <v>46</v>
      </c>
      <c r="O1188" s="12">
        <v>9.11</v>
      </c>
      <c r="P1188" s="12">
        <v>2.15</v>
      </c>
      <c r="Q1188" s="13">
        <v>161.32</v>
      </c>
      <c r="R1188" s="36" t="s">
        <v>1449</v>
      </c>
      <c r="S1188" s="7">
        <f t="shared" si="96"/>
        <v>1</v>
      </c>
      <c r="T1188" s="15" t="str">
        <f>VLOOKUP(R1188,产品分类!$C$2:$D$1278,2,0)</f>
        <v>家具产品</v>
      </c>
    </row>
    <row r="1189" spans="1:20">
      <c r="A1189" s="16">
        <f>DATE(2012,12,31)-550</f>
        <v>40724</v>
      </c>
      <c r="B1189" s="16">
        <f>DATE(2012,12,31)-550</f>
        <v>40724</v>
      </c>
      <c r="C1189" s="9" t="s">
        <v>686</v>
      </c>
      <c r="D1189">
        <v>10021332966</v>
      </c>
      <c r="E1189" t="s">
        <v>47</v>
      </c>
      <c r="F1189" t="s">
        <v>527</v>
      </c>
      <c r="G1189" t="s">
        <v>528</v>
      </c>
      <c r="H1189" t="s">
        <v>1356</v>
      </c>
      <c r="I1189" t="s">
        <v>1357</v>
      </c>
      <c r="J1189" t="s">
        <v>668</v>
      </c>
      <c r="K1189" s="3">
        <v>100913153521</v>
      </c>
      <c r="L1189" s="10">
        <v>40725</v>
      </c>
      <c r="M1189">
        <v>449.17</v>
      </c>
      <c r="N1189" s="17">
        <v>43</v>
      </c>
      <c r="O1189" s="5">
        <v>9.93</v>
      </c>
      <c r="P1189" s="5">
        <v>1.09</v>
      </c>
      <c r="Q1189" s="6">
        <v>198.83</v>
      </c>
      <c r="R1189" s="37" t="s">
        <v>393</v>
      </c>
      <c r="S1189" s="7">
        <f t="shared" si="96"/>
        <v>1</v>
      </c>
      <c r="T1189" s="15" t="str">
        <f>VLOOKUP(R1189,产品分类!$C$2:$D$1278,2,0)</f>
        <v>数码电子</v>
      </c>
    </row>
    <row r="1190" spans="1:20">
      <c r="A1190" s="16">
        <f>DATE(2012,12,31)-550</f>
        <v>40724</v>
      </c>
      <c r="B1190" s="16">
        <f>DATE(2012,12,31)-550</f>
        <v>40724</v>
      </c>
      <c r="C1190" s="9" t="s">
        <v>686</v>
      </c>
      <c r="D1190">
        <v>10021259226</v>
      </c>
      <c r="E1190" t="s">
        <v>47</v>
      </c>
      <c r="F1190" t="s">
        <v>171</v>
      </c>
      <c r="G1190" t="s">
        <v>172</v>
      </c>
      <c r="H1190" t="s">
        <v>933</v>
      </c>
      <c r="I1190" t="s">
        <v>934</v>
      </c>
      <c r="J1190" t="s">
        <v>668</v>
      </c>
      <c r="K1190" s="3">
        <v>100923914371</v>
      </c>
      <c r="L1190" s="10">
        <v>40725</v>
      </c>
      <c r="M1190">
        <v>79.81</v>
      </c>
      <c r="N1190" s="17">
        <v>38</v>
      </c>
      <c r="O1190" s="5">
        <v>2.21</v>
      </c>
      <c r="P1190" s="5">
        <v>1</v>
      </c>
      <c r="Q1190" s="6">
        <v>5.48</v>
      </c>
      <c r="R1190" s="37" t="s">
        <v>226</v>
      </c>
      <c r="S1190" s="7">
        <f t="shared" si="96"/>
        <v>1</v>
      </c>
      <c r="T1190" s="15" t="str">
        <f>VLOOKUP(R1190,产品分类!$C$2:$D$1278,2,0)</f>
        <v>家具产品</v>
      </c>
    </row>
    <row r="1191" spans="1:20">
      <c r="A1191" s="8">
        <f>DATE(2012,12,31)-1394</f>
        <v>39880</v>
      </c>
      <c r="B1191" s="8">
        <f>DATE(2012,12,31)-1394</f>
        <v>39880</v>
      </c>
      <c r="C1191" s="9" t="s">
        <v>1450</v>
      </c>
      <c r="D1191">
        <v>10021302207</v>
      </c>
      <c r="E1191" t="s">
        <v>47</v>
      </c>
      <c r="F1191" t="s">
        <v>171</v>
      </c>
      <c r="G1191" t="s">
        <v>172</v>
      </c>
      <c r="H1191" t="s">
        <v>933</v>
      </c>
      <c r="I1191" t="s">
        <v>934</v>
      </c>
      <c r="J1191" t="s">
        <v>668</v>
      </c>
      <c r="K1191" s="3">
        <v>100430881703</v>
      </c>
      <c r="L1191" s="10">
        <v>39882</v>
      </c>
      <c r="M1191">
        <v>2451.41</v>
      </c>
      <c r="N1191" s="11">
        <v>50</v>
      </c>
      <c r="O1191" s="12">
        <v>51.98</v>
      </c>
      <c r="P1191" s="12">
        <v>10.17</v>
      </c>
      <c r="Q1191" s="13">
        <v>773.36</v>
      </c>
      <c r="R1191" s="36" t="s">
        <v>1255</v>
      </c>
      <c r="S1191" s="7">
        <f t="shared" si="96"/>
        <v>2</v>
      </c>
      <c r="T1191" s="15" t="str">
        <f>VLOOKUP(R1191,产品分类!$C$2:$D$1278,2,0)</f>
        <v>办公用品</v>
      </c>
    </row>
    <row r="1192" spans="1:20">
      <c r="A1192" s="8">
        <f>DATE(2012,12,31)-1394</f>
        <v>39880</v>
      </c>
      <c r="B1192" s="8">
        <f>DATE(2012,12,31)-1394</f>
        <v>39880</v>
      </c>
      <c r="C1192" s="9" t="s">
        <v>1450</v>
      </c>
      <c r="D1192">
        <v>10021267093</v>
      </c>
      <c r="E1192" t="s">
        <v>47</v>
      </c>
      <c r="F1192" t="s">
        <v>527</v>
      </c>
      <c r="G1192" t="s">
        <v>528</v>
      </c>
      <c r="H1192" t="s">
        <v>1356</v>
      </c>
      <c r="I1192" t="s">
        <v>1357</v>
      </c>
      <c r="J1192" t="s">
        <v>668</v>
      </c>
      <c r="K1192" s="3">
        <v>100732076895</v>
      </c>
      <c r="L1192" s="10">
        <v>39883</v>
      </c>
      <c r="M1192">
        <v>851.24</v>
      </c>
      <c r="N1192" s="11">
        <v>11</v>
      </c>
      <c r="O1192" s="12">
        <v>80.97</v>
      </c>
      <c r="P1192" s="12">
        <v>33.6</v>
      </c>
      <c r="Q1192" s="13">
        <v>-149.4573</v>
      </c>
      <c r="R1192" s="36" t="s">
        <v>1183</v>
      </c>
      <c r="S1192" s="7">
        <f t="shared" si="96"/>
        <v>3</v>
      </c>
      <c r="T1192" s="15" t="str">
        <f>VLOOKUP(R1192,产品分类!$C$2:$D$1278,2,0)</f>
        <v>办公用品</v>
      </c>
    </row>
    <row r="1193" spans="1:20">
      <c r="A1193" s="8">
        <f>DATE(2012,12,31)-1457</f>
        <v>39817</v>
      </c>
      <c r="B1193" s="8">
        <f>DATE(2012,12,31)-1457</f>
        <v>39817</v>
      </c>
      <c r="C1193" s="9" t="s">
        <v>90</v>
      </c>
      <c r="D1193">
        <v>10021294489</v>
      </c>
      <c r="E1193" t="s">
        <v>47</v>
      </c>
      <c r="F1193" t="s">
        <v>171</v>
      </c>
      <c r="G1193" t="s">
        <v>172</v>
      </c>
      <c r="H1193" t="s">
        <v>933</v>
      </c>
      <c r="I1193" t="s">
        <v>934</v>
      </c>
      <c r="J1193" t="s">
        <v>668</v>
      </c>
      <c r="K1193" s="3">
        <v>100114296486</v>
      </c>
      <c r="L1193" s="10">
        <v>39818</v>
      </c>
      <c r="M1193">
        <v>63.34</v>
      </c>
      <c r="N1193" s="11">
        <v>17</v>
      </c>
      <c r="O1193" s="12">
        <v>3.36</v>
      </c>
      <c r="P1193" s="12">
        <v>6.27</v>
      </c>
      <c r="Q1193" s="13">
        <v>-76.015</v>
      </c>
      <c r="R1193" s="36" t="s">
        <v>690</v>
      </c>
      <c r="S1193" s="7">
        <f t="shared" si="96"/>
        <v>1</v>
      </c>
      <c r="T1193" s="15" t="str">
        <f>VLOOKUP(R1193,产品分类!$C$2:$D$1278,2,0)</f>
        <v>办公用品</v>
      </c>
    </row>
    <row r="1194" spans="1:20">
      <c r="A1194" s="8">
        <f>DATE(2012,12,31)-1457</f>
        <v>39817</v>
      </c>
      <c r="B1194" s="8">
        <f>DATE(2012,12,31)-1457</f>
        <v>39817</v>
      </c>
      <c r="C1194" s="9" t="s">
        <v>90</v>
      </c>
      <c r="D1194">
        <v>10021253786</v>
      </c>
      <c r="E1194" t="s">
        <v>47</v>
      </c>
      <c r="F1194" t="s">
        <v>171</v>
      </c>
      <c r="G1194" t="s">
        <v>172</v>
      </c>
      <c r="H1194" t="s">
        <v>933</v>
      </c>
      <c r="I1194" t="s">
        <v>934</v>
      </c>
      <c r="J1194" t="s">
        <v>668</v>
      </c>
      <c r="K1194" s="3">
        <v>100120489737</v>
      </c>
      <c r="L1194" s="10">
        <v>39819</v>
      </c>
      <c r="M1194">
        <v>151.35</v>
      </c>
      <c r="N1194" s="11">
        <v>42</v>
      </c>
      <c r="O1194" s="12">
        <v>3.71</v>
      </c>
      <c r="P1194" s="12">
        <v>1.93</v>
      </c>
      <c r="Q1194" s="13">
        <v>8.33</v>
      </c>
      <c r="R1194" s="36" t="s">
        <v>1451</v>
      </c>
      <c r="S1194" s="7">
        <f t="shared" si="96"/>
        <v>2</v>
      </c>
      <c r="T1194" s="15" t="str">
        <f>VLOOKUP(R1194,产品分类!$C$2:$D$1278,2,0)</f>
        <v>办公用品</v>
      </c>
    </row>
    <row r="1195" spans="1:20">
      <c r="A1195" s="8">
        <f>DATE(2012,12,31)-501</f>
        <v>40773</v>
      </c>
      <c r="B1195" s="8">
        <f>DATE(2012,12,31)-501</f>
        <v>40773</v>
      </c>
      <c r="C1195" s="9" t="s">
        <v>1334</v>
      </c>
      <c r="D1195">
        <v>10021413757</v>
      </c>
      <c r="E1195" t="s">
        <v>47</v>
      </c>
      <c r="F1195" t="s">
        <v>527</v>
      </c>
      <c r="G1195" t="s">
        <v>528</v>
      </c>
      <c r="H1195" t="s">
        <v>1356</v>
      </c>
      <c r="I1195" t="s">
        <v>1357</v>
      </c>
      <c r="J1195" t="s">
        <v>668</v>
      </c>
      <c r="K1195" s="3">
        <v>10012282006</v>
      </c>
      <c r="L1195" s="10">
        <v>40774</v>
      </c>
      <c r="M1195">
        <v>2422.4405</v>
      </c>
      <c r="N1195" s="11">
        <v>44</v>
      </c>
      <c r="O1195" s="12">
        <v>65.99</v>
      </c>
      <c r="P1195" s="12">
        <v>5.31</v>
      </c>
      <c r="Q1195" s="13">
        <v>568.179</v>
      </c>
      <c r="R1195" s="36" t="s">
        <v>1452</v>
      </c>
      <c r="S1195" s="7">
        <f t="shared" si="96"/>
        <v>1</v>
      </c>
      <c r="T1195" s="15" t="str">
        <f>VLOOKUP(R1195,产品分类!$C$2:$D$1278,2,0)</f>
        <v>办公用品</v>
      </c>
    </row>
    <row r="1196" spans="1:20">
      <c r="A1196" s="8">
        <f>DATE(2012,12,31)-436</f>
        <v>40838</v>
      </c>
      <c r="B1196" s="8">
        <f>DATE(2012,12,31)-436</f>
        <v>40838</v>
      </c>
      <c r="C1196" s="9" t="s">
        <v>462</v>
      </c>
      <c r="D1196">
        <v>10021265756</v>
      </c>
      <c r="E1196" t="s">
        <v>47</v>
      </c>
      <c r="F1196" t="s">
        <v>171</v>
      </c>
      <c r="G1196" t="s">
        <v>172</v>
      </c>
      <c r="H1196" t="s">
        <v>933</v>
      </c>
      <c r="I1196" t="s">
        <v>934</v>
      </c>
      <c r="J1196" t="s">
        <v>668</v>
      </c>
      <c r="K1196" s="3">
        <v>100931542591</v>
      </c>
      <c r="L1196" s="10">
        <v>40838</v>
      </c>
      <c r="M1196">
        <v>220.7875</v>
      </c>
      <c r="N1196" s="11">
        <v>5</v>
      </c>
      <c r="O1196" s="12">
        <v>55.99</v>
      </c>
      <c r="P1196" s="12">
        <v>5</v>
      </c>
      <c r="Q1196" s="13">
        <v>-305.316</v>
      </c>
      <c r="R1196" s="36" t="s">
        <v>1453</v>
      </c>
      <c r="S1196" s="7">
        <f t="shared" si="96"/>
        <v>0</v>
      </c>
      <c r="T1196" s="15" t="str">
        <f>VLOOKUP(R1196,产品分类!$C$2:$D$1278,2,0)</f>
        <v>办公用品</v>
      </c>
    </row>
    <row r="1197" spans="1:20">
      <c r="A1197" s="8">
        <f>DATE(2012,12,31)-143</f>
        <v>41131</v>
      </c>
      <c r="B1197" s="8">
        <f>DATE(2012,12,31)-143</f>
        <v>41131</v>
      </c>
      <c r="C1197" s="9" t="s">
        <v>1454</v>
      </c>
      <c r="D1197">
        <v>10021333250</v>
      </c>
      <c r="E1197" t="s">
        <v>47</v>
      </c>
      <c r="F1197" t="s">
        <v>171</v>
      </c>
      <c r="G1197" t="s">
        <v>172</v>
      </c>
      <c r="H1197" t="s">
        <v>933</v>
      </c>
      <c r="I1197" t="s">
        <v>934</v>
      </c>
      <c r="J1197" t="s">
        <v>668</v>
      </c>
      <c r="K1197" s="3">
        <v>10096550491</v>
      </c>
      <c r="L1197" s="10">
        <v>41136</v>
      </c>
      <c r="M1197">
        <v>2593.08</v>
      </c>
      <c r="N1197" s="11">
        <v>32</v>
      </c>
      <c r="O1197" s="12">
        <v>79.52</v>
      </c>
      <c r="P1197" s="12">
        <v>48.2</v>
      </c>
      <c r="Q1197" s="13">
        <v>-673.31</v>
      </c>
      <c r="R1197" s="36" t="s">
        <v>954</v>
      </c>
      <c r="S1197" s="7">
        <f t="shared" si="96"/>
        <v>5</v>
      </c>
      <c r="T1197" s="15" t="str">
        <f>VLOOKUP(R1197,产品分类!$C$2:$D$1278,2,0)</f>
        <v>办公用品</v>
      </c>
    </row>
    <row r="1198" spans="1:20">
      <c r="A1198" s="8">
        <f>DATE(2012,12,31)-143</f>
        <v>41131</v>
      </c>
      <c r="B1198" s="8">
        <f>DATE(2012,12,31)-143</f>
        <v>41131</v>
      </c>
      <c r="C1198" s="9" t="s">
        <v>1454</v>
      </c>
      <c r="D1198">
        <v>10021388749</v>
      </c>
      <c r="E1198" t="s">
        <v>47</v>
      </c>
      <c r="F1198" t="s">
        <v>177</v>
      </c>
      <c r="G1198" t="s">
        <v>178</v>
      </c>
      <c r="H1198" t="s">
        <v>1292</v>
      </c>
      <c r="I1198" t="s">
        <v>1293</v>
      </c>
      <c r="J1198" t="s">
        <v>668</v>
      </c>
      <c r="K1198" s="3">
        <v>100830049482</v>
      </c>
      <c r="L1198" s="10">
        <v>41133</v>
      </c>
      <c r="M1198">
        <v>2529.396</v>
      </c>
      <c r="N1198" s="11">
        <v>25</v>
      </c>
      <c r="O1198" s="12">
        <v>125.99</v>
      </c>
      <c r="P1198" s="12">
        <v>3</v>
      </c>
      <c r="Q1198" s="13">
        <v>371.214</v>
      </c>
      <c r="R1198" s="36" t="s">
        <v>638</v>
      </c>
      <c r="S1198" s="7">
        <f t="shared" si="96"/>
        <v>2</v>
      </c>
      <c r="T1198" s="15" t="str">
        <f>VLOOKUP(R1198,产品分类!$C$2:$D$1278,2,0)</f>
        <v>数码电子</v>
      </c>
    </row>
    <row r="1199" spans="1:20">
      <c r="A1199" s="16">
        <f>DATE(2012,12,31)-700</f>
        <v>40574</v>
      </c>
      <c r="B1199" s="16">
        <f>DATE(2012,12,31)-700</f>
        <v>40574</v>
      </c>
      <c r="C1199" s="9" t="s">
        <v>1455</v>
      </c>
      <c r="D1199">
        <v>10021299608</v>
      </c>
      <c r="E1199" t="s">
        <v>47</v>
      </c>
      <c r="F1199" t="s">
        <v>183</v>
      </c>
      <c r="G1199" t="s">
        <v>184</v>
      </c>
      <c r="H1199" t="s">
        <v>185</v>
      </c>
      <c r="I1199" t="s">
        <v>186</v>
      </c>
      <c r="J1199" t="s">
        <v>668</v>
      </c>
      <c r="K1199" s="3">
        <v>100828387822</v>
      </c>
      <c r="L1199" s="10">
        <v>40576</v>
      </c>
      <c r="M1199">
        <v>1866.12</v>
      </c>
      <c r="N1199" s="17">
        <v>15</v>
      </c>
      <c r="O1199" s="5">
        <v>123.38</v>
      </c>
      <c r="P1199" s="5">
        <v>24.49</v>
      </c>
      <c r="Q1199" s="6">
        <v>400.69</v>
      </c>
      <c r="R1199" s="37" t="s">
        <v>1456</v>
      </c>
      <c r="S1199" s="7">
        <f t="shared" si="96"/>
        <v>2</v>
      </c>
      <c r="T1199" s="15" t="str">
        <f>VLOOKUP(R1199,产品分类!$C$2:$D$1278,2,0)</f>
        <v>数码电子</v>
      </c>
    </row>
    <row r="1200" spans="1:20">
      <c r="A1200" s="8">
        <f>DATE(2012,12,31)-11</f>
        <v>41263</v>
      </c>
      <c r="B1200" s="8">
        <f>DATE(2012,12,31)-11</f>
        <v>41263</v>
      </c>
      <c r="C1200" s="9" t="s">
        <v>1083</v>
      </c>
      <c r="D1200">
        <v>10021388443</v>
      </c>
      <c r="E1200" t="s">
        <v>47</v>
      </c>
      <c r="F1200" t="s">
        <v>127</v>
      </c>
      <c r="G1200" t="s">
        <v>128</v>
      </c>
      <c r="H1200" t="s">
        <v>1366</v>
      </c>
      <c r="I1200" t="s">
        <v>1367</v>
      </c>
      <c r="J1200" t="s">
        <v>668</v>
      </c>
      <c r="K1200" s="3">
        <v>100928722451</v>
      </c>
      <c r="L1200" s="10">
        <v>41264</v>
      </c>
      <c r="M1200">
        <v>1184.11</v>
      </c>
      <c r="N1200" s="11">
        <v>6</v>
      </c>
      <c r="O1200" s="12">
        <v>193.17</v>
      </c>
      <c r="P1200" s="12">
        <v>19.99</v>
      </c>
      <c r="Q1200" s="13">
        <v>-145.07</v>
      </c>
      <c r="R1200" s="36" t="s">
        <v>212</v>
      </c>
      <c r="S1200" s="7">
        <f t="shared" si="96"/>
        <v>1</v>
      </c>
      <c r="T1200" s="15" t="str">
        <f>VLOOKUP(R1200,产品分类!$C$2:$D$1278,2,0)</f>
        <v>家具产品</v>
      </c>
    </row>
    <row r="1201" spans="1:20">
      <c r="A1201" s="8">
        <f>DATE(2012,12,31)-11</f>
        <v>41263</v>
      </c>
      <c r="B1201" s="8">
        <f>DATE(2012,12,31)-11</f>
        <v>41263</v>
      </c>
      <c r="C1201" s="9" t="s">
        <v>1083</v>
      </c>
      <c r="D1201">
        <v>10021280208</v>
      </c>
      <c r="E1201" t="s">
        <v>47</v>
      </c>
      <c r="F1201" t="s">
        <v>342</v>
      </c>
      <c r="G1201" t="s">
        <v>343</v>
      </c>
      <c r="H1201" t="s">
        <v>344</v>
      </c>
      <c r="I1201" t="s">
        <v>345</v>
      </c>
      <c r="J1201" t="s">
        <v>668</v>
      </c>
      <c r="K1201" s="3">
        <v>100912412451</v>
      </c>
      <c r="L1201" s="10">
        <v>41266</v>
      </c>
      <c r="M1201">
        <v>514.22</v>
      </c>
      <c r="N1201" s="11">
        <v>17</v>
      </c>
      <c r="O1201" s="12">
        <v>30.56</v>
      </c>
      <c r="P1201" s="12">
        <v>2.99</v>
      </c>
      <c r="Q1201" s="13">
        <v>187.374</v>
      </c>
      <c r="R1201" s="36" t="s">
        <v>1457</v>
      </c>
      <c r="S1201" s="7">
        <f t="shared" si="96"/>
        <v>3</v>
      </c>
      <c r="T1201" s="15" t="str">
        <f>VLOOKUP(R1201,产品分类!$C$2:$D$1278,2,0)</f>
        <v>办公用品</v>
      </c>
    </row>
    <row r="1202" spans="1:20">
      <c r="A1202" s="8">
        <f>DATE(2012,12,31)-1040</f>
        <v>40234</v>
      </c>
      <c r="B1202" s="8">
        <f>DATE(2012,12,31)-1040</f>
        <v>40234</v>
      </c>
      <c r="C1202" s="9" t="s">
        <v>1247</v>
      </c>
      <c r="D1202">
        <v>10021261662</v>
      </c>
      <c r="E1202" t="s">
        <v>47</v>
      </c>
      <c r="F1202" t="s">
        <v>61</v>
      </c>
      <c r="G1202" t="s">
        <v>62</v>
      </c>
      <c r="H1202" t="s">
        <v>1369</v>
      </c>
      <c r="I1202" t="s">
        <v>1370</v>
      </c>
      <c r="J1202" t="s">
        <v>668</v>
      </c>
      <c r="K1202" s="3">
        <v>100429588143</v>
      </c>
      <c r="L1202" s="10">
        <v>40236</v>
      </c>
      <c r="M1202">
        <v>428.14</v>
      </c>
      <c r="N1202" s="11">
        <v>19</v>
      </c>
      <c r="O1202" s="12">
        <v>22.84</v>
      </c>
      <c r="P1202" s="12">
        <v>11.54</v>
      </c>
      <c r="Q1202" s="13">
        <v>-6.04</v>
      </c>
      <c r="R1202" s="36" t="s">
        <v>218</v>
      </c>
      <c r="S1202" s="7">
        <f t="shared" si="96"/>
        <v>2</v>
      </c>
      <c r="T1202" s="15" t="str">
        <f>VLOOKUP(R1202,产品分类!$C$2:$D$1278,2,0)</f>
        <v>数码电子</v>
      </c>
    </row>
    <row r="1203" spans="1:20">
      <c r="A1203" s="8">
        <f>DATE(2012,12,31)-1040</f>
        <v>40234</v>
      </c>
      <c r="B1203" s="8">
        <f>DATE(2012,12,31)-1040</f>
        <v>40234</v>
      </c>
      <c r="C1203" s="9" t="s">
        <v>1247</v>
      </c>
      <c r="D1203">
        <v>10021331561</v>
      </c>
      <c r="E1203" t="s">
        <v>47</v>
      </c>
      <c r="F1203" t="s">
        <v>61</v>
      </c>
      <c r="G1203" t="s">
        <v>62</v>
      </c>
      <c r="H1203" t="s">
        <v>1369</v>
      </c>
      <c r="I1203" t="s">
        <v>1370</v>
      </c>
      <c r="J1203" t="s">
        <v>668</v>
      </c>
      <c r="K1203" s="3">
        <v>10013989506</v>
      </c>
      <c r="L1203" s="10">
        <v>40241</v>
      </c>
      <c r="M1203">
        <v>1379.3375</v>
      </c>
      <c r="N1203" s="11">
        <v>14</v>
      </c>
      <c r="O1203" s="12">
        <v>125.99</v>
      </c>
      <c r="P1203" s="12">
        <v>4.2</v>
      </c>
      <c r="Q1203" s="13">
        <v>-78.5400000000001</v>
      </c>
      <c r="R1203" s="36" t="s">
        <v>1458</v>
      </c>
      <c r="S1203" s="7">
        <f t="shared" si="96"/>
        <v>7</v>
      </c>
      <c r="T1203" s="15" t="str">
        <f>VLOOKUP(R1203,产品分类!$C$2:$D$1278,2,0)</f>
        <v>家具产品</v>
      </c>
    </row>
    <row r="1204" spans="1:20">
      <c r="A1204" s="8">
        <f>DATE(2012,12,31)-333</f>
        <v>40941</v>
      </c>
      <c r="B1204" s="8">
        <f>DATE(2012,12,31)-333</f>
        <v>40941</v>
      </c>
      <c r="C1204" s="9" t="s">
        <v>1054</v>
      </c>
      <c r="D1204">
        <v>10021254859</v>
      </c>
      <c r="E1204" t="s">
        <v>47</v>
      </c>
      <c r="F1204" t="s">
        <v>55</v>
      </c>
      <c r="G1204" t="s">
        <v>56</v>
      </c>
      <c r="H1204" t="s">
        <v>1331</v>
      </c>
      <c r="I1204" t="s">
        <v>1332</v>
      </c>
      <c r="J1204" t="s">
        <v>668</v>
      </c>
      <c r="K1204" s="3">
        <v>100123108646</v>
      </c>
      <c r="L1204" s="10">
        <v>40945</v>
      </c>
      <c r="M1204">
        <v>647.81</v>
      </c>
      <c r="N1204" s="11">
        <v>39</v>
      </c>
      <c r="O1204" s="12">
        <v>17.67</v>
      </c>
      <c r="P1204" s="12">
        <v>8.99</v>
      </c>
      <c r="Q1204" s="13">
        <v>8.65000000000001</v>
      </c>
      <c r="R1204" s="36" t="s">
        <v>491</v>
      </c>
      <c r="S1204" s="7">
        <f t="shared" si="96"/>
        <v>4</v>
      </c>
      <c r="T1204" s="15" t="str">
        <f>VLOOKUP(R1204,产品分类!$C$2:$D$1278,2,0)</f>
        <v>办公用品</v>
      </c>
    </row>
    <row r="1205" spans="1:20">
      <c r="A1205" s="8">
        <f>DATE(2012,12,31)-241</f>
        <v>41033</v>
      </c>
      <c r="B1205" s="8">
        <f>DATE(2012,12,31)-241</f>
        <v>41033</v>
      </c>
      <c r="C1205" s="9" t="s">
        <v>867</v>
      </c>
      <c r="D1205">
        <v>10021414576</v>
      </c>
      <c r="E1205" t="s">
        <v>47</v>
      </c>
      <c r="F1205" t="s">
        <v>61</v>
      </c>
      <c r="G1205" t="s">
        <v>62</v>
      </c>
      <c r="H1205" t="s">
        <v>1369</v>
      </c>
      <c r="I1205" t="s">
        <v>1370</v>
      </c>
      <c r="J1205" t="s">
        <v>668</v>
      </c>
      <c r="K1205" s="3">
        <v>10014953388</v>
      </c>
      <c r="L1205" s="10">
        <v>41037</v>
      </c>
      <c r="M1205">
        <v>3338.98</v>
      </c>
      <c r="N1205" s="11">
        <v>40</v>
      </c>
      <c r="O1205" s="12">
        <v>80.98</v>
      </c>
      <c r="P1205" s="12">
        <v>35</v>
      </c>
      <c r="Q1205" s="13">
        <v>-846.73</v>
      </c>
      <c r="R1205" s="36" t="s">
        <v>1459</v>
      </c>
      <c r="S1205" s="7">
        <f t="shared" si="96"/>
        <v>4</v>
      </c>
      <c r="T1205" s="15" t="str">
        <f>VLOOKUP(R1205,产品分类!$C$2:$D$1278,2,0)</f>
        <v>办公用品</v>
      </c>
    </row>
    <row r="1206" spans="1:20">
      <c r="A1206" s="8">
        <f>DATE(2012,12,31)-784</f>
        <v>40490</v>
      </c>
      <c r="B1206" s="8">
        <f>DATE(2012,12,31)-784</f>
        <v>40490</v>
      </c>
      <c r="C1206" s="9" t="s">
        <v>613</v>
      </c>
      <c r="D1206">
        <v>10021420663</v>
      </c>
      <c r="E1206" t="s">
        <v>47</v>
      </c>
      <c r="F1206" t="s">
        <v>61</v>
      </c>
      <c r="G1206" t="s">
        <v>62</v>
      </c>
      <c r="H1206" t="s">
        <v>1369</v>
      </c>
      <c r="I1206" t="s">
        <v>1370</v>
      </c>
      <c r="J1206" t="s">
        <v>668</v>
      </c>
      <c r="K1206" s="3">
        <v>100825144022</v>
      </c>
      <c r="L1206" s="10">
        <v>40491</v>
      </c>
      <c r="M1206">
        <v>6688.11</v>
      </c>
      <c r="N1206" s="11">
        <v>45</v>
      </c>
      <c r="O1206" s="12">
        <v>150.98</v>
      </c>
      <c r="P1206" s="12">
        <v>13.99</v>
      </c>
      <c r="Q1206" s="13">
        <v>2872.88</v>
      </c>
      <c r="R1206" s="36" t="s">
        <v>126</v>
      </c>
      <c r="S1206" s="7">
        <f t="shared" si="96"/>
        <v>1</v>
      </c>
      <c r="T1206" s="15" t="str">
        <f>VLOOKUP(R1206,产品分类!$C$2:$D$1278,2,0)</f>
        <v>家具产品</v>
      </c>
    </row>
    <row r="1207" spans="1:20">
      <c r="A1207" s="8">
        <f>DATE(2012,12,31)-784</f>
        <v>40490</v>
      </c>
      <c r="B1207" s="8">
        <f>DATE(2012,12,31)-784</f>
        <v>40490</v>
      </c>
      <c r="C1207" s="9" t="s">
        <v>613</v>
      </c>
      <c r="D1207">
        <v>10021424590</v>
      </c>
      <c r="E1207" t="s">
        <v>47</v>
      </c>
      <c r="F1207" t="s">
        <v>83</v>
      </c>
      <c r="G1207" t="s">
        <v>84</v>
      </c>
      <c r="H1207" t="s">
        <v>1259</v>
      </c>
      <c r="I1207" t="s">
        <v>1260</v>
      </c>
      <c r="J1207" t="s">
        <v>668</v>
      </c>
      <c r="K1207" s="3">
        <v>100328851989</v>
      </c>
      <c r="L1207" s="10">
        <v>40491</v>
      </c>
      <c r="M1207">
        <v>16.73</v>
      </c>
      <c r="N1207" s="11">
        <v>1</v>
      </c>
      <c r="O1207" s="12">
        <v>12.64</v>
      </c>
      <c r="P1207" s="12">
        <v>4.98</v>
      </c>
      <c r="Q1207" s="13">
        <v>-6.96</v>
      </c>
      <c r="R1207" s="36" t="s">
        <v>181</v>
      </c>
      <c r="S1207" s="7">
        <f t="shared" si="96"/>
        <v>1</v>
      </c>
      <c r="T1207" s="15" t="str">
        <f>VLOOKUP(R1207,产品分类!$C$2:$D$1278,2,0)</f>
        <v>数码电子</v>
      </c>
    </row>
    <row r="1208" spans="1:20">
      <c r="A1208" s="8">
        <f>DATE(2012,12,31)-1175</f>
        <v>40099</v>
      </c>
      <c r="B1208" s="8">
        <f>DATE(2012,12,31)-1175</f>
        <v>40099</v>
      </c>
      <c r="C1208" s="9" t="s">
        <v>818</v>
      </c>
      <c r="D1208">
        <v>10021267705</v>
      </c>
      <c r="E1208" t="s">
        <v>47</v>
      </c>
      <c r="F1208" t="s">
        <v>61</v>
      </c>
      <c r="G1208" t="s">
        <v>62</v>
      </c>
      <c r="H1208" t="s">
        <v>1369</v>
      </c>
      <c r="I1208" t="s">
        <v>1370</v>
      </c>
      <c r="J1208" t="s">
        <v>668</v>
      </c>
      <c r="K1208" s="3">
        <v>100732107665</v>
      </c>
      <c r="L1208" s="10">
        <v>40100</v>
      </c>
      <c r="M1208">
        <v>153.44</v>
      </c>
      <c r="N1208" s="11">
        <v>12</v>
      </c>
      <c r="O1208" s="12">
        <v>12.2</v>
      </c>
      <c r="P1208" s="12">
        <v>6.02</v>
      </c>
      <c r="Q1208" s="13">
        <v>-6.15</v>
      </c>
      <c r="R1208" s="36" t="s">
        <v>1460</v>
      </c>
      <c r="S1208" s="7">
        <f t="shared" si="96"/>
        <v>1</v>
      </c>
      <c r="T1208" s="15" t="str">
        <f>VLOOKUP(R1208,产品分类!$C$2:$D$1278,2,0)</f>
        <v>办公用品</v>
      </c>
    </row>
    <row r="1209" spans="1:20">
      <c r="A1209" s="8">
        <f>DATE(2012,12,31)-1433</f>
        <v>39841</v>
      </c>
      <c r="B1209" s="8">
        <f>DATE(2012,12,31)-1433</f>
        <v>39841</v>
      </c>
      <c r="C1209" s="9" t="s">
        <v>697</v>
      </c>
      <c r="D1209">
        <v>10021441143</v>
      </c>
      <c r="E1209" t="s">
        <v>47</v>
      </c>
      <c r="F1209" t="s">
        <v>167</v>
      </c>
      <c r="G1209" t="s">
        <v>168</v>
      </c>
      <c r="H1209" t="s">
        <v>169</v>
      </c>
      <c r="I1209" t="s">
        <v>168</v>
      </c>
      <c r="J1209" t="s">
        <v>668</v>
      </c>
      <c r="K1209" s="3">
        <v>10012896456</v>
      </c>
      <c r="L1209" s="10">
        <v>39850</v>
      </c>
      <c r="M1209">
        <v>190.45</v>
      </c>
      <c r="N1209" s="11">
        <v>3</v>
      </c>
      <c r="O1209" s="12">
        <v>59.98</v>
      </c>
      <c r="P1209" s="12">
        <v>3.99</v>
      </c>
      <c r="Q1209" s="13">
        <v>-44.05</v>
      </c>
      <c r="R1209" s="36" t="s">
        <v>378</v>
      </c>
      <c r="S1209" s="7">
        <f t="shared" si="96"/>
        <v>9</v>
      </c>
      <c r="T1209" s="15" t="str">
        <f>VLOOKUP(R1209,产品分类!$C$2:$D$1278,2,0)</f>
        <v>数码电子</v>
      </c>
    </row>
    <row r="1210" spans="1:20">
      <c r="A1210" s="8">
        <f>DATE(2012,12,31)-1433</f>
        <v>39841</v>
      </c>
      <c r="B1210" s="8">
        <f>DATE(2012,12,31)-1433</f>
        <v>39841</v>
      </c>
      <c r="C1210" s="9" t="s">
        <v>697</v>
      </c>
      <c r="D1210">
        <v>10021409469</v>
      </c>
      <c r="E1210" t="s">
        <v>47</v>
      </c>
      <c r="F1210" t="s">
        <v>122</v>
      </c>
      <c r="G1210" t="s">
        <v>123</v>
      </c>
      <c r="H1210" t="s">
        <v>124</v>
      </c>
      <c r="I1210" t="s">
        <v>125</v>
      </c>
      <c r="J1210" t="s">
        <v>668</v>
      </c>
      <c r="K1210" s="3">
        <v>100423009303</v>
      </c>
      <c r="L1210" s="10">
        <v>39845</v>
      </c>
      <c r="M1210">
        <v>179.99</v>
      </c>
      <c r="N1210" s="11">
        <v>34</v>
      </c>
      <c r="O1210" s="12">
        <v>5.18</v>
      </c>
      <c r="P1210" s="12">
        <v>5.74</v>
      </c>
      <c r="Q1210" s="13">
        <v>-102.2695</v>
      </c>
      <c r="R1210" s="36" t="s">
        <v>458</v>
      </c>
      <c r="S1210" s="7">
        <f t="shared" si="96"/>
        <v>4</v>
      </c>
      <c r="T1210" s="15" t="str">
        <f>VLOOKUP(R1210,产品分类!$C$2:$D$1278,2,0)</f>
        <v>家具产品</v>
      </c>
    </row>
    <row r="1211" spans="1:20">
      <c r="A1211" s="8">
        <f>DATE(2012,12,31)-1032</f>
        <v>40242</v>
      </c>
      <c r="B1211" s="8">
        <f>DATE(2012,12,31)-1032</f>
        <v>40242</v>
      </c>
      <c r="C1211" s="9" t="s">
        <v>1196</v>
      </c>
      <c r="D1211">
        <v>10021256790</v>
      </c>
      <c r="E1211" t="s">
        <v>47</v>
      </c>
      <c r="F1211" t="s">
        <v>97</v>
      </c>
      <c r="G1211" t="s">
        <v>98</v>
      </c>
      <c r="H1211" t="s">
        <v>99</v>
      </c>
      <c r="I1211" t="s">
        <v>98</v>
      </c>
      <c r="J1211" t="s">
        <v>668</v>
      </c>
      <c r="K1211" s="3">
        <v>100125519477</v>
      </c>
      <c r="L1211" s="10">
        <v>40243</v>
      </c>
      <c r="M1211">
        <v>441.58</v>
      </c>
      <c r="N1211" s="11">
        <v>15</v>
      </c>
      <c r="O1211" s="12">
        <v>30.98</v>
      </c>
      <c r="P1211" s="12">
        <v>5.09</v>
      </c>
      <c r="Q1211" s="13">
        <v>117.39</v>
      </c>
      <c r="R1211" s="36" t="s">
        <v>1461</v>
      </c>
      <c r="S1211" s="7">
        <f t="shared" si="96"/>
        <v>1</v>
      </c>
      <c r="T1211" s="15" t="str">
        <f>VLOOKUP(R1211,产品分类!$C$2:$D$1278,2,0)</f>
        <v>办公用品</v>
      </c>
    </row>
    <row r="1212" spans="1:20">
      <c r="A1212" s="8">
        <f>DATE(2012,12,31)-499</f>
        <v>40775</v>
      </c>
      <c r="B1212" s="8">
        <f>DATE(2012,12,31)-499</f>
        <v>40775</v>
      </c>
      <c r="C1212" s="9" t="s">
        <v>1462</v>
      </c>
      <c r="D1212">
        <v>10021350162</v>
      </c>
      <c r="E1212" t="s">
        <v>47</v>
      </c>
      <c r="F1212" t="s">
        <v>66</v>
      </c>
      <c r="G1212" t="s">
        <v>67</v>
      </c>
      <c r="H1212" t="s">
        <v>1435</v>
      </c>
      <c r="I1212" t="s">
        <v>1436</v>
      </c>
      <c r="J1212" t="s">
        <v>668</v>
      </c>
      <c r="K1212" s="3">
        <v>100131029438</v>
      </c>
      <c r="L1212" s="10">
        <v>40782</v>
      </c>
      <c r="M1212">
        <v>168.9</v>
      </c>
      <c r="N1212" s="11">
        <v>15</v>
      </c>
      <c r="O1212" s="12">
        <v>9.99</v>
      </c>
      <c r="P1212" s="12">
        <v>6.24</v>
      </c>
      <c r="Q1212" s="13">
        <v>-16.1907</v>
      </c>
      <c r="R1212" s="36" t="s">
        <v>1463</v>
      </c>
      <c r="S1212" s="7">
        <f t="shared" si="96"/>
        <v>7</v>
      </c>
      <c r="T1212" s="15" t="str">
        <f>VLOOKUP(R1212,产品分类!$C$2:$D$1278,2,0)</f>
        <v>办公用品</v>
      </c>
    </row>
    <row r="1213" spans="1:20">
      <c r="A1213" s="8">
        <f>DATE(2012,12,31)-561</f>
        <v>40713</v>
      </c>
      <c r="B1213" s="8">
        <f>DATE(2012,12,31)-561</f>
        <v>40713</v>
      </c>
      <c r="C1213" s="9" t="s">
        <v>1282</v>
      </c>
      <c r="D1213">
        <v>10021440378</v>
      </c>
      <c r="E1213" t="s">
        <v>47</v>
      </c>
      <c r="F1213" t="s">
        <v>230</v>
      </c>
      <c r="G1213" t="s">
        <v>231</v>
      </c>
      <c r="H1213" t="s">
        <v>1186</v>
      </c>
      <c r="I1213" t="s">
        <v>1187</v>
      </c>
      <c r="J1213" t="s">
        <v>668</v>
      </c>
      <c r="K1213" s="3">
        <v>100910739191</v>
      </c>
      <c r="L1213" s="10">
        <v>40715</v>
      </c>
      <c r="M1213">
        <v>180.46</v>
      </c>
      <c r="N1213" s="11">
        <v>27</v>
      </c>
      <c r="O1213" s="12">
        <v>6.48</v>
      </c>
      <c r="P1213" s="12">
        <v>5.94</v>
      </c>
      <c r="Q1213" s="13">
        <v>-57.62</v>
      </c>
      <c r="R1213" s="36" t="s">
        <v>1284</v>
      </c>
      <c r="S1213" s="7">
        <f t="shared" si="96"/>
        <v>2</v>
      </c>
      <c r="T1213" s="15" t="str">
        <f>VLOOKUP(R1213,产品分类!$C$2:$D$1278,2,0)</f>
        <v>家具产品</v>
      </c>
    </row>
    <row r="1214" spans="1:20">
      <c r="A1214" s="8">
        <f>DATE(2012,12,31)-1322</f>
        <v>39952</v>
      </c>
      <c r="B1214" s="8">
        <f>DATE(2012,12,31)-1322</f>
        <v>39952</v>
      </c>
      <c r="C1214" s="9" t="s">
        <v>1464</v>
      </c>
      <c r="D1214">
        <v>10021325365</v>
      </c>
      <c r="E1214" t="s">
        <v>47</v>
      </c>
      <c r="F1214" t="s">
        <v>230</v>
      </c>
      <c r="G1214" t="s">
        <v>231</v>
      </c>
      <c r="H1214" t="s">
        <v>1465</v>
      </c>
      <c r="I1214" t="s">
        <v>1466</v>
      </c>
      <c r="J1214" t="s">
        <v>668</v>
      </c>
      <c r="K1214" s="3">
        <v>100719715485</v>
      </c>
      <c r="L1214" s="10">
        <v>39954</v>
      </c>
      <c r="M1214">
        <v>145.86</v>
      </c>
      <c r="N1214" s="11">
        <v>14</v>
      </c>
      <c r="O1214" s="12">
        <v>9.99</v>
      </c>
      <c r="P1214" s="12">
        <v>11.59</v>
      </c>
      <c r="Q1214" s="13">
        <v>-92.32</v>
      </c>
      <c r="R1214" s="36" t="s">
        <v>1467</v>
      </c>
      <c r="S1214" s="7">
        <f t="shared" si="96"/>
        <v>2</v>
      </c>
      <c r="T1214" s="15" t="str">
        <f>VLOOKUP(R1214,产品分类!$C$2:$D$1278,2,0)</f>
        <v>数码电子</v>
      </c>
    </row>
    <row r="1215" spans="1:20">
      <c r="A1215" s="16">
        <f>DATE(2012,12,31)-816</f>
        <v>40458</v>
      </c>
      <c r="B1215" s="16">
        <f>DATE(2012,12,31)-816</f>
        <v>40458</v>
      </c>
      <c r="C1215" s="9" t="s">
        <v>626</v>
      </c>
      <c r="D1215">
        <v>10021373168</v>
      </c>
      <c r="E1215" t="s">
        <v>47</v>
      </c>
      <c r="F1215" t="s">
        <v>122</v>
      </c>
      <c r="G1215" t="s">
        <v>123</v>
      </c>
      <c r="H1215" t="s">
        <v>124</v>
      </c>
      <c r="I1215" t="s">
        <v>125</v>
      </c>
      <c r="J1215" t="s">
        <v>668</v>
      </c>
      <c r="K1215" s="3">
        <v>100129663428</v>
      </c>
      <c r="L1215" s="10">
        <v>40459</v>
      </c>
      <c r="M1215">
        <v>1520.26</v>
      </c>
      <c r="N1215" s="17">
        <v>37</v>
      </c>
      <c r="O1215" s="5">
        <v>42.8</v>
      </c>
      <c r="P1215" s="5">
        <v>2.99</v>
      </c>
      <c r="Q1215" s="6">
        <v>640.8405</v>
      </c>
      <c r="R1215" s="37" t="s">
        <v>1468</v>
      </c>
      <c r="S1215" s="7">
        <f t="shared" si="96"/>
        <v>1</v>
      </c>
      <c r="T1215" s="15" t="str">
        <f>VLOOKUP(R1215,产品分类!$C$2:$D$1278,2,0)</f>
        <v>数码电子</v>
      </c>
    </row>
    <row r="1216" spans="1:20">
      <c r="A1216" s="8">
        <f>DATE(2012,12,31)-816</f>
        <v>40458</v>
      </c>
      <c r="B1216" s="8">
        <f>DATE(2012,12,31)-816</f>
        <v>40458</v>
      </c>
      <c r="C1216" s="9" t="s">
        <v>626</v>
      </c>
      <c r="D1216">
        <v>10021410707</v>
      </c>
      <c r="E1216" t="s">
        <v>47</v>
      </c>
      <c r="F1216" t="s">
        <v>91</v>
      </c>
      <c r="G1216" t="s">
        <v>92</v>
      </c>
      <c r="H1216" t="s">
        <v>1412</v>
      </c>
      <c r="I1216" t="s">
        <v>1413</v>
      </c>
      <c r="J1216" t="s">
        <v>668</v>
      </c>
      <c r="K1216" s="3">
        <v>1003601319</v>
      </c>
      <c r="L1216" s="10">
        <v>40460</v>
      </c>
      <c r="M1216">
        <v>688.02</v>
      </c>
      <c r="N1216" s="11">
        <v>30</v>
      </c>
      <c r="O1216" s="12">
        <v>22.98</v>
      </c>
      <c r="P1216" s="12">
        <v>7.58</v>
      </c>
      <c r="Q1216" s="13">
        <v>154.99</v>
      </c>
      <c r="R1216" s="36" t="s">
        <v>616</v>
      </c>
      <c r="S1216" s="7">
        <f t="shared" si="96"/>
        <v>2</v>
      </c>
      <c r="T1216" s="15" t="str">
        <f>VLOOKUP(R1216,产品分类!$C$2:$D$1278,2,0)</f>
        <v>家具产品</v>
      </c>
    </row>
    <row r="1217" spans="1:20">
      <c r="A1217" s="8">
        <f>DATE(2012,12,31)-940</f>
        <v>40334</v>
      </c>
      <c r="B1217" s="8">
        <f>DATE(2012,12,31)-940</f>
        <v>40334</v>
      </c>
      <c r="C1217" s="9" t="s">
        <v>1427</v>
      </c>
      <c r="D1217">
        <v>10021407415</v>
      </c>
      <c r="E1217" t="s">
        <v>47</v>
      </c>
      <c r="F1217" t="s">
        <v>91</v>
      </c>
      <c r="G1217" t="s">
        <v>92</v>
      </c>
      <c r="H1217" t="s">
        <v>1412</v>
      </c>
      <c r="I1217" t="s">
        <v>1413</v>
      </c>
      <c r="J1217" t="s">
        <v>668</v>
      </c>
      <c r="K1217" s="3">
        <v>100426122953</v>
      </c>
      <c r="L1217" s="10">
        <v>40336</v>
      </c>
      <c r="M1217">
        <v>4335.34</v>
      </c>
      <c r="N1217" s="11">
        <v>46</v>
      </c>
      <c r="O1217" s="12">
        <v>99.99</v>
      </c>
      <c r="P1217" s="12">
        <v>19.99</v>
      </c>
      <c r="Q1217" s="13">
        <v>524.09</v>
      </c>
      <c r="R1217" s="36" t="s">
        <v>532</v>
      </c>
      <c r="S1217" s="7">
        <f t="shared" si="96"/>
        <v>2</v>
      </c>
      <c r="T1217" s="15" t="str">
        <f>VLOOKUP(R1217,产品分类!$C$2:$D$1278,2,0)</f>
        <v>办公用品</v>
      </c>
    </row>
    <row r="1218" spans="1:20">
      <c r="A1218" s="8">
        <f>DATE(2012,12,31)-940</f>
        <v>40334</v>
      </c>
      <c r="B1218" s="8">
        <f>DATE(2012,12,31)-940</f>
        <v>40334</v>
      </c>
      <c r="C1218" s="9" t="s">
        <v>1427</v>
      </c>
      <c r="D1218">
        <v>10021375780</v>
      </c>
      <c r="E1218" t="s">
        <v>47</v>
      </c>
      <c r="F1218" t="s">
        <v>102</v>
      </c>
      <c r="G1218" t="s">
        <v>103</v>
      </c>
      <c r="H1218" t="s">
        <v>1217</v>
      </c>
      <c r="I1218" t="s">
        <v>1218</v>
      </c>
      <c r="J1218" t="s">
        <v>668</v>
      </c>
      <c r="K1218" s="3">
        <v>100132521016</v>
      </c>
      <c r="L1218" s="10">
        <v>40336</v>
      </c>
      <c r="M1218">
        <v>1150.5345</v>
      </c>
      <c r="N1218" s="11">
        <v>15</v>
      </c>
      <c r="O1218" s="12">
        <v>85.99</v>
      </c>
      <c r="P1218" s="12">
        <v>1.25</v>
      </c>
      <c r="Q1218" s="13">
        <v>361.647</v>
      </c>
      <c r="R1218" s="36" t="s">
        <v>723</v>
      </c>
      <c r="S1218" s="7">
        <f t="shared" si="96"/>
        <v>2</v>
      </c>
      <c r="T1218" s="15" t="str">
        <f>VLOOKUP(R1218,产品分类!$C$2:$D$1278,2,0)</f>
        <v>办公用品</v>
      </c>
    </row>
    <row r="1219" spans="1:20">
      <c r="A1219" s="8">
        <f>DATE(2012,12,31)-552</f>
        <v>40722</v>
      </c>
      <c r="B1219" s="8">
        <f>DATE(2012,12,31)-552</f>
        <v>40722</v>
      </c>
      <c r="C1219" s="9" t="s">
        <v>1147</v>
      </c>
      <c r="D1219">
        <v>10021357519</v>
      </c>
      <c r="E1219" t="s">
        <v>47</v>
      </c>
      <c r="F1219" t="s">
        <v>171</v>
      </c>
      <c r="G1219" t="s">
        <v>172</v>
      </c>
      <c r="H1219" t="s">
        <v>933</v>
      </c>
      <c r="I1219" t="s">
        <v>934</v>
      </c>
      <c r="J1219" t="s">
        <v>668</v>
      </c>
      <c r="K1219" s="3">
        <v>100132761678</v>
      </c>
      <c r="L1219" s="10">
        <v>40727</v>
      </c>
      <c r="M1219">
        <v>4644.87</v>
      </c>
      <c r="N1219" s="11">
        <v>48</v>
      </c>
      <c r="O1219" s="12">
        <v>100.8</v>
      </c>
      <c r="P1219" s="12">
        <v>60</v>
      </c>
      <c r="Q1219" s="13">
        <v>-1291.39</v>
      </c>
      <c r="R1219" s="36" t="s">
        <v>438</v>
      </c>
      <c r="S1219" s="7">
        <f t="shared" ref="S1219:S1282" si="98">+L1219-B1219</f>
        <v>5</v>
      </c>
      <c r="T1219" s="15" t="str">
        <f>VLOOKUP(R1219,产品分类!$C$2:$D$1278,2,0)</f>
        <v>办公用品</v>
      </c>
    </row>
    <row r="1220" spans="1:20">
      <c r="A1220" s="8">
        <f>DATE(2012,12,31)-552</f>
        <v>40722</v>
      </c>
      <c r="B1220" s="8">
        <f>DATE(2012,12,31)-552</f>
        <v>40722</v>
      </c>
      <c r="C1220" s="9" t="s">
        <v>1147</v>
      </c>
      <c r="D1220">
        <v>10021373616</v>
      </c>
      <c r="E1220" t="s">
        <v>47</v>
      </c>
      <c r="F1220" t="s">
        <v>61</v>
      </c>
      <c r="G1220" t="s">
        <v>62</v>
      </c>
      <c r="H1220" t="s">
        <v>1369</v>
      </c>
      <c r="I1220" t="s">
        <v>1370</v>
      </c>
      <c r="J1220" t="s">
        <v>668</v>
      </c>
      <c r="K1220" s="3">
        <v>100931619911</v>
      </c>
      <c r="L1220" s="10">
        <v>40727</v>
      </c>
      <c r="M1220">
        <v>627.69</v>
      </c>
      <c r="N1220" s="11">
        <v>15</v>
      </c>
      <c r="O1220" s="12">
        <v>39.98</v>
      </c>
      <c r="P1220" s="12">
        <v>4</v>
      </c>
      <c r="Q1220" s="13">
        <v>-12.02</v>
      </c>
      <c r="R1220" s="36" t="s">
        <v>771</v>
      </c>
      <c r="S1220" s="7">
        <f t="shared" si="98"/>
        <v>5</v>
      </c>
      <c r="T1220" s="15" t="str">
        <f>VLOOKUP(R1220,产品分类!$C$2:$D$1278,2,0)</f>
        <v>家具产品</v>
      </c>
    </row>
    <row r="1221" spans="1:20">
      <c r="A1221" s="8">
        <f t="shared" ref="A1221:B1223" si="99">DATE(2012,12,31)-780</f>
        <v>40494</v>
      </c>
      <c r="B1221" s="8">
        <f t="shared" si="99"/>
        <v>40494</v>
      </c>
      <c r="C1221" s="9" t="s">
        <v>497</v>
      </c>
      <c r="D1221">
        <v>10021407179</v>
      </c>
      <c r="E1221" t="s">
        <v>47</v>
      </c>
      <c r="F1221" t="s">
        <v>97</v>
      </c>
      <c r="G1221" t="s">
        <v>98</v>
      </c>
      <c r="H1221" t="s">
        <v>99</v>
      </c>
      <c r="I1221" t="s">
        <v>98</v>
      </c>
      <c r="J1221" t="s">
        <v>668</v>
      </c>
      <c r="K1221" s="3">
        <v>10041734924</v>
      </c>
      <c r="L1221" s="10">
        <v>40495</v>
      </c>
      <c r="M1221">
        <v>441.43</v>
      </c>
      <c r="N1221" s="11">
        <v>3</v>
      </c>
      <c r="O1221" s="12">
        <v>140.81</v>
      </c>
      <c r="P1221" s="12">
        <v>24.49</v>
      </c>
      <c r="Q1221" s="13">
        <v>-154.45</v>
      </c>
      <c r="R1221" s="36" t="s">
        <v>1469</v>
      </c>
      <c r="S1221" s="7">
        <f t="shared" si="98"/>
        <v>1</v>
      </c>
      <c r="T1221" s="15" t="str">
        <f>VLOOKUP(R1221,产品分类!$C$2:$D$1278,2,0)</f>
        <v>办公用品</v>
      </c>
    </row>
    <row r="1222" spans="1:20">
      <c r="A1222" s="8">
        <f t="shared" si="99"/>
        <v>40494</v>
      </c>
      <c r="B1222" s="8">
        <f t="shared" si="99"/>
        <v>40494</v>
      </c>
      <c r="C1222" s="9" t="s">
        <v>497</v>
      </c>
      <c r="D1222">
        <v>10021373123</v>
      </c>
      <c r="E1222" t="s">
        <v>47</v>
      </c>
      <c r="F1222" t="s">
        <v>61</v>
      </c>
      <c r="G1222" t="s">
        <v>62</v>
      </c>
      <c r="H1222" t="s">
        <v>1369</v>
      </c>
      <c r="I1222" t="s">
        <v>1370</v>
      </c>
      <c r="J1222" t="s">
        <v>668</v>
      </c>
      <c r="K1222" s="3">
        <v>100729822115</v>
      </c>
      <c r="L1222" s="10">
        <v>40496</v>
      </c>
      <c r="M1222">
        <v>2145.6975</v>
      </c>
      <c r="N1222" s="11">
        <v>14</v>
      </c>
      <c r="O1222" s="12">
        <v>195.99</v>
      </c>
      <c r="P1222" s="12">
        <v>4.2</v>
      </c>
      <c r="Q1222" s="13">
        <v>-176.792</v>
      </c>
      <c r="R1222" s="36" t="s">
        <v>1470</v>
      </c>
      <c r="S1222" s="7">
        <f t="shared" si="98"/>
        <v>2</v>
      </c>
      <c r="T1222" s="15" t="str">
        <f>VLOOKUP(R1222,产品分类!$C$2:$D$1278,2,0)</f>
        <v>数码电子</v>
      </c>
    </row>
    <row r="1223" spans="1:20">
      <c r="A1223" s="8">
        <f t="shared" si="99"/>
        <v>40494</v>
      </c>
      <c r="B1223" s="8">
        <f t="shared" si="99"/>
        <v>40494</v>
      </c>
      <c r="C1223" s="9" t="s">
        <v>497</v>
      </c>
      <c r="D1223">
        <v>10021401871</v>
      </c>
      <c r="E1223" t="s">
        <v>47</v>
      </c>
      <c r="F1223" t="s">
        <v>72</v>
      </c>
      <c r="G1223" t="s">
        <v>73</v>
      </c>
      <c r="H1223" t="s">
        <v>1408</v>
      </c>
      <c r="I1223" t="s">
        <v>1409</v>
      </c>
      <c r="J1223" t="s">
        <v>668</v>
      </c>
      <c r="K1223" s="3">
        <v>100117231826</v>
      </c>
      <c r="L1223" s="10">
        <v>40495</v>
      </c>
      <c r="M1223">
        <v>1341.963</v>
      </c>
      <c r="N1223" s="11">
        <v>18</v>
      </c>
      <c r="O1223" s="12">
        <v>85.99</v>
      </c>
      <c r="P1223" s="12">
        <v>2.79</v>
      </c>
      <c r="Q1223" s="13">
        <v>180.783</v>
      </c>
      <c r="R1223" s="36" t="s">
        <v>1471</v>
      </c>
      <c r="S1223" s="7">
        <f t="shared" si="98"/>
        <v>1</v>
      </c>
      <c r="T1223" s="15" t="str">
        <f>VLOOKUP(R1223,产品分类!$C$2:$D$1278,2,0)</f>
        <v>数码电子</v>
      </c>
    </row>
    <row r="1224" spans="1:20">
      <c r="A1224" s="8">
        <f>DATE(2012,12,31)-583</f>
        <v>40691</v>
      </c>
      <c r="B1224" s="8">
        <f>DATE(2012,12,31)-583</f>
        <v>40691</v>
      </c>
      <c r="C1224" s="9" t="s">
        <v>1472</v>
      </c>
      <c r="D1224">
        <v>10021315902</v>
      </c>
      <c r="E1224" t="s">
        <v>47</v>
      </c>
      <c r="F1224" t="s">
        <v>91</v>
      </c>
      <c r="G1224" t="s">
        <v>92</v>
      </c>
      <c r="H1224" t="s">
        <v>1412</v>
      </c>
      <c r="I1224" t="s">
        <v>1413</v>
      </c>
      <c r="J1224" t="s">
        <v>668</v>
      </c>
      <c r="K1224" s="3">
        <v>100431549594</v>
      </c>
      <c r="L1224" s="10">
        <v>40693</v>
      </c>
      <c r="M1224">
        <v>172.15</v>
      </c>
      <c r="N1224" s="11">
        <v>41</v>
      </c>
      <c r="O1224" s="12">
        <v>3.69</v>
      </c>
      <c r="P1224" s="12">
        <v>0.5</v>
      </c>
      <c r="Q1224" s="13">
        <v>86.78</v>
      </c>
      <c r="R1224" s="36" t="s">
        <v>486</v>
      </c>
      <c r="S1224" s="7">
        <f t="shared" si="98"/>
        <v>2</v>
      </c>
      <c r="T1224" s="15" t="str">
        <f>VLOOKUP(R1224,产品分类!$C$2:$D$1278,2,0)</f>
        <v>数码电子</v>
      </c>
    </row>
    <row r="1225" spans="1:20">
      <c r="A1225" s="8">
        <f>DATE(2012,12,31)-1364</f>
        <v>39910</v>
      </c>
      <c r="B1225" s="8">
        <f>DATE(2012,12,31)-1364</f>
        <v>39910</v>
      </c>
      <c r="C1225" s="9" t="s">
        <v>1473</v>
      </c>
      <c r="D1225">
        <v>10021454554</v>
      </c>
      <c r="E1225" t="s">
        <v>47</v>
      </c>
      <c r="F1225" t="s">
        <v>97</v>
      </c>
      <c r="G1225" t="s">
        <v>98</v>
      </c>
      <c r="H1225" t="s">
        <v>99</v>
      </c>
      <c r="I1225" t="s">
        <v>98</v>
      </c>
      <c r="J1225" t="s">
        <v>668</v>
      </c>
      <c r="K1225" s="3">
        <v>100123647828</v>
      </c>
      <c r="L1225" s="10">
        <v>39912</v>
      </c>
      <c r="M1225">
        <v>1423.35</v>
      </c>
      <c r="N1225" s="11">
        <v>36</v>
      </c>
      <c r="O1225" s="12">
        <v>40.48</v>
      </c>
      <c r="P1225" s="12">
        <v>19.99</v>
      </c>
      <c r="Q1225" s="13">
        <v>-580.32</v>
      </c>
      <c r="R1225" s="36" t="s">
        <v>1312</v>
      </c>
      <c r="S1225" s="7">
        <f t="shared" si="98"/>
        <v>2</v>
      </c>
      <c r="T1225" s="15" t="str">
        <f>VLOOKUP(R1225,产品分类!$C$2:$D$1278,2,0)</f>
        <v>办公用品</v>
      </c>
    </row>
    <row r="1226" spans="1:20">
      <c r="A1226" s="8">
        <f t="shared" ref="A1226:B1230" si="100">DATE(2012,12,31)-594</f>
        <v>40680</v>
      </c>
      <c r="B1226" s="8">
        <f t="shared" si="100"/>
        <v>40680</v>
      </c>
      <c r="C1226" s="9" t="s">
        <v>1361</v>
      </c>
      <c r="D1226">
        <v>10021324612</v>
      </c>
      <c r="E1226" t="s">
        <v>47</v>
      </c>
      <c r="F1226" t="s">
        <v>177</v>
      </c>
      <c r="G1226" t="s">
        <v>178</v>
      </c>
      <c r="H1226" t="s">
        <v>1292</v>
      </c>
      <c r="I1226" t="s">
        <v>1293</v>
      </c>
      <c r="J1226" t="s">
        <v>668</v>
      </c>
      <c r="K1226" s="3">
        <v>100932826181</v>
      </c>
      <c r="L1226" s="10">
        <v>40681</v>
      </c>
      <c r="M1226">
        <v>24.16</v>
      </c>
      <c r="N1226" s="11">
        <v>5</v>
      </c>
      <c r="O1226" s="12">
        <v>1.88</v>
      </c>
      <c r="P1226" s="12">
        <v>1.49</v>
      </c>
      <c r="Q1226" s="13">
        <v>8.0495</v>
      </c>
      <c r="R1226" s="36" t="s">
        <v>1426</v>
      </c>
      <c r="S1226" s="7">
        <f t="shared" si="98"/>
        <v>1</v>
      </c>
      <c r="T1226" s="15" t="str">
        <f>VLOOKUP(R1226,产品分类!$C$2:$D$1278,2,0)</f>
        <v>办公用品</v>
      </c>
    </row>
    <row r="1227" spans="1:20">
      <c r="A1227" s="8">
        <f t="shared" si="100"/>
        <v>40680</v>
      </c>
      <c r="B1227" s="8">
        <f t="shared" si="100"/>
        <v>40680</v>
      </c>
      <c r="C1227" s="9" t="s">
        <v>1361</v>
      </c>
      <c r="D1227">
        <v>10021401229</v>
      </c>
      <c r="E1227" t="s">
        <v>47</v>
      </c>
      <c r="F1227" t="s">
        <v>61</v>
      </c>
      <c r="G1227" t="s">
        <v>62</v>
      </c>
      <c r="H1227" t="s">
        <v>1369</v>
      </c>
      <c r="I1227" t="s">
        <v>1370</v>
      </c>
      <c r="J1227" t="s">
        <v>668</v>
      </c>
      <c r="K1227" s="3">
        <v>100418912243</v>
      </c>
      <c r="L1227" s="10">
        <v>40681</v>
      </c>
      <c r="M1227">
        <v>270.84</v>
      </c>
      <c r="N1227" s="11">
        <v>41</v>
      </c>
      <c r="O1227" s="12">
        <v>6.48</v>
      </c>
      <c r="P1227" s="12">
        <v>5.86</v>
      </c>
      <c r="Q1227" s="13">
        <v>-78.02</v>
      </c>
      <c r="R1227" s="36" t="s">
        <v>738</v>
      </c>
      <c r="S1227" s="7">
        <f t="shared" si="98"/>
        <v>1</v>
      </c>
      <c r="T1227" s="15" t="str">
        <f>VLOOKUP(R1227,产品分类!$C$2:$D$1278,2,0)</f>
        <v>数码电子</v>
      </c>
    </row>
    <row r="1228" spans="1:20">
      <c r="A1228" s="8">
        <f t="shared" si="100"/>
        <v>40680</v>
      </c>
      <c r="B1228" s="8">
        <f t="shared" si="100"/>
        <v>40680</v>
      </c>
      <c r="C1228" s="9" t="s">
        <v>1361</v>
      </c>
      <c r="D1228">
        <v>10021337788</v>
      </c>
      <c r="E1228" t="s">
        <v>47</v>
      </c>
      <c r="F1228" t="s">
        <v>152</v>
      </c>
      <c r="G1228" t="s">
        <v>153</v>
      </c>
      <c r="H1228" t="s">
        <v>1474</v>
      </c>
      <c r="I1228" t="s">
        <v>1475</v>
      </c>
      <c r="J1228" t="s">
        <v>668</v>
      </c>
      <c r="K1228" s="3">
        <v>100922770021</v>
      </c>
      <c r="L1228" s="10">
        <v>40681</v>
      </c>
      <c r="M1228">
        <v>3389.93</v>
      </c>
      <c r="N1228" s="11">
        <v>35</v>
      </c>
      <c r="O1228" s="12">
        <v>102.3</v>
      </c>
      <c r="P1228" s="12">
        <v>21.26</v>
      </c>
      <c r="Q1228" s="13">
        <v>737.94</v>
      </c>
      <c r="R1228" s="36" t="s">
        <v>1476</v>
      </c>
      <c r="S1228" s="7">
        <f t="shared" si="98"/>
        <v>1</v>
      </c>
      <c r="T1228" s="15" t="str">
        <f>VLOOKUP(R1228,产品分类!$C$2:$D$1278,2,0)</f>
        <v>办公用品</v>
      </c>
    </row>
    <row r="1229" spans="1:20">
      <c r="A1229" s="8">
        <f t="shared" si="100"/>
        <v>40680</v>
      </c>
      <c r="B1229" s="8">
        <f t="shared" si="100"/>
        <v>40680</v>
      </c>
      <c r="C1229" s="9" t="s">
        <v>1361</v>
      </c>
      <c r="D1229">
        <v>10021415950</v>
      </c>
      <c r="E1229" t="s">
        <v>47</v>
      </c>
      <c r="F1229" t="s">
        <v>152</v>
      </c>
      <c r="G1229" t="s">
        <v>153</v>
      </c>
      <c r="H1229" t="s">
        <v>1474</v>
      </c>
      <c r="I1229" t="s">
        <v>1475</v>
      </c>
      <c r="J1229" t="s">
        <v>668</v>
      </c>
      <c r="K1229" s="3">
        <v>100111473798</v>
      </c>
      <c r="L1229" s="10">
        <v>40681</v>
      </c>
      <c r="M1229">
        <v>266.36</v>
      </c>
      <c r="N1229" s="11">
        <v>42</v>
      </c>
      <c r="O1229" s="12">
        <v>6.48</v>
      </c>
      <c r="P1229" s="12">
        <v>8.19</v>
      </c>
      <c r="Q1229" s="13">
        <v>-191.28</v>
      </c>
      <c r="R1229" s="36" t="s">
        <v>120</v>
      </c>
      <c r="S1229" s="7">
        <f t="shared" si="98"/>
        <v>1</v>
      </c>
      <c r="T1229" s="15" t="str">
        <f>VLOOKUP(R1229,产品分类!$C$2:$D$1278,2,0)</f>
        <v>家具产品</v>
      </c>
    </row>
    <row r="1230" spans="1:20">
      <c r="A1230" s="8">
        <f t="shared" si="100"/>
        <v>40680</v>
      </c>
      <c r="B1230" s="8">
        <f t="shared" si="100"/>
        <v>40680</v>
      </c>
      <c r="C1230" s="9" t="s">
        <v>1361</v>
      </c>
      <c r="D1230">
        <v>10021331379</v>
      </c>
      <c r="E1230" t="s">
        <v>47</v>
      </c>
      <c r="F1230" t="s">
        <v>78</v>
      </c>
      <c r="G1230" t="s">
        <v>79</v>
      </c>
      <c r="H1230" t="s">
        <v>1264</v>
      </c>
      <c r="I1230" t="s">
        <v>79</v>
      </c>
      <c r="J1230" t="s">
        <v>668</v>
      </c>
      <c r="K1230" s="3">
        <v>10042674173</v>
      </c>
      <c r="L1230" s="10">
        <v>40682</v>
      </c>
      <c r="M1230">
        <v>89.41</v>
      </c>
      <c r="N1230" s="11">
        <v>46</v>
      </c>
      <c r="O1230" s="12">
        <v>1.89</v>
      </c>
      <c r="P1230" s="12">
        <v>0.76</v>
      </c>
      <c r="Q1230" s="13">
        <v>-21.49</v>
      </c>
      <c r="R1230" s="36" t="s">
        <v>1477</v>
      </c>
      <c r="S1230" s="7">
        <f t="shared" si="98"/>
        <v>2</v>
      </c>
      <c r="T1230" s="15" t="str">
        <f>VLOOKUP(R1230,产品分类!$C$2:$D$1278,2,0)</f>
        <v>办公用品</v>
      </c>
    </row>
    <row r="1231" spans="1:20">
      <c r="A1231" s="8">
        <f>DATE(2012,12,31)-578</f>
        <v>40696</v>
      </c>
      <c r="B1231" s="8">
        <f>DATE(2012,12,31)-578</f>
        <v>40696</v>
      </c>
      <c r="C1231" s="9" t="s">
        <v>448</v>
      </c>
      <c r="D1231">
        <v>10021335436</v>
      </c>
      <c r="E1231" t="s">
        <v>47</v>
      </c>
      <c r="F1231" t="s">
        <v>72</v>
      </c>
      <c r="G1231" t="s">
        <v>73</v>
      </c>
      <c r="H1231" t="s">
        <v>1408</v>
      </c>
      <c r="I1231" t="s">
        <v>1409</v>
      </c>
      <c r="J1231" t="s">
        <v>668</v>
      </c>
      <c r="K1231" s="3">
        <v>100312064089</v>
      </c>
      <c r="L1231" s="10">
        <v>40700</v>
      </c>
      <c r="M1231">
        <v>772.2675</v>
      </c>
      <c r="N1231" s="11">
        <v>13</v>
      </c>
      <c r="O1231" s="12">
        <v>65.99</v>
      </c>
      <c r="P1231" s="12">
        <v>8.99</v>
      </c>
      <c r="Q1231" s="13">
        <v>-48.851</v>
      </c>
      <c r="R1231" s="36" t="s">
        <v>501</v>
      </c>
      <c r="S1231" s="7">
        <f t="shared" si="98"/>
        <v>4</v>
      </c>
      <c r="T1231" s="15" t="str">
        <f>VLOOKUP(R1231,产品分类!$C$2:$D$1278,2,0)</f>
        <v>家具产品</v>
      </c>
    </row>
    <row r="1232" spans="1:20">
      <c r="A1232" s="8">
        <f>DATE(2012,12,31)-1279</f>
        <v>39995</v>
      </c>
      <c r="B1232" s="8">
        <f>DATE(2012,12,31)-1279</f>
        <v>39995</v>
      </c>
      <c r="C1232" s="9" t="s">
        <v>250</v>
      </c>
      <c r="D1232">
        <v>10021270388</v>
      </c>
      <c r="E1232" t="s">
        <v>47</v>
      </c>
      <c r="F1232" t="s">
        <v>78</v>
      </c>
      <c r="G1232" t="s">
        <v>79</v>
      </c>
      <c r="H1232" t="s">
        <v>1264</v>
      </c>
      <c r="I1232" t="s">
        <v>79</v>
      </c>
      <c r="J1232" t="s">
        <v>668</v>
      </c>
      <c r="K1232" s="3">
        <v>100932479781</v>
      </c>
      <c r="L1232" s="10">
        <v>39999</v>
      </c>
      <c r="M1232">
        <v>17279.62</v>
      </c>
      <c r="N1232" s="11">
        <v>40</v>
      </c>
      <c r="O1232" s="12">
        <v>449.99</v>
      </c>
      <c r="P1232" s="12">
        <v>24.49</v>
      </c>
      <c r="Q1232" s="13">
        <v>4176.253</v>
      </c>
      <c r="R1232" s="36" t="s">
        <v>545</v>
      </c>
      <c r="S1232" s="7">
        <f t="shared" si="98"/>
        <v>4</v>
      </c>
      <c r="T1232" s="15" t="str">
        <f>VLOOKUP(R1232,产品分类!$C$2:$D$1278,2,0)</f>
        <v>办公用品</v>
      </c>
    </row>
    <row r="1233" spans="1:20">
      <c r="A1233" s="8">
        <f>DATE(2012,12,31)-1279</f>
        <v>39995</v>
      </c>
      <c r="B1233" s="8">
        <f>DATE(2012,12,31)-1279</f>
        <v>39995</v>
      </c>
      <c r="C1233" s="9" t="s">
        <v>250</v>
      </c>
      <c r="D1233">
        <v>10021297631</v>
      </c>
      <c r="E1233" t="s">
        <v>47</v>
      </c>
      <c r="F1233" t="s">
        <v>72</v>
      </c>
      <c r="G1233" t="s">
        <v>73</v>
      </c>
      <c r="H1233" t="s">
        <v>1408</v>
      </c>
      <c r="I1233" t="s">
        <v>1409</v>
      </c>
      <c r="J1233" t="s">
        <v>668</v>
      </c>
      <c r="K1233" s="3">
        <v>10032938909</v>
      </c>
      <c r="L1233" s="10">
        <v>40004</v>
      </c>
      <c r="M1233">
        <v>120.3</v>
      </c>
      <c r="N1233" s="11">
        <v>20</v>
      </c>
      <c r="O1233" s="12">
        <v>5.84</v>
      </c>
      <c r="P1233" s="12">
        <v>1.2</v>
      </c>
      <c r="Q1233" s="13">
        <v>20.38</v>
      </c>
      <c r="R1233" s="36" t="s">
        <v>1478</v>
      </c>
      <c r="S1233" s="7">
        <f t="shared" si="98"/>
        <v>9</v>
      </c>
      <c r="T1233" s="15" t="str">
        <f>VLOOKUP(R1233,产品分类!$C$2:$D$1278,2,0)</f>
        <v>办公用品</v>
      </c>
    </row>
    <row r="1234" spans="1:20">
      <c r="A1234" s="8">
        <f t="shared" ref="A1234:B1236" si="101">DATE(2012,12,31)-1093</f>
        <v>40181</v>
      </c>
      <c r="B1234" s="8">
        <f t="shared" si="101"/>
        <v>40181</v>
      </c>
      <c r="C1234" s="9" t="s">
        <v>515</v>
      </c>
      <c r="D1234">
        <v>10021430846</v>
      </c>
      <c r="E1234" t="s">
        <v>47</v>
      </c>
      <c r="F1234" t="s">
        <v>72</v>
      </c>
      <c r="G1234" t="s">
        <v>73</v>
      </c>
      <c r="H1234" t="s">
        <v>1408</v>
      </c>
      <c r="I1234" t="s">
        <v>1409</v>
      </c>
      <c r="J1234" t="s">
        <v>668</v>
      </c>
      <c r="K1234" s="3">
        <v>100931955341</v>
      </c>
      <c r="L1234" s="10">
        <v>40185</v>
      </c>
      <c r="M1234">
        <v>1767.88</v>
      </c>
      <c r="N1234" s="11">
        <v>37</v>
      </c>
      <c r="O1234" s="12">
        <v>50.98</v>
      </c>
      <c r="P1234" s="12">
        <v>13.66</v>
      </c>
      <c r="Q1234" s="13">
        <v>66.47</v>
      </c>
      <c r="R1234" s="36" t="s">
        <v>1151</v>
      </c>
      <c r="S1234" s="7">
        <f t="shared" si="98"/>
        <v>4</v>
      </c>
      <c r="T1234" s="15" t="str">
        <f>VLOOKUP(R1234,产品分类!$C$2:$D$1278,2,0)</f>
        <v>办公用品</v>
      </c>
    </row>
    <row r="1235" spans="1:20">
      <c r="A1235" s="8">
        <f t="shared" si="101"/>
        <v>40181</v>
      </c>
      <c r="B1235" s="8">
        <f t="shared" si="101"/>
        <v>40181</v>
      </c>
      <c r="C1235" s="9" t="s">
        <v>515</v>
      </c>
      <c r="D1235">
        <v>10021386119</v>
      </c>
      <c r="E1235" t="s">
        <v>47</v>
      </c>
      <c r="F1235" t="s">
        <v>72</v>
      </c>
      <c r="G1235" t="s">
        <v>73</v>
      </c>
      <c r="H1235" t="s">
        <v>1408</v>
      </c>
      <c r="I1235" t="s">
        <v>1409</v>
      </c>
      <c r="J1235" t="s">
        <v>668</v>
      </c>
      <c r="K1235" s="3">
        <v>10086008592</v>
      </c>
      <c r="L1235" s="10">
        <v>40183</v>
      </c>
      <c r="M1235">
        <v>277.42</v>
      </c>
      <c r="N1235" s="11">
        <v>12</v>
      </c>
      <c r="O1235" s="12">
        <v>22.24</v>
      </c>
      <c r="P1235" s="12">
        <v>1.99</v>
      </c>
      <c r="Q1235" s="13">
        <v>49.82</v>
      </c>
      <c r="R1235" s="36" t="s">
        <v>1479</v>
      </c>
      <c r="S1235" s="7">
        <f t="shared" si="98"/>
        <v>2</v>
      </c>
      <c r="T1235" s="15" t="str">
        <f>VLOOKUP(R1235,产品分类!$C$2:$D$1278,2,0)</f>
        <v>数码电子</v>
      </c>
    </row>
    <row r="1236" spans="1:20">
      <c r="A1236" s="8">
        <f t="shared" si="101"/>
        <v>40181</v>
      </c>
      <c r="B1236" s="8">
        <f t="shared" si="101"/>
        <v>40181</v>
      </c>
      <c r="C1236" s="9" t="s">
        <v>515</v>
      </c>
      <c r="D1236">
        <v>10021335550</v>
      </c>
      <c r="E1236" t="s">
        <v>47</v>
      </c>
      <c r="F1236" t="s">
        <v>230</v>
      </c>
      <c r="G1236" t="s">
        <v>231</v>
      </c>
      <c r="H1236" t="s">
        <v>1465</v>
      </c>
      <c r="I1236" t="s">
        <v>1466</v>
      </c>
      <c r="J1236" t="s">
        <v>668</v>
      </c>
      <c r="K1236" s="3">
        <v>100313861579</v>
      </c>
      <c r="L1236" s="10">
        <v>40186</v>
      </c>
      <c r="M1236">
        <v>178.13</v>
      </c>
      <c r="N1236" s="11">
        <v>13</v>
      </c>
      <c r="O1236" s="12">
        <v>13.43</v>
      </c>
      <c r="P1236" s="12">
        <v>5.5</v>
      </c>
      <c r="Q1236" s="13">
        <v>-19.75</v>
      </c>
      <c r="R1236" s="36" t="s">
        <v>1162</v>
      </c>
      <c r="S1236" s="7">
        <f t="shared" si="98"/>
        <v>5</v>
      </c>
      <c r="T1236" s="15" t="str">
        <f>VLOOKUP(R1236,产品分类!$C$2:$D$1278,2,0)</f>
        <v>办公用品</v>
      </c>
    </row>
    <row r="1237" spans="1:20">
      <c r="A1237" s="8">
        <f>DATE(2012,12,31)-1298</f>
        <v>39976</v>
      </c>
      <c r="B1237" s="8">
        <f>DATE(2012,12,31)-1298</f>
        <v>39976</v>
      </c>
      <c r="C1237" s="9" t="s">
        <v>1480</v>
      </c>
      <c r="D1237">
        <v>10021415533</v>
      </c>
      <c r="E1237" t="s">
        <v>47</v>
      </c>
      <c r="F1237" t="s">
        <v>114</v>
      </c>
      <c r="G1237" t="s">
        <v>115</v>
      </c>
      <c r="H1237" t="s">
        <v>1242</v>
      </c>
      <c r="I1237" t="s">
        <v>1243</v>
      </c>
      <c r="J1237" t="s">
        <v>668</v>
      </c>
      <c r="K1237" s="3">
        <v>10036550699</v>
      </c>
      <c r="L1237" s="10">
        <v>39978</v>
      </c>
      <c r="M1237">
        <v>1676.48</v>
      </c>
      <c r="N1237" s="11">
        <v>28</v>
      </c>
      <c r="O1237" s="12">
        <v>55.48</v>
      </c>
      <c r="P1237" s="12">
        <v>14.3</v>
      </c>
      <c r="Q1237" s="13">
        <v>590.35</v>
      </c>
      <c r="R1237" s="36" t="s">
        <v>429</v>
      </c>
      <c r="S1237" s="7">
        <f t="shared" si="98"/>
        <v>2</v>
      </c>
      <c r="T1237" s="15" t="str">
        <f>VLOOKUP(R1237,产品分类!$C$2:$D$1278,2,0)</f>
        <v>办公用品</v>
      </c>
    </row>
    <row r="1238" spans="1:20">
      <c r="A1238" s="8">
        <f t="shared" ref="A1238:B1240" si="102">DATE(2012,12,31)-212</f>
        <v>41062</v>
      </c>
      <c r="B1238" s="8">
        <f t="shared" si="102"/>
        <v>41062</v>
      </c>
      <c r="C1238" s="9" t="s">
        <v>589</v>
      </c>
      <c r="D1238">
        <v>10021251137</v>
      </c>
      <c r="E1238" t="s">
        <v>47</v>
      </c>
      <c r="F1238" t="s">
        <v>473</v>
      </c>
      <c r="G1238" t="s">
        <v>474</v>
      </c>
      <c r="H1238" t="s">
        <v>475</v>
      </c>
      <c r="I1238" t="s">
        <v>476</v>
      </c>
      <c r="J1238" t="s">
        <v>668</v>
      </c>
      <c r="K1238" s="3">
        <v>10014157328</v>
      </c>
      <c r="L1238" s="10">
        <v>41063</v>
      </c>
      <c r="M1238">
        <v>12.12</v>
      </c>
      <c r="N1238" s="11">
        <v>2</v>
      </c>
      <c r="O1238" s="12">
        <v>5.43</v>
      </c>
      <c r="P1238" s="12">
        <v>0.95</v>
      </c>
      <c r="Q1238" s="13">
        <v>-4.55</v>
      </c>
      <c r="R1238" s="36" t="s">
        <v>1308</v>
      </c>
      <c r="S1238" s="7">
        <f t="shared" si="98"/>
        <v>1</v>
      </c>
      <c r="T1238" s="15" t="str">
        <f>VLOOKUP(R1238,产品分类!$C$2:$D$1278,2,0)</f>
        <v>办公用品</v>
      </c>
    </row>
    <row r="1239" spans="1:20">
      <c r="A1239" s="8">
        <f t="shared" si="102"/>
        <v>41062</v>
      </c>
      <c r="B1239" s="8">
        <f t="shared" si="102"/>
        <v>41062</v>
      </c>
      <c r="C1239" s="9" t="s">
        <v>589</v>
      </c>
      <c r="D1239">
        <v>10021285906</v>
      </c>
      <c r="E1239" t="s">
        <v>47</v>
      </c>
      <c r="F1239" t="s">
        <v>114</v>
      </c>
      <c r="G1239" t="s">
        <v>115</v>
      </c>
      <c r="H1239" t="s">
        <v>1057</v>
      </c>
      <c r="I1239" t="s">
        <v>1058</v>
      </c>
      <c r="J1239" t="s">
        <v>668</v>
      </c>
      <c r="K1239" s="3">
        <v>100730207945</v>
      </c>
      <c r="L1239" s="10">
        <v>41062</v>
      </c>
      <c r="M1239">
        <v>2318.2135</v>
      </c>
      <c r="N1239" s="11">
        <v>44</v>
      </c>
      <c r="O1239" s="12">
        <v>65.99</v>
      </c>
      <c r="P1239" s="12">
        <v>2.79</v>
      </c>
      <c r="Q1239" s="13">
        <v>583.749</v>
      </c>
      <c r="R1239" s="36" t="s">
        <v>1296</v>
      </c>
      <c r="S1239" s="7">
        <f t="shared" si="98"/>
        <v>0</v>
      </c>
      <c r="T1239" s="15" t="str">
        <f>VLOOKUP(R1239,产品分类!$C$2:$D$1278,2,0)</f>
        <v>办公用品</v>
      </c>
    </row>
    <row r="1240" spans="1:20">
      <c r="A1240" s="8">
        <f t="shared" si="102"/>
        <v>41062</v>
      </c>
      <c r="B1240" s="8">
        <f t="shared" si="102"/>
        <v>41062</v>
      </c>
      <c r="C1240" s="9" t="s">
        <v>589</v>
      </c>
      <c r="D1240">
        <v>10021250893</v>
      </c>
      <c r="E1240" t="s">
        <v>47</v>
      </c>
      <c r="F1240" t="s">
        <v>434</v>
      </c>
      <c r="G1240" t="s">
        <v>435</v>
      </c>
      <c r="H1240" t="s">
        <v>436</v>
      </c>
      <c r="I1240" t="s">
        <v>437</v>
      </c>
      <c r="J1240" t="s">
        <v>668</v>
      </c>
      <c r="K1240" s="3">
        <v>100916146201</v>
      </c>
      <c r="L1240" s="10">
        <v>41064</v>
      </c>
      <c r="M1240">
        <v>1136.44</v>
      </c>
      <c r="N1240" s="11">
        <v>30</v>
      </c>
      <c r="O1240" s="12">
        <v>40.98</v>
      </c>
      <c r="P1240" s="12">
        <v>6.5</v>
      </c>
      <c r="Q1240" s="13">
        <v>-9.29999999999997</v>
      </c>
      <c r="R1240" s="36" t="s">
        <v>1481</v>
      </c>
      <c r="S1240" s="7">
        <f t="shared" si="98"/>
        <v>2</v>
      </c>
      <c r="T1240" s="15" t="str">
        <f>VLOOKUP(R1240,产品分类!$C$2:$D$1278,2,0)</f>
        <v>办公用品</v>
      </c>
    </row>
    <row r="1241" spans="1:20">
      <c r="A1241" s="8">
        <f>DATE(2012,12,31)-486</f>
        <v>40788</v>
      </c>
      <c r="B1241" s="8">
        <f>DATE(2012,12,31)-486</f>
        <v>40788</v>
      </c>
      <c r="C1241" s="9" t="s">
        <v>328</v>
      </c>
      <c r="D1241">
        <v>10021301911</v>
      </c>
      <c r="E1241" t="s">
        <v>47</v>
      </c>
      <c r="F1241" t="s">
        <v>91</v>
      </c>
      <c r="G1241" t="s">
        <v>92</v>
      </c>
      <c r="H1241" t="s">
        <v>1412</v>
      </c>
      <c r="I1241" t="s">
        <v>1413</v>
      </c>
      <c r="J1241" t="s">
        <v>668</v>
      </c>
      <c r="K1241" s="3">
        <v>100130541188</v>
      </c>
      <c r="L1241" s="10">
        <v>40797</v>
      </c>
      <c r="M1241">
        <v>932.892</v>
      </c>
      <c r="N1241" s="11">
        <v>30</v>
      </c>
      <c r="O1241" s="12">
        <v>35.99</v>
      </c>
      <c r="P1241" s="12">
        <v>0.99</v>
      </c>
      <c r="Q1241" s="13">
        <v>458.982</v>
      </c>
      <c r="R1241" s="36" t="s">
        <v>685</v>
      </c>
      <c r="S1241" s="7">
        <f t="shared" si="98"/>
        <v>9</v>
      </c>
      <c r="T1241" s="15" t="str">
        <f>VLOOKUP(R1241,产品分类!$C$2:$D$1278,2,0)</f>
        <v>办公用品</v>
      </c>
    </row>
    <row r="1242" spans="1:20">
      <c r="A1242" s="8">
        <f>DATE(2012,12,31)-741</f>
        <v>40533</v>
      </c>
      <c r="B1242" s="8">
        <f>DATE(2012,12,31)-741</f>
        <v>40533</v>
      </c>
      <c r="C1242" s="9" t="s">
        <v>1482</v>
      </c>
      <c r="D1242">
        <v>10021342057</v>
      </c>
      <c r="E1242" t="s">
        <v>47</v>
      </c>
      <c r="F1242" t="s">
        <v>55</v>
      </c>
      <c r="G1242" t="s">
        <v>56</v>
      </c>
      <c r="H1242" t="s">
        <v>1331</v>
      </c>
      <c r="I1242" t="s">
        <v>1332</v>
      </c>
      <c r="J1242" t="s">
        <v>668</v>
      </c>
      <c r="K1242" s="3">
        <v>100314093049</v>
      </c>
      <c r="L1242" s="10">
        <v>40537</v>
      </c>
      <c r="M1242">
        <v>14556.67</v>
      </c>
      <c r="N1242" s="11">
        <v>48</v>
      </c>
      <c r="O1242" s="12">
        <v>306.14</v>
      </c>
      <c r="P1242" s="12">
        <v>26.53</v>
      </c>
      <c r="Q1242" s="13">
        <v>3829.63</v>
      </c>
      <c r="R1242" s="36" t="s">
        <v>1483</v>
      </c>
      <c r="S1242" s="7">
        <f t="shared" si="98"/>
        <v>4</v>
      </c>
      <c r="T1242" s="15" t="str">
        <f>VLOOKUP(R1242,产品分类!$C$2:$D$1278,2,0)</f>
        <v>办公用品</v>
      </c>
    </row>
    <row r="1243" spans="1:20">
      <c r="A1243" s="8">
        <f>DATE(2012,12,31)-1153</f>
        <v>40121</v>
      </c>
      <c r="B1243" s="8">
        <f>DATE(2012,12,31)-1153</f>
        <v>40121</v>
      </c>
      <c r="C1243" s="9" t="s">
        <v>832</v>
      </c>
      <c r="D1243">
        <v>10021351123</v>
      </c>
      <c r="E1243" t="s">
        <v>47</v>
      </c>
      <c r="F1243" t="s">
        <v>55</v>
      </c>
      <c r="G1243" t="s">
        <v>56</v>
      </c>
      <c r="H1243" t="s">
        <v>1331</v>
      </c>
      <c r="I1243" t="s">
        <v>1332</v>
      </c>
      <c r="J1243" t="s">
        <v>668</v>
      </c>
      <c r="K1243" s="3">
        <v>100432207024</v>
      </c>
      <c r="L1243" s="10">
        <v>40121</v>
      </c>
      <c r="M1243">
        <v>160.29</v>
      </c>
      <c r="N1243" s="11">
        <v>20</v>
      </c>
      <c r="O1243" s="12">
        <v>7.59</v>
      </c>
      <c r="P1243" s="12">
        <v>4</v>
      </c>
      <c r="Q1243" s="13">
        <v>1.35</v>
      </c>
      <c r="R1243" s="36" t="s">
        <v>996</v>
      </c>
      <c r="S1243" s="7">
        <f t="shared" si="98"/>
        <v>0</v>
      </c>
      <c r="T1243" s="15" t="str">
        <f>VLOOKUP(R1243,产品分类!$C$2:$D$1278,2,0)</f>
        <v>家具产品</v>
      </c>
    </row>
    <row r="1244" spans="1:20">
      <c r="A1244" s="8">
        <f>DATE(2012,12,31)-652</f>
        <v>40622</v>
      </c>
      <c r="B1244" s="8">
        <f>DATE(2012,12,31)-652</f>
        <v>40622</v>
      </c>
      <c r="C1244" s="9" t="s">
        <v>667</v>
      </c>
      <c r="D1244">
        <v>10021433790</v>
      </c>
      <c r="E1244" t="s">
        <v>47</v>
      </c>
      <c r="F1244" t="s">
        <v>91</v>
      </c>
      <c r="G1244" t="s">
        <v>92</v>
      </c>
      <c r="H1244" t="s">
        <v>1412</v>
      </c>
      <c r="I1244" t="s">
        <v>1413</v>
      </c>
      <c r="J1244" t="s">
        <v>668</v>
      </c>
      <c r="K1244" s="3">
        <v>100932631221</v>
      </c>
      <c r="L1244" s="10">
        <v>40623</v>
      </c>
      <c r="M1244">
        <v>119.2</v>
      </c>
      <c r="N1244" s="11">
        <v>32</v>
      </c>
      <c r="O1244" s="12">
        <v>3.93</v>
      </c>
      <c r="P1244" s="12">
        <v>0.99</v>
      </c>
      <c r="Q1244" s="13">
        <v>30.61</v>
      </c>
      <c r="R1244" s="36" t="s">
        <v>1203</v>
      </c>
      <c r="S1244" s="7">
        <f t="shared" si="98"/>
        <v>1</v>
      </c>
      <c r="T1244" s="15" t="str">
        <f>VLOOKUP(R1244,产品分类!$C$2:$D$1278,2,0)</f>
        <v>家具产品</v>
      </c>
    </row>
    <row r="1245" spans="1:20">
      <c r="A1245" s="8">
        <f>DATE(2012,12,31)-652</f>
        <v>40622</v>
      </c>
      <c r="B1245" s="8">
        <f>DATE(2012,12,31)-652</f>
        <v>40622</v>
      </c>
      <c r="C1245" s="9" t="s">
        <v>667</v>
      </c>
      <c r="D1245">
        <v>10021252698</v>
      </c>
      <c r="E1245" t="s">
        <v>47</v>
      </c>
      <c r="F1245" t="s">
        <v>122</v>
      </c>
      <c r="G1245" t="s">
        <v>123</v>
      </c>
      <c r="H1245" t="s">
        <v>124</v>
      </c>
      <c r="I1245" t="s">
        <v>125</v>
      </c>
      <c r="J1245" t="s">
        <v>668</v>
      </c>
      <c r="K1245" s="3">
        <v>100912671661</v>
      </c>
      <c r="L1245" s="10">
        <v>40625</v>
      </c>
      <c r="M1245">
        <v>1825.42</v>
      </c>
      <c r="N1245" s="11">
        <v>19</v>
      </c>
      <c r="O1245" s="12">
        <v>99.23</v>
      </c>
      <c r="P1245" s="12">
        <v>8.99</v>
      </c>
      <c r="Q1245" s="13">
        <v>1193.19</v>
      </c>
      <c r="R1245" s="36" t="s">
        <v>1484</v>
      </c>
      <c r="S1245" s="7">
        <f t="shared" si="98"/>
        <v>3</v>
      </c>
      <c r="T1245" s="15" t="str">
        <f>VLOOKUP(R1245,产品分类!$C$2:$D$1278,2,0)</f>
        <v>数码电子</v>
      </c>
    </row>
    <row r="1246" spans="1:20">
      <c r="A1246" s="16">
        <f>DATE(2012,12,31)-1288</f>
        <v>39986</v>
      </c>
      <c r="B1246" s="16">
        <f>DATE(2012,12,31)-1288</f>
        <v>39986</v>
      </c>
      <c r="C1246" s="9" t="s">
        <v>1485</v>
      </c>
      <c r="D1246">
        <v>10021266556</v>
      </c>
      <c r="E1246" t="s">
        <v>47</v>
      </c>
      <c r="F1246" t="s">
        <v>132</v>
      </c>
      <c r="G1246" t="s">
        <v>133</v>
      </c>
      <c r="H1246" t="s">
        <v>134</v>
      </c>
      <c r="I1246" t="s">
        <v>133</v>
      </c>
      <c r="J1246" t="s">
        <v>668</v>
      </c>
      <c r="K1246" s="3">
        <v>100731797175</v>
      </c>
      <c r="L1246" s="10">
        <v>39988</v>
      </c>
      <c r="M1246">
        <v>15383.7</v>
      </c>
      <c r="N1246" s="17">
        <v>50</v>
      </c>
      <c r="O1246" s="5">
        <v>304.99</v>
      </c>
      <c r="P1246" s="5">
        <v>19.99</v>
      </c>
      <c r="Q1246" s="6">
        <v>6523.257</v>
      </c>
      <c r="R1246" s="37" t="s">
        <v>782</v>
      </c>
      <c r="S1246" s="7">
        <f t="shared" si="98"/>
        <v>2</v>
      </c>
      <c r="T1246" s="15" t="str">
        <f>VLOOKUP(R1246,产品分类!$C$2:$D$1278,2,0)</f>
        <v>办公用品</v>
      </c>
    </row>
    <row r="1247" spans="1:20">
      <c r="A1247" s="8">
        <f>DATE(2012,12,31)-1288</f>
        <v>39986</v>
      </c>
      <c r="B1247" s="8">
        <f>DATE(2012,12,31)-1288</f>
        <v>39986</v>
      </c>
      <c r="C1247" s="9" t="s">
        <v>1485</v>
      </c>
      <c r="D1247">
        <v>10021347275</v>
      </c>
      <c r="E1247" t="s">
        <v>47</v>
      </c>
      <c r="F1247" t="s">
        <v>97</v>
      </c>
      <c r="G1247" t="s">
        <v>98</v>
      </c>
      <c r="H1247" t="s">
        <v>99</v>
      </c>
      <c r="I1247" t="s">
        <v>98</v>
      </c>
      <c r="J1247" t="s">
        <v>668</v>
      </c>
      <c r="K1247" s="3">
        <v>100930991701</v>
      </c>
      <c r="L1247" s="10">
        <v>39988</v>
      </c>
      <c r="M1247">
        <v>1637.457</v>
      </c>
      <c r="N1247" s="11">
        <v>31</v>
      </c>
      <c r="O1247" s="12">
        <v>65.99</v>
      </c>
      <c r="P1247" s="12">
        <v>8.99</v>
      </c>
      <c r="Q1247" s="13">
        <v>118.152</v>
      </c>
      <c r="R1247" s="36" t="s">
        <v>1486</v>
      </c>
      <c r="S1247" s="7">
        <f t="shared" si="98"/>
        <v>2</v>
      </c>
      <c r="T1247" s="15" t="str">
        <f>VLOOKUP(R1247,产品分类!$C$2:$D$1278,2,0)</f>
        <v>办公用品</v>
      </c>
    </row>
    <row r="1248" spans="1:20">
      <c r="A1248" s="8">
        <f>DATE(2012,12,31)-953</f>
        <v>40321</v>
      </c>
      <c r="B1248" s="8">
        <f>DATE(2012,12,31)-953</f>
        <v>40321</v>
      </c>
      <c r="C1248" s="9" t="s">
        <v>1487</v>
      </c>
      <c r="D1248">
        <v>10021425283</v>
      </c>
      <c r="E1248" t="s">
        <v>47</v>
      </c>
      <c r="F1248" t="s">
        <v>132</v>
      </c>
      <c r="G1248" t="s">
        <v>133</v>
      </c>
      <c r="H1248" t="s">
        <v>134</v>
      </c>
      <c r="I1248" t="s">
        <v>133</v>
      </c>
      <c r="J1248" t="s">
        <v>668</v>
      </c>
      <c r="K1248" s="3">
        <v>100929436151</v>
      </c>
      <c r="L1248" s="10">
        <v>40322</v>
      </c>
      <c r="M1248">
        <v>822.3495</v>
      </c>
      <c r="N1248" s="11">
        <v>8</v>
      </c>
      <c r="O1248" s="12">
        <v>125.99</v>
      </c>
      <c r="P1248" s="12">
        <v>8.8</v>
      </c>
      <c r="Q1248" s="13">
        <v>-360.305</v>
      </c>
      <c r="R1248" s="36" t="s">
        <v>570</v>
      </c>
      <c r="S1248" s="7">
        <f t="shared" si="98"/>
        <v>1</v>
      </c>
      <c r="T1248" s="15" t="str">
        <f>VLOOKUP(R1248,产品分类!$C$2:$D$1278,2,0)</f>
        <v>办公用品</v>
      </c>
    </row>
    <row r="1249" spans="1:20">
      <c r="A1249" s="8">
        <f>DATE(2012,12,31)-781</f>
        <v>40493</v>
      </c>
      <c r="B1249" s="8">
        <f>DATE(2012,12,31)-781</f>
        <v>40493</v>
      </c>
      <c r="C1249" s="9" t="s">
        <v>681</v>
      </c>
      <c r="D1249">
        <v>10021339734</v>
      </c>
      <c r="E1249" t="s">
        <v>47</v>
      </c>
      <c r="F1249" t="s">
        <v>97</v>
      </c>
      <c r="G1249" t="s">
        <v>98</v>
      </c>
      <c r="H1249" t="s">
        <v>99</v>
      </c>
      <c r="I1249" t="s">
        <v>98</v>
      </c>
      <c r="J1249" t="s">
        <v>668</v>
      </c>
      <c r="K1249" s="3">
        <v>100925552281</v>
      </c>
      <c r="L1249" s="10">
        <v>40494</v>
      </c>
      <c r="M1249">
        <v>605.77</v>
      </c>
      <c r="N1249" s="11">
        <v>42</v>
      </c>
      <c r="O1249" s="12">
        <v>14.34</v>
      </c>
      <c r="P1249" s="12">
        <v>5</v>
      </c>
      <c r="Q1249" s="13">
        <v>129.33</v>
      </c>
      <c r="R1249" s="36" t="s">
        <v>298</v>
      </c>
      <c r="S1249" s="7">
        <f t="shared" si="98"/>
        <v>1</v>
      </c>
      <c r="T1249" s="15" t="str">
        <f>VLOOKUP(R1249,产品分类!$C$2:$D$1278,2,0)</f>
        <v>办公用品</v>
      </c>
    </row>
    <row r="1250" spans="1:20">
      <c r="A1250" s="8">
        <f>DATE(2012,12,31)-781</f>
        <v>40493</v>
      </c>
      <c r="B1250" s="8">
        <f>DATE(2012,12,31)-781</f>
        <v>40493</v>
      </c>
      <c r="C1250" s="9" t="s">
        <v>681</v>
      </c>
      <c r="D1250">
        <v>10021249859</v>
      </c>
      <c r="E1250" t="s">
        <v>47</v>
      </c>
      <c r="F1250" t="s">
        <v>102</v>
      </c>
      <c r="G1250" t="s">
        <v>103</v>
      </c>
      <c r="H1250" t="s">
        <v>1217</v>
      </c>
      <c r="I1250" t="s">
        <v>1218</v>
      </c>
      <c r="J1250" t="s">
        <v>668</v>
      </c>
      <c r="K1250" s="3">
        <v>100910106651</v>
      </c>
      <c r="L1250" s="10">
        <v>40494</v>
      </c>
      <c r="M1250">
        <v>1480.91</v>
      </c>
      <c r="N1250" s="11">
        <v>44</v>
      </c>
      <c r="O1250" s="12">
        <v>30.98</v>
      </c>
      <c r="P1250" s="12">
        <v>8.74</v>
      </c>
      <c r="Q1250" s="13">
        <v>489.14</v>
      </c>
      <c r="R1250" s="36" t="s">
        <v>496</v>
      </c>
      <c r="S1250" s="7">
        <f t="shared" si="98"/>
        <v>1</v>
      </c>
      <c r="T1250" s="15" t="str">
        <f>VLOOKUP(R1250,产品分类!$C$2:$D$1278,2,0)</f>
        <v>办公用品</v>
      </c>
    </row>
    <row r="1251" spans="1:20">
      <c r="A1251" s="8">
        <f>DATE(2012,12,31)-1256</f>
        <v>40018</v>
      </c>
      <c r="B1251" s="8">
        <f>DATE(2012,12,31)-1256</f>
        <v>40018</v>
      </c>
      <c r="C1251" s="9" t="s">
        <v>1488</v>
      </c>
      <c r="D1251">
        <v>10021270431</v>
      </c>
      <c r="E1251" t="s">
        <v>47</v>
      </c>
      <c r="F1251" t="s">
        <v>102</v>
      </c>
      <c r="G1251" t="s">
        <v>103</v>
      </c>
      <c r="H1251" t="s">
        <v>1217</v>
      </c>
      <c r="I1251" t="s">
        <v>1218</v>
      </c>
      <c r="J1251" t="s">
        <v>668</v>
      </c>
      <c r="K1251" s="3">
        <v>100121636336</v>
      </c>
      <c r="L1251" s="10">
        <v>40019</v>
      </c>
      <c r="M1251">
        <v>3644.24</v>
      </c>
      <c r="N1251" s="11">
        <v>33</v>
      </c>
      <c r="O1251" s="12">
        <v>101.41</v>
      </c>
      <c r="P1251" s="12">
        <v>35</v>
      </c>
      <c r="Q1251" s="13">
        <v>-457.73</v>
      </c>
      <c r="R1251" s="36" t="s">
        <v>1489</v>
      </c>
      <c r="S1251" s="7">
        <f t="shared" si="98"/>
        <v>1</v>
      </c>
      <c r="T1251" s="15" t="str">
        <f>VLOOKUP(R1251,产品分类!$C$2:$D$1278,2,0)</f>
        <v>数码电子</v>
      </c>
    </row>
    <row r="1252" spans="1:20">
      <c r="A1252" s="8">
        <f>DATE(2012,12,31)-1256</f>
        <v>40018</v>
      </c>
      <c r="B1252" s="8">
        <f>DATE(2012,12,31)-1256</f>
        <v>40018</v>
      </c>
      <c r="C1252" s="9" t="s">
        <v>1488</v>
      </c>
      <c r="D1252">
        <v>10021280271</v>
      </c>
      <c r="E1252" t="s">
        <v>47</v>
      </c>
      <c r="F1252" t="s">
        <v>102</v>
      </c>
      <c r="G1252" t="s">
        <v>103</v>
      </c>
      <c r="H1252" t="s">
        <v>1217</v>
      </c>
      <c r="I1252" t="s">
        <v>1218</v>
      </c>
      <c r="J1252" t="s">
        <v>668</v>
      </c>
      <c r="K1252" s="3">
        <v>100113180016</v>
      </c>
      <c r="L1252" s="10">
        <v>40019</v>
      </c>
      <c r="M1252">
        <v>599.2075</v>
      </c>
      <c r="N1252" s="11">
        <v>8</v>
      </c>
      <c r="O1252" s="12">
        <v>95.99</v>
      </c>
      <c r="P1252" s="12">
        <v>4.9</v>
      </c>
      <c r="Q1252" s="13">
        <v>-268.664</v>
      </c>
      <c r="R1252" s="36" t="s">
        <v>509</v>
      </c>
      <c r="S1252" s="7">
        <f t="shared" si="98"/>
        <v>1</v>
      </c>
      <c r="T1252" s="15" t="str">
        <f>VLOOKUP(R1252,产品分类!$C$2:$D$1278,2,0)</f>
        <v>数码电子</v>
      </c>
    </row>
    <row r="1253" spans="1:20">
      <c r="A1253" s="8">
        <f>DATE(2012,12,31)-388</f>
        <v>40886</v>
      </c>
      <c r="B1253" s="8">
        <f>DATE(2012,12,31)-388</f>
        <v>40886</v>
      </c>
      <c r="C1253" s="9" t="s">
        <v>1490</v>
      </c>
      <c r="D1253">
        <v>10021293930</v>
      </c>
      <c r="E1253" t="s">
        <v>47</v>
      </c>
      <c r="F1253" t="s">
        <v>102</v>
      </c>
      <c r="G1253" t="s">
        <v>103</v>
      </c>
      <c r="H1253" t="s">
        <v>1217</v>
      </c>
      <c r="I1253" t="s">
        <v>1218</v>
      </c>
      <c r="J1253" t="s">
        <v>668</v>
      </c>
      <c r="K1253" s="3">
        <v>100710160345</v>
      </c>
      <c r="L1253" s="10">
        <v>40886</v>
      </c>
      <c r="M1253">
        <v>268.55</v>
      </c>
      <c r="N1253" s="11">
        <v>36</v>
      </c>
      <c r="O1253" s="12">
        <v>8.12</v>
      </c>
      <c r="P1253" s="12">
        <v>2.83</v>
      </c>
      <c r="Q1253" s="13">
        <v>-99.02</v>
      </c>
      <c r="R1253" s="36" t="s">
        <v>923</v>
      </c>
      <c r="S1253" s="7">
        <f t="shared" si="98"/>
        <v>0</v>
      </c>
      <c r="T1253" s="15" t="str">
        <f>VLOOKUP(R1253,产品分类!$C$2:$D$1278,2,0)</f>
        <v>办公用品</v>
      </c>
    </row>
    <row r="1254" spans="1:20">
      <c r="A1254" s="8">
        <f>DATE(2012,12,31)-570</f>
        <v>40704</v>
      </c>
      <c r="B1254" s="8">
        <f>DATE(2012,12,31)-570</f>
        <v>40704</v>
      </c>
      <c r="C1254" s="9" t="s">
        <v>1491</v>
      </c>
      <c r="D1254">
        <v>10021264342</v>
      </c>
      <c r="E1254" t="s">
        <v>47</v>
      </c>
      <c r="F1254" t="s">
        <v>208</v>
      </c>
      <c r="G1254" t="s">
        <v>209</v>
      </c>
      <c r="H1254" t="s">
        <v>1492</v>
      </c>
      <c r="I1254" t="s">
        <v>1493</v>
      </c>
      <c r="J1254" t="s">
        <v>668</v>
      </c>
      <c r="K1254" s="3">
        <v>100130904626</v>
      </c>
      <c r="L1254" s="10">
        <v>40706</v>
      </c>
      <c r="M1254">
        <v>294.91</v>
      </c>
      <c r="N1254" s="11">
        <v>23</v>
      </c>
      <c r="O1254" s="12">
        <v>12.44</v>
      </c>
      <c r="P1254" s="12">
        <v>6.27</v>
      </c>
      <c r="Q1254" s="13">
        <v>-37.27</v>
      </c>
      <c r="R1254" s="36" t="s">
        <v>150</v>
      </c>
      <c r="S1254" s="7">
        <f t="shared" si="98"/>
        <v>2</v>
      </c>
      <c r="T1254" s="15" t="str">
        <f>VLOOKUP(R1254,产品分类!$C$2:$D$1278,2,0)</f>
        <v>家具产品</v>
      </c>
    </row>
    <row r="1255" spans="1:20">
      <c r="A1255" s="8">
        <f>DATE(2012,12,31)-919</f>
        <v>40355</v>
      </c>
      <c r="B1255" s="8">
        <f>DATE(2012,12,31)-919</f>
        <v>40355</v>
      </c>
      <c r="C1255" s="9" t="s">
        <v>259</v>
      </c>
      <c r="D1255">
        <v>10021303646</v>
      </c>
      <c r="E1255" t="s">
        <v>47</v>
      </c>
      <c r="F1255" t="s">
        <v>102</v>
      </c>
      <c r="G1255" t="s">
        <v>103</v>
      </c>
      <c r="H1255" t="s">
        <v>1217</v>
      </c>
      <c r="I1255" t="s">
        <v>1218</v>
      </c>
      <c r="J1255" t="s">
        <v>668</v>
      </c>
      <c r="K1255" s="3">
        <v>100416643334</v>
      </c>
      <c r="L1255" s="10">
        <v>40356</v>
      </c>
      <c r="M1255">
        <v>384.9</v>
      </c>
      <c r="N1255" s="11">
        <v>27</v>
      </c>
      <c r="O1255" s="12">
        <v>14.03</v>
      </c>
      <c r="P1255" s="12">
        <v>9.37</v>
      </c>
      <c r="Q1255" s="13">
        <v>-108.28</v>
      </c>
      <c r="R1255" s="36" t="s">
        <v>1014</v>
      </c>
      <c r="S1255" s="7">
        <f t="shared" si="98"/>
        <v>1</v>
      </c>
      <c r="T1255" s="15" t="str">
        <f>VLOOKUP(R1255,产品分类!$C$2:$D$1278,2,0)</f>
        <v>数码电子</v>
      </c>
    </row>
    <row r="1256" spans="1:20">
      <c r="A1256" s="8">
        <f>DATE(2012,12,31)-442</f>
        <v>40832</v>
      </c>
      <c r="B1256" s="8">
        <f>DATE(2012,12,31)-442</f>
        <v>40832</v>
      </c>
      <c r="C1256" s="9" t="s">
        <v>1201</v>
      </c>
      <c r="D1256">
        <v>10021320249</v>
      </c>
      <c r="E1256" t="s">
        <v>47</v>
      </c>
      <c r="F1256" t="s">
        <v>171</v>
      </c>
      <c r="G1256" t="s">
        <v>172</v>
      </c>
      <c r="H1256" t="s">
        <v>933</v>
      </c>
      <c r="I1256" t="s">
        <v>934</v>
      </c>
      <c r="J1256" t="s">
        <v>668</v>
      </c>
      <c r="K1256" s="3">
        <v>100319457149</v>
      </c>
      <c r="L1256" s="10">
        <v>40832</v>
      </c>
      <c r="M1256">
        <v>2637.78</v>
      </c>
      <c r="N1256" s="11">
        <v>17</v>
      </c>
      <c r="O1256" s="12">
        <v>152.48</v>
      </c>
      <c r="P1256" s="12">
        <v>6.5</v>
      </c>
      <c r="Q1256" s="13">
        <v>-0.839999999999975</v>
      </c>
      <c r="R1256" s="36" t="s">
        <v>505</v>
      </c>
      <c r="S1256" s="7">
        <f t="shared" si="98"/>
        <v>0</v>
      </c>
      <c r="T1256" s="15" t="str">
        <f>VLOOKUP(R1256,产品分类!$C$2:$D$1278,2,0)</f>
        <v>家具产品</v>
      </c>
    </row>
    <row r="1257" spans="1:20">
      <c r="A1257" s="8">
        <f>DATE(2012,12,31)-442</f>
        <v>40832</v>
      </c>
      <c r="B1257" s="8">
        <f>DATE(2012,12,31)-442</f>
        <v>40832</v>
      </c>
      <c r="C1257" s="9" t="s">
        <v>1201</v>
      </c>
      <c r="D1257">
        <v>10021248531</v>
      </c>
      <c r="E1257" t="s">
        <v>47</v>
      </c>
      <c r="F1257" t="s">
        <v>527</v>
      </c>
      <c r="G1257" t="s">
        <v>528</v>
      </c>
      <c r="H1257" t="s">
        <v>1356</v>
      </c>
      <c r="I1257" t="s">
        <v>1357</v>
      </c>
      <c r="J1257" t="s">
        <v>668</v>
      </c>
      <c r="K1257" s="3">
        <v>10012635707</v>
      </c>
      <c r="L1257" s="10">
        <v>40837</v>
      </c>
      <c r="M1257">
        <v>157.4</v>
      </c>
      <c r="N1257" s="11">
        <v>29</v>
      </c>
      <c r="O1257" s="12">
        <v>4.98</v>
      </c>
      <c r="P1257" s="12">
        <v>7.28</v>
      </c>
      <c r="Q1257" s="13">
        <v>-118.56</v>
      </c>
      <c r="R1257" s="36" t="s">
        <v>1494</v>
      </c>
      <c r="S1257" s="7">
        <f t="shared" si="98"/>
        <v>5</v>
      </c>
      <c r="T1257" s="15" t="str">
        <f>VLOOKUP(R1257,产品分类!$C$2:$D$1278,2,0)</f>
        <v>数码电子</v>
      </c>
    </row>
    <row r="1258" spans="1:20">
      <c r="A1258" s="8">
        <f>DATE(2012,12,31)-1140</f>
        <v>40134</v>
      </c>
      <c r="B1258" s="8">
        <f>DATE(2012,12,31)-1140</f>
        <v>40134</v>
      </c>
      <c r="C1258" s="9" t="s">
        <v>425</v>
      </c>
      <c r="D1258">
        <v>10021283482</v>
      </c>
      <c r="E1258" t="s">
        <v>47</v>
      </c>
      <c r="F1258" t="s">
        <v>171</v>
      </c>
      <c r="G1258" t="s">
        <v>172</v>
      </c>
      <c r="H1258" t="s">
        <v>933</v>
      </c>
      <c r="I1258" t="s">
        <v>934</v>
      </c>
      <c r="J1258" t="s">
        <v>668</v>
      </c>
      <c r="K1258" s="3">
        <v>100113750176</v>
      </c>
      <c r="L1258" s="10">
        <v>40135</v>
      </c>
      <c r="M1258">
        <v>2799.7</v>
      </c>
      <c r="N1258" s="11">
        <v>47</v>
      </c>
      <c r="O1258" s="12">
        <v>62.05</v>
      </c>
      <c r="P1258" s="12">
        <v>3.99</v>
      </c>
      <c r="Q1258" s="13">
        <v>884.08</v>
      </c>
      <c r="R1258" s="36" t="s">
        <v>1495</v>
      </c>
      <c r="S1258" s="7">
        <f t="shared" si="98"/>
        <v>1</v>
      </c>
      <c r="T1258" s="15" t="str">
        <f>VLOOKUP(R1258,产品分类!$C$2:$D$1278,2,0)</f>
        <v>办公用品</v>
      </c>
    </row>
    <row r="1259" spans="1:20">
      <c r="A1259" s="8">
        <f>DATE(2012,12,31)-448</f>
        <v>40826</v>
      </c>
      <c r="B1259" s="8">
        <f>DATE(2012,12,31)-448</f>
        <v>40826</v>
      </c>
      <c r="C1259" s="9" t="s">
        <v>1496</v>
      </c>
      <c r="D1259">
        <v>10021433269</v>
      </c>
      <c r="E1259" t="s">
        <v>47</v>
      </c>
      <c r="F1259" t="s">
        <v>171</v>
      </c>
      <c r="G1259" t="s">
        <v>172</v>
      </c>
      <c r="H1259" t="s">
        <v>933</v>
      </c>
      <c r="I1259" t="s">
        <v>934</v>
      </c>
      <c r="J1259" t="s">
        <v>668</v>
      </c>
      <c r="K1259" s="3">
        <v>100832605662</v>
      </c>
      <c r="L1259" s="10">
        <v>40828</v>
      </c>
      <c r="M1259">
        <v>2039.56</v>
      </c>
      <c r="N1259" s="11">
        <v>7</v>
      </c>
      <c r="O1259" s="12">
        <v>279.48</v>
      </c>
      <c r="P1259" s="12">
        <v>35</v>
      </c>
      <c r="Q1259" s="13">
        <v>-329.49</v>
      </c>
      <c r="R1259" s="36" t="s">
        <v>950</v>
      </c>
      <c r="S1259" s="7">
        <f t="shared" si="98"/>
        <v>2</v>
      </c>
      <c r="T1259" s="15" t="str">
        <f>VLOOKUP(R1259,产品分类!$C$2:$D$1278,2,0)</f>
        <v>数码电子</v>
      </c>
    </row>
    <row r="1260" spans="1:20">
      <c r="A1260" s="8">
        <f>DATE(2012,12,31)-864</f>
        <v>40410</v>
      </c>
      <c r="B1260" s="8">
        <f>DATE(2012,12,31)-864</f>
        <v>40410</v>
      </c>
      <c r="C1260" s="9" t="s">
        <v>1497</v>
      </c>
      <c r="D1260">
        <v>10021364487</v>
      </c>
      <c r="E1260" t="s">
        <v>47</v>
      </c>
      <c r="F1260" t="s">
        <v>167</v>
      </c>
      <c r="G1260" t="s">
        <v>168</v>
      </c>
      <c r="H1260" t="s">
        <v>169</v>
      </c>
      <c r="I1260" t="s">
        <v>168</v>
      </c>
      <c r="J1260" t="s">
        <v>668</v>
      </c>
      <c r="K1260" s="3">
        <v>100713925415</v>
      </c>
      <c r="L1260" s="10">
        <v>40410</v>
      </c>
      <c r="M1260">
        <v>292.808</v>
      </c>
      <c r="N1260" s="11">
        <v>43</v>
      </c>
      <c r="O1260" s="12">
        <v>7.99</v>
      </c>
      <c r="P1260" s="12">
        <v>5.03</v>
      </c>
      <c r="Q1260" s="13">
        <v>-129.69</v>
      </c>
      <c r="R1260" s="36" t="s">
        <v>71</v>
      </c>
      <c r="S1260" s="7">
        <f t="shared" si="98"/>
        <v>0</v>
      </c>
      <c r="T1260" s="15" t="str">
        <f>VLOOKUP(R1260,产品分类!$C$2:$D$1278,2,0)</f>
        <v>办公用品</v>
      </c>
    </row>
    <row r="1261" spans="1:20">
      <c r="A1261" s="8">
        <f>DATE(2012,12,31)-123</f>
        <v>41151</v>
      </c>
      <c r="B1261" s="8">
        <f>DATE(2012,12,31)-123</f>
        <v>41151</v>
      </c>
      <c r="C1261" s="9" t="s">
        <v>613</v>
      </c>
      <c r="D1261">
        <v>10021310682</v>
      </c>
      <c r="E1261" t="s">
        <v>47</v>
      </c>
      <c r="F1261" t="s">
        <v>177</v>
      </c>
      <c r="G1261" t="s">
        <v>178</v>
      </c>
      <c r="H1261" t="s">
        <v>1292</v>
      </c>
      <c r="I1261" t="s">
        <v>1293</v>
      </c>
      <c r="J1261" t="s">
        <v>668</v>
      </c>
      <c r="K1261" s="3">
        <v>10072054685</v>
      </c>
      <c r="L1261" s="10">
        <v>41152</v>
      </c>
      <c r="M1261">
        <v>518.8</v>
      </c>
      <c r="N1261" s="11">
        <v>17</v>
      </c>
      <c r="O1261" s="12">
        <v>30.98</v>
      </c>
      <c r="P1261" s="12">
        <v>11.63</v>
      </c>
      <c r="Q1261" s="13">
        <v>54.6295</v>
      </c>
      <c r="R1261" s="36" t="s">
        <v>1498</v>
      </c>
      <c r="S1261" s="7">
        <f t="shared" si="98"/>
        <v>1</v>
      </c>
      <c r="T1261" s="15" t="str">
        <f>VLOOKUP(R1261,产品分类!$C$2:$D$1278,2,0)</f>
        <v>家具产品</v>
      </c>
    </row>
    <row r="1262" spans="1:20">
      <c r="A1262" s="8">
        <f>DATE(2012,12,31)-1228</f>
        <v>40046</v>
      </c>
      <c r="B1262" s="8">
        <f>DATE(2012,12,31)-1228</f>
        <v>40046</v>
      </c>
      <c r="C1262" s="9" t="s">
        <v>1145</v>
      </c>
      <c r="D1262">
        <v>10021344356</v>
      </c>
      <c r="E1262" t="s">
        <v>47</v>
      </c>
      <c r="F1262" t="s">
        <v>167</v>
      </c>
      <c r="G1262" t="s">
        <v>168</v>
      </c>
      <c r="H1262" t="s">
        <v>169</v>
      </c>
      <c r="I1262" t="s">
        <v>168</v>
      </c>
      <c r="J1262" t="s">
        <v>668</v>
      </c>
      <c r="K1262" s="3">
        <v>100429518654</v>
      </c>
      <c r="L1262" s="10">
        <v>40047</v>
      </c>
      <c r="M1262">
        <v>174.64</v>
      </c>
      <c r="N1262" s="11">
        <v>40</v>
      </c>
      <c r="O1262" s="12">
        <v>4.37</v>
      </c>
      <c r="P1262" s="12">
        <v>5.15</v>
      </c>
      <c r="Q1262" s="13">
        <v>-143.23</v>
      </c>
      <c r="R1262" s="36" t="s">
        <v>1235</v>
      </c>
      <c r="S1262" s="7">
        <f t="shared" si="98"/>
        <v>1</v>
      </c>
      <c r="T1262" s="15" t="str">
        <f>VLOOKUP(R1262,产品分类!$C$2:$D$1278,2,0)</f>
        <v>办公用品</v>
      </c>
    </row>
    <row r="1263" spans="1:20">
      <c r="A1263" s="8">
        <f>DATE(2012,12,31)-1228</f>
        <v>40046</v>
      </c>
      <c r="B1263" s="8">
        <f>DATE(2012,12,31)-1228</f>
        <v>40046</v>
      </c>
      <c r="C1263" s="9" t="s">
        <v>1145</v>
      </c>
      <c r="D1263">
        <v>10021418191</v>
      </c>
      <c r="E1263" t="s">
        <v>47</v>
      </c>
      <c r="F1263" t="s">
        <v>177</v>
      </c>
      <c r="G1263" t="s">
        <v>178</v>
      </c>
      <c r="H1263" t="s">
        <v>1292</v>
      </c>
      <c r="I1263" t="s">
        <v>1293</v>
      </c>
      <c r="J1263" t="s">
        <v>668</v>
      </c>
      <c r="K1263" s="3">
        <v>100119961888</v>
      </c>
      <c r="L1263" s="10">
        <v>40048</v>
      </c>
      <c r="M1263">
        <v>994.228</v>
      </c>
      <c r="N1263" s="11">
        <v>8</v>
      </c>
      <c r="O1263" s="12">
        <v>155.99</v>
      </c>
      <c r="P1263" s="12">
        <v>8.99</v>
      </c>
      <c r="Q1263" s="13">
        <v>-446.578</v>
      </c>
      <c r="R1263" s="36" t="s">
        <v>87</v>
      </c>
      <c r="S1263" s="7">
        <f t="shared" si="98"/>
        <v>2</v>
      </c>
      <c r="T1263" s="15" t="str">
        <f>VLOOKUP(R1263,产品分类!$C$2:$D$1278,2,0)</f>
        <v>办公用品</v>
      </c>
    </row>
    <row r="1264" spans="1:20">
      <c r="A1264" s="16">
        <f>DATE(2012,12,31)-627</f>
        <v>40647</v>
      </c>
      <c r="B1264" s="16">
        <f>DATE(2012,12,31)-627</f>
        <v>40647</v>
      </c>
      <c r="C1264" s="9" t="s">
        <v>328</v>
      </c>
      <c r="D1264">
        <v>10021251077</v>
      </c>
      <c r="E1264" t="s">
        <v>47</v>
      </c>
      <c r="F1264" t="s">
        <v>253</v>
      </c>
      <c r="G1264" t="s">
        <v>254</v>
      </c>
      <c r="H1264" t="s">
        <v>255</v>
      </c>
      <c r="I1264" t="s">
        <v>256</v>
      </c>
      <c r="J1264" t="s">
        <v>668</v>
      </c>
      <c r="K1264" s="3">
        <v>100716712535</v>
      </c>
      <c r="L1264" s="10">
        <v>40649</v>
      </c>
      <c r="M1264">
        <v>5977.63</v>
      </c>
      <c r="N1264" s="17">
        <v>36</v>
      </c>
      <c r="O1264" s="5">
        <v>180.98</v>
      </c>
      <c r="P1264" s="5">
        <v>55.24</v>
      </c>
      <c r="Q1264" s="6">
        <v>-86.68</v>
      </c>
      <c r="R1264" s="37" t="s">
        <v>1499</v>
      </c>
      <c r="S1264" s="7">
        <f t="shared" si="98"/>
        <v>2</v>
      </c>
      <c r="T1264" s="15" t="str">
        <f>VLOOKUP(R1264,产品分类!$C$2:$D$1278,2,0)</f>
        <v>办公用品</v>
      </c>
    </row>
    <row r="1265" spans="1:20">
      <c r="A1265" s="8">
        <f>DATE(2012,12,31)-1190</f>
        <v>40084</v>
      </c>
      <c r="B1265" s="8">
        <f>DATE(2012,12,31)-1190</f>
        <v>40084</v>
      </c>
      <c r="C1265" s="9" t="s">
        <v>1500</v>
      </c>
      <c r="D1265">
        <v>10021249256</v>
      </c>
      <c r="E1265" t="s">
        <v>47</v>
      </c>
      <c r="F1265" t="s">
        <v>61</v>
      </c>
      <c r="G1265" t="s">
        <v>62</v>
      </c>
      <c r="H1265" t="s">
        <v>1369</v>
      </c>
      <c r="I1265" t="s">
        <v>1370</v>
      </c>
      <c r="J1265" t="s">
        <v>668</v>
      </c>
      <c r="K1265" s="3">
        <v>10044781604</v>
      </c>
      <c r="L1265" s="10">
        <v>40089</v>
      </c>
      <c r="M1265">
        <v>1239.81</v>
      </c>
      <c r="N1265" s="11">
        <v>24</v>
      </c>
      <c r="O1265" s="12">
        <v>50.98</v>
      </c>
      <c r="P1265" s="12">
        <v>6.5</v>
      </c>
      <c r="Q1265" s="13">
        <v>-13.28</v>
      </c>
      <c r="R1265" s="36" t="s">
        <v>1501</v>
      </c>
      <c r="S1265" s="7">
        <f t="shared" si="98"/>
        <v>5</v>
      </c>
      <c r="T1265" s="15" t="str">
        <f>VLOOKUP(R1265,产品分类!$C$2:$D$1278,2,0)</f>
        <v>家具产品</v>
      </c>
    </row>
    <row r="1266" spans="1:20">
      <c r="A1266" s="8">
        <f>DATE(2012,12,31)-1190</f>
        <v>40084</v>
      </c>
      <c r="B1266" s="8">
        <f>DATE(2012,12,31)-1190</f>
        <v>40084</v>
      </c>
      <c r="C1266" s="9" t="s">
        <v>1500</v>
      </c>
      <c r="D1266">
        <v>10021426072</v>
      </c>
      <c r="E1266" t="s">
        <v>47</v>
      </c>
      <c r="F1266" t="s">
        <v>61</v>
      </c>
      <c r="G1266" t="s">
        <v>62</v>
      </c>
      <c r="H1266" t="s">
        <v>1369</v>
      </c>
      <c r="I1266" t="s">
        <v>1370</v>
      </c>
      <c r="J1266" t="s">
        <v>668</v>
      </c>
      <c r="K1266" s="3">
        <v>100129909218</v>
      </c>
      <c r="L1266" s="10">
        <v>40086</v>
      </c>
      <c r="M1266">
        <v>273.32</v>
      </c>
      <c r="N1266" s="11">
        <v>41</v>
      </c>
      <c r="O1266" s="12">
        <v>6.48</v>
      </c>
      <c r="P1266" s="12">
        <v>5.14</v>
      </c>
      <c r="Q1266" s="13">
        <v>-48.68</v>
      </c>
      <c r="R1266" s="36" t="s">
        <v>325</v>
      </c>
      <c r="S1266" s="7">
        <f t="shared" si="98"/>
        <v>2</v>
      </c>
      <c r="T1266" s="15" t="str">
        <f>VLOOKUP(R1266,产品分类!$C$2:$D$1278,2,0)</f>
        <v>数码电子</v>
      </c>
    </row>
    <row r="1267" spans="1:20">
      <c r="A1267" s="8">
        <f>DATE(2012,12,31)-728</f>
        <v>40546</v>
      </c>
      <c r="B1267" s="8">
        <f>DATE(2012,12,31)-728</f>
        <v>40546</v>
      </c>
      <c r="C1267" s="9" t="s">
        <v>1502</v>
      </c>
      <c r="D1267">
        <v>10021305344</v>
      </c>
      <c r="E1267" t="s">
        <v>47</v>
      </c>
      <c r="F1267" t="s">
        <v>66</v>
      </c>
      <c r="G1267" t="s">
        <v>67</v>
      </c>
      <c r="H1267" t="s">
        <v>1435</v>
      </c>
      <c r="I1267" t="s">
        <v>1436</v>
      </c>
      <c r="J1267" t="s">
        <v>668</v>
      </c>
      <c r="K1267" s="3">
        <v>100132795707</v>
      </c>
      <c r="L1267" s="10">
        <v>40550</v>
      </c>
      <c r="M1267">
        <v>79.64</v>
      </c>
      <c r="N1267" s="11">
        <v>9</v>
      </c>
      <c r="O1267" s="12">
        <v>3.25</v>
      </c>
      <c r="P1267" s="12">
        <v>49</v>
      </c>
      <c r="Q1267" s="13">
        <v>-377.74</v>
      </c>
      <c r="R1267" s="36" t="s">
        <v>1503</v>
      </c>
      <c r="S1267" s="7">
        <f t="shared" si="98"/>
        <v>4</v>
      </c>
      <c r="T1267" s="15" t="str">
        <f>VLOOKUP(R1267,产品分类!$C$2:$D$1278,2,0)</f>
        <v>办公用品</v>
      </c>
    </row>
    <row r="1268" spans="1:20">
      <c r="A1268" s="8">
        <f>DATE(2012,12,31)-728</f>
        <v>40546</v>
      </c>
      <c r="B1268" s="8">
        <f>DATE(2012,12,31)-728</f>
        <v>40546</v>
      </c>
      <c r="C1268" s="9" t="s">
        <v>1502</v>
      </c>
      <c r="D1268">
        <v>10021309522</v>
      </c>
      <c r="E1268" t="s">
        <v>47</v>
      </c>
      <c r="F1268" t="s">
        <v>72</v>
      </c>
      <c r="G1268" t="s">
        <v>73</v>
      </c>
      <c r="H1268" t="s">
        <v>1408</v>
      </c>
      <c r="I1268" t="s">
        <v>1409</v>
      </c>
      <c r="J1268" t="s">
        <v>668</v>
      </c>
      <c r="K1268" s="3">
        <v>100432809864</v>
      </c>
      <c r="L1268" s="10">
        <v>40550</v>
      </c>
      <c r="M1268">
        <v>1527.42</v>
      </c>
      <c r="N1268" s="11">
        <v>25</v>
      </c>
      <c r="O1268" s="12">
        <v>60.98</v>
      </c>
      <c r="P1268" s="12">
        <v>19.99</v>
      </c>
      <c r="Q1268" s="13">
        <v>326.4</v>
      </c>
      <c r="R1268" s="36" t="s">
        <v>1316</v>
      </c>
      <c r="S1268" s="7">
        <f t="shared" si="98"/>
        <v>4</v>
      </c>
      <c r="T1268" s="15" t="str">
        <f>VLOOKUP(R1268,产品分类!$C$2:$D$1278,2,0)</f>
        <v>办公用品</v>
      </c>
    </row>
    <row r="1269" spans="1:20">
      <c r="A1269" s="16">
        <f>DATE(2012,12,31)-1420</f>
        <v>39854</v>
      </c>
      <c r="B1269" s="16">
        <f>DATE(2012,12,31)-1420</f>
        <v>39854</v>
      </c>
      <c r="C1269" s="9" t="s">
        <v>428</v>
      </c>
      <c r="D1269">
        <v>10021401045</v>
      </c>
      <c r="E1269" t="s">
        <v>47</v>
      </c>
      <c r="F1269" t="s">
        <v>230</v>
      </c>
      <c r="G1269" t="s">
        <v>231</v>
      </c>
      <c r="H1269" t="s">
        <v>1465</v>
      </c>
      <c r="I1269" t="s">
        <v>1466</v>
      </c>
      <c r="J1269" t="s">
        <v>668</v>
      </c>
      <c r="K1269" s="3">
        <v>100832931002</v>
      </c>
      <c r="L1269" s="10">
        <v>39855</v>
      </c>
      <c r="M1269">
        <v>473.67</v>
      </c>
      <c r="N1269" s="17">
        <v>41</v>
      </c>
      <c r="O1269" s="5">
        <v>11.34</v>
      </c>
      <c r="P1269" s="5">
        <v>5.01</v>
      </c>
      <c r="Q1269" s="6">
        <v>78.2</v>
      </c>
      <c r="R1269" s="37" t="s">
        <v>1504</v>
      </c>
      <c r="S1269" s="7">
        <f t="shared" si="98"/>
        <v>1</v>
      </c>
      <c r="T1269" s="15" t="str">
        <f>VLOOKUP(R1269,产品分类!$C$2:$D$1278,2,0)</f>
        <v>家具产品</v>
      </c>
    </row>
    <row r="1270" spans="1:20">
      <c r="A1270" s="8">
        <f>DATE(2012,12,31)-1104</f>
        <v>40170</v>
      </c>
      <c r="B1270" s="8">
        <f>DATE(2012,12,31)-1104</f>
        <v>40170</v>
      </c>
      <c r="C1270" s="9" t="s">
        <v>1485</v>
      </c>
      <c r="D1270">
        <v>10021357544</v>
      </c>
      <c r="E1270" t="s">
        <v>47</v>
      </c>
      <c r="F1270" t="s">
        <v>527</v>
      </c>
      <c r="G1270" t="s">
        <v>528</v>
      </c>
      <c r="H1270" t="s">
        <v>1356</v>
      </c>
      <c r="I1270" t="s">
        <v>1357</v>
      </c>
      <c r="J1270" t="s">
        <v>668</v>
      </c>
      <c r="K1270" s="3">
        <v>100932874231</v>
      </c>
      <c r="L1270" s="10">
        <v>40171</v>
      </c>
      <c r="M1270">
        <v>2811.7</v>
      </c>
      <c r="N1270" s="11">
        <v>41</v>
      </c>
      <c r="O1270" s="12">
        <v>71.37</v>
      </c>
      <c r="P1270" s="12">
        <v>69</v>
      </c>
      <c r="Q1270" s="13">
        <v>-3074.2712</v>
      </c>
      <c r="R1270" s="36" t="s">
        <v>426</v>
      </c>
      <c r="S1270" s="7">
        <f t="shared" si="98"/>
        <v>1</v>
      </c>
      <c r="T1270" s="15" t="str">
        <f>VLOOKUP(R1270,产品分类!$C$2:$D$1278,2,0)</f>
        <v>家具产品</v>
      </c>
    </row>
    <row r="1271" spans="1:20">
      <c r="A1271" s="8">
        <f t="shared" ref="A1271:B1273" si="103">DATE(2012,12,31)-957</f>
        <v>40317</v>
      </c>
      <c r="B1271" s="8">
        <f t="shared" si="103"/>
        <v>40317</v>
      </c>
      <c r="C1271" s="9" t="s">
        <v>1505</v>
      </c>
      <c r="D1271">
        <v>10021247909</v>
      </c>
      <c r="E1271" t="s">
        <v>47</v>
      </c>
      <c r="F1271" t="s">
        <v>61</v>
      </c>
      <c r="G1271" t="s">
        <v>62</v>
      </c>
      <c r="H1271" t="s">
        <v>1369</v>
      </c>
      <c r="I1271" t="s">
        <v>1370</v>
      </c>
      <c r="J1271" t="s">
        <v>668</v>
      </c>
      <c r="K1271" s="3">
        <v>100932756061</v>
      </c>
      <c r="L1271" s="10">
        <v>40318</v>
      </c>
      <c r="M1271">
        <v>176.5</v>
      </c>
      <c r="N1271" s="11">
        <v>46</v>
      </c>
      <c r="O1271" s="12">
        <v>3.57</v>
      </c>
      <c r="P1271" s="12">
        <v>4.17</v>
      </c>
      <c r="Q1271" s="13">
        <v>-119.35</v>
      </c>
      <c r="R1271" s="36" t="s">
        <v>641</v>
      </c>
      <c r="S1271" s="7">
        <f t="shared" si="98"/>
        <v>1</v>
      </c>
      <c r="T1271" s="15" t="str">
        <f>VLOOKUP(R1271,产品分类!$C$2:$D$1278,2,0)</f>
        <v>办公用品</v>
      </c>
    </row>
    <row r="1272" spans="1:20">
      <c r="A1272" s="8">
        <f t="shared" si="103"/>
        <v>40317</v>
      </c>
      <c r="B1272" s="8">
        <f t="shared" si="103"/>
        <v>40317</v>
      </c>
      <c r="C1272" s="9" t="s">
        <v>1505</v>
      </c>
      <c r="D1272">
        <v>10021393214</v>
      </c>
      <c r="E1272" t="s">
        <v>47</v>
      </c>
      <c r="F1272" t="s">
        <v>122</v>
      </c>
      <c r="G1272" t="s">
        <v>123</v>
      </c>
      <c r="H1272" t="s">
        <v>124</v>
      </c>
      <c r="I1272" t="s">
        <v>125</v>
      </c>
      <c r="J1272" t="s">
        <v>668</v>
      </c>
      <c r="K1272" s="3">
        <v>100932916361</v>
      </c>
      <c r="L1272" s="10">
        <v>40318</v>
      </c>
      <c r="M1272">
        <v>1546.8</v>
      </c>
      <c r="N1272" s="11">
        <v>42</v>
      </c>
      <c r="O1272" s="12">
        <v>37.76</v>
      </c>
      <c r="P1272" s="12">
        <v>12.9</v>
      </c>
      <c r="Q1272" s="13">
        <v>25.51</v>
      </c>
      <c r="R1272" s="36" t="s">
        <v>1506</v>
      </c>
      <c r="S1272" s="7">
        <f t="shared" si="98"/>
        <v>1</v>
      </c>
      <c r="T1272" s="15" t="str">
        <f>VLOOKUP(R1272,产品分类!$C$2:$D$1278,2,0)</f>
        <v>办公用品</v>
      </c>
    </row>
    <row r="1273" spans="1:20">
      <c r="A1273" s="8">
        <f t="shared" si="103"/>
        <v>40317</v>
      </c>
      <c r="B1273" s="8">
        <f t="shared" si="103"/>
        <v>40317</v>
      </c>
      <c r="C1273" s="9" t="s">
        <v>1505</v>
      </c>
      <c r="D1273">
        <v>10021422905</v>
      </c>
      <c r="E1273" t="s">
        <v>47</v>
      </c>
      <c r="F1273" t="s">
        <v>91</v>
      </c>
      <c r="G1273" t="s">
        <v>92</v>
      </c>
      <c r="H1273" t="s">
        <v>1412</v>
      </c>
      <c r="I1273" t="s">
        <v>1413</v>
      </c>
      <c r="J1273" t="s">
        <v>668</v>
      </c>
      <c r="K1273" s="3">
        <v>100127400548</v>
      </c>
      <c r="L1273" s="10">
        <v>40319</v>
      </c>
      <c r="M1273">
        <v>3457.56</v>
      </c>
      <c r="N1273" s="11">
        <v>35</v>
      </c>
      <c r="O1273" s="12">
        <v>124.49</v>
      </c>
      <c r="P1273" s="12">
        <v>51.94</v>
      </c>
      <c r="Q1273" s="13">
        <v>-365.44</v>
      </c>
      <c r="R1273" s="36" t="s">
        <v>237</v>
      </c>
      <c r="S1273" s="7">
        <f t="shared" si="98"/>
        <v>2</v>
      </c>
      <c r="T1273" s="15" t="str">
        <f>VLOOKUP(R1273,产品分类!$C$2:$D$1278,2,0)</f>
        <v>数码电子</v>
      </c>
    </row>
    <row r="1274" spans="1:20">
      <c r="A1274" s="8">
        <f>DATE(2012,12,31)-855</f>
        <v>40419</v>
      </c>
      <c r="B1274" s="8">
        <f>DATE(2012,12,31)-855</f>
        <v>40419</v>
      </c>
      <c r="C1274" s="9" t="s">
        <v>1054</v>
      </c>
      <c r="D1274">
        <v>10021434057</v>
      </c>
      <c r="E1274" t="s">
        <v>47</v>
      </c>
      <c r="F1274" t="s">
        <v>304</v>
      </c>
      <c r="G1274" t="s">
        <v>305</v>
      </c>
      <c r="H1274" t="s">
        <v>306</v>
      </c>
      <c r="I1274" t="s">
        <v>307</v>
      </c>
      <c r="J1274" t="s">
        <v>668</v>
      </c>
      <c r="K1274" s="3">
        <v>100432644704</v>
      </c>
      <c r="L1274" s="10">
        <v>40421</v>
      </c>
      <c r="M1274">
        <v>3632.6</v>
      </c>
      <c r="N1274" s="11">
        <v>38</v>
      </c>
      <c r="O1274" s="12">
        <v>89.99</v>
      </c>
      <c r="P1274" s="12">
        <v>42</v>
      </c>
      <c r="Q1274" s="13">
        <v>-400.33</v>
      </c>
      <c r="R1274" s="36" t="s">
        <v>891</v>
      </c>
      <c r="S1274" s="7">
        <f t="shared" si="98"/>
        <v>2</v>
      </c>
      <c r="T1274" s="15" t="str">
        <f>VLOOKUP(R1274,产品分类!$C$2:$D$1278,2,0)</f>
        <v>家具产品</v>
      </c>
    </row>
    <row r="1275" spans="1:20">
      <c r="A1275" s="8">
        <f>DATE(2012,12,31)-336</f>
        <v>40938</v>
      </c>
      <c r="B1275" s="8">
        <f>DATE(2012,12,31)-336</f>
        <v>40938</v>
      </c>
      <c r="C1275" s="9" t="s">
        <v>1145</v>
      </c>
      <c r="D1275">
        <v>10021272197</v>
      </c>
      <c r="E1275" t="s">
        <v>47</v>
      </c>
      <c r="F1275" t="s">
        <v>72</v>
      </c>
      <c r="G1275" t="s">
        <v>73</v>
      </c>
      <c r="H1275" t="s">
        <v>1408</v>
      </c>
      <c r="I1275" t="s">
        <v>1409</v>
      </c>
      <c r="J1275" t="s">
        <v>668</v>
      </c>
      <c r="K1275" s="3">
        <v>100131053477</v>
      </c>
      <c r="L1275" s="10">
        <v>40940</v>
      </c>
      <c r="M1275">
        <v>1644.22</v>
      </c>
      <c r="N1275" s="11">
        <v>36</v>
      </c>
      <c r="O1275" s="12">
        <v>46.94</v>
      </c>
      <c r="P1275" s="12">
        <v>6.77</v>
      </c>
      <c r="Q1275" s="13">
        <v>563.09</v>
      </c>
      <c r="R1275" s="36" t="s">
        <v>1507</v>
      </c>
      <c r="S1275" s="7">
        <f t="shared" si="98"/>
        <v>2</v>
      </c>
      <c r="T1275" s="15" t="str">
        <f>VLOOKUP(R1275,产品分类!$C$2:$D$1278,2,0)</f>
        <v>办公用品</v>
      </c>
    </row>
    <row r="1276" spans="1:20">
      <c r="A1276" s="8">
        <f>DATE(2012,12,31)-962</f>
        <v>40312</v>
      </c>
      <c r="B1276" s="8">
        <f>DATE(2012,12,31)-962</f>
        <v>40312</v>
      </c>
      <c r="C1276" s="9" t="s">
        <v>1500</v>
      </c>
      <c r="D1276">
        <v>10021314691</v>
      </c>
      <c r="E1276" t="s">
        <v>47</v>
      </c>
      <c r="F1276" t="s">
        <v>78</v>
      </c>
      <c r="G1276" t="s">
        <v>79</v>
      </c>
      <c r="H1276" t="s">
        <v>1264</v>
      </c>
      <c r="I1276" t="s">
        <v>79</v>
      </c>
      <c r="J1276" t="s">
        <v>668</v>
      </c>
      <c r="K1276" s="3">
        <v>100114357668</v>
      </c>
      <c r="L1276" s="10">
        <v>40314</v>
      </c>
      <c r="M1276">
        <v>131.65</v>
      </c>
      <c r="N1276" s="11">
        <v>24</v>
      </c>
      <c r="O1276" s="12">
        <v>4.91</v>
      </c>
      <c r="P1276" s="12">
        <v>0.5</v>
      </c>
      <c r="Q1276" s="13">
        <v>67.41</v>
      </c>
      <c r="R1276" s="36" t="s">
        <v>1508</v>
      </c>
      <c r="S1276" s="7">
        <f t="shared" si="98"/>
        <v>2</v>
      </c>
      <c r="T1276" s="15" t="str">
        <f>VLOOKUP(R1276,产品分类!$C$2:$D$1278,2,0)</f>
        <v>办公用品</v>
      </c>
    </row>
    <row r="1277" spans="1:20">
      <c r="A1277" s="8">
        <f>DATE(2012,12,31)-312</f>
        <v>40962</v>
      </c>
      <c r="B1277" s="8">
        <f>DATE(2012,12,31)-312</f>
        <v>40962</v>
      </c>
      <c r="C1277" s="9" t="s">
        <v>598</v>
      </c>
      <c r="D1277">
        <v>10021309137</v>
      </c>
      <c r="E1277" t="s">
        <v>47</v>
      </c>
      <c r="F1277" t="s">
        <v>91</v>
      </c>
      <c r="G1277" t="s">
        <v>92</v>
      </c>
      <c r="H1277" t="s">
        <v>1412</v>
      </c>
      <c r="I1277" t="s">
        <v>1413</v>
      </c>
      <c r="J1277" t="s">
        <v>668</v>
      </c>
      <c r="K1277" s="3">
        <v>1009891841</v>
      </c>
      <c r="L1277" s="10">
        <v>40964</v>
      </c>
      <c r="M1277">
        <v>199.8</v>
      </c>
      <c r="N1277" s="11">
        <v>31</v>
      </c>
      <c r="O1277" s="12">
        <v>6.48</v>
      </c>
      <c r="P1277" s="12">
        <v>6.81</v>
      </c>
      <c r="Q1277" s="13">
        <v>-96.59</v>
      </c>
      <c r="R1277" s="36" t="s">
        <v>772</v>
      </c>
      <c r="S1277" s="7">
        <f t="shared" si="98"/>
        <v>2</v>
      </c>
      <c r="T1277" s="15" t="str">
        <f>VLOOKUP(R1277,产品分类!$C$2:$D$1278,2,0)</f>
        <v>数码电子</v>
      </c>
    </row>
    <row r="1278" spans="1:20">
      <c r="A1278" s="8">
        <f>DATE(2012,12,31)-312</f>
        <v>40962</v>
      </c>
      <c r="B1278" s="8">
        <f>DATE(2012,12,31)-312</f>
        <v>40962</v>
      </c>
      <c r="C1278" s="9" t="s">
        <v>598</v>
      </c>
      <c r="D1278">
        <v>10021374713</v>
      </c>
      <c r="E1278" t="s">
        <v>47</v>
      </c>
      <c r="F1278" t="s">
        <v>91</v>
      </c>
      <c r="G1278" t="s">
        <v>92</v>
      </c>
      <c r="H1278" t="s">
        <v>1412</v>
      </c>
      <c r="I1278" t="s">
        <v>1413</v>
      </c>
      <c r="J1278" t="s">
        <v>668</v>
      </c>
      <c r="K1278" s="3">
        <v>100126748607</v>
      </c>
      <c r="L1278" s="10">
        <v>40964</v>
      </c>
      <c r="M1278">
        <v>68.97</v>
      </c>
      <c r="N1278" s="11">
        <v>24</v>
      </c>
      <c r="O1278" s="12">
        <v>2.78</v>
      </c>
      <c r="P1278" s="12">
        <v>0.97</v>
      </c>
      <c r="Q1278" s="13">
        <v>0.77</v>
      </c>
      <c r="R1278" s="36" t="s">
        <v>1509</v>
      </c>
      <c r="S1278" s="7">
        <f t="shared" si="98"/>
        <v>2</v>
      </c>
      <c r="T1278" s="15" t="str">
        <f>VLOOKUP(R1278,产品分类!$C$2:$D$1278,2,0)</f>
        <v>家具产品</v>
      </c>
    </row>
    <row r="1279" spans="1:20">
      <c r="A1279" s="8">
        <f>DATE(2012,12,31)-1459</f>
        <v>39815</v>
      </c>
      <c r="B1279" s="8">
        <f>DATE(2012,12,31)-1459</f>
        <v>39815</v>
      </c>
      <c r="C1279" s="9" t="s">
        <v>1153</v>
      </c>
      <c r="D1279">
        <v>10021376427</v>
      </c>
      <c r="E1279" t="s">
        <v>47</v>
      </c>
      <c r="F1279" t="s">
        <v>132</v>
      </c>
      <c r="G1279" t="s">
        <v>133</v>
      </c>
      <c r="H1279" t="s">
        <v>134</v>
      </c>
      <c r="I1279" t="s">
        <v>133</v>
      </c>
      <c r="J1279" t="s">
        <v>668</v>
      </c>
      <c r="K1279" s="3">
        <v>100829212022</v>
      </c>
      <c r="L1279" s="10">
        <v>39817</v>
      </c>
      <c r="M1279">
        <v>124.81</v>
      </c>
      <c r="N1279" s="11">
        <v>3</v>
      </c>
      <c r="O1279" s="12">
        <v>40.98</v>
      </c>
      <c r="P1279" s="12">
        <v>2.99</v>
      </c>
      <c r="Q1279" s="13">
        <v>-11.937</v>
      </c>
      <c r="R1279" s="36" t="s">
        <v>374</v>
      </c>
      <c r="S1279" s="7">
        <f t="shared" si="98"/>
        <v>2</v>
      </c>
      <c r="T1279" s="15" t="str">
        <f>VLOOKUP(R1279,产品分类!$C$2:$D$1278,2,0)</f>
        <v>办公用品</v>
      </c>
    </row>
    <row r="1280" spans="1:20">
      <c r="A1280" s="8">
        <f>DATE(2012,12,31)-638</f>
        <v>40636</v>
      </c>
      <c r="B1280" s="8">
        <f>DATE(2012,12,31)-638</f>
        <v>40636</v>
      </c>
      <c r="C1280" s="9" t="s">
        <v>1080</v>
      </c>
      <c r="D1280">
        <v>10021375253</v>
      </c>
      <c r="E1280" t="s">
        <v>47</v>
      </c>
      <c r="F1280" t="s">
        <v>137</v>
      </c>
      <c r="G1280" t="s">
        <v>138</v>
      </c>
      <c r="H1280" t="s">
        <v>139</v>
      </c>
      <c r="I1280" t="s">
        <v>140</v>
      </c>
      <c r="J1280" t="s">
        <v>668</v>
      </c>
      <c r="K1280" s="3">
        <v>10019623037</v>
      </c>
      <c r="L1280" s="10">
        <v>40638</v>
      </c>
      <c r="M1280">
        <v>123.16</v>
      </c>
      <c r="N1280" s="11">
        <v>26</v>
      </c>
      <c r="O1280" s="12">
        <v>4.98</v>
      </c>
      <c r="P1280" s="12">
        <v>0.8</v>
      </c>
      <c r="Q1280" s="13">
        <v>45.79</v>
      </c>
      <c r="R1280" s="36" t="s">
        <v>521</v>
      </c>
      <c r="S1280" s="7">
        <f t="shared" si="98"/>
        <v>2</v>
      </c>
      <c r="T1280" s="15" t="str">
        <f>VLOOKUP(R1280,产品分类!$C$2:$D$1278,2,0)</f>
        <v>家具产品</v>
      </c>
    </row>
    <row r="1281" spans="1:20">
      <c r="A1281" s="8">
        <f>DATE(2012,12,31)-227</f>
        <v>41047</v>
      </c>
      <c r="B1281" s="8">
        <f>DATE(2012,12,31)-227</f>
        <v>41047</v>
      </c>
      <c r="C1281" s="9" t="s">
        <v>1497</v>
      </c>
      <c r="D1281">
        <v>10021393589</v>
      </c>
      <c r="E1281" t="s">
        <v>47</v>
      </c>
      <c r="F1281" t="s">
        <v>527</v>
      </c>
      <c r="G1281" t="s">
        <v>528</v>
      </c>
      <c r="H1281" t="s">
        <v>1356</v>
      </c>
      <c r="I1281" t="s">
        <v>1357</v>
      </c>
      <c r="J1281" t="s">
        <v>668</v>
      </c>
      <c r="K1281" s="3">
        <v>100116319857</v>
      </c>
      <c r="L1281" s="10">
        <v>41048</v>
      </c>
      <c r="M1281">
        <v>1160.55</v>
      </c>
      <c r="N1281" s="11">
        <v>43</v>
      </c>
      <c r="O1281" s="12">
        <v>25.98</v>
      </c>
      <c r="P1281" s="12">
        <v>14.36</v>
      </c>
      <c r="Q1281" s="13">
        <v>-179.17</v>
      </c>
      <c r="R1281" s="36" t="s">
        <v>1510</v>
      </c>
      <c r="S1281" s="7">
        <f t="shared" si="98"/>
        <v>1</v>
      </c>
      <c r="T1281" s="15" t="str">
        <f>VLOOKUP(R1281,产品分类!$C$2:$D$1278,2,0)</f>
        <v>办公用品</v>
      </c>
    </row>
    <row r="1282" spans="1:20">
      <c r="A1282" s="8">
        <f>DATE(2012,12,31)-391</f>
        <v>40883</v>
      </c>
      <c r="B1282" s="8">
        <f>DATE(2012,12,31)-391</f>
        <v>40883</v>
      </c>
      <c r="C1282" s="9" t="s">
        <v>785</v>
      </c>
      <c r="D1282">
        <v>10021411043</v>
      </c>
      <c r="E1282" t="s">
        <v>47</v>
      </c>
      <c r="F1282" t="s">
        <v>61</v>
      </c>
      <c r="G1282" t="s">
        <v>62</v>
      </c>
      <c r="H1282" t="s">
        <v>1369</v>
      </c>
      <c r="I1282" t="s">
        <v>1370</v>
      </c>
      <c r="J1282" t="s">
        <v>668</v>
      </c>
      <c r="K1282" s="3">
        <v>100724865915</v>
      </c>
      <c r="L1282" s="10">
        <v>40885</v>
      </c>
      <c r="M1282">
        <v>1733.1</v>
      </c>
      <c r="N1282" s="11">
        <v>18</v>
      </c>
      <c r="O1282" s="12">
        <v>95.99</v>
      </c>
      <c r="P1282" s="12">
        <v>35</v>
      </c>
      <c r="Q1282" s="13">
        <v>-505.69</v>
      </c>
      <c r="R1282" s="36" t="s">
        <v>144</v>
      </c>
      <c r="S1282" s="7">
        <f t="shared" si="98"/>
        <v>2</v>
      </c>
      <c r="T1282" s="15" t="str">
        <f>VLOOKUP(R1282,产品分类!$C$2:$D$1278,2,0)</f>
        <v>办公用品</v>
      </c>
    </row>
    <row r="1283" spans="1:20">
      <c r="A1283" s="8">
        <f>DATE(2012,12,31)-391</f>
        <v>40883</v>
      </c>
      <c r="B1283" s="8">
        <f>DATE(2012,12,31)-391</f>
        <v>40883</v>
      </c>
      <c r="C1283" s="9" t="s">
        <v>785</v>
      </c>
      <c r="D1283">
        <v>10021360713</v>
      </c>
      <c r="E1283" t="s">
        <v>47</v>
      </c>
      <c r="F1283" t="s">
        <v>122</v>
      </c>
      <c r="G1283" t="s">
        <v>123</v>
      </c>
      <c r="H1283" t="s">
        <v>124</v>
      </c>
      <c r="I1283" t="s">
        <v>125</v>
      </c>
      <c r="J1283" t="s">
        <v>668</v>
      </c>
      <c r="K1283" s="3">
        <v>1003852889</v>
      </c>
      <c r="L1283" s="10">
        <v>40883</v>
      </c>
      <c r="M1283">
        <v>3448.6455</v>
      </c>
      <c r="N1283" s="11">
        <v>31</v>
      </c>
      <c r="O1283" s="12">
        <v>125.99</v>
      </c>
      <c r="P1283" s="12">
        <v>8.99</v>
      </c>
      <c r="Q1283" s="13">
        <v>900.414</v>
      </c>
      <c r="R1283" s="36" t="s">
        <v>112</v>
      </c>
      <c r="S1283" s="7">
        <f t="shared" ref="S1283:S1346" si="104">+L1283-B1283</f>
        <v>0</v>
      </c>
      <c r="T1283" s="15" t="str">
        <f>VLOOKUP(R1283,产品分类!$C$2:$D$1278,2,0)</f>
        <v>数码电子</v>
      </c>
    </row>
    <row r="1284" spans="1:20">
      <c r="A1284" s="8">
        <f>DATE(2012,12,31)-144</f>
        <v>41130</v>
      </c>
      <c r="B1284" s="8">
        <f>DATE(2012,12,31)-144</f>
        <v>41130</v>
      </c>
      <c r="C1284" s="9" t="s">
        <v>222</v>
      </c>
      <c r="D1284">
        <v>10021255111</v>
      </c>
      <c r="E1284" t="s">
        <v>47</v>
      </c>
      <c r="F1284" t="s">
        <v>66</v>
      </c>
      <c r="G1284" t="s">
        <v>67</v>
      </c>
      <c r="H1284" t="s">
        <v>1435</v>
      </c>
      <c r="I1284" t="s">
        <v>1436</v>
      </c>
      <c r="J1284" t="s">
        <v>668</v>
      </c>
      <c r="K1284" s="3">
        <v>100923716911</v>
      </c>
      <c r="L1284" s="10">
        <v>41139</v>
      </c>
      <c r="M1284">
        <v>131.2</v>
      </c>
      <c r="N1284" s="11">
        <v>31</v>
      </c>
      <c r="O1284" s="12">
        <v>3.95</v>
      </c>
      <c r="P1284" s="12">
        <v>5.13</v>
      </c>
      <c r="Q1284" s="13">
        <v>-107.98</v>
      </c>
      <c r="R1284" s="36" t="s">
        <v>599</v>
      </c>
      <c r="S1284" s="7">
        <f t="shared" si="104"/>
        <v>9</v>
      </c>
      <c r="T1284" s="15" t="str">
        <f>VLOOKUP(R1284,产品分类!$C$2:$D$1278,2,0)</f>
        <v>办公用品</v>
      </c>
    </row>
    <row r="1285" spans="1:20">
      <c r="A1285" s="8">
        <f>DATE(2012,12,31)-61</f>
        <v>41213</v>
      </c>
      <c r="B1285" s="8">
        <f>DATE(2012,12,31)-61</f>
        <v>41213</v>
      </c>
      <c r="C1285" s="9" t="s">
        <v>1348</v>
      </c>
      <c r="D1285">
        <v>10021432915</v>
      </c>
      <c r="E1285" t="s">
        <v>47</v>
      </c>
      <c r="F1285" t="s">
        <v>48</v>
      </c>
      <c r="G1285" t="s">
        <v>49</v>
      </c>
      <c r="H1285" t="s">
        <v>1433</v>
      </c>
      <c r="I1285" t="s">
        <v>1434</v>
      </c>
      <c r="J1285" t="s">
        <v>668</v>
      </c>
      <c r="K1285" s="3">
        <v>100132587267</v>
      </c>
      <c r="L1285" s="10">
        <v>41214</v>
      </c>
      <c r="M1285">
        <v>1735.94</v>
      </c>
      <c r="N1285" s="11">
        <v>13</v>
      </c>
      <c r="O1285" s="12">
        <v>140.98</v>
      </c>
      <c r="P1285" s="12">
        <v>53.48</v>
      </c>
      <c r="Q1285" s="13">
        <v>-432.54</v>
      </c>
      <c r="R1285" s="36" t="s">
        <v>1086</v>
      </c>
      <c r="S1285" s="7">
        <f t="shared" si="104"/>
        <v>1</v>
      </c>
      <c r="T1285" s="15" t="str">
        <f>VLOOKUP(R1285,产品分类!$C$2:$D$1278,2,0)</f>
        <v>办公用品</v>
      </c>
    </row>
    <row r="1286" spans="1:20">
      <c r="A1286" s="8">
        <f>DATE(2012,12,31)-61</f>
        <v>41213</v>
      </c>
      <c r="B1286" s="8">
        <f>DATE(2012,12,31)-61</f>
        <v>41213</v>
      </c>
      <c r="C1286" s="9" t="s">
        <v>1348</v>
      </c>
      <c r="D1286">
        <v>10021252622</v>
      </c>
      <c r="E1286" t="s">
        <v>47</v>
      </c>
      <c r="F1286" t="s">
        <v>152</v>
      </c>
      <c r="G1286" t="s">
        <v>153</v>
      </c>
      <c r="H1286" t="s">
        <v>1474</v>
      </c>
      <c r="I1286" t="s">
        <v>1475</v>
      </c>
      <c r="J1286" t="s">
        <v>668</v>
      </c>
      <c r="K1286" s="3">
        <v>100112439597</v>
      </c>
      <c r="L1286" s="10">
        <v>41215</v>
      </c>
      <c r="M1286">
        <v>337.6</v>
      </c>
      <c r="N1286" s="11">
        <v>2</v>
      </c>
      <c r="O1286" s="12">
        <v>172.99</v>
      </c>
      <c r="P1286" s="12">
        <v>19.99</v>
      </c>
      <c r="Q1286" s="13">
        <v>-210.7835</v>
      </c>
      <c r="R1286" s="36" t="s">
        <v>1387</v>
      </c>
      <c r="S1286" s="7">
        <f t="shared" si="104"/>
        <v>2</v>
      </c>
      <c r="T1286" s="15" t="str">
        <f>VLOOKUP(R1286,产品分类!$C$2:$D$1278,2,0)</f>
        <v>家具产品</v>
      </c>
    </row>
    <row r="1287" spans="1:20">
      <c r="A1287" s="8">
        <f>DATE(2012,12,31)-1386</f>
        <v>39888</v>
      </c>
      <c r="B1287" s="8">
        <f>DATE(2012,12,31)-1386</f>
        <v>39888</v>
      </c>
      <c r="C1287" s="9" t="s">
        <v>703</v>
      </c>
      <c r="D1287">
        <v>10021334875</v>
      </c>
      <c r="E1287" t="s">
        <v>47</v>
      </c>
      <c r="F1287" t="s">
        <v>78</v>
      </c>
      <c r="G1287" t="s">
        <v>79</v>
      </c>
      <c r="H1287" t="s">
        <v>1264</v>
      </c>
      <c r="I1287" t="s">
        <v>79</v>
      </c>
      <c r="J1287" t="s">
        <v>668</v>
      </c>
      <c r="K1287" s="3">
        <v>100816820922</v>
      </c>
      <c r="L1287" s="10">
        <v>39890</v>
      </c>
      <c r="M1287">
        <v>82.42</v>
      </c>
      <c r="N1287" s="11">
        <v>11</v>
      </c>
      <c r="O1287" s="12">
        <v>7.59</v>
      </c>
      <c r="P1287" s="12">
        <v>4</v>
      </c>
      <c r="Q1287" s="13">
        <v>18.53</v>
      </c>
      <c r="R1287" s="36" t="s">
        <v>996</v>
      </c>
      <c r="S1287" s="7">
        <f t="shared" si="104"/>
        <v>2</v>
      </c>
      <c r="T1287" s="15" t="str">
        <f>VLOOKUP(R1287,产品分类!$C$2:$D$1278,2,0)</f>
        <v>家具产品</v>
      </c>
    </row>
    <row r="1288" spans="1:20">
      <c r="A1288" s="8">
        <f>DATE(2012,12,31)-240</f>
        <v>41034</v>
      </c>
      <c r="B1288" s="8">
        <f>DATE(2012,12,31)-240</f>
        <v>41034</v>
      </c>
      <c r="C1288" s="9" t="s">
        <v>1511</v>
      </c>
      <c r="D1288">
        <v>10021294766</v>
      </c>
      <c r="E1288" t="s">
        <v>47</v>
      </c>
      <c r="F1288" t="s">
        <v>72</v>
      </c>
      <c r="G1288" t="s">
        <v>73</v>
      </c>
      <c r="H1288" t="s">
        <v>1408</v>
      </c>
      <c r="I1288" t="s">
        <v>1409</v>
      </c>
      <c r="J1288" t="s">
        <v>668</v>
      </c>
      <c r="K1288" s="3">
        <v>10038317849</v>
      </c>
      <c r="L1288" s="10">
        <v>41036</v>
      </c>
      <c r="M1288">
        <v>1712.66</v>
      </c>
      <c r="N1288" s="11">
        <v>12</v>
      </c>
      <c r="O1288" s="12">
        <v>152.48</v>
      </c>
      <c r="P1288" s="12">
        <v>4</v>
      </c>
      <c r="Q1288" s="13">
        <v>-390.77</v>
      </c>
      <c r="R1288" s="36" t="s">
        <v>505</v>
      </c>
      <c r="S1288" s="7">
        <f t="shared" si="104"/>
        <v>2</v>
      </c>
      <c r="T1288" s="15" t="str">
        <f>VLOOKUP(R1288,产品分类!$C$2:$D$1278,2,0)</f>
        <v>家具产品</v>
      </c>
    </row>
    <row r="1289" spans="1:20">
      <c r="A1289" s="8">
        <f>DATE(2012,12,31)-564</f>
        <v>40710</v>
      </c>
      <c r="B1289" s="8">
        <f>DATE(2012,12,31)-564</f>
        <v>40710</v>
      </c>
      <c r="C1289" s="9" t="s">
        <v>1512</v>
      </c>
      <c r="D1289">
        <v>10021338668</v>
      </c>
      <c r="E1289" t="s">
        <v>47</v>
      </c>
      <c r="F1289" t="s">
        <v>72</v>
      </c>
      <c r="G1289" t="s">
        <v>73</v>
      </c>
      <c r="H1289" t="s">
        <v>1408</v>
      </c>
      <c r="I1289" t="s">
        <v>1409</v>
      </c>
      <c r="J1289" t="s">
        <v>668</v>
      </c>
      <c r="K1289" s="3">
        <v>100124419226</v>
      </c>
      <c r="L1289" s="10">
        <v>40713</v>
      </c>
      <c r="M1289">
        <v>53.91</v>
      </c>
      <c r="N1289" s="11">
        <v>17</v>
      </c>
      <c r="O1289" s="12">
        <v>3.15</v>
      </c>
      <c r="P1289" s="12">
        <v>0.49</v>
      </c>
      <c r="Q1289" s="13">
        <v>19.47</v>
      </c>
      <c r="R1289" s="36" t="s">
        <v>888</v>
      </c>
      <c r="S1289" s="7">
        <f t="shared" si="104"/>
        <v>3</v>
      </c>
      <c r="T1289" s="15" t="str">
        <f>VLOOKUP(R1289,产品分类!$C$2:$D$1278,2,0)</f>
        <v>办公用品</v>
      </c>
    </row>
    <row r="1290" spans="1:20">
      <c r="A1290" s="8">
        <f t="shared" ref="A1290:B1292" si="105">DATE(2012,12,31)-81</f>
        <v>41193</v>
      </c>
      <c r="B1290" s="8">
        <f t="shared" si="105"/>
        <v>41193</v>
      </c>
      <c r="C1290" s="9" t="s">
        <v>101</v>
      </c>
      <c r="D1290">
        <v>10021256919</v>
      </c>
      <c r="E1290" t="s">
        <v>47</v>
      </c>
      <c r="F1290" t="s">
        <v>78</v>
      </c>
      <c r="G1290" t="s">
        <v>79</v>
      </c>
      <c r="H1290" t="s">
        <v>1264</v>
      </c>
      <c r="I1290" t="s">
        <v>79</v>
      </c>
      <c r="J1290" t="s">
        <v>668</v>
      </c>
      <c r="K1290" s="3">
        <v>100425830444</v>
      </c>
      <c r="L1290" s="10">
        <v>41195</v>
      </c>
      <c r="M1290">
        <v>31.95</v>
      </c>
      <c r="N1290" s="11">
        <v>3</v>
      </c>
      <c r="O1290" s="12">
        <v>8.04</v>
      </c>
      <c r="P1290" s="12">
        <v>8.94</v>
      </c>
      <c r="Q1290" s="13">
        <v>-23.69</v>
      </c>
      <c r="R1290" s="36" t="s">
        <v>1042</v>
      </c>
      <c r="S1290" s="7">
        <f t="shared" si="104"/>
        <v>2</v>
      </c>
      <c r="T1290" s="15" t="str">
        <f>VLOOKUP(R1290,产品分类!$C$2:$D$1278,2,0)</f>
        <v>家具产品</v>
      </c>
    </row>
    <row r="1291" spans="1:20">
      <c r="A1291" s="8">
        <f t="shared" si="105"/>
        <v>41193</v>
      </c>
      <c r="B1291" s="8">
        <f t="shared" si="105"/>
        <v>41193</v>
      </c>
      <c r="C1291" s="9" t="s">
        <v>101</v>
      </c>
      <c r="D1291">
        <v>10021318503</v>
      </c>
      <c r="E1291" t="s">
        <v>47</v>
      </c>
      <c r="F1291" t="s">
        <v>72</v>
      </c>
      <c r="G1291" t="s">
        <v>73</v>
      </c>
      <c r="H1291" t="s">
        <v>1408</v>
      </c>
      <c r="I1291" t="s">
        <v>1409</v>
      </c>
      <c r="J1291" t="s">
        <v>668</v>
      </c>
      <c r="K1291" s="3">
        <v>10011912908</v>
      </c>
      <c r="L1291" s="10">
        <v>41194</v>
      </c>
      <c r="M1291">
        <v>563.82</v>
      </c>
      <c r="N1291" s="11">
        <v>34</v>
      </c>
      <c r="O1291" s="12">
        <v>16.51</v>
      </c>
      <c r="P1291" s="12">
        <v>2.99</v>
      </c>
      <c r="Q1291" s="13">
        <v>188.224</v>
      </c>
      <c r="R1291" s="36" t="s">
        <v>1134</v>
      </c>
      <c r="S1291" s="7">
        <f t="shared" si="104"/>
        <v>1</v>
      </c>
      <c r="T1291" s="15" t="str">
        <f>VLOOKUP(R1291,产品分类!$C$2:$D$1278,2,0)</f>
        <v>数码电子</v>
      </c>
    </row>
    <row r="1292" spans="1:20">
      <c r="A1292" s="8">
        <f t="shared" si="105"/>
        <v>41193</v>
      </c>
      <c r="B1292" s="8">
        <f t="shared" si="105"/>
        <v>41193</v>
      </c>
      <c r="C1292" s="9" t="s">
        <v>101</v>
      </c>
      <c r="D1292">
        <v>10021413828</v>
      </c>
      <c r="E1292" t="s">
        <v>47</v>
      </c>
      <c r="F1292" t="s">
        <v>78</v>
      </c>
      <c r="G1292" t="s">
        <v>79</v>
      </c>
      <c r="H1292" t="s">
        <v>1264</v>
      </c>
      <c r="I1292" t="s">
        <v>79</v>
      </c>
      <c r="J1292" t="s">
        <v>668</v>
      </c>
      <c r="K1292" s="3">
        <v>10012716806</v>
      </c>
      <c r="L1292" s="10">
        <v>41195</v>
      </c>
      <c r="M1292">
        <v>502.44</v>
      </c>
      <c r="N1292" s="11">
        <v>31</v>
      </c>
      <c r="O1292" s="12">
        <v>15.51</v>
      </c>
      <c r="P1292" s="12">
        <v>17.78</v>
      </c>
      <c r="Q1292" s="13">
        <v>-363.44</v>
      </c>
      <c r="R1292" s="36" t="s">
        <v>1513</v>
      </c>
      <c r="S1292" s="7">
        <f t="shared" si="104"/>
        <v>2</v>
      </c>
      <c r="T1292" s="15" t="str">
        <f>VLOOKUP(R1292,产品分类!$C$2:$D$1278,2,0)</f>
        <v>家具产品</v>
      </c>
    </row>
    <row r="1293" spans="1:20">
      <c r="A1293" s="8">
        <f>DATE(2012,12,31)-1316</f>
        <v>39958</v>
      </c>
      <c r="B1293" s="8">
        <f>DATE(2012,12,31)-1316</f>
        <v>39958</v>
      </c>
      <c r="C1293" s="9" t="s">
        <v>54</v>
      </c>
      <c r="D1293">
        <v>10021296162</v>
      </c>
      <c r="E1293" t="s">
        <v>47</v>
      </c>
      <c r="F1293" t="s">
        <v>230</v>
      </c>
      <c r="G1293" t="s">
        <v>231</v>
      </c>
      <c r="H1293" t="s">
        <v>1465</v>
      </c>
      <c r="I1293" t="s">
        <v>1466</v>
      </c>
      <c r="J1293" t="s">
        <v>668</v>
      </c>
      <c r="K1293" s="3">
        <v>100420731313</v>
      </c>
      <c r="L1293" s="10">
        <v>39960</v>
      </c>
      <c r="M1293">
        <v>165.04</v>
      </c>
      <c r="N1293" s="11">
        <v>10</v>
      </c>
      <c r="O1293" s="12">
        <v>15.99</v>
      </c>
      <c r="P1293" s="12">
        <v>13.18</v>
      </c>
      <c r="Q1293" s="13">
        <v>-66.585</v>
      </c>
      <c r="R1293" s="36" t="s">
        <v>511</v>
      </c>
      <c r="S1293" s="7">
        <f t="shared" si="104"/>
        <v>2</v>
      </c>
      <c r="T1293" s="15" t="str">
        <f>VLOOKUP(R1293,产品分类!$C$2:$D$1278,2,0)</f>
        <v>数码电子</v>
      </c>
    </row>
    <row r="1294" spans="1:20">
      <c r="A1294" s="8">
        <f>DATE(2012,12,31)-1374</f>
        <v>39900</v>
      </c>
      <c r="B1294" s="8">
        <f>DATE(2012,12,31)-1374</f>
        <v>39900</v>
      </c>
      <c r="C1294" s="9" t="s">
        <v>734</v>
      </c>
      <c r="D1294">
        <v>10021338650</v>
      </c>
      <c r="E1294" t="s">
        <v>47</v>
      </c>
      <c r="F1294" t="s">
        <v>55</v>
      </c>
      <c r="G1294" t="s">
        <v>56</v>
      </c>
      <c r="H1294" t="s">
        <v>1331</v>
      </c>
      <c r="I1294" t="s">
        <v>1332</v>
      </c>
      <c r="J1294" t="s">
        <v>668</v>
      </c>
      <c r="K1294" s="3">
        <v>100124329127</v>
      </c>
      <c r="L1294" s="10">
        <v>39901</v>
      </c>
      <c r="M1294">
        <v>522.97</v>
      </c>
      <c r="N1294" s="11">
        <v>48</v>
      </c>
      <c r="O1294" s="12">
        <v>10.4</v>
      </c>
      <c r="P1294" s="12">
        <v>5.4</v>
      </c>
      <c r="Q1294" s="13">
        <v>29.98</v>
      </c>
      <c r="R1294" s="36" t="s">
        <v>1514</v>
      </c>
      <c r="S1294" s="7">
        <f t="shared" si="104"/>
        <v>1</v>
      </c>
      <c r="T1294" s="15" t="str">
        <f>VLOOKUP(R1294,产品分类!$C$2:$D$1278,2,0)</f>
        <v>家具产品</v>
      </c>
    </row>
    <row r="1295" spans="1:20">
      <c r="A1295" s="8">
        <f>DATE(2012,12,31)-1374</f>
        <v>39900</v>
      </c>
      <c r="B1295" s="8">
        <f>DATE(2012,12,31)-1374</f>
        <v>39900</v>
      </c>
      <c r="C1295" s="9" t="s">
        <v>734</v>
      </c>
      <c r="D1295">
        <v>10021425018</v>
      </c>
      <c r="E1295" t="s">
        <v>47</v>
      </c>
      <c r="F1295" t="s">
        <v>122</v>
      </c>
      <c r="G1295" t="s">
        <v>123</v>
      </c>
      <c r="H1295" t="s">
        <v>124</v>
      </c>
      <c r="I1295" t="s">
        <v>125</v>
      </c>
      <c r="J1295" t="s">
        <v>668</v>
      </c>
      <c r="K1295" s="3">
        <v>100429252613</v>
      </c>
      <c r="L1295" s="10">
        <v>39902</v>
      </c>
      <c r="M1295">
        <v>199.46</v>
      </c>
      <c r="N1295" s="11">
        <v>48</v>
      </c>
      <c r="O1295" s="12">
        <v>4.28</v>
      </c>
      <c r="P1295" s="12">
        <v>4.79</v>
      </c>
      <c r="Q1295" s="13">
        <v>-121.2</v>
      </c>
      <c r="R1295" s="36" t="s">
        <v>1515</v>
      </c>
      <c r="S1295" s="7">
        <f t="shared" si="104"/>
        <v>2</v>
      </c>
      <c r="T1295" s="15" t="str">
        <f>VLOOKUP(R1295,产品分类!$C$2:$D$1278,2,0)</f>
        <v>办公用品</v>
      </c>
    </row>
    <row r="1296" spans="1:20">
      <c r="A1296" s="8">
        <f>DATE(2012,12,31)-36</f>
        <v>41238</v>
      </c>
      <c r="B1296" s="8">
        <f>DATE(2012,12,31)-36</f>
        <v>41238</v>
      </c>
      <c r="C1296" s="9" t="s">
        <v>573</v>
      </c>
      <c r="D1296">
        <v>10021368579</v>
      </c>
      <c r="E1296" t="s">
        <v>47</v>
      </c>
      <c r="F1296" t="s">
        <v>55</v>
      </c>
      <c r="G1296" t="s">
        <v>56</v>
      </c>
      <c r="H1296" t="s">
        <v>1331</v>
      </c>
      <c r="I1296" t="s">
        <v>1332</v>
      </c>
      <c r="J1296" t="s">
        <v>668</v>
      </c>
      <c r="K1296" s="3">
        <v>100925367981</v>
      </c>
      <c r="L1296" s="10">
        <v>41240</v>
      </c>
      <c r="M1296">
        <v>1954.796</v>
      </c>
      <c r="N1296" s="11">
        <v>17</v>
      </c>
      <c r="O1296" s="12">
        <v>140.99</v>
      </c>
      <c r="P1296" s="12">
        <v>4.2</v>
      </c>
      <c r="Q1296" s="13">
        <v>98.352</v>
      </c>
      <c r="R1296" s="36" t="s">
        <v>198</v>
      </c>
      <c r="S1296" s="7">
        <f t="shared" si="104"/>
        <v>2</v>
      </c>
      <c r="T1296" s="15" t="str">
        <f>VLOOKUP(R1296,产品分类!$C$2:$D$1278,2,0)</f>
        <v>数码电子</v>
      </c>
    </row>
    <row r="1297" spans="1:20">
      <c r="A1297" s="8">
        <f>DATE(2012,12,31)-207</f>
        <v>41067</v>
      </c>
      <c r="B1297" s="8">
        <f>DATE(2012,12,31)-207</f>
        <v>41067</v>
      </c>
      <c r="C1297" s="9" t="s">
        <v>660</v>
      </c>
      <c r="D1297">
        <v>10021350748</v>
      </c>
      <c r="E1297" t="s">
        <v>47</v>
      </c>
      <c r="F1297" t="s">
        <v>83</v>
      </c>
      <c r="G1297" t="s">
        <v>84</v>
      </c>
      <c r="H1297" t="s">
        <v>1259</v>
      </c>
      <c r="I1297" t="s">
        <v>1260</v>
      </c>
      <c r="J1297" t="s">
        <v>668</v>
      </c>
      <c r="K1297" s="3">
        <v>100132178126</v>
      </c>
      <c r="L1297" s="10">
        <v>41069</v>
      </c>
      <c r="M1297">
        <v>316.52</v>
      </c>
      <c r="N1297" s="11">
        <v>2</v>
      </c>
      <c r="O1297" s="12">
        <v>152.48</v>
      </c>
      <c r="P1297" s="12">
        <v>4</v>
      </c>
      <c r="Q1297" s="13">
        <v>-542.32</v>
      </c>
      <c r="R1297" s="36" t="s">
        <v>505</v>
      </c>
      <c r="S1297" s="7">
        <f t="shared" si="104"/>
        <v>2</v>
      </c>
      <c r="T1297" s="15" t="str">
        <f>VLOOKUP(R1297,产品分类!$C$2:$D$1278,2,0)</f>
        <v>家具产品</v>
      </c>
    </row>
    <row r="1298" spans="1:20">
      <c r="A1298" s="8">
        <f>DATE(2012,12,31)-207</f>
        <v>41067</v>
      </c>
      <c r="B1298" s="8">
        <f>DATE(2012,12,31)-207</f>
        <v>41067</v>
      </c>
      <c r="C1298" s="9" t="s">
        <v>660</v>
      </c>
      <c r="D1298">
        <v>10021252715</v>
      </c>
      <c r="E1298" t="s">
        <v>47</v>
      </c>
      <c r="F1298" t="s">
        <v>91</v>
      </c>
      <c r="G1298" t="s">
        <v>92</v>
      </c>
      <c r="H1298" t="s">
        <v>1412</v>
      </c>
      <c r="I1298" t="s">
        <v>1413</v>
      </c>
      <c r="J1298" t="s">
        <v>668</v>
      </c>
      <c r="K1298" s="3">
        <v>100312694549</v>
      </c>
      <c r="L1298" s="10">
        <v>41070</v>
      </c>
      <c r="M1298">
        <v>155.39</v>
      </c>
      <c r="N1298" s="11">
        <v>5</v>
      </c>
      <c r="O1298" s="12">
        <v>32.98</v>
      </c>
      <c r="P1298" s="12">
        <v>5.5</v>
      </c>
      <c r="Q1298" s="13">
        <v>-127.7</v>
      </c>
      <c r="R1298" s="36" t="s">
        <v>1040</v>
      </c>
      <c r="S1298" s="7">
        <f t="shared" si="104"/>
        <v>3</v>
      </c>
      <c r="T1298" s="15" t="str">
        <f>VLOOKUP(R1298,产品分类!$C$2:$D$1278,2,0)</f>
        <v>数码电子</v>
      </c>
    </row>
    <row r="1299" spans="1:20">
      <c r="A1299" s="8">
        <f t="shared" ref="A1299:B1301" si="106">DATE(2012,12,31)-85</f>
        <v>41189</v>
      </c>
      <c r="B1299" s="8">
        <f t="shared" si="106"/>
        <v>41189</v>
      </c>
      <c r="C1299" s="9" t="s">
        <v>1163</v>
      </c>
      <c r="D1299">
        <v>10021336964</v>
      </c>
      <c r="E1299" t="s">
        <v>47</v>
      </c>
      <c r="F1299" t="s">
        <v>91</v>
      </c>
      <c r="G1299" t="s">
        <v>92</v>
      </c>
      <c r="H1299" t="s">
        <v>1412</v>
      </c>
      <c r="I1299" t="s">
        <v>1413</v>
      </c>
      <c r="J1299" t="s">
        <v>668</v>
      </c>
      <c r="K1299" s="3">
        <v>100921016811</v>
      </c>
      <c r="L1299" s="10">
        <v>41190</v>
      </c>
      <c r="M1299">
        <v>12175.82</v>
      </c>
      <c r="N1299" s="11">
        <v>36</v>
      </c>
      <c r="O1299" s="12">
        <v>320.98</v>
      </c>
      <c r="P1299" s="12">
        <v>58.95</v>
      </c>
      <c r="Q1299" s="13">
        <v>2825.15</v>
      </c>
      <c r="R1299" s="36" t="s">
        <v>310</v>
      </c>
      <c r="S1299" s="7">
        <f t="shared" si="104"/>
        <v>1</v>
      </c>
      <c r="T1299" s="15" t="str">
        <f>VLOOKUP(R1299,产品分类!$C$2:$D$1278,2,0)</f>
        <v>办公用品</v>
      </c>
    </row>
    <row r="1300" spans="1:20">
      <c r="A1300" s="8">
        <f t="shared" si="106"/>
        <v>41189</v>
      </c>
      <c r="B1300" s="8">
        <f t="shared" si="106"/>
        <v>41189</v>
      </c>
      <c r="C1300" s="9" t="s">
        <v>1163</v>
      </c>
      <c r="D1300">
        <v>10021427180</v>
      </c>
      <c r="E1300" t="s">
        <v>47</v>
      </c>
      <c r="F1300" t="s">
        <v>55</v>
      </c>
      <c r="G1300" t="s">
        <v>56</v>
      </c>
      <c r="H1300" t="s">
        <v>1331</v>
      </c>
      <c r="I1300" t="s">
        <v>1332</v>
      </c>
      <c r="J1300" t="s">
        <v>668</v>
      </c>
      <c r="K1300" s="3">
        <v>100430604043</v>
      </c>
      <c r="L1300" s="10">
        <v>41190</v>
      </c>
      <c r="M1300">
        <v>101.21</v>
      </c>
      <c r="N1300" s="11">
        <v>5</v>
      </c>
      <c r="O1300" s="12">
        <v>18.97</v>
      </c>
      <c r="P1300" s="12">
        <v>5.21</v>
      </c>
      <c r="Q1300" s="13">
        <v>2.13</v>
      </c>
      <c r="R1300" s="36" t="s">
        <v>1516</v>
      </c>
      <c r="S1300" s="7">
        <f t="shared" si="104"/>
        <v>1</v>
      </c>
      <c r="T1300" s="15" t="str">
        <f>VLOOKUP(R1300,产品分类!$C$2:$D$1278,2,0)</f>
        <v>办公用品</v>
      </c>
    </row>
    <row r="1301" spans="1:20">
      <c r="A1301" s="8">
        <f t="shared" si="106"/>
        <v>41189</v>
      </c>
      <c r="B1301" s="8">
        <f t="shared" si="106"/>
        <v>41189</v>
      </c>
      <c r="C1301" s="9" t="s">
        <v>1163</v>
      </c>
      <c r="D1301">
        <v>10021366067</v>
      </c>
      <c r="E1301" t="s">
        <v>47</v>
      </c>
      <c r="F1301" t="s">
        <v>55</v>
      </c>
      <c r="G1301" t="s">
        <v>56</v>
      </c>
      <c r="H1301" t="s">
        <v>1331</v>
      </c>
      <c r="I1301" t="s">
        <v>1332</v>
      </c>
      <c r="J1301" t="s">
        <v>668</v>
      </c>
      <c r="K1301" s="3">
        <v>100324763909</v>
      </c>
      <c r="L1301" s="10">
        <v>41189</v>
      </c>
      <c r="M1301">
        <v>1585.64</v>
      </c>
      <c r="N1301" s="11">
        <v>32</v>
      </c>
      <c r="O1301" s="12">
        <v>48.91</v>
      </c>
      <c r="P1301" s="12">
        <v>5.81</v>
      </c>
      <c r="Q1301" s="13">
        <v>707.15</v>
      </c>
      <c r="R1301" s="36" t="s">
        <v>700</v>
      </c>
      <c r="S1301" s="7">
        <f t="shared" si="104"/>
        <v>0</v>
      </c>
      <c r="T1301" s="15" t="str">
        <f>VLOOKUP(R1301,产品分类!$C$2:$D$1278,2,0)</f>
        <v>家具产品</v>
      </c>
    </row>
    <row r="1302" spans="1:20">
      <c r="A1302" s="8">
        <f>DATE(2012,12,31)-687</f>
        <v>40587</v>
      </c>
      <c r="B1302" s="8">
        <f>DATE(2012,12,31)-687</f>
        <v>40587</v>
      </c>
      <c r="C1302" s="9" t="s">
        <v>671</v>
      </c>
      <c r="D1302">
        <v>10021389133</v>
      </c>
      <c r="E1302" t="s">
        <v>47</v>
      </c>
      <c r="F1302" t="s">
        <v>97</v>
      </c>
      <c r="G1302" t="s">
        <v>98</v>
      </c>
      <c r="H1302" t="s">
        <v>99</v>
      </c>
      <c r="I1302" t="s">
        <v>98</v>
      </c>
      <c r="J1302" t="s">
        <v>668</v>
      </c>
      <c r="K1302" s="3">
        <v>100431246194</v>
      </c>
      <c r="L1302" s="10">
        <v>40589</v>
      </c>
      <c r="M1302">
        <v>906.02</v>
      </c>
      <c r="N1302" s="11">
        <v>6</v>
      </c>
      <c r="O1302" s="12">
        <v>150.98</v>
      </c>
      <c r="P1302" s="12">
        <v>66.27</v>
      </c>
      <c r="Q1302" s="13">
        <v>-382.38</v>
      </c>
      <c r="R1302" s="36" t="s">
        <v>1166</v>
      </c>
      <c r="S1302" s="7">
        <f t="shared" si="104"/>
        <v>2</v>
      </c>
      <c r="T1302" s="15" t="str">
        <f>VLOOKUP(R1302,产品分类!$C$2:$D$1278,2,0)</f>
        <v>办公用品</v>
      </c>
    </row>
    <row r="1303" spans="1:20">
      <c r="A1303" s="16">
        <f>DATE(2012,12,31)-687</f>
        <v>40587</v>
      </c>
      <c r="B1303" s="16">
        <f>DATE(2012,12,31)-687</f>
        <v>40587</v>
      </c>
      <c r="C1303" s="9" t="s">
        <v>671</v>
      </c>
      <c r="D1303">
        <v>10021418915</v>
      </c>
      <c r="E1303" t="s">
        <v>47</v>
      </c>
      <c r="F1303" t="s">
        <v>132</v>
      </c>
      <c r="G1303" t="s">
        <v>133</v>
      </c>
      <c r="H1303" t="s">
        <v>134</v>
      </c>
      <c r="I1303" t="s">
        <v>133</v>
      </c>
      <c r="J1303" t="s">
        <v>668</v>
      </c>
      <c r="K1303" s="3">
        <v>100722351485</v>
      </c>
      <c r="L1303" s="10">
        <v>40589</v>
      </c>
      <c r="M1303">
        <v>170.88</v>
      </c>
      <c r="N1303" s="17">
        <v>43</v>
      </c>
      <c r="O1303" s="5">
        <v>3.81</v>
      </c>
      <c r="P1303" s="5">
        <v>5.44</v>
      </c>
      <c r="Q1303" s="6">
        <v>-149.086</v>
      </c>
      <c r="R1303" s="37" t="s">
        <v>878</v>
      </c>
      <c r="S1303" s="7">
        <f t="shared" si="104"/>
        <v>2</v>
      </c>
      <c r="T1303" s="15" t="str">
        <f>VLOOKUP(R1303,产品分类!$C$2:$D$1278,2,0)</f>
        <v>数码电子</v>
      </c>
    </row>
    <row r="1304" spans="1:20">
      <c r="A1304" s="16">
        <f>DATE(2012,12,31)-1030</f>
        <v>40244</v>
      </c>
      <c r="B1304" s="16">
        <f>DATE(2012,12,31)-1030</f>
        <v>40244</v>
      </c>
      <c r="C1304" s="9" t="s">
        <v>536</v>
      </c>
      <c r="D1304">
        <v>10021447198</v>
      </c>
      <c r="E1304" t="s">
        <v>47</v>
      </c>
      <c r="F1304" t="s">
        <v>97</v>
      </c>
      <c r="G1304" t="s">
        <v>98</v>
      </c>
      <c r="H1304" t="s">
        <v>99</v>
      </c>
      <c r="I1304" t="s">
        <v>98</v>
      </c>
      <c r="J1304" t="s">
        <v>668</v>
      </c>
      <c r="K1304" s="3">
        <v>100122848268</v>
      </c>
      <c r="L1304" s="10">
        <v>40246</v>
      </c>
      <c r="M1304">
        <v>3725.53</v>
      </c>
      <c r="N1304" s="17">
        <v>46</v>
      </c>
      <c r="O1304" s="5">
        <v>76.72</v>
      </c>
      <c r="P1304" s="5">
        <v>19.95</v>
      </c>
      <c r="Q1304" s="6">
        <v>748.67</v>
      </c>
      <c r="R1304" s="37" t="s">
        <v>1064</v>
      </c>
      <c r="S1304" s="7">
        <f t="shared" si="104"/>
        <v>2</v>
      </c>
      <c r="T1304" s="15" t="str">
        <f>VLOOKUP(R1304,产品分类!$C$2:$D$1278,2,0)</f>
        <v>数码电子</v>
      </c>
    </row>
    <row r="1305" spans="1:20">
      <c r="A1305" s="8">
        <f>DATE(2012,12,31)-201</f>
        <v>41073</v>
      </c>
      <c r="B1305" s="8">
        <f>DATE(2012,12,31)-201</f>
        <v>41073</v>
      </c>
      <c r="C1305" s="9" t="s">
        <v>450</v>
      </c>
      <c r="D1305">
        <v>10021257397</v>
      </c>
      <c r="E1305" t="s">
        <v>47</v>
      </c>
      <c r="F1305" t="s">
        <v>97</v>
      </c>
      <c r="G1305" t="s">
        <v>98</v>
      </c>
      <c r="H1305" t="s">
        <v>99</v>
      </c>
      <c r="I1305" t="s">
        <v>98</v>
      </c>
      <c r="J1305" t="s">
        <v>668</v>
      </c>
      <c r="K1305" s="3">
        <v>100726062455</v>
      </c>
      <c r="L1305" s="10">
        <v>41074</v>
      </c>
      <c r="M1305">
        <v>133.23</v>
      </c>
      <c r="N1305" s="11">
        <v>41</v>
      </c>
      <c r="O1305" s="12">
        <v>3.14</v>
      </c>
      <c r="P1305" s="12">
        <v>1.92</v>
      </c>
      <c r="Q1305" s="13">
        <v>-59.91</v>
      </c>
      <c r="R1305" s="36" t="s">
        <v>157</v>
      </c>
      <c r="S1305" s="7">
        <f t="shared" si="104"/>
        <v>1</v>
      </c>
      <c r="T1305" s="15" t="str">
        <f>VLOOKUP(R1305,产品分类!$C$2:$D$1278,2,0)</f>
        <v>数码电子</v>
      </c>
    </row>
    <row r="1306" spans="1:20">
      <c r="A1306" s="8">
        <f>DATE(2012,12,31)-201</f>
        <v>41073</v>
      </c>
      <c r="B1306" s="8">
        <f>DATE(2012,12,31)-201</f>
        <v>41073</v>
      </c>
      <c r="C1306" s="9" t="s">
        <v>450</v>
      </c>
      <c r="D1306">
        <v>10021292756</v>
      </c>
      <c r="E1306" t="s">
        <v>47</v>
      </c>
      <c r="F1306" t="s">
        <v>102</v>
      </c>
      <c r="G1306" t="s">
        <v>103</v>
      </c>
      <c r="H1306" t="s">
        <v>1217</v>
      </c>
      <c r="I1306" t="s">
        <v>1218</v>
      </c>
      <c r="J1306" t="s">
        <v>668</v>
      </c>
      <c r="K1306" s="3">
        <v>10031407459</v>
      </c>
      <c r="L1306" s="10">
        <v>41074</v>
      </c>
      <c r="M1306">
        <v>146.25</v>
      </c>
      <c r="N1306" s="11">
        <v>21</v>
      </c>
      <c r="O1306" s="12">
        <v>6.35</v>
      </c>
      <c r="P1306" s="12">
        <v>1.02</v>
      </c>
      <c r="Q1306" s="13">
        <v>60.12</v>
      </c>
      <c r="R1306" s="36" t="s">
        <v>1265</v>
      </c>
      <c r="S1306" s="7">
        <f t="shared" si="104"/>
        <v>1</v>
      </c>
      <c r="T1306" s="15" t="str">
        <f>VLOOKUP(R1306,产品分类!$C$2:$D$1278,2,0)</f>
        <v>家具产品</v>
      </c>
    </row>
    <row r="1307" spans="1:20">
      <c r="A1307" s="16">
        <f>DATE(2012,12,31)-520</f>
        <v>40754</v>
      </c>
      <c r="B1307" s="16">
        <f>DATE(2012,12,31)-520</f>
        <v>40754</v>
      </c>
      <c r="C1307" s="9" t="s">
        <v>1517</v>
      </c>
      <c r="D1307">
        <v>10021343209</v>
      </c>
      <c r="E1307" t="s">
        <v>47</v>
      </c>
      <c r="F1307" t="s">
        <v>208</v>
      </c>
      <c r="G1307" t="s">
        <v>209</v>
      </c>
      <c r="H1307" t="s">
        <v>1492</v>
      </c>
      <c r="I1307" t="s">
        <v>1493</v>
      </c>
      <c r="J1307" t="s">
        <v>668</v>
      </c>
      <c r="K1307" s="3">
        <v>100728704685</v>
      </c>
      <c r="L1307" s="10">
        <v>40755</v>
      </c>
      <c r="M1307">
        <v>434.62</v>
      </c>
      <c r="N1307" s="17">
        <v>40</v>
      </c>
      <c r="O1307" s="5">
        <v>11.5</v>
      </c>
      <c r="P1307" s="5">
        <v>7.19</v>
      </c>
      <c r="Q1307" s="6">
        <v>-68.977</v>
      </c>
      <c r="R1307" s="37" t="s">
        <v>633</v>
      </c>
      <c r="S1307" s="7">
        <f t="shared" si="104"/>
        <v>1</v>
      </c>
      <c r="T1307" s="15" t="str">
        <f>VLOOKUP(R1307,产品分类!$C$2:$D$1278,2,0)</f>
        <v>家具产品</v>
      </c>
    </row>
    <row r="1308" spans="1:20">
      <c r="A1308" s="8">
        <f t="shared" ref="A1308:B1310" si="107">DATE(2012,12,31)-51</f>
        <v>41223</v>
      </c>
      <c r="B1308" s="8">
        <f t="shared" si="107"/>
        <v>41223</v>
      </c>
      <c r="C1308" s="9" t="s">
        <v>1518</v>
      </c>
      <c r="D1308">
        <v>10021352799</v>
      </c>
      <c r="E1308" t="s">
        <v>47</v>
      </c>
      <c r="F1308" t="s">
        <v>208</v>
      </c>
      <c r="G1308" t="s">
        <v>209</v>
      </c>
      <c r="H1308" t="s">
        <v>1492</v>
      </c>
      <c r="I1308" t="s">
        <v>1493</v>
      </c>
      <c r="J1308" t="s">
        <v>668</v>
      </c>
      <c r="K1308" s="3">
        <v>100932543211</v>
      </c>
      <c r="L1308" s="10">
        <v>41225</v>
      </c>
      <c r="M1308">
        <v>2654.16</v>
      </c>
      <c r="N1308" s="11">
        <v>27</v>
      </c>
      <c r="O1308" s="12">
        <v>90.97</v>
      </c>
      <c r="P1308" s="12">
        <v>28</v>
      </c>
      <c r="Q1308" s="13">
        <v>600.93</v>
      </c>
      <c r="R1308" s="36" t="s">
        <v>1519</v>
      </c>
      <c r="S1308" s="7">
        <f t="shared" si="104"/>
        <v>2</v>
      </c>
      <c r="T1308" s="15" t="str">
        <f>VLOOKUP(R1308,产品分类!$C$2:$D$1278,2,0)</f>
        <v>办公用品</v>
      </c>
    </row>
    <row r="1309" spans="1:20">
      <c r="A1309" s="8">
        <f t="shared" si="107"/>
        <v>41223</v>
      </c>
      <c r="B1309" s="8">
        <f t="shared" si="107"/>
        <v>41223</v>
      </c>
      <c r="C1309" s="9" t="s">
        <v>1518</v>
      </c>
      <c r="D1309">
        <v>10021414073</v>
      </c>
      <c r="E1309" t="s">
        <v>47</v>
      </c>
      <c r="F1309" t="s">
        <v>137</v>
      </c>
      <c r="G1309" t="s">
        <v>138</v>
      </c>
      <c r="H1309" t="s">
        <v>139</v>
      </c>
      <c r="I1309" t="s">
        <v>601</v>
      </c>
      <c r="J1309" t="s">
        <v>668</v>
      </c>
      <c r="K1309" s="3">
        <v>10014515708</v>
      </c>
      <c r="L1309" s="10">
        <v>41225</v>
      </c>
      <c r="M1309">
        <v>36.23</v>
      </c>
      <c r="N1309" s="11">
        <v>16</v>
      </c>
      <c r="O1309" s="12">
        <v>2.12</v>
      </c>
      <c r="P1309" s="12">
        <v>1.99</v>
      </c>
      <c r="Q1309" s="13">
        <v>-24.87</v>
      </c>
      <c r="R1309" s="36" t="s">
        <v>698</v>
      </c>
      <c r="S1309" s="7">
        <f t="shared" si="104"/>
        <v>2</v>
      </c>
      <c r="T1309" s="15" t="str">
        <f>VLOOKUP(R1309,产品分类!$C$2:$D$1278,2,0)</f>
        <v>办公用品</v>
      </c>
    </row>
    <row r="1310" spans="1:20">
      <c r="A1310" s="8">
        <f t="shared" si="107"/>
        <v>41223</v>
      </c>
      <c r="B1310" s="8">
        <f t="shared" si="107"/>
        <v>41223</v>
      </c>
      <c r="C1310" s="9" t="s">
        <v>1518</v>
      </c>
      <c r="D1310">
        <v>10021285205</v>
      </c>
      <c r="E1310" t="s">
        <v>47</v>
      </c>
      <c r="F1310" t="s">
        <v>208</v>
      </c>
      <c r="G1310" t="s">
        <v>209</v>
      </c>
      <c r="H1310" t="s">
        <v>1492</v>
      </c>
      <c r="I1310" t="s">
        <v>1493</v>
      </c>
      <c r="J1310" t="s">
        <v>668</v>
      </c>
      <c r="K1310" s="3">
        <v>100729689835</v>
      </c>
      <c r="L1310" s="10">
        <v>41224</v>
      </c>
      <c r="M1310">
        <v>1722.65</v>
      </c>
      <c r="N1310" s="11">
        <v>15</v>
      </c>
      <c r="O1310" s="12">
        <v>114.98</v>
      </c>
      <c r="P1310" s="12">
        <v>51.42</v>
      </c>
      <c r="Q1310" s="13">
        <v>-399.67</v>
      </c>
      <c r="R1310" s="36" t="s">
        <v>1520</v>
      </c>
      <c r="S1310" s="7">
        <f t="shared" si="104"/>
        <v>1</v>
      </c>
      <c r="T1310" s="15" t="str">
        <f>VLOOKUP(R1310,产品分类!$C$2:$D$1278,2,0)</f>
        <v>家具产品</v>
      </c>
    </row>
    <row r="1311" spans="1:20">
      <c r="A1311" s="16">
        <f>DATE(2012,12,31)-1253</f>
        <v>40021</v>
      </c>
      <c r="B1311" s="16">
        <f>DATE(2012,12,31)-1253</f>
        <v>40021</v>
      </c>
      <c r="C1311" s="9" t="s">
        <v>262</v>
      </c>
      <c r="D1311">
        <v>10021302912</v>
      </c>
      <c r="E1311" t="s">
        <v>47</v>
      </c>
      <c r="F1311" t="s">
        <v>102</v>
      </c>
      <c r="G1311" t="s">
        <v>103</v>
      </c>
      <c r="H1311" t="s">
        <v>1217</v>
      </c>
      <c r="I1311" t="s">
        <v>1218</v>
      </c>
      <c r="J1311" t="s">
        <v>668</v>
      </c>
      <c r="K1311" s="3">
        <v>100431388223</v>
      </c>
      <c r="L1311" s="10">
        <v>40021</v>
      </c>
      <c r="M1311">
        <v>493.26</v>
      </c>
      <c r="N1311" s="17">
        <v>39</v>
      </c>
      <c r="O1311" s="5">
        <v>12.53</v>
      </c>
      <c r="P1311" s="5">
        <v>0.49</v>
      </c>
      <c r="Q1311" s="6">
        <v>263.4</v>
      </c>
      <c r="R1311" s="37" t="s">
        <v>1521</v>
      </c>
      <c r="S1311" s="7">
        <f t="shared" si="104"/>
        <v>0</v>
      </c>
      <c r="T1311" s="15" t="str">
        <f>VLOOKUP(R1311,产品分类!$C$2:$D$1278,2,0)</f>
        <v>数码电子</v>
      </c>
    </row>
    <row r="1312" spans="1:20">
      <c r="A1312" s="16">
        <f>DATE(2012,12,31)-1253</f>
        <v>40021</v>
      </c>
      <c r="B1312" s="16">
        <f>DATE(2012,12,31)-1253</f>
        <v>40021</v>
      </c>
      <c r="C1312" s="9" t="s">
        <v>262</v>
      </c>
      <c r="D1312">
        <v>10021397385</v>
      </c>
      <c r="E1312" t="s">
        <v>47</v>
      </c>
      <c r="F1312" t="s">
        <v>102</v>
      </c>
      <c r="G1312" t="s">
        <v>103</v>
      </c>
      <c r="H1312" t="s">
        <v>1217</v>
      </c>
      <c r="I1312" t="s">
        <v>1218</v>
      </c>
      <c r="J1312" t="s">
        <v>668</v>
      </c>
      <c r="K1312" s="3">
        <v>100331007009</v>
      </c>
      <c r="L1312" s="10">
        <v>40023</v>
      </c>
      <c r="M1312">
        <v>192.15</v>
      </c>
      <c r="N1312" s="17">
        <v>37</v>
      </c>
      <c r="O1312" s="5">
        <v>5.18</v>
      </c>
      <c r="P1312" s="5">
        <v>2.04</v>
      </c>
      <c r="Q1312" s="6">
        <v>37.31</v>
      </c>
      <c r="R1312" s="37" t="s">
        <v>1522</v>
      </c>
      <c r="S1312" s="7">
        <f t="shared" si="104"/>
        <v>2</v>
      </c>
      <c r="T1312" s="15" t="str">
        <f>VLOOKUP(R1312,产品分类!$C$2:$D$1278,2,0)</f>
        <v>办公用品</v>
      </c>
    </row>
    <row r="1313" spans="1:20">
      <c r="A1313" s="8">
        <f>DATE(2012,12,31)-350</f>
        <v>40924</v>
      </c>
      <c r="B1313" s="8">
        <f>DATE(2012,12,31)-350</f>
        <v>40924</v>
      </c>
      <c r="C1313" s="9" t="s">
        <v>1523</v>
      </c>
      <c r="D1313">
        <v>10021268771</v>
      </c>
      <c r="E1313" t="s">
        <v>47</v>
      </c>
      <c r="F1313" t="s">
        <v>527</v>
      </c>
      <c r="G1313" t="s">
        <v>528</v>
      </c>
      <c r="H1313" t="s">
        <v>1356</v>
      </c>
      <c r="I1313" t="s">
        <v>1357</v>
      </c>
      <c r="J1313" t="s">
        <v>668</v>
      </c>
      <c r="K1313" s="3">
        <v>100132414286</v>
      </c>
      <c r="L1313" s="10">
        <v>40928</v>
      </c>
      <c r="M1313">
        <v>3633.03</v>
      </c>
      <c r="N1313" s="11">
        <v>33</v>
      </c>
      <c r="O1313" s="12">
        <v>120.98</v>
      </c>
      <c r="P1313" s="12">
        <v>9.07</v>
      </c>
      <c r="Q1313" s="13">
        <v>1440.274</v>
      </c>
      <c r="R1313" s="36" t="s">
        <v>1524</v>
      </c>
      <c r="S1313" s="7">
        <f t="shared" si="104"/>
        <v>4</v>
      </c>
      <c r="T1313" s="15" t="str">
        <f>VLOOKUP(R1313,产品分类!$C$2:$D$1278,2,0)</f>
        <v>办公用品</v>
      </c>
    </row>
    <row r="1314" spans="1:20">
      <c r="A1314" s="16">
        <f>DATE(2012,12,31)-1358</f>
        <v>39916</v>
      </c>
      <c r="B1314" s="16">
        <f>DATE(2012,12,31)-1358</f>
        <v>39916</v>
      </c>
      <c r="C1314" s="9" t="s">
        <v>619</v>
      </c>
      <c r="D1314">
        <v>10021254704</v>
      </c>
      <c r="E1314" t="s">
        <v>47</v>
      </c>
      <c r="F1314" t="s">
        <v>171</v>
      </c>
      <c r="G1314" t="s">
        <v>172</v>
      </c>
      <c r="H1314" t="s">
        <v>933</v>
      </c>
      <c r="I1314" t="s">
        <v>934</v>
      </c>
      <c r="J1314" t="s">
        <v>668</v>
      </c>
      <c r="K1314" s="3">
        <v>100422721493</v>
      </c>
      <c r="L1314" s="10">
        <v>39918</v>
      </c>
      <c r="M1314">
        <v>3.42</v>
      </c>
      <c r="N1314" s="17">
        <v>1</v>
      </c>
      <c r="O1314" s="5">
        <v>1.88</v>
      </c>
      <c r="P1314" s="5">
        <v>1.49</v>
      </c>
      <c r="Q1314" s="6">
        <v>-2.9095</v>
      </c>
      <c r="R1314" s="37" t="s">
        <v>1426</v>
      </c>
      <c r="S1314" s="7">
        <f t="shared" si="104"/>
        <v>2</v>
      </c>
      <c r="T1314" s="15" t="str">
        <f>VLOOKUP(R1314,产品分类!$C$2:$D$1278,2,0)</f>
        <v>办公用品</v>
      </c>
    </row>
    <row r="1315" spans="1:20">
      <c r="A1315" s="8">
        <f t="shared" ref="A1315:B1317" si="108">DATE(2012,12,31)-1458</f>
        <v>39816</v>
      </c>
      <c r="B1315" s="8">
        <f t="shared" si="108"/>
        <v>39816</v>
      </c>
      <c r="C1315" s="9" t="s">
        <v>619</v>
      </c>
      <c r="D1315">
        <v>10021269291</v>
      </c>
      <c r="E1315" t="s">
        <v>47</v>
      </c>
      <c r="F1315" t="s">
        <v>171</v>
      </c>
      <c r="G1315" t="s">
        <v>172</v>
      </c>
      <c r="H1315" t="s">
        <v>933</v>
      </c>
      <c r="I1315" t="s">
        <v>934</v>
      </c>
      <c r="J1315" t="s">
        <v>668</v>
      </c>
      <c r="K1315" s="3">
        <v>100332439469</v>
      </c>
      <c r="L1315" s="10">
        <v>39818</v>
      </c>
      <c r="M1315">
        <v>522.49</v>
      </c>
      <c r="N1315" s="11">
        <v>12</v>
      </c>
      <c r="O1315" s="12">
        <v>43.22</v>
      </c>
      <c r="P1315" s="12">
        <v>16.71</v>
      </c>
      <c r="Q1315" s="13">
        <v>-236.43</v>
      </c>
      <c r="R1315" s="36" t="s">
        <v>1525</v>
      </c>
      <c r="S1315" s="7">
        <f t="shared" si="104"/>
        <v>2</v>
      </c>
      <c r="T1315" s="15" t="str">
        <f>VLOOKUP(R1315,产品分类!$C$2:$D$1278,2,0)</f>
        <v>数码电子</v>
      </c>
    </row>
    <row r="1316" spans="1:20">
      <c r="A1316" s="8">
        <f t="shared" si="108"/>
        <v>39816</v>
      </c>
      <c r="B1316" s="8">
        <f t="shared" si="108"/>
        <v>39816</v>
      </c>
      <c r="C1316" s="9" t="s">
        <v>619</v>
      </c>
      <c r="D1316">
        <v>10021425790</v>
      </c>
      <c r="E1316" t="s">
        <v>47</v>
      </c>
      <c r="F1316" t="s">
        <v>171</v>
      </c>
      <c r="G1316" t="s">
        <v>172</v>
      </c>
      <c r="H1316" t="s">
        <v>933</v>
      </c>
      <c r="I1316" t="s">
        <v>934</v>
      </c>
      <c r="J1316" t="s">
        <v>668</v>
      </c>
      <c r="K1316" s="3">
        <v>100429628463</v>
      </c>
      <c r="L1316" s="10">
        <v>39823</v>
      </c>
      <c r="M1316">
        <v>28359.4</v>
      </c>
      <c r="N1316" s="11">
        <v>49</v>
      </c>
      <c r="O1316" s="12">
        <v>574.74</v>
      </c>
      <c r="P1316" s="12">
        <v>24.49</v>
      </c>
      <c r="Q1316" s="13">
        <v>14440.39</v>
      </c>
      <c r="R1316" s="36" t="s">
        <v>1526</v>
      </c>
      <c r="S1316" s="7">
        <f t="shared" si="104"/>
        <v>7</v>
      </c>
      <c r="T1316" s="15" t="str">
        <f>VLOOKUP(R1316,产品分类!$C$2:$D$1278,2,0)</f>
        <v>办公用品</v>
      </c>
    </row>
    <row r="1317" spans="1:20">
      <c r="A1317" s="16">
        <f t="shared" si="108"/>
        <v>39816</v>
      </c>
      <c r="B1317" s="16">
        <f t="shared" si="108"/>
        <v>39816</v>
      </c>
      <c r="C1317" s="9" t="s">
        <v>619</v>
      </c>
      <c r="D1317">
        <v>10021339382</v>
      </c>
      <c r="E1317" t="s">
        <v>47</v>
      </c>
      <c r="F1317" t="s">
        <v>171</v>
      </c>
      <c r="G1317" t="s">
        <v>172</v>
      </c>
      <c r="H1317" t="s">
        <v>933</v>
      </c>
      <c r="I1317" t="s">
        <v>934</v>
      </c>
      <c r="J1317" t="s">
        <v>668</v>
      </c>
      <c r="K1317" s="3">
        <v>100125057966</v>
      </c>
      <c r="L1317" s="10">
        <v>39820</v>
      </c>
      <c r="M1317">
        <v>123.76</v>
      </c>
      <c r="N1317" s="17">
        <v>12</v>
      </c>
      <c r="O1317" s="5">
        <v>10.14</v>
      </c>
      <c r="P1317" s="5">
        <v>2.27</v>
      </c>
      <c r="Q1317" s="6">
        <v>32.44</v>
      </c>
      <c r="R1317" s="37" t="s">
        <v>1527</v>
      </c>
      <c r="S1317" s="7">
        <f t="shared" si="104"/>
        <v>4</v>
      </c>
      <c r="T1317" s="15" t="str">
        <f>VLOOKUP(R1317,产品分类!$C$2:$D$1278,2,0)</f>
        <v>办公用品</v>
      </c>
    </row>
    <row r="1318" spans="1:20">
      <c r="A1318" s="8">
        <f t="shared" ref="A1318:B1320" si="109">DATE(2012,12,31)-848</f>
        <v>40426</v>
      </c>
      <c r="B1318" s="8">
        <f t="shared" si="109"/>
        <v>40426</v>
      </c>
      <c r="C1318" s="9" t="s">
        <v>558</v>
      </c>
      <c r="D1318">
        <v>10021253644</v>
      </c>
      <c r="E1318" t="s">
        <v>47</v>
      </c>
      <c r="F1318" t="s">
        <v>177</v>
      </c>
      <c r="G1318" t="s">
        <v>178</v>
      </c>
      <c r="H1318" t="s">
        <v>1292</v>
      </c>
      <c r="I1318" t="s">
        <v>1293</v>
      </c>
      <c r="J1318" t="s">
        <v>668</v>
      </c>
      <c r="K1318" s="3">
        <v>100920223731</v>
      </c>
      <c r="L1318" s="10">
        <v>40428</v>
      </c>
      <c r="M1318">
        <v>1124.3</v>
      </c>
      <c r="N1318" s="11">
        <v>47</v>
      </c>
      <c r="O1318" s="12">
        <v>25.98</v>
      </c>
      <c r="P1318" s="12">
        <v>14.36</v>
      </c>
      <c r="Q1318" s="13">
        <v>-335.22</v>
      </c>
      <c r="R1318" s="36" t="s">
        <v>1510</v>
      </c>
      <c r="S1318" s="7">
        <f t="shared" si="104"/>
        <v>2</v>
      </c>
      <c r="T1318" s="15" t="str">
        <f>VLOOKUP(R1318,产品分类!$C$2:$D$1278,2,0)</f>
        <v>办公用品</v>
      </c>
    </row>
    <row r="1319" spans="1:20">
      <c r="A1319" s="8">
        <f t="shared" si="109"/>
        <v>40426</v>
      </c>
      <c r="B1319" s="8">
        <f t="shared" si="109"/>
        <v>40426</v>
      </c>
      <c r="C1319" s="9" t="s">
        <v>558</v>
      </c>
      <c r="D1319">
        <v>10021331490</v>
      </c>
      <c r="E1319" t="s">
        <v>47</v>
      </c>
      <c r="F1319" t="s">
        <v>342</v>
      </c>
      <c r="G1319" t="s">
        <v>343</v>
      </c>
      <c r="H1319" t="s">
        <v>344</v>
      </c>
      <c r="I1319" t="s">
        <v>345</v>
      </c>
      <c r="J1319" t="s">
        <v>668</v>
      </c>
      <c r="K1319" s="3">
        <v>10033491409</v>
      </c>
      <c r="L1319" s="10">
        <v>40426</v>
      </c>
      <c r="M1319">
        <v>43.57</v>
      </c>
      <c r="N1319" s="11">
        <v>11</v>
      </c>
      <c r="O1319" s="12">
        <v>4.13</v>
      </c>
      <c r="P1319" s="12">
        <v>0.99</v>
      </c>
      <c r="Q1319" s="13">
        <v>6.7</v>
      </c>
      <c r="R1319" s="36" t="s">
        <v>971</v>
      </c>
      <c r="S1319" s="7">
        <f t="shared" si="104"/>
        <v>0</v>
      </c>
      <c r="T1319" s="15" t="str">
        <f>VLOOKUP(R1319,产品分类!$C$2:$D$1278,2,0)</f>
        <v>办公用品</v>
      </c>
    </row>
    <row r="1320" spans="1:20">
      <c r="A1320" s="8">
        <f t="shared" si="109"/>
        <v>40426</v>
      </c>
      <c r="B1320" s="8">
        <f t="shared" si="109"/>
        <v>40426</v>
      </c>
      <c r="C1320" s="9" t="s">
        <v>558</v>
      </c>
      <c r="D1320">
        <v>10021449673</v>
      </c>
      <c r="E1320" t="s">
        <v>47</v>
      </c>
      <c r="F1320" t="s">
        <v>61</v>
      </c>
      <c r="G1320" t="s">
        <v>62</v>
      </c>
      <c r="H1320" t="s">
        <v>1369</v>
      </c>
      <c r="I1320" t="s">
        <v>1370</v>
      </c>
      <c r="J1320" t="s">
        <v>668</v>
      </c>
      <c r="K1320" s="3">
        <v>100417324373</v>
      </c>
      <c r="L1320" s="10">
        <v>40426</v>
      </c>
      <c r="M1320">
        <v>2610.894</v>
      </c>
      <c r="N1320" s="11">
        <v>23</v>
      </c>
      <c r="O1320" s="12">
        <v>125.99</v>
      </c>
      <c r="P1320" s="12">
        <v>5.63</v>
      </c>
      <c r="Q1320" s="13">
        <v>516.186</v>
      </c>
      <c r="R1320" s="36" t="s">
        <v>1116</v>
      </c>
      <c r="S1320" s="7">
        <f t="shared" si="104"/>
        <v>0</v>
      </c>
      <c r="T1320" s="15" t="str">
        <f>VLOOKUP(R1320,产品分类!$C$2:$D$1278,2,0)</f>
        <v>办公用品</v>
      </c>
    </row>
    <row r="1321" spans="1:20">
      <c r="A1321" s="8">
        <f>DATE(2012,12,31)-999</f>
        <v>40275</v>
      </c>
      <c r="B1321" s="8">
        <f>DATE(2012,12,31)-999</f>
        <v>40275</v>
      </c>
      <c r="C1321" s="9" t="s">
        <v>1528</v>
      </c>
      <c r="D1321">
        <v>10021346825</v>
      </c>
      <c r="E1321" t="s">
        <v>47</v>
      </c>
      <c r="F1321" t="s">
        <v>61</v>
      </c>
      <c r="G1321" t="s">
        <v>62</v>
      </c>
      <c r="H1321" t="s">
        <v>1369</v>
      </c>
      <c r="I1321" t="s">
        <v>1370</v>
      </c>
      <c r="J1321" t="s">
        <v>668</v>
      </c>
      <c r="K1321" s="3">
        <v>100330944839</v>
      </c>
      <c r="L1321" s="10">
        <v>40278</v>
      </c>
      <c r="M1321">
        <v>88.38</v>
      </c>
      <c r="N1321" s="11">
        <v>13</v>
      </c>
      <c r="O1321" s="12">
        <v>6.48</v>
      </c>
      <c r="P1321" s="12">
        <v>8.4</v>
      </c>
      <c r="Q1321" s="13">
        <v>-64.95</v>
      </c>
      <c r="R1321" s="36" t="s">
        <v>767</v>
      </c>
      <c r="S1321" s="7">
        <f t="shared" si="104"/>
        <v>3</v>
      </c>
      <c r="T1321" s="15" t="str">
        <f>VLOOKUP(R1321,产品分类!$C$2:$D$1278,2,0)</f>
        <v>家具产品</v>
      </c>
    </row>
    <row r="1322" spans="1:20">
      <c r="A1322" s="8">
        <f t="shared" ref="A1322:B1324" si="110">DATE(2012,12,31)-1348</f>
        <v>39926</v>
      </c>
      <c r="B1322" s="8">
        <f t="shared" si="110"/>
        <v>39926</v>
      </c>
      <c r="C1322" s="9" t="s">
        <v>1529</v>
      </c>
      <c r="D1322">
        <v>10021331933</v>
      </c>
      <c r="E1322" t="s">
        <v>47</v>
      </c>
      <c r="F1322" t="s">
        <v>253</v>
      </c>
      <c r="G1322" t="s">
        <v>254</v>
      </c>
      <c r="H1322" t="s">
        <v>255</v>
      </c>
      <c r="I1322" t="s">
        <v>256</v>
      </c>
      <c r="J1322" t="s">
        <v>668</v>
      </c>
      <c r="K1322" s="3">
        <v>10039429349</v>
      </c>
      <c r="L1322" s="10">
        <v>39926</v>
      </c>
      <c r="M1322">
        <v>2348.66</v>
      </c>
      <c r="N1322" s="11">
        <v>50</v>
      </c>
      <c r="O1322" s="12">
        <v>46.89</v>
      </c>
      <c r="P1322" s="12">
        <v>5.1</v>
      </c>
      <c r="Q1322" s="13">
        <v>921.41</v>
      </c>
      <c r="R1322" s="36" t="s">
        <v>1530</v>
      </c>
      <c r="S1322" s="7">
        <f t="shared" si="104"/>
        <v>0</v>
      </c>
      <c r="T1322" s="15" t="str">
        <f>VLOOKUP(R1322,产品分类!$C$2:$D$1278,2,0)</f>
        <v>数码电子</v>
      </c>
    </row>
    <row r="1323" spans="1:20">
      <c r="A1323" s="8">
        <f t="shared" si="110"/>
        <v>39926</v>
      </c>
      <c r="B1323" s="8">
        <f t="shared" si="110"/>
        <v>39926</v>
      </c>
      <c r="C1323" s="9" t="s">
        <v>1529</v>
      </c>
      <c r="D1323">
        <v>10021389272</v>
      </c>
      <c r="E1323" t="s">
        <v>47</v>
      </c>
      <c r="F1323" t="s">
        <v>253</v>
      </c>
      <c r="G1323" t="s">
        <v>254</v>
      </c>
      <c r="H1323" t="s">
        <v>255</v>
      </c>
      <c r="I1323" t="s">
        <v>256</v>
      </c>
      <c r="J1323" t="s">
        <v>668</v>
      </c>
      <c r="K1323" s="3">
        <v>100331657729</v>
      </c>
      <c r="L1323" s="10">
        <v>39928</v>
      </c>
      <c r="M1323">
        <v>2657.12</v>
      </c>
      <c r="N1323" s="11">
        <v>19</v>
      </c>
      <c r="O1323" s="12">
        <v>140.98</v>
      </c>
      <c r="P1323" s="12">
        <v>36.09</v>
      </c>
      <c r="Q1323" s="13">
        <v>-373.09</v>
      </c>
      <c r="R1323" s="36" t="s">
        <v>1090</v>
      </c>
      <c r="S1323" s="7">
        <f t="shared" si="104"/>
        <v>2</v>
      </c>
      <c r="T1323" s="15" t="str">
        <f>VLOOKUP(R1323,产品分类!$C$2:$D$1278,2,0)</f>
        <v>办公用品</v>
      </c>
    </row>
    <row r="1324" spans="1:20">
      <c r="A1324" s="8">
        <f t="shared" si="110"/>
        <v>39926</v>
      </c>
      <c r="B1324" s="8">
        <f t="shared" si="110"/>
        <v>39926</v>
      </c>
      <c r="C1324" s="9" t="s">
        <v>1529</v>
      </c>
      <c r="D1324">
        <v>10021418665</v>
      </c>
      <c r="E1324" t="s">
        <v>47</v>
      </c>
      <c r="F1324" t="s">
        <v>55</v>
      </c>
      <c r="G1324" t="s">
        <v>56</v>
      </c>
      <c r="H1324" t="s">
        <v>1331</v>
      </c>
      <c r="I1324" t="s">
        <v>1332</v>
      </c>
      <c r="J1324" t="s">
        <v>668</v>
      </c>
      <c r="K1324" s="3">
        <v>100921634951</v>
      </c>
      <c r="L1324" s="10">
        <v>39928</v>
      </c>
      <c r="M1324">
        <v>9579.62</v>
      </c>
      <c r="N1324" s="11">
        <v>49</v>
      </c>
      <c r="O1324" s="12">
        <v>212.6</v>
      </c>
      <c r="P1324" s="12">
        <v>110.2</v>
      </c>
      <c r="Q1324" s="13">
        <v>-3465.072</v>
      </c>
      <c r="R1324" s="36" t="s">
        <v>652</v>
      </c>
      <c r="S1324" s="7">
        <f t="shared" si="104"/>
        <v>2</v>
      </c>
      <c r="T1324" s="15" t="str">
        <f>VLOOKUP(R1324,产品分类!$C$2:$D$1278,2,0)</f>
        <v>办公用品</v>
      </c>
    </row>
    <row r="1325" spans="1:20">
      <c r="A1325" s="8">
        <f>DATE(2012,12,31)-1212</f>
        <v>40062</v>
      </c>
      <c r="B1325" s="8">
        <f>DATE(2012,12,31)-1212</f>
        <v>40062</v>
      </c>
      <c r="C1325" s="9" t="s">
        <v>953</v>
      </c>
      <c r="D1325">
        <v>10021285152</v>
      </c>
      <c r="E1325" t="s">
        <v>47</v>
      </c>
      <c r="F1325" t="s">
        <v>61</v>
      </c>
      <c r="G1325" t="s">
        <v>62</v>
      </c>
      <c r="H1325" t="s">
        <v>1369</v>
      </c>
      <c r="I1325" t="s">
        <v>1370</v>
      </c>
      <c r="J1325" t="s">
        <v>668</v>
      </c>
      <c r="K1325" s="3">
        <v>100829475292</v>
      </c>
      <c r="L1325" s="10">
        <v>40064</v>
      </c>
      <c r="M1325">
        <v>42.67</v>
      </c>
      <c r="N1325" s="11">
        <v>10</v>
      </c>
      <c r="O1325" s="12">
        <v>4.18</v>
      </c>
      <c r="P1325" s="12">
        <v>2.99</v>
      </c>
      <c r="Q1325" s="13">
        <v>-12.719</v>
      </c>
      <c r="R1325" s="36" t="s">
        <v>1531</v>
      </c>
      <c r="S1325" s="7">
        <f t="shared" si="104"/>
        <v>2</v>
      </c>
      <c r="T1325" s="15" t="str">
        <f>VLOOKUP(R1325,产品分类!$C$2:$D$1278,2,0)</f>
        <v>办公用品</v>
      </c>
    </row>
    <row r="1326" spans="1:20">
      <c r="A1326" s="16">
        <f>DATE(2012,12,31)-1349</f>
        <v>39925</v>
      </c>
      <c r="B1326" s="16">
        <f>DATE(2012,12,31)-1349</f>
        <v>39925</v>
      </c>
      <c r="C1326" s="9" t="s">
        <v>1094</v>
      </c>
      <c r="D1326">
        <v>10021453237</v>
      </c>
      <c r="E1326" t="s">
        <v>47</v>
      </c>
      <c r="F1326" t="s">
        <v>61</v>
      </c>
      <c r="G1326" t="s">
        <v>62</v>
      </c>
      <c r="H1326" t="s">
        <v>1369</v>
      </c>
      <c r="I1326" t="s">
        <v>1370</v>
      </c>
      <c r="J1326" t="s">
        <v>668</v>
      </c>
      <c r="K1326" s="3">
        <v>100831944252</v>
      </c>
      <c r="L1326" s="10">
        <v>39926</v>
      </c>
      <c r="M1326">
        <v>292.11</v>
      </c>
      <c r="N1326" s="17">
        <v>18</v>
      </c>
      <c r="O1326" s="5">
        <v>15.42</v>
      </c>
      <c r="P1326" s="5">
        <v>10.68</v>
      </c>
      <c r="Q1326" s="6">
        <v>-91.95</v>
      </c>
      <c r="R1326" s="37" t="s">
        <v>165</v>
      </c>
      <c r="S1326" s="7">
        <f t="shared" si="104"/>
        <v>1</v>
      </c>
      <c r="T1326" s="15" t="str">
        <f>VLOOKUP(R1326,产品分类!$C$2:$D$1278,2,0)</f>
        <v>办公用品</v>
      </c>
    </row>
    <row r="1327" spans="1:20">
      <c r="A1327" s="16">
        <f>DATE(2012,12,31)-476</f>
        <v>40798</v>
      </c>
      <c r="B1327" s="16">
        <f>DATE(2012,12,31)-476</f>
        <v>40798</v>
      </c>
      <c r="C1327" s="9" t="s">
        <v>439</v>
      </c>
      <c r="D1327">
        <v>10021294877</v>
      </c>
      <c r="E1327" t="s">
        <v>47</v>
      </c>
      <c r="F1327" t="s">
        <v>61</v>
      </c>
      <c r="G1327" t="s">
        <v>62</v>
      </c>
      <c r="H1327" t="s">
        <v>1369</v>
      </c>
      <c r="I1327" t="s">
        <v>1370</v>
      </c>
      <c r="J1327" t="s">
        <v>668</v>
      </c>
      <c r="K1327" s="3">
        <v>100411657073</v>
      </c>
      <c r="L1327" s="10">
        <v>40800</v>
      </c>
      <c r="M1327">
        <v>12.61</v>
      </c>
      <c r="N1327" s="17">
        <v>6</v>
      </c>
      <c r="O1327" s="5">
        <v>1.88</v>
      </c>
      <c r="P1327" s="5">
        <v>1.49</v>
      </c>
      <c r="Q1327" s="6">
        <v>-4.899</v>
      </c>
      <c r="R1327" s="37" t="s">
        <v>1426</v>
      </c>
      <c r="S1327" s="7">
        <f t="shared" si="104"/>
        <v>2</v>
      </c>
      <c r="T1327" s="15" t="str">
        <f>VLOOKUP(R1327,产品分类!$C$2:$D$1278,2,0)</f>
        <v>办公用品</v>
      </c>
    </row>
    <row r="1328" spans="1:20">
      <c r="A1328" s="8">
        <f>DATE(2012,12,31)-681</f>
        <v>40593</v>
      </c>
      <c r="B1328" s="8">
        <f>DATE(2012,12,31)-681</f>
        <v>40593</v>
      </c>
      <c r="C1328" s="9" t="s">
        <v>417</v>
      </c>
      <c r="D1328">
        <v>10021263121</v>
      </c>
      <c r="E1328" t="s">
        <v>47</v>
      </c>
      <c r="F1328" t="s">
        <v>253</v>
      </c>
      <c r="G1328" t="s">
        <v>254</v>
      </c>
      <c r="H1328" t="s">
        <v>255</v>
      </c>
      <c r="I1328" t="s">
        <v>256</v>
      </c>
      <c r="J1328" t="s">
        <v>668</v>
      </c>
      <c r="K1328" s="3">
        <v>10032797799</v>
      </c>
      <c r="L1328" s="10">
        <v>40595</v>
      </c>
      <c r="M1328">
        <v>110.15</v>
      </c>
      <c r="N1328" s="11">
        <v>15</v>
      </c>
      <c r="O1328" s="12">
        <v>6.75</v>
      </c>
      <c r="P1328" s="12">
        <v>2.99</v>
      </c>
      <c r="Q1328" s="13">
        <v>13.906</v>
      </c>
      <c r="R1328" s="36" t="s">
        <v>1532</v>
      </c>
      <c r="S1328" s="7">
        <f t="shared" si="104"/>
        <v>2</v>
      </c>
      <c r="T1328" s="15" t="str">
        <f>VLOOKUP(R1328,产品分类!$C$2:$D$1278,2,0)</f>
        <v>办公用品</v>
      </c>
    </row>
    <row r="1329" spans="1:20">
      <c r="A1329" s="8">
        <f>DATE(2012,12,31)-681</f>
        <v>40593</v>
      </c>
      <c r="B1329" s="8">
        <f>DATE(2012,12,31)-681</f>
        <v>40593</v>
      </c>
      <c r="C1329" s="9" t="s">
        <v>417</v>
      </c>
      <c r="D1329">
        <v>10021270323</v>
      </c>
      <c r="E1329" t="s">
        <v>47</v>
      </c>
      <c r="F1329" t="s">
        <v>61</v>
      </c>
      <c r="G1329" t="s">
        <v>62</v>
      </c>
      <c r="H1329" t="s">
        <v>1369</v>
      </c>
      <c r="I1329" t="s">
        <v>1370</v>
      </c>
      <c r="J1329" t="s">
        <v>668</v>
      </c>
      <c r="K1329" s="3">
        <v>100132727397</v>
      </c>
      <c r="L1329" s="10">
        <v>40595</v>
      </c>
      <c r="M1329">
        <v>3335.27</v>
      </c>
      <c r="N1329" s="11">
        <v>13</v>
      </c>
      <c r="O1329" s="12">
        <v>243.98</v>
      </c>
      <c r="P1329" s="12">
        <v>43.32</v>
      </c>
      <c r="Q1329" s="13">
        <v>539.69</v>
      </c>
      <c r="R1329" s="36" t="s">
        <v>704</v>
      </c>
      <c r="S1329" s="7">
        <f t="shared" si="104"/>
        <v>2</v>
      </c>
      <c r="T1329" s="15" t="str">
        <f>VLOOKUP(R1329,产品分类!$C$2:$D$1278,2,0)</f>
        <v>数码电子</v>
      </c>
    </row>
    <row r="1330" spans="1:20">
      <c r="A1330" s="8">
        <f>DATE(2012,12,31)-511</f>
        <v>40763</v>
      </c>
      <c r="B1330" s="8">
        <f>DATE(2012,12,31)-511</f>
        <v>40763</v>
      </c>
      <c r="C1330" s="9" t="s">
        <v>1533</v>
      </c>
      <c r="D1330">
        <v>10021426597</v>
      </c>
      <c r="E1330" t="s">
        <v>47</v>
      </c>
      <c r="F1330" t="s">
        <v>61</v>
      </c>
      <c r="G1330" t="s">
        <v>62</v>
      </c>
      <c r="H1330" t="s">
        <v>1369</v>
      </c>
      <c r="I1330" t="s">
        <v>1370</v>
      </c>
      <c r="J1330" t="s">
        <v>668</v>
      </c>
      <c r="K1330" s="3">
        <v>100730236655</v>
      </c>
      <c r="L1330" s="10">
        <v>40764</v>
      </c>
      <c r="M1330">
        <v>106.06</v>
      </c>
      <c r="N1330" s="11">
        <v>35</v>
      </c>
      <c r="O1330" s="12">
        <v>3.14</v>
      </c>
      <c r="P1330" s="12">
        <v>1.92</v>
      </c>
      <c r="Q1330" s="13">
        <v>-59.74</v>
      </c>
      <c r="R1330" s="36" t="s">
        <v>157</v>
      </c>
      <c r="S1330" s="7">
        <f t="shared" si="104"/>
        <v>1</v>
      </c>
      <c r="T1330" s="15" t="str">
        <f>VLOOKUP(R1330,产品分类!$C$2:$D$1278,2,0)</f>
        <v>数码电子</v>
      </c>
    </row>
    <row r="1331" spans="1:20">
      <c r="A1331" s="16">
        <f>DATE(2012,12,31)-1038</f>
        <v>40236</v>
      </c>
      <c r="B1331" s="16">
        <f>DATE(2012,12,31)-1038</f>
        <v>40236</v>
      </c>
      <c r="C1331" s="9" t="s">
        <v>889</v>
      </c>
      <c r="D1331">
        <v>10021433309</v>
      </c>
      <c r="E1331" t="s">
        <v>47</v>
      </c>
      <c r="F1331" t="s">
        <v>91</v>
      </c>
      <c r="G1331" t="s">
        <v>92</v>
      </c>
      <c r="H1331" t="s">
        <v>1412</v>
      </c>
      <c r="I1331" t="s">
        <v>1413</v>
      </c>
      <c r="J1331" t="s">
        <v>668</v>
      </c>
      <c r="K1331" s="3">
        <v>100432610143</v>
      </c>
      <c r="L1331" s="10">
        <v>40241</v>
      </c>
      <c r="M1331">
        <v>103.75</v>
      </c>
      <c r="N1331" s="17">
        <v>8</v>
      </c>
      <c r="O1331" s="5">
        <v>12.97</v>
      </c>
      <c r="P1331" s="5">
        <v>1.49</v>
      </c>
      <c r="Q1331" s="6">
        <v>25.1345</v>
      </c>
      <c r="R1331" s="37" t="s">
        <v>917</v>
      </c>
      <c r="S1331" s="7">
        <f t="shared" si="104"/>
        <v>5</v>
      </c>
      <c r="T1331" s="15" t="str">
        <f>VLOOKUP(R1331,产品分类!$C$2:$D$1278,2,0)</f>
        <v>家具产品</v>
      </c>
    </row>
    <row r="1332" spans="1:20">
      <c r="A1332" s="8">
        <f>DATE(2012,12,31)-1038</f>
        <v>40236</v>
      </c>
      <c r="B1332" s="8">
        <f>DATE(2012,12,31)-1038</f>
        <v>40236</v>
      </c>
      <c r="C1332" s="9" t="s">
        <v>889</v>
      </c>
      <c r="D1332">
        <v>10021423034</v>
      </c>
      <c r="E1332" t="s">
        <v>47</v>
      </c>
      <c r="F1332" t="s">
        <v>61</v>
      </c>
      <c r="G1332" t="s">
        <v>62</v>
      </c>
      <c r="H1332" t="s">
        <v>1369</v>
      </c>
      <c r="I1332" t="s">
        <v>1370</v>
      </c>
      <c r="J1332" t="s">
        <v>668</v>
      </c>
      <c r="K1332" s="3">
        <v>100127670026</v>
      </c>
      <c r="L1332" s="10">
        <v>40240</v>
      </c>
      <c r="M1332">
        <v>855.865</v>
      </c>
      <c r="N1332" s="11">
        <v>9</v>
      </c>
      <c r="O1332" s="12">
        <v>110.99</v>
      </c>
      <c r="P1332" s="12">
        <v>2.5</v>
      </c>
      <c r="Q1332" s="13">
        <v>-153.923</v>
      </c>
      <c r="R1332" s="36" t="s">
        <v>1056</v>
      </c>
      <c r="S1332" s="7">
        <f t="shared" si="104"/>
        <v>4</v>
      </c>
      <c r="T1332" s="15" t="str">
        <f>VLOOKUP(R1332,产品分类!$C$2:$D$1278,2,0)</f>
        <v>家具产品</v>
      </c>
    </row>
    <row r="1333" spans="1:20">
      <c r="A1333" s="8">
        <f>DATE(2012,12,31)-1385</f>
        <v>39889</v>
      </c>
      <c r="B1333" s="8">
        <f>DATE(2012,12,31)-1385</f>
        <v>39889</v>
      </c>
      <c r="C1333" s="9" t="s">
        <v>1534</v>
      </c>
      <c r="D1333">
        <v>10021362382</v>
      </c>
      <c r="E1333" t="s">
        <v>47</v>
      </c>
      <c r="F1333" t="s">
        <v>152</v>
      </c>
      <c r="G1333" t="s">
        <v>153</v>
      </c>
      <c r="H1333" t="s">
        <v>1474</v>
      </c>
      <c r="I1333" t="s">
        <v>1475</v>
      </c>
      <c r="J1333" t="s">
        <v>668</v>
      </c>
      <c r="K1333" s="3">
        <v>100311072829</v>
      </c>
      <c r="L1333" s="10">
        <v>39889</v>
      </c>
      <c r="M1333">
        <v>223.64</v>
      </c>
      <c r="N1333" s="11">
        <v>39</v>
      </c>
      <c r="O1333" s="12">
        <v>5.98</v>
      </c>
      <c r="P1333" s="12">
        <v>5.35</v>
      </c>
      <c r="Q1333" s="13">
        <v>-90.26</v>
      </c>
      <c r="R1333" s="36" t="s">
        <v>978</v>
      </c>
      <c r="S1333" s="7">
        <f t="shared" si="104"/>
        <v>0</v>
      </c>
      <c r="T1333" s="15" t="str">
        <f>VLOOKUP(R1333,产品分类!$C$2:$D$1278,2,0)</f>
        <v>家具产品</v>
      </c>
    </row>
    <row r="1334" spans="1:20">
      <c r="A1334" s="8">
        <f>DATE(2012,12,31)-344</f>
        <v>40930</v>
      </c>
      <c r="B1334" s="8">
        <f>DATE(2012,12,31)-344</f>
        <v>40930</v>
      </c>
      <c r="C1334" s="9" t="s">
        <v>623</v>
      </c>
      <c r="D1334">
        <v>10021409741</v>
      </c>
      <c r="E1334" t="s">
        <v>47</v>
      </c>
      <c r="F1334" t="s">
        <v>122</v>
      </c>
      <c r="G1334" t="s">
        <v>123</v>
      </c>
      <c r="H1334" t="s">
        <v>124</v>
      </c>
      <c r="I1334" t="s">
        <v>125</v>
      </c>
      <c r="J1334" t="s">
        <v>668</v>
      </c>
      <c r="K1334" s="3">
        <v>100332530449</v>
      </c>
      <c r="L1334" s="10">
        <v>40931</v>
      </c>
      <c r="M1334">
        <v>202.64</v>
      </c>
      <c r="N1334" s="11">
        <v>2</v>
      </c>
      <c r="O1334" s="12">
        <v>90.97</v>
      </c>
      <c r="P1334" s="12">
        <v>14</v>
      </c>
      <c r="Q1334" s="13">
        <v>-221.6238</v>
      </c>
      <c r="R1334" s="36" t="s">
        <v>886</v>
      </c>
      <c r="S1334" s="7">
        <f t="shared" si="104"/>
        <v>1</v>
      </c>
      <c r="T1334" s="15" t="str">
        <f>VLOOKUP(R1334,产品分类!$C$2:$D$1278,2,0)</f>
        <v>办公用品</v>
      </c>
    </row>
    <row r="1335" spans="1:20">
      <c r="A1335" s="8">
        <f>DATE(2012,12,31)-344</f>
        <v>40930</v>
      </c>
      <c r="B1335" s="8">
        <f>DATE(2012,12,31)-344</f>
        <v>40930</v>
      </c>
      <c r="C1335" s="9" t="s">
        <v>623</v>
      </c>
      <c r="D1335">
        <v>10021391412</v>
      </c>
      <c r="E1335" t="s">
        <v>47</v>
      </c>
      <c r="F1335" t="s">
        <v>55</v>
      </c>
      <c r="G1335" t="s">
        <v>56</v>
      </c>
      <c r="H1335" t="s">
        <v>1331</v>
      </c>
      <c r="I1335" t="s">
        <v>1332</v>
      </c>
      <c r="J1335" t="s">
        <v>668</v>
      </c>
      <c r="K1335" s="3">
        <v>100324342979</v>
      </c>
      <c r="L1335" s="10">
        <v>40932</v>
      </c>
      <c r="M1335">
        <v>133.69</v>
      </c>
      <c r="N1335" s="11">
        <v>23</v>
      </c>
      <c r="O1335" s="12">
        <v>5.98</v>
      </c>
      <c r="P1335" s="12">
        <v>7.15</v>
      </c>
      <c r="Q1335" s="13">
        <v>-92.23</v>
      </c>
      <c r="R1335" s="36" t="s">
        <v>640</v>
      </c>
      <c r="S1335" s="7">
        <f t="shared" si="104"/>
        <v>2</v>
      </c>
      <c r="T1335" s="15" t="str">
        <f>VLOOKUP(R1335,产品分类!$C$2:$D$1278,2,0)</f>
        <v>办公用品</v>
      </c>
    </row>
    <row r="1336" spans="1:20">
      <c r="A1336" s="8">
        <f>DATE(2012,12,31)-1458</f>
        <v>39816</v>
      </c>
      <c r="B1336" s="8">
        <f>DATE(2012,12,31)-1458</f>
        <v>39816</v>
      </c>
      <c r="C1336" s="9" t="s">
        <v>1535</v>
      </c>
      <c r="D1336">
        <v>10021272845</v>
      </c>
      <c r="E1336" t="s">
        <v>47</v>
      </c>
      <c r="F1336" t="s">
        <v>122</v>
      </c>
      <c r="G1336" t="s">
        <v>123</v>
      </c>
      <c r="H1336" t="s">
        <v>124</v>
      </c>
      <c r="I1336" t="s">
        <v>125</v>
      </c>
      <c r="J1336" t="s">
        <v>668</v>
      </c>
      <c r="K1336" s="3">
        <v>100129212978</v>
      </c>
      <c r="L1336" s="10">
        <v>39817</v>
      </c>
      <c r="M1336">
        <v>262.76</v>
      </c>
      <c r="N1336" s="11">
        <v>12</v>
      </c>
      <c r="O1336" s="12">
        <v>20.98</v>
      </c>
      <c r="P1336" s="12">
        <v>21.2</v>
      </c>
      <c r="Q1336" s="13">
        <v>-146.05</v>
      </c>
      <c r="R1336" s="36" t="s">
        <v>1536</v>
      </c>
      <c r="S1336" s="7">
        <f t="shared" si="104"/>
        <v>1</v>
      </c>
      <c r="T1336" s="15" t="str">
        <f>VLOOKUP(R1336,产品分类!$C$2:$D$1278,2,0)</f>
        <v>办公用品</v>
      </c>
    </row>
    <row r="1337" spans="1:20">
      <c r="A1337" s="8">
        <f>DATE(2012,12,31)-506</f>
        <v>40768</v>
      </c>
      <c r="B1337" s="8">
        <f>DATE(2012,12,31)-506</f>
        <v>40768</v>
      </c>
      <c r="C1337" s="9" t="s">
        <v>693</v>
      </c>
      <c r="D1337">
        <v>10021392105</v>
      </c>
      <c r="E1337" t="s">
        <v>47</v>
      </c>
      <c r="F1337" t="s">
        <v>83</v>
      </c>
      <c r="G1337" t="s">
        <v>84</v>
      </c>
      <c r="H1337" t="s">
        <v>1259</v>
      </c>
      <c r="I1337" t="s">
        <v>1260</v>
      </c>
      <c r="J1337" t="s">
        <v>668</v>
      </c>
      <c r="K1337" s="3">
        <v>100119417558</v>
      </c>
      <c r="L1337" s="10">
        <v>40771</v>
      </c>
      <c r="M1337">
        <v>176.26</v>
      </c>
      <c r="N1337" s="11">
        <v>44</v>
      </c>
      <c r="O1337" s="12">
        <v>4.13</v>
      </c>
      <c r="P1337" s="12">
        <v>0.5</v>
      </c>
      <c r="Q1337" s="13">
        <v>75.13</v>
      </c>
      <c r="R1337" s="36" t="s">
        <v>691</v>
      </c>
      <c r="S1337" s="7">
        <f t="shared" si="104"/>
        <v>3</v>
      </c>
      <c r="T1337" s="15" t="str">
        <f>VLOOKUP(R1337,产品分类!$C$2:$D$1278,2,0)</f>
        <v>办公用品</v>
      </c>
    </row>
    <row r="1338" spans="1:20">
      <c r="A1338" s="8">
        <f>DATE(2012,12,31)-80</f>
        <v>41194</v>
      </c>
      <c r="B1338" s="8">
        <f>DATE(2012,12,31)-80</f>
        <v>41194</v>
      </c>
      <c r="C1338" s="9" t="s">
        <v>1450</v>
      </c>
      <c r="D1338">
        <v>10021279324</v>
      </c>
      <c r="E1338" t="s">
        <v>47</v>
      </c>
      <c r="F1338" t="s">
        <v>61</v>
      </c>
      <c r="G1338" t="s">
        <v>62</v>
      </c>
      <c r="H1338" t="s">
        <v>1369</v>
      </c>
      <c r="I1338" t="s">
        <v>1370</v>
      </c>
      <c r="J1338" t="s">
        <v>668</v>
      </c>
      <c r="K1338" s="3">
        <v>100831324872</v>
      </c>
      <c r="L1338" s="10">
        <v>41201</v>
      </c>
      <c r="M1338">
        <v>3505.6</v>
      </c>
      <c r="N1338" s="11">
        <v>26</v>
      </c>
      <c r="O1338" s="12">
        <v>128.24</v>
      </c>
      <c r="P1338" s="12">
        <v>12.65</v>
      </c>
      <c r="Q1338" s="13">
        <v>1019.7</v>
      </c>
      <c r="R1338" s="36" t="s">
        <v>622</v>
      </c>
      <c r="S1338" s="7">
        <f t="shared" si="104"/>
        <v>7</v>
      </c>
      <c r="T1338" s="15" t="str">
        <f>VLOOKUP(R1338,产品分类!$C$2:$D$1278,2,0)</f>
        <v>办公用品</v>
      </c>
    </row>
    <row r="1339" spans="1:20">
      <c r="A1339" s="8">
        <f>DATE(2012,12,31)-527</f>
        <v>40747</v>
      </c>
      <c r="B1339" s="8">
        <f>DATE(2012,12,31)-527</f>
        <v>40747</v>
      </c>
      <c r="C1339" s="9" t="s">
        <v>1537</v>
      </c>
      <c r="D1339">
        <v>10021393980</v>
      </c>
      <c r="E1339" t="s">
        <v>47</v>
      </c>
      <c r="F1339" t="s">
        <v>152</v>
      </c>
      <c r="G1339" t="s">
        <v>153</v>
      </c>
      <c r="H1339" t="s">
        <v>1474</v>
      </c>
      <c r="I1339" t="s">
        <v>1475</v>
      </c>
      <c r="J1339" t="s">
        <v>668</v>
      </c>
      <c r="K1339" s="3">
        <v>100927236821</v>
      </c>
      <c r="L1339" s="10">
        <v>40747</v>
      </c>
      <c r="M1339">
        <v>84.09</v>
      </c>
      <c r="N1339" s="11">
        <v>14</v>
      </c>
      <c r="O1339" s="12">
        <v>5.4</v>
      </c>
      <c r="P1339" s="12">
        <v>7.78</v>
      </c>
      <c r="Q1339" s="13">
        <v>-73.14</v>
      </c>
      <c r="R1339" s="36" t="s">
        <v>200</v>
      </c>
      <c r="S1339" s="7">
        <f t="shared" si="104"/>
        <v>0</v>
      </c>
      <c r="T1339" s="15" t="str">
        <f>VLOOKUP(R1339,产品分类!$C$2:$D$1278,2,0)</f>
        <v>数码电子</v>
      </c>
    </row>
    <row r="1340" spans="1:20">
      <c r="A1340" s="8">
        <f>DATE(2012,12,31)-282</f>
        <v>40992</v>
      </c>
      <c r="B1340" s="8">
        <f>DATE(2012,12,31)-282</f>
        <v>40992</v>
      </c>
      <c r="C1340" s="9" t="s">
        <v>991</v>
      </c>
      <c r="D1340">
        <v>10021441977</v>
      </c>
      <c r="E1340" t="s">
        <v>47</v>
      </c>
      <c r="F1340" t="s">
        <v>91</v>
      </c>
      <c r="G1340" t="s">
        <v>92</v>
      </c>
      <c r="H1340" t="s">
        <v>1412</v>
      </c>
      <c r="I1340" t="s">
        <v>1413</v>
      </c>
      <c r="J1340" t="s">
        <v>668</v>
      </c>
      <c r="K1340" s="3">
        <v>100912892261</v>
      </c>
      <c r="L1340" s="10">
        <v>40993</v>
      </c>
      <c r="M1340">
        <v>135.23</v>
      </c>
      <c r="N1340" s="11">
        <v>25</v>
      </c>
      <c r="O1340" s="12">
        <v>5.68</v>
      </c>
      <c r="P1340" s="12">
        <v>3.6</v>
      </c>
      <c r="Q1340" s="13">
        <v>-45.65</v>
      </c>
      <c r="R1340" s="36" t="s">
        <v>1538</v>
      </c>
      <c r="S1340" s="7">
        <f t="shared" si="104"/>
        <v>1</v>
      </c>
      <c r="T1340" s="15" t="str">
        <f>VLOOKUP(R1340,产品分类!$C$2:$D$1278,2,0)</f>
        <v>办公用品</v>
      </c>
    </row>
    <row r="1341" spans="1:20">
      <c r="A1341" s="8">
        <f>DATE(2012,12,31)-843</f>
        <v>40431</v>
      </c>
      <c r="B1341" s="8">
        <f>DATE(2012,12,31)-843</f>
        <v>40431</v>
      </c>
      <c r="C1341" s="9" t="s">
        <v>913</v>
      </c>
      <c r="D1341">
        <v>10021313258</v>
      </c>
      <c r="E1341" t="s">
        <v>47</v>
      </c>
      <c r="F1341" t="s">
        <v>72</v>
      </c>
      <c r="G1341" t="s">
        <v>73</v>
      </c>
      <c r="H1341" t="s">
        <v>1408</v>
      </c>
      <c r="I1341" t="s">
        <v>1409</v>
      </c>
      <c r="J1341" t="s">
        <v>668</v>
      </c>
      <c r="K1341" s="3">
        <v>100831596222</v>
      </c>
      <c r="L1341" s="10">
        <v>40432</v>
      </c>
      <c r="M1341">
        <v>1222.59</v>
      </c>
      <c r="N1341" s="11">
        <v>29</v>
      </c>
      <c r="O1341" s="12">
        <v>40.97</v>
      </c>
      <c r="P1341" s="12">
        <v>1.99</v>
      </c>
      <c r="Q1341" s="13">
        <v>501.99</v>
      </c>
      <c r="R1341" s="36" t="s">
        <v>729</v>
      </c>
      <c r="S1341" s="7">
        <f t="shared" si="104"/>
        <v>1</v>
      </c>
      <c r="T1341" s="15" t="str">
        <f>VLOOKUP(R1341,产品分类!$C$2:$D$1278,2,0)</f>
        <v>办公用品</v>
      </c>
    </row>
    <row r="1342" spans="1:20">
      <c r="A1342" s="8">
        <f t="shared" ref="A1342:B1344" si="111">DATE(2012,12,31)-709</f>
        <v>40565</v>
      </c>
      <c r="B1342" s="8">
        <f t="shared" si="111"/>
        <v>40565</v>
      </c>
      <c r="C1342" s="9" t="s">
        <v>926</v>
      </c>
      <c r="D1342">
        <v>10021248762</v>
      </c>
      <c r="E1342" t="s">
        <v>47</v>
      </c>
      <c r="F1342" t="s">
        <v>97</v>
      </c>
      <c r="G1342" t="s">
        <v>98</v>
      </c>
      <c r="H1342" t="s">
        <v>99</v>
      </c>
      <c r="I1342" t="s">
        <v>98</v>
      </c>
      <c r="J1342" t="s">
        <v>668</v>
      </c>
      <c r="K1342" s="3">
        <v>10074013255</v>
      </c>
      <c r="L1342" s="10">
        <v>40567</v>
      </c>
      <c r="M1342">
        <v>1939.66</v>
      </c>
      <c r="N1342" s="11">
        <v>39</v>
      </c>
      <c r="O1342" s="12">
        <v>48.92</v>
      </c>
      <c r="P1342" s="12">
        <v>4.5</v>
      </c>
      <c r="Q1342" s="13">
        <v>540.67</v>
      </c>
      <c r="R1342" s="36" t="s">
        <v>1539</v>
      </c>
      <c r="S1342" s="7">
        <f t="shared" si="104"/>
        <v>2</v>
      </c>
      <c r="T1342" s="15" t="str">
        <f>VLOOKUP(R1342,产品分类!$C$2:$D$1278,2,0)</f>
        <v>数码电子</v>
      </c>
    </row>
    <row r="1343" spans="1:20">
      <c r="A1343" s="8">
        <f t="shared" si="111"/>
        <v>40565</v>
      </c>
      <c r="B1343" s="8">
        <f t="shared" si="111"/>
        <v>40565</v>
      </c>
      <c r="C1343" s="9" t="s">
        <v>926</v>
      </c>
      <c r="D1343">
        <v>10021395757</v>
      </c>
      <c r="E1343" t="s">
        <v>47</v>
      </c>
      <c r="F1343" t="s">
        <v>152</v>
      </c>
      <c r="G1343" t="s">
        <v>153</v>
      </c>
      <c r="H1343" t="s">
        <v>1474</v>
      </c>
      <c r="I1343" t="s">
        <v>1475</v>
      </c>
      <c r="J1343" t="s">
        <v>668</v>
      </c>
      <c r="K1343" s="3">
        <v>100414592784</v>
      </c>
      <c r="L1343" s="10">
        <v>40567</v>
      </c>
      <c r="M1343">
        <v>21.56</v>
      </c>
      <c r="N1343" s="11">
        <v>5</v>
      </c>
      <c r="O1343" s="12">
        <v>4.13</v>
      </c>
      <c r="P1343" s="12">
        <v>0.5</v>
      </c>
      <c r="Q1343" s="13">
        <v>2.75</v>
      </c>
      <c r="R1343" s="36" t="s">
        <v>691</v>
      </c>
      <c r="S1343" s="7">
        <f t="shared" si="104"/>
        <v>2</v>
      </c>
      <c r="T1343" s="15" t="str">
        <f>VLOOKUP(R1343,产品分类!$C$2:$D$1278,2,0)</f>
        <v>办公用品</v>
      </c>
    </row>
    <row r="1344" spans="1:20">
      <c r="A1344" s="8">
        <f t="shared" si="111"/>
        <v>40565</v>
      </c>
      <c r="B1344" s="8">
        <f t="shared" si="111"/>
        <v>40565</v>
      </c>
      <c r="C1344" s="9" t="s">
        <v>926</v>
      </c>
      <c r="D1344">
        <v>10021368473</v>
      </c>
      <c r="E1344" t="s">
        <v>47</v>
      </c>
      <c r="F1344" t="s">
        <v>66</v>
      </c>
      <c r="G1344" t="s">
        <v>67</v>
      </c>
      <c r="H1344" t="s">
        <v>1435</v>
      </c>
      <c r="I1344" t="s">
        <v>1436</v>
      </c>
      <c r="J1344" t="s">
        <v>668</v>
      </c>
      <c r="K1344" s="3">
        <v>10079731415</v>
      </c>
      <c r="L1344" s="10">
        <v>40567</v>
      </c>
      <c r="M1344">
        <v>115.81</v>
      </c>
      <c r="N1344" s="11">
        <v>43</v>
      </c>
      <c r="O1344" s="12">
        <v>2.88</v>
      </c>
      <c r="P1344" s="12">
        <v>1.01</v>
      </c>
      <c r="Q1344" s="13">
        <v>-1.49</v>
      </c>
      <c r="R1344" s="36" t="s">
        <v>1540</v>
      </c>
      <c r="S1344" s="7">
        <f t="shared" si="104"/>
        <v>2</v>
      </c>
      <c r="T1344" s="15" t="str">
        <f>VLOOKUP(R1344,产品分类!$C$2:$D$1278,2,0)</f>
        <v>数码电子</v>
      </c>
    </row>
    <row r="1345" spans="1:20">
      <c r="A1345" s="8">
        <f>DATE(2012,12,31)-284</f>
        <v>40990</v>
      </c>
      <c r="B1345" s="8">
        <f>DATE(2012,12,31)-284</f>
        <v>40990</v>
      </c>
      <c r="C1345" s="9" t="s">
        <v>1084</v>
      </c>
      <c r="D1345">
        <v>10021265271</v>
      </c>
      <c r="E1345" t="s">
        <v>47</v>
      </c>
      <c r="F1345" t="s">
        <v>152</v>
      </c>
      <c r="G1345" t="s">
        <v>153</v>
      </c>
      <c r="H1345" t="s">
        <v>1474</v>
      </c>
      <c r="I1345" t="s">
        <v>1475</v>
      </c>
      <c r="J1345" t="s">
        <v>668</v>
      </c>
      <c r="K1345" s="3">
        <v>100930477711</v>
      </c>
      <c r="L1345" s="10">
        <v>40992</v>
      </c>
      <c r="M1345">
        <v>131.61</v>
      </c>
      <c r="N1345" s="11">
        <v>7</v>
      </c>
      <c r="O1345" s="12">
        <v>17.48</v>
      </c>
      <c r="P1345" s="12">
        <v>1.99</v>
      </c>
      <c r="Q1345" s="13">
        <v>-7.3</v>
      </c>
      <c r="R1345" s="36" t="s">
        <v>1327</v>
      </c>
      <c r="S1345" s="7">
        <f t="shared" si="104"/>
        <v>2</v>
      </c>
      <c r="T1345" s="15" t="str">
        <f>VLOOKUP(R1345,产品分类!$C$2:$D$1278,2,0)</f>
        <v>数码电子</v>
      </c>
    </row>
    <row r="1346" spans="1:20">
      <c r="A1346" s="8">
        <f>DATE(2012,12,31)-389</f>
        <v>40885</v>
      </c>
      <c r="B1346" s="8">
        <f>DATE(2012,12,31)-389</f>
        <v>40885</v>
      </c>
      <c r="C1346" s="9" t="s">
        <v>147</v>
      </c>
      <c r="D1346">
        <v>10021414024</v>
      </c>
      <c r="E1346" t="s">
        <v>47</v>
      </c>
      <c r="F1346" t="s">
        <v>48</v>
      </c>
      <c r="G1346" t="s">
        <v>49</v>
      </c>
      <c r="H1346" t="s">
        <v>1433</v>
      </c>
      <c r="I1346" t="s">
        <v>1434</v>
      </c>
      <c r="J1346" t="s">
        <v>668</v>
      </c>
      <c r="K1346" s="3">
        <v>10044109754</v>
      </c>
      <c r="L1346" s="10">
        <v>40886</v>
      </c>
      <c r="M1346">
        <v>750.39</v>
      </c>
      <c r="N1346" s="11">
        <v>23</v>
      </c>
      <c r="O1346" s="12">
        <v>30.98</v>
      </c>
      <c r="P1346" s="12">
        <v>11.63</v>
      </c>
      <c r="Q1346" s="13">
        <v>133.705</v>
      </c>
      <c r="R1346" s="36" t="s">
        <v>1498</v>
      </c>
      <c r="S1346" s="7">
        <f t="shared" si="104"/>
        <v>1</v>
      </c>
      <c r="T1346" s="15" t="str">
        <f>VLOOKUP(R1346,产品分类!$C$2:$D$1278,2,0)</f>
        <v>家具产品</v>
      </c>
    </row>
    <row r="1347" spans="1:20">
      <c r="A1347" s="8">
        <f>DATE(2012,12,31)-389</f>
        <v>40885</v>
      </c>
      <c r="B1347" s="8">
        <f>DATE(2012,12,31)-389</f>
        <v>40885</v>
      </c>
      <c r="C1347" s="9" t="s">
        <v>147</v>
      </c>
      <c r="D1347">
        <v>10021293896</v>
      </c>
      <c r="E1347" t="s">
        <v>47</v>
      </c>
      <c r="F1347" t="s">
        <v>66</v>
      </c>
      <c r="G1347" t="s">
        <v>67</v>
      </c>
      <c r="H1347" t="s">
        <v>1435</v>
      </c>
      <c r="I1347" t="s">
        <v>1436</v>
      </c>
      <c r="J1347" t="s">
        <v>668</v>
      </c>
      <c r="K1347" s="3">
        <v>100910137621</v>
      </c>
      <c r="L1347" s="10">
        <v>40887</v>
      </c>
      <c r="M1347">
        <v>18.46</v>
      </c>
      <c r="N1347" s="11">
        <v>4</v>
      </c>
      <c r="O1347" s="12">
        <v>4.91</v>
      </c>
      <c r="P1347" s="12">
        <v>0.5</v>
      </c>
      <c r="Q1347" s="13">
        <v>-0.43</v>
      </c>
      <c r="R1347" s="36" t="s">
        <v>827</v>
      </c>
      <c r="S1347" s="7">
        <f t="shared" ref="S1347:S1410" si="112">+L1347-B1347</f>
        <v>2</v>
      </c>
      <c r="T1347" s="15" t="str">
        <f>VLOOKUP(R1347,产品分类!$C$2:$D$1278,2,0)</f>
        <v>家具产品</v>
      </c>
    </row>
    <row r="1348" spans="1:20">
      <c r="A1348" s="16">
        <f t="shared" ref="A1348:B1351" si="113">DATE(2012,12,31)-965</f>
        <v>40309</v>
      </c>
      <c r="B1348" s="16">
        <f t="shared" si="113"/>
        <v>40309</v>
      </c>
      <c r="C1348" s="9" t="s">
        <v>1541</v>
      </c>
      <c r="D1348">
        <v>10021429940</v>
      </c>
      <c r="E1348" t="s">
        <v>47</v>
      </c>
      <c r="F1348" t="s">
        <v>66</v>
      </c>
      <c r="G1348" t="s">
        <v>67</v>
      </c>
      <c r="H1348" t="s">
        <v>1435</v>
      </c>
      <c r="I1348" t="s">
        <v>1436</v>
      </c>
      <c r="J1348" t="s">
        <v>668</v>
      </c>
      <c r="K1348" s="3">
        <v>100131698067</v>
      </c>
      <c r="L1348" s="10">
        <v>40311</v>
      </c>
      <c r="M1348">
        <v>2366.18</v>
      </c>
      <c r="N1348" s="17">
        <v>16</v>
      </c>
      <c r="O1348" s="5">
        <v>162.93</v>
      </c>
      <c r="P1348" s="5">
        <v>19.99</v>
      </c>
      <c r="Q1348" s="6">
        <v>703.8</v>
      </c>
      <c r="R1348" s="37" t="s">
        <v>778</v>
      </c>
      <c r="S1348" s="7">
        <f t="shared" si="112"/>
        <v>2</v>
      </c>
      <c r="T1348" s="15" t="str">
        <f>VLOOKUP(R1348,产品分类!$C$2:$D$1278,2,0)</f>
        <v>办公用品</v>
      </c>
    </row>
    <row r="1349" spans="1:20">
      <c r="A1349" s="8">
        <f t="shared" si="113"/>
        <v>40309</v>
      </c>
      <c r="B1349" s="8">
        <f t="shared" si="113"/>
        <v>40309</v>
      </c>
      <c r="C1349" s="9" t="s">
        <v>1541</v>
      </c>
      <c r="D1349">
        <v>10021262989</v>
      </c>
      <c r="E1349" t="s">
        <v>47</v>
      </c>
      <c r="F1349" t="s">
        <v>152</v>
      </c>
      <c r="G1349" t="s">
        <v>153</v>
      </c>
      <c r="H1349" t="s">
        <v>1474</v>
      </c>
      <c r="I1349" t="s">
        <v>1475</v>
      </c>
      <c r="J1349" t="s">
        <v>668</v>
      </c>
      <c r="K1349" s="3">
        <v>100130447138</v>
      </c>
      <c r="L1349" s="10">
        <v>40309</v>
      </c>
      <c r="M1349">
        <v>675.71</v>
      </c>
      <c r="N1349" s="11">
        <v>49</v>
      </c>
      <c r="O1349" s="12">
        <v>13.79</v>
      </c>
      <c r="P1349" s="12">
        <v>8.78</v>
      </c>
      <c r="Q1349" s="13">
        <v>-17.49</v>
      </c>
      <c r="R1349" s="36" t="s">
        <v>1542</v>
      </c>
      <c r="S1349" s="7">
        <f t="shared" si="112"/>
        <v>0</v>
      </c>
      <c r="T1349" s="15" t="str">
        <f>VLOOKUP(R1349,产品分类!$C$2:$D$1278,2,0)</f>
        <v>办公用品</v>
      </c>
    </row>
    <row r="1350" spans="1:20">
      <c r="A1350" s="8">
        <f t="shared" si="113"/>
        <v>40309</v>
      </c>
      <c r="B1350" s="8">
        <f t="shared" si="113"/>
        <v>40309</v>
      </c>
      <c r="C1350" s="9" t="s">
        <v>1541</v>
      </c>
      <c r="D1350">
        <v>10021349322</v>
      </c>
      <c r="E1350" t="s">
        <v>47</v>
      </c>
      <c r="F1350" t="s">
        <v>72</v>
      </c>
      <c r="G1350" t="s">
        <v>73</v>
      </c>
      <c r="H1350" t="s">
        <v>1408</v>
      </c>
      <c r="I1350" t="s">
        <v>1409</v>
      </c>
      <c r="J1350" t="s">
        <v>668</v>
      </c>
      <c r="K1350" s="3">
        <v>100931849961</v>
      </c>
      <c r="L1350" s="10">
        <v>40311</v>
      </c>
      <c r="M1350">
        <v>292.978</v>
      </c>
      <c r="N1350" s="11">
        <v>16</v>
      </c>
      <c r="O1350" s="12">
        <v>20.99</v>
      </c>
      <c r="P1350" s="12">
        <v>3.3</v>
      </c>
      <c r="Q1350" s="13">
        <v>-93.61</v>
      </c>
      <c r="R1350" s="36" t="s">
        <v>810</v>
      </c>
      <c r="S1350" s="7">
        <f t="shared" si="112"/>
        <v>2</v>
      </c>
      <c r="T1350" s="15" t="str">
        <f>VLOOKUP(R1350,产品分类!$C$2:$D$1278,2,0)</f>
        <v>家具产品</v>
      </c>
    </row>
    <row r="1351" spans="1:20">
      <c r="A1351" s="8">
        <f t="shared" si="113"/>
        <v>40309</v>
      </c>
      <c r="B1351" s="8">
        <f t="shared" si="113"/>
        <v>40309</v>
      </c>
      <c r="C1351" s="9" t="s">
        <v>1541</v>
      </c>
      <c r="D1351">
        <v>10021425884</v>
      </c>
      <c r="E1351" t="s">
        <v>47</v>
      </c>
      <c r="F1351" t="s">
        <v>78</v>
      </c>
      <c r="G1351" t="s">
        <v>79</v>
      </c>
      <c r="H1351" t="s">
        <v>1264</v>
      </c>
      <c r="I1351" t="s">
        <v>79</v>
      </c>
      <c r="J1351" t="s">
        <v>668</v>
      </c>
      <c r="K1351" s="3">
        <v>100429874983</v>
      </c>
      <c r="L1351" s="10">
        <v>40311</v>
      </c>
      <c r="M1351">
        <v>3615.8405</v>
      </c>
      <c r="N1351" s="11">
        <v>50</v>
      </c>
      <c r="O1351" s="12">
        <v>85.99</v>
      </c>
      <c r="P1351" s="12">
        <v>3.3</v>
      </c>
      <c r="Q1351" s="13">
        <v>1861.353</v>
      </c>
      <c r="R1351" s="36" t="s">
        <v>459</v>
      </c>
      <c r="S1351" s="7">
        <f t="shared" si="112"/>
        <v>2</v>
      </c>
      <c r="T1351" s="15" t="str">
        <f>VLOOKUP(R1351,产品分类!$C$2:$D$1278,2,0)</f>
        <v>办公用品</v>
      </c>
    </row>
    <row r="1352" spans="1:20">
      <c r="A1352" s="8">
        <f>DATE(2012,12,31)-813</f>
        <v>40461</v>
      </c>
      <c r="B1352" s="8">
        <f>DATE(2012,12,31)-813</f>
        <v>40461</v>
      </c>
      <c r="C1352" s="9" t="s">
        <v>1321</v>
      </c>
      <c r="D1352">
        <v>10021261026</v>
      </c>
      <c r="E1352" t="s">
        <v>47</v>
      </c>
      <c r="F1352" t="s">
        <v>72</v>
      </c>
      <c r="G1352" t="s">
        <v>73</v>
      </c>
      <c r="H1352" t="s">
        <v>1408</v>
      </c>
      <c r="I1352" t="s">
        <v>1409</v>
      </c>
      <c r="J1352" t="s">
        <v>668</v>
      </c>
      <c r="K1352" s="3">
        <v>100929109811</v>
      </c>
      <c r="L1352" s="10">
        <v>40462</v>
      </c>
      <c r="M1352">
        <v>319.69</v>
      </c>
      <c r="N1352" s="11">
        <v>43</v>
      </c>
      <c r="O1352" s="12">
        <v>7.28</v>
      </c>
      <c r="P1352" s="12">
        <v>3.52</v>
      </c>
      <c r="Q1352" s="13">
        <v>-73.66</v>
      </c>
      <c r="R1352" s="36" t="s">
        <v>1013</v>
      </c>
      <c r="S1352" s="7">
        <f t="shared" si="112"/>
        <v>1</v>
      </c>
      <c r="T1352" s="15" t="str">
        <f>VLOOKUP(R1352,产品分类!$C$2:$D$1278,2,0)</f>
        <v>办公用品</v>
      </c>
    </row>
    <row r="1353" spans="1:20">
      <c r="A1353" s="8">
        <f>DATE(2012,12,31)-64</f>
        <v>41210</v>
      </c>
      <c r="B1353" s="8">
        <f>DATE(2012,12,31)-64</f>
        <v>41210</v>
      </c>
      <c r="C1353" s="9" t="s">
        <v>1241</v>
      </c>
      <c r="D1353">
        <v>10021335362</v>
      </c>
      <c r="E1353" t="s">
        <v>47</v>
      </c>
      <c r="F1353" t="s">
        <v>72</v>
      </c>
      <c r="G1353" t="s">
        <v>73</v>
      </c>
      <c r="H1353" t="s">
        <v>1408</v>
      </c>
      <c r="I1353" t="s">
        <v>1409</v>
      </c>
      <c r="J1353" t="s">
        <v>668</v>
      </c>
      <c r="K1353" s="3">
        <v>100911958961</v>
      </c>
      <c r="L1353" s="10">
        <v>41214</v>
      </c>
      <c r="M1353">
        <v>706.68</v>
      </c>
      <c r="N1353" s="11">
        <v>47</v>
      </c>
      <c r="O1353" s="12">
        <v>15.94</v>
      </c>
      <c r="P1353" s="12">
        <v>5.45</v>
      </c>
      <c r="Q1353" s="13">
        <v>6.6</v>
      </c>
      <c r="R1353" s="36" t="s">
        <v>794</v>
      </c>
      <c r="S1353" s="7">
        <f t="shared" si="112"/>
        <v>4</v>
      </c>
      <c r="T1353" s="15" t="str">
        <f>VLOOKUP(R1353,产品分类!$C$2:$D$1278,2,0)</f>
        <v>数码电子</v>
      </c>
    </row>
    <row r="1354" spans="1:20">
      <c r="A1354" s="8">
        <f>DATE(2012,12,31)-484</f>
        <v>40790</v>
      </c>
      <c r="B1354" s="8">
        <f>DATE(2012,12,31)-484</f>
        <v>40790</v>
      </c>
      <c r="C1354" s="9" t="s">
        <v>534</v>
      </c>
      <c r="D1354">
        <v>10021293828</v>
      </c>
      <c r="E1354" t="s">
        <v>47</v>
      </c>
      <c r="F1354" t="s">
        <v>72</v>
      </c>
      <c r="G1354" t="s">
        <v>73</v>
      </c>
      <c r="H1354" t="s">
        <v>1408</v>
      </c>
      <c r="I1354" t="s">
        <v>1409</v>
      </c>
      <c r="J1354" t="s">
        <v>668</v>
      </c>
      <c r="K1354" s="3">
        <v>10047184703</v>
      </c>
      <c r="L1354" s="10">
        <v>40792</v>
      </c>
      <c r="M1354">
        <v>33.96</v>
      </c>
      <c r="N1354" s="11">
        <v>18</v>
      </c>
      <c r="O1354" s="12">
        <v>1.76</v>
      </c>
      <c r="P1354" s="12">
        <v>0.7</v>
      </c>
      <c r="Q1354" s="13">
        <v>0.1</v>
      </c>
      <c r="R1354" s="36" t="s">
        <v>561</v>
      </c>
      <c r="S1354" s="7">
        <f t="shared" si="112"/>
        <v>2</v>
      </c>
      <c r="T1354" s="15" t="str">
        <f>VLOOKUP(R1354,产品分类!$C$2:$D$1278,2,0)</f>
        <v>数码电子</v>
      </c>
    </row>
    <row r="1355" spans="1:20">
      <c r="A1355" s="8">
        <f>DATE(2012,12,31)-1206</f>
        <v>40068</v>
      </c>
      <c r="B1355" s="8">
        <f>DATE(2012,12,31)-1206</f>
        <v>40068</v>
      </c>
      <c r="C1355" s="9" t="s">
        <v>1206</v>
      </c>
      <c r="D1355">
        <v>10021319069</v>
      </c>
      <c r="E1355" t="s">
        <v>47</v>
      </c>
      <c r="F1355" t="s">
        <v>72</v>
      </c>
      <c r="G1355" t="s">
        <v>73</v>
      </c>
      <c r="H1355" t="s">
        <v>1408</v>
      </c>
      <c r="I1355" t="s">
        <v>1409</v>
      </c>
      <c r="J1355" t="s">
        <v>668</v>
      </c>
      <c r="K1355" s="3">
        <v>10078127705</v>
      </c>
      <c r="L1355" s="10">
        <v>40075</v>
      </c>
      <c r="M1355">
        <v>8374.132</v>
      </c>
      <c r="N1355" s="11">
        <v>48</v>
      </c>
      <c r="O1355" s="12">
        <v>205.99</v>
      </c>
      <c r="P1355" s="12">
        <v>8.99</v>
      </c>
      <c r="Q1355" s="13">
        <v>2568.096</v>
      </c>
      <c r="R1355" s="36" t="s">
        <v>1543</v>
      </c>
      <c r="S1355" s="7">
        <f t="shared" si="112"/>
        <v>7</v>
      </c>
      <c r="T1355" s="15" t="str">
        <f>VLOOKUP(R1355,产品分类!$C$2:$D$1278,2,0)</f>
        <v>家具产品</v>
      </c>
    </row>
    <row r="1356" spans="1:20">
      <c r="A1356" s="8">
        <f>DATE(2012,12,31)-168</f>
        <v>41106</v>
      </c>
      <c r="B1356" s="8">
        <f>DATE(2012,12,31)-168</f>
        <v>41106</v>
      </c>
      <c r="C1356" s="9" t="s">
        <v>1091</v>
      </c>
      <c r="D1356">
        <v>10021414726</v>
      </c>
      <c r="E1356" t="s">
        <v>47</v>
      </c>
      <c r="F1356" t="s">
        <v>78</v>
      </c>
      <c r="G1356" t="s">
        <v>79</v>
      </c>
      <c r="H1356" t="s">
        <v>1264</v>
      </c>
      <c r="I1356" t="s">
        <v>79</v>
      </c>
      <c r="J1356" t="s">
        <v>668</v>
      </c>
      <c r="K1356" s="3">
        <v>10086076272</v>
      </c>
      <c r="L1356" s="10">
        <v>41107</v>
      </c>
      <c r="M1356">
        <v>1406.64</v>
      </c>
      <c r="N1356" s="11">
        <v>50</v>
      </c>
      <c r="O1356" s="12">
        <v>27.18</v>
      </c>
      <c r="P1356" s="12">
        <v>8.23</v>
      </c>
      <c r="Q1356" s="13">
        <v>424.36</v>
      </c>
      <c r="R1356" s="36" t="s">
        <v>1544</v>
      </c>
      <c r="S1356" s="7">
        <f t="shared" si="112"/>
        <v>1</v>
      </c>
      <c r="T1356" s="15" t="str">
        <f>VLOOKUP(R1356,产品分类!$C$2:$D$1278,2,0)</f>
        <v>数码电子</v>
      </c>
    </row>
    <row r="1357" spans="1:20">
      <c r="A1357" s="8">
        <f>DATE(2012,12,31)-1233</f>
        <v>40041</v>
      </c>
      <c r="B1357" s="8">
        <f>DATE(2012,12,31)-1233</f>
        <v>40041</v>
      </c>
      <c r="C1357" s="9" t="s">
        <v>369</v>
      </c>
      <c r="D1357">
        <v>10021370062</v>
      </c>
      <c r="E1357" t="s">
        <v>47</v>
      </c>
      <c r="F1357" t="s">
        <v>230</v>
      </c>
      <c r="G1357" t="s">
        <v>231</v>
      </c>
      <c r="H1357" t="s">
        <v>1465</v>
      </c>
      <c r="I1357" t="s">
        <v>1466</v>
      </c>
      <c r="J1357" t="s">
        <v>668</v>
      </c>
      <c r="K1357" s="3">
        <v>100130879337</v>
      </c>
      <c r="L1357" s="10">
        <v>40044</v>
      </c>
      <c r="M1357">
        <v>192.49</v>
      </c>
      <c r="N1357" s="11">
        <v>1</v>
      </c>
      <c r="O1357" s="12">
        <v>160.98</v>
      </c>
      <c r="P1357" s="12">
        <v>30</v>
      </c>
      <c r="Q1357" s="13">
        <v>-98.3</v>
      </c>
      <c r="R1357" s="36" t="s">
        <v>764</v>
      </c>
      <c r="S1357" s="7">
        <f t="shared" si="112"/>
        <v>3</v>
      </c>
      <c r="T1357" s="15" t="str">
        <f>VLOOKUP(R1357,产品分类!$C$2:$D$1278,2,0)</f>
        <v>家具产品</v>
      </c>
    </row>
    <row r="1358" spans="1:20">
      <c r="A1358" s="8">
        <f>DATE(2012,12,31)-1384</f>
        <v>39890</v>
      </c>
      <c r="B1358" s="8">
        <f>DATE(2012,12,31)-1384</f>
        <v>39890</v>
      </c>
      <c r="C1358" s="9" t="s">
        <v>667</v>
      </c>
      <c r="D1358">
        <v>10021331588</v>
      </c>
      <c r="E1358" t="s">
        <v>47</v>
      </c>
      <c r="F1358" t="s">
        <v>473</v>
      </c>
      <c r="G1358" t="s">
        <v>474</v>
      </c>
      <c r="H1358" t="s">
        <v>475</v>
      </c>
      <c r="I1358" t="s">
        <v>476</v>
      </c>
      <c r="J1358" t="s">
        <v>668</v>
      </c>
      <c r="K1358" s="3">
        <v>10014154196</v>
      </c>
      <c r="L1358" s="10">
        <v>39892</v>
      </c>
      <c r="M1358">
        <v>5403.75</v>
      </c>
      <c r="N1358" s="11">
        <v>16</v>
      </c>
      <c r="O1358" s="12">
        <v>355.98</v>
      </c>
      <c r="P1358" s="12">
        <v>58.92</v>
      </c>
      <c r="Q1358" s="13">
        <v>103.83</v>
      </c>
      <c r="R1358" s="36" t="s">
        <v>1545</v>
      </c>
      <c r="S1358" s="7">
        <f t="shared" si="112"/>
        <v>2</v>
      </c>
      <c r="T1358" s="15" t="str">
        <f>VLOOKUP(R1358,产品分类!$C$2:$D$1278,2,0)</f>
        <v>办公用品</v>
      </c>
    </row>
    <row r="1359" spans="1:20">
      <c r="A1359" s="8">
        <f>DATE(2012,12,31)-986</f>
        <v>40288</v>
      </c>
      <c r="B1359" s="8">
        <f>DATE(2012,12,31)-986</f>
        <v>40288</v>
      </c>
      <c r="C1359" s="9" t="s">
        <v>1546</v>
      </c>
      <c r="D1359">
        <v>10021364547</v>
      </c>
      <c r="E1359" t="s">
        <v>47</v>
      </c>
      <c r="F1359" t="s">
        <v>434</v>
      </c>
      <c r="G1359" t="s">
        <v>435</v>
      </c>
      <c r="H1359" t="s">
        <v>436</v>
      </c>
      <c r="I1359" t="s">
        <v>437</v>
      </c>
      <c r="J1359" t="s">
        <v>668</v>
      </c>
      <c r="K1359" s="3">
        <v>100314793169</v>
      </c>
      <c r="L1359" s="10">
        <v>40292</v>
      </c>
      <c r="M1359">
        <v>54.79</v>
      </c>
      <c r="N1359" s="11">
        <v>9</v>
      </c>
      <c r="O1359" s="12">
        <v>5.85</v>
      </c>
      <c r="P1359" s="12">
        <v>2.27</v>
      </c>
      <c r="Q1359" s="13">
        <v>-6.82</v>
      </c>
      <c r="R1359" s="36" t="s">
        <v>834</v>
      </c>
      <c r="S1359" s="7">
        <f t="shared" si="112"/>
        <v>4</v>
      </c>
      <c r="T1359" s="15" t="str">
        <f>VLOOKUP(R1359,产品分类!$C$2:$D$1278,2,0)</f>
        <v>家具产品</v>
      </c>
    </row>
    <row r="1360" spans="1:20">
      <c r="A1360" s="8">
        <f>DATE(2012,12,31)-597</f>
        <v>40677</v>
      </c>
      <c r="B1360" s="8">
        <f>DATE(2012,12,31)-597</f>
        <v>40677</v>
      </c>
      <c r="C1360" s="9" t="s">
        <v>1347</v>
      </c>
      <c r="D1360">
        <v>10021334034</v>
      </c>
      <c r="E1360" t="s">
        <v>47</v>
      </c>
      <c r="F1360" t="s">
        <v>83</v>
      </c>
      <c r="G1360" t="s">
        <v>84</v>
      </c>
      <c r="H1360" t="s">
        <v>1259</v>
      </c>
      <c r="I1360" t="s">
        <v>1260</v>
      </c>
      <c r="J1360" t="s">
        <v>668</v>
      </c>
      <c r="K1360" s="3">
        <v>10076488545</v>
      </c>
      <c r="L1360" s="10">
        <v>40677</v>
      </c>
      <c r="M1360">
        <v>356.09</v>
      </c>
      <c r="N1360" s="11">
        <v>23</v>
      </c>
      <c r="O1360" s="12">
        <v>15.67</v>
      </c>
      <c r="P1360" s="12">
        <v>1.39</v>
      </c>
      <c r="Q1360" s="13">
        <v>155.82</v>
      </c>
      <c r="R1360" s="36" t="s">
        <v>1012</v>
      </c>
      <c r="S1360" s="7">
        <f t="shared" si="112"/>
        <v>0</v>
      </c>
      <c r="T1360" s="15" t="str">
        <f>VLOOKUP(R1360,产品分类!$C$2:$D$1278,2,0)</f>
        <v>家具产品</v>
      </c>
    </row>
    <row r="1361" spans="1:20">
      <c r="A1361" s="8">
        <f t="shared" ref="A1361:B1363" si="114">DATE(2012,12,31)-638</f>
        <v>40636</v>
      </c>
      <c r="B1361" s="8">
        <f t="shared" si="114"/>
        <v>40636</v>
      </c>
      <c r="C1361" s="9" t="s">
        <v>632</v>
      </c>
      <c r="D1361">
        <v>10021349146</v>
      </c>
      <c r="E1361" t="s">
        <v>47</v>
      </c>
      <c r="F1361" t="s">
        <v>122</v>
      </c>
      <c r="G1361" t="s">
        <v>123</v>
      </c>
      <c r="H1361" t="s">
        <v>124</v>
      </c>
      <c r="I1361" t="s">
        <v>125</v>
      </c>
      <c r="J1361" t="s">
        <v>668</v>
      </c>
      <c r="K1361" s="3">
        <v>100431832913</v>
      </c>
      <c r="L1361" s="10">
        <v>40637</v>
      </c>
      <c r="M1361">
        <v>1075.91</v>
      </c>
      <c r="N1361" s="11">
        <v>26</v>
      </c>
      <c r="O1361" s="12">
        <v>39.98</v>
      </c>
      <c r="P1361" s="12">
        <v>7.12</v>
      </c>
      <c r="Q1361" s="13">
        <v>34.42</v>
      </c>
      <c r="R1361" s="36" t="s">
        <v>1547</v>
      </c>
      <c r="S1361" s="7">
        <f t="shared" si="112"/>
        <v>1</v>
      </c>
      <c r="T1361" s="15" t="str">
        <f>VLOOKUP(R1361,产品分类!$C$2:$D$1278,2,0)</f>
        <v>办公用品</v>
      </c>
    </row>
    <row r="1362" spans="1:20">
      <c r="A1362" s="8">
        <f t="shared" si="114"/>
        <v>40636</v>
      </c>
      <c r="B1362" s="8">
        <f t="shared" si="114"/>
        <v>40636</v>
      </c>
      <c r="C1362" s="9" t="s">
        <v>632</v>
      </c>
      <c r="D1362">
        <v>10021294573</v>
      </c>
      <c r="E1362" t="s">
        <v>47</v>
      </c>
      <c r="F1362" t="s">
        <v>55</v>
      </c>
      <c r="G1362" t="s">
        <v>56</v>
      </c>
      <c r="H1362" t="s">
        <v>1331</v>
      </c>
      <c r="I1362" t="s">
        <v>1332</v>
      </c>
      <c r="J1362" t="s">
        <v>668</v>
      </c>
      <c r="K1362" s="3">
        <v>100914578951</v>
      </c>
      <c r="L1362" s="10">
        <v>40637</v>
      </c>
      <c r="M1362">
        <v>1176.859</v>
      </c>
      <c r="N1362" s="11">
        <v>21</v>
      </c>
      <c r="O1362" s="12">
        <v>65.99</v>
      </c>
      <c r="P1362" s="12">
        <v>3.99</v>
      </c>
      <c r="Q1362" s="13">
        <v>137.862</v>
      </c>
      <c r="R1362" s="36" t="s">
        <v>727</v>
      </c>
      <c r="S1362" s="7">
        <f t="shared" si="112"/>
        <v>1</v>
      </c>
      <c r="T1362" s="15" t="str">
        <f>VLOOKUP(R1362,产品分类!$C$2:$D$1278,2,0)</f>
        <v>家具产品</v>
      </c>
    </row>
    <row r="1363" spans="1:20">
      <c r="A1363" s="8">
        <f t="shared" si="114"/>
        <v>40636</v>
      </c>
      <c r="B1363" s="8">
        <f t="shared" si="114"/>
        <v>40636</v>
      </c>
      <c r="C1363" s="9" t="s">
        <v>632</v>
      </c>
      <c r="D1363">
        <v>10021254396</v>
      </c>
      <c r="E1363" t="s">
        <v>47</v>
      </c>
      <c r="F1363" t="s">
        <v>91</v>
      </c>
      <c r="G1363" t="s">
        <v>92</v>
      </c>
      <c r="H1363" t="s">
        <v>1412</v>
      </c>
      <c r="I1363" t="s">
        <v>1413</v>
      </c>
      <c r="J1363" t="s">
        <v>668</v>
      </c>
      <c r="K1363" s="3">
        <v>100921956521</v>
      </c>
      <c r="L1363" s="10">
        <v>40637</v>
      </c>
      <c r="M1363">
        <v>6408.3</v>
      </c>
      <c r="N1363" s="11">
        <v>24</v>
      </c>
      <c r="O1363" s="12">
        <v>280.98</v>
      </c>
      <c r="P1363" s="12">
        <v>35.67</v>
      </c>
      <c r="Q1363" s="13">
        <v>539.54</v>
      </c>
      <c r="R1363" s="36" t="s">
        <v>395</v>
      </c>
      <c r="S1363" s="7">
        <f t="shared" si="112"/>
        <v>1</v>
      </c>
      <c r="T1363" s="15" t="str">
        <f>VLOOKUP(R1363,产品分类!$C$2:$D$1278,2,0)</f>
        <v>数码电子</v>
      </c>
    </row>
    <row r="1364" spans="1:20">
      <c r="A1364" s="8">
        <f>DATE(2012,12,31)-1183</f>
        <v>40091</v>
      </c>
      <c r="B1364" s="8">
        <f>DATE(2012,12,31)-1183</f>
        <v>40091</v>
      </c>
      <c r="C1364" s="9" t="s">
        <v>1241</v>
      </c>
      <c r="D1364">
        <v>10021258015</v>
      </c>
      <c r="E1364" t="s">
        <v>47</v>
      </c>
      <c r="F1364" t="s">
        <v>83</v>
      </c>
      <c r="G1364" t="s">
        <v>84</v>
      </c>
      <c r="H1364" t="s">
        <v>1259</v>
      </c>
      <c r="I1364" t="s">
        <v>1260</v>
      </c>
      <c r="J1364" t="s">
        <v>668</v>
      </c>
      <c r="K1364" s="3">
        <v>100826939812</v>
      </c>
      <c r="L1364" s="10">
        <v>40091</v>
      </c>
      <c r="M1364">
        <v>63.71</v>
      </c>
      <c r="N1364" s="11">
        <v>27</v>
      </c>
      <c r="O1364" s="12">
        <v>2.08</v>
      </c>
      <c r="P1364" s="12">
        <v>5.33</v>
      </c>
      <c r="Q1364" s="13">
        <v>-96.03</v>
      </c>
      <c r="R1364" s="36" t="s">
        <v>901</v>
      </c>
      <c r="S1364" s="7">
        <f t="shared" si="112"/>
        <v>0</v>
      </c>
      <c r="T1364" s="15" t="str">
        <f>VLOOKUP(R1364,产品分类!$C$2:$D$1278,2,0)</f>
        <v>家具产品</v>
      </c>
    </row>
    <row r="1365" spans="1:20">
      <c r="A1365" s="8">
        <f>DATE(2012,12,31)-1183</f>
        <v>40091</v>
      </c>
      <c r="B1365" s="8">
        <f>DATE(2012,12,31)-1183</f>
        <v>40091</v>
      </c>
      <c r="C1365" s="9" t="s">
        <v>1241</v>
      </c>
      <c r="D1365">
        <v>10021266117</v>
      </c>
      <c r="E1365" t="s">
        <v>47</v>
      </c>
      <c r="F1365" t="s">
        <v>91</v>
      </c>
      <c r="G1365" t="s">
        <v>92</v>
      </c>
      <c r="H1365" t="s">
        <v>1412</v>
      </c>
      <c r="I1365" t="s">
        <v>1413</v>
      </c>
      <c r="J1365" t="s">
        <v>668</v>
      </c>
      <c r="K1365" s="3">
        <v>10013665947</v>
      </c>
      <c r="L1365" s="10">
        <v>40092</v>
      </c>
      <c r="M1365">
        <v>5388.8</v>
      </c>
      <c r="N1365" s="11">
        <v>14</v>
      </c>
      <c r="O1365" s="12">
        <v>370.98</v>
      </c>
      <c r="P1365" s="12">
        <v>99</v>
      </c>
      <c r="Q1365" s="13">
        <v>-115.08</v>
      </c>
      <c r="R1365" s="36" t="s">
        <v>566</v>
      </c>
      <c r="S1365" s="7">
        <f t="shared" si="112"/>
        <v>1</v>
      </c>
      <c r="T1365" s="15" t="str">
        <f>VLOOKUP(R1365,产品分类!$C$2:$D$1278,2,0)</f>
        <v>办公用品</v>
      </c>
    </row>
    <row r="1366" spans="1:20">
      <c r="A1366" s="8">
        <f t="shared" ref="A1366:B1368" si="115">DATE(2012,12,31)-336</f>
        <v>40938</v>
      </c>
      <c r="B1366" s="8">
        <f t="shared" si="115"/>
        <v>40938</v>
      </c>
      <c r="C1366" s="9" t="s">
        <v>1241</v>
      </c>
      <c r="D1366">
        <v>10021387892</v>
      </c>
      <c r="E1366" t="s">
        <v>47</v>
      </c>
      <c r="F1366" t="s">
        <v>122</v>
      </c>
      <c r="G1366" t="s">
        <v>123</v>
      </c>
      <c r="H1366" t="s">
        <v>124</v>
      </c>
      <c r="I1366" t="s">
        <v>125</v>
      </c>
      <c r="J1366" t="s">
        <v>668</v>
      </c>
      <c r="K1366" s="3">
        <v>100715858995</v>
      </c>
      <c r="L1366" s="10">
        <v>40941</v>
      </c>
      <c r="M1366">
        <v>1751.68</v>
      </c>
      <c r="N1366" s="11">
        <v>43</v>
      </c>
      <c r="O1366" s="12">
        <v>41.94</v>
      </c>
      <c r="P1366" s="12">
        <v>2.99</v>
      </c>
      <c r="Q1366" s="13">
        <v>771.8255</v>
      </c>
      <c r="R1366" s="36" t="s">
        <v>1548</v>
      </c>
      <c r="S1366" s="7">
        <f t="shared" si="112"/>
        <v>3</v>
      </c>
      <c r="T1366" s="15" t="str">
        <f>VLOOKUP(R1366,产品分类!$C$2:$D$1278,2,0)</f>
        <v>办公用品</v>
      </c>
    </row>
    <row r="1367" spans="1:20">
      <c r="A1367" s="8">
        <f t="shared" si="115"/>
        <v>40938</v>
      </c>
      <c r="B1367" s="8">
        <f t="shared" si="115"/>
        <v>40938</v>
      </c>
      <c r="C1367" s="9" t="s">
        <v>1241</v>
      </c>
      <c r="D1367">
        <v>10021269992</v>
      </c>
      <c r="E1367" t="s">
        <v>47</v>
      </c>
      <c r="F1367" t="s">
        <v>97</v>
      </c>
      <c r="G1367" t="s">
        <v>98</v>
      </c>
      <c r="H1367" t="s">
        <v>99</v>
      </c>
      <c r="I1367" t="s">
        <v>98</v>
      </c>
      <c r="J1367" t="s">
        <v>668</v>
      </c>
      <c r="K1367" s="3">
        <v>100332471869</v>
      </c>
      <c r="L1367" s="10">
        <v>40940</v>
      </c>
      <c r="M1367">
        <v>86.47</v>
      </c>
      <c r="N1367" s="11">
        <v>17</v>
      </c>
      <c r="O1367" s="12">
        <v>5.28</v>
      </c>
      <c r="P1367" s="12">
        <v>2.99</v>
      </c>
      <c r="Q1367" s="13">
        <v>-9.3495</v>
      </c>
      <c r="R1367" s="36" t="s">
        <v>385</v>
      </c>
      <c r="S1367" s="7">
        <f t="shared" si="112"/>
        <v>2</v>
      </c>
      <c r="T1367" s="15" t="str">
        <f>VLOOKUP(R1367,产品分类!$C$2:$D$1278,2,0)</f>
        <v>数码电子</v>
      </c>
    </row>
    <row r="1368" spans="1:20">
      <c r="A1368" s="8">
        <f t="shared" si="115"/>
        <v>40938</v>
      </c>
      <c r="B1368" s="8">
        <f t="shared" si="115"/>
        <v>40938</v>
      </c>
      <c r="C1368" s="9" t="s">
        <v>1241</v>
      </c>
      <c r="D1368">
        <v>10021259825</v>
      </c>
      <c r="E1368" t="s">
        <v>47</v>
      </c>
      <c r="F1368" t="s">
        <v>66</v>
      </c>
      <c r="G1368" t="s">
        <v>67</v>
      </c>
      <c r="H1368" t="s">
        <v>1435</v>
      </c>
      <c r="I1368" t="s">
        <v>1436</v>
      </c>
      <c r="J1368" t="s">
        <v>668</v>
      </c>
      <c r="K1368" s="3">
        <v>100728082055</v>
      </c>
      <c r="L1368" s="10">
        <v>40940</v>
      </c>
      <c r="M1368">
        <v>684.5</v>
      </c>
      <c r="N1368" s="11">
        <v>31</v>
      </c>
      <c r="O1368" s="12">
        <v>21.38</v>
      </c>
      <c r="P1368" s="12">
        <v>8.99</v>
      </c>
      <c r="Q1368" s="13">
        <v>-27.99</v>
      </c>
      <c r="R1368" s="36" t="s">
        <v>993</v>
      </c>
      <c r="S1368" s="7">
        <f t="shared" si="112"/>
        <v>2</v>
      </c>
      <c r="T1368" s="15" t="str">
        <f>VLOOKUP(R1368,产品分类!$C$2:$D$1278,2,0)</f>
        <v>数码电子</v>
      </c>
    </row>
    <row r="1369" spans="1:20">
      <c r="A1369" s="8">
        <f>DATE(2012,12,31)-1177</f>
        <v>40097</v>
      </c>
      <c r="B1369" s="8">
        <f>DATE(2012,12,31)-1177</f>
        <v>40097</v>
      </c>
      <c r="C1369" s="9" t="s">
        <v>1549</v>
      </c>
      <c r="D1369">
        <v>10021280002</v>
      </c>
      <c r="E1369" t="s">
        <v>47</v>
      </c>
      <c r="F1369" t="s">
        <v>132</v>
      </c>
      <c r="G1369" t="s">
        <v>133</v>
      </c>
      <c r="H1369" t="s">
        <v>134</v>
      </c>
      <c r="I1369" t="s">
        <v>133</v>
      </c>
      <c r="J1369" t="s">
        <v>668</v>
      </c>
      <c r="K1369" s="3">
        <v>10049870943</v>
      </c>
      <c r="L1369" s="10">
        <v>40099</v>
      </c>
      <c r="M1369">
        <v>158.83</v>
      </c>
      <c r="N1369" s="11">
        <v>25</v>
      </c>
      <c r="O1369" s="12">
        <v>5.77</v>
      </c>
      <c r="P1369" s="12">
        <v>5.92</v>
      </c>
      <c r="Q1369" s="13">
        <v>-56.97</v>
      </c>
      <c r="R1369" s="36" t="s">
        <v>1128</v>
      </c>
      <c r="S1369" s="7">
        <f t="shared" si="112"/>
        <v>2</v>
      </c>
      <c r="T1369" s="15" t="str">
        <f>VLOOKUP(R1369,产品分类!$C$2:$D$1278,2,0)</f>
        <v>办公用品</v>
      </c>
    </row>
    <row r="1370" spans="1:20">
      <c r="A1370" s="8">
        <f t="shared" ref="A1370:B1372" si="116">DATE(2012,12,31)-503</f>
        <v>40771</v>
      </c>
      <c r="B1370" s="8">
        <f t="shared" si="116"/>
        <v>40771</v>
      </c>
      <c r="C1370" s="9" t="s">
        <v>653</v>
      </c>
      <c r="D1370">
        <v>10021282733</v>
      </c>
      <c r="E1370" t="s">
        <v>47</v>
      </c>
      <c r="F1370" t="s">
        <v>97</v>
      </c>
      <c r="G1370" t="s">
        <v>98</v>
      </c>
      <c r="H1370" t="s">
        <v>99</v>
      </c>
      <c r="I1370" t="s">
        <v>98</v>
      </c>
      <c r="J1370" t="s">
        <v>668</v>
      </c>
      <c r="K1370" s="3">
        <v>100925815361</v>
      </c>
      <c r="L1370" s="10">
        <v>40772</v>
      </c>
      <c r="M1370">
        <v>4655.07</v>
      </c>
      <c r="N1370" s="11">
        <v>32</v>
      </c>
      <c r="O1370" s="12">
        <v>140.98</v>
      </c>
      <c r="P1370" s="12">
        <v>53.48</v>
      </c>
      <c r="Q1370" s="13">
        <v>-270.63</v>
      </c>
      <c r="R1370" s="36" t="s">
        <v>1086</v>
      </c>
      <c r="S1370" s="7">
        <f t="shared" si="112"/>
        <v>1</v>
      </c>
      <c r="T1370" s="15" t="str">
        <f>VLOOKUP(R1370,产品分类!$C$2:$D$1278,2,0)</f>
        <v>办公用品</v>
      </c>
    </row>
    <row r="1371" spans="1:20">
      <c r="A1371" s="8">
        <f t="shared" si="116"/>
        <v>40771</v>
      </c>
      <c r="B1371" s="8">
        <f t="shared" si="116"/>
        <v>40771</v>
      </c>
      <c r="C1371" s="9" t="s">
        <v>653</v>
      </c>
      <c r="D1371">
        <v>10021450819</v>
      </c>
      <c r="E1371" t="s">
        <v>47</v>
      </c>
      <c r="F1371" t="s">
        <v>97</v>
      </c>
      <c r="G1371" t="s">
        <v>98</v>
      </c>
      <c r="H1371" t="s">
        <v>99</v>
      </c>
      <c r="I1371" t="s">
        <v>98</v>
      </c>
      <c r="J1371" t="s">
        <v>668</v>
      </c>
      <c r="K1371" s="3">
        <v>100928380171</v>
      </c>
      <c r="L1371" s="10">
        <v>40772</v>
      </c>
      <c r="M1371">
        <v>10087.6</v>
      </c>
      <c r="N1371" s="11">
        <v>44</v>
      </c>
      <c r="O1371" s="12">
        <v>218.08</v>
      </c>
      <c r="P1371" s="12">
        <v>18.06</v>
      </c>
      <c r="Q1371" s="13">
        <v>3387.35</v>
      </c>
      <c r="R1371" s="36" t="s">
        <v>272</v>
      </c>
      <c r="S1371" s="7">
        <f t="shared" si="112"/>
        <v>1</v>
      </c>
      <c r="T1371" s="15" t="str">
        <f>VLOOKUP(R1371,产品分类!$C$2:$D$1278,2,0)</f>
        <v>数码电子</v>
      </c>
    </row>
    <row r="1372" spans="1:20">
      <c r="A1372" s="8">
        <f t="shared" si="116"/>
        <v>40771</v>
      </c>
      <c r="B1372" s="8">
        <f t="shared" si="116"/>
        <v>40771</v>
      </c>
      <c r="C1372" s="9" t="s">
        <v>653</v>
      </c>
      <c r="D1372">
        <v>10021251867</v>
      </c>
      <c r="E1372" t="s">
        <v>47</v>
      </c>
      <c r="F1372" t="s">
        <v>304</v>
      </c>
      <c r="G1372" t="s">
        <v>305</v>
      </c>
      <c r="H1372" t="s">
        <v>1550</v>
      </c>
      <c r="I1372" t="s">
        <v>1551</v>
      </c>
      <c r="J1372" t="s">
        <v>668</v>
      </c>
      <c r="K1372" s="3">
        <v>100914865601</v>
      </c>
      <c r="L1372" s="10">
        <v>40772</v>
      </c>
      <c r="M1372">
        <v>1608.08</v>
      </c>
      <c r="N1372" s="11">
        <v>34</v>
      </c>
      <c r="O1372" s="12">
        <v>50.98</v>
      </c>
      <c r="P1372" s="12">
        <v>6.5</v>
      </c>
      <c r="Q1372" s="13">
        <v>-82.16</v>
      </c>
      <c r="R1372" s="36" t="s">
        <v>1501</v>
      </c>
      <c r="S1372" s="7">
        <f t="shared" si="112"/>
        <v>1</v>
      </c>
      <c r="T1372" s="15" t="str">
        <f>VLOOKUP(R1372,产品分类!$C$2:$D$1278,2,0)</f>
        <v>家具产品</v>
      </c>
    </row>
    <row r="1373" spans="1:20">
      <c r="A1373" s="16">
        <f>DATE(2012,12,31)-244</f>
        <v>41030</v>
      </c>
      <c r="B1373" s="16">
        <f>DATE(2012,12,31)-244</f>
        <v>41030</v>
      </c>
      <c r="C1373" s="9" t="s">
        <v>660</v>
      </c>
      <c r="D1373">
        <v>10021294866</v>
      </c>
      <c r="E1373" t="s">
        <v>47</v>
      </c>
      <c r="F1373" t="s">
        <v>102</v>
      </c>
      <c r="G1373" t="s">
        <v>103</v>
      </c>
      <c r="H1373" t="s">
        <v>1217</v>
      </c>
      <c r="I1373" t="s">
        <v>1218</v>
      </c>
      <c r="J1373" t="s">
        <v>668</v>
      </c>
      <c r="K1373" s="3">
        <v>100311536329</v>
      </c>
      <c r="L1373" s="10">
        <v>41032</v>
      </c>
      <c r="M1373">
        <v>7890.89</v>
      </c>
      <c r="N1373" s="17">
        <v>47</v>
      </c>
      <c r="O1373" s="5">
        <v>167.27</v>
      </c>
      <c r="P1373" s="5">
        <v>35</v>
      </c>
      <c r="Q1373" s="6">
        <v>-771.09</v>
      </c>
      <c r="R1373" s="37" t="s">
        <v>1552</v>
      </c>
      <c r="S1373" s="7">
        <f t="shared" si="112"/>
        <v>2</v>
      </c>
      <c r="T1373" s="15" t="str">
        <f>VLOOKUP(R1373,产品分类!$C$2:$D$1278,2,0)</f>
        <v>数码电子</v>
      </c>
    </row>
    <row r="1374" spans="1:20">
      <c r="A1374" s="8">
        <f t="shared" ref="A1374:B1376" si="117">DATE(2012,12,31)-1291</f>
        <v>39983</v>
      </c>
      <c r="B1374" s="8">
        <f t="shared" si="117"/>
        <v>39983</v>
      </c>
      <c r="C1374" s="9" t="s">
        <v>341</v>
      </c>
      <c r="D1374">
        <v>10021418039</v>
      </c>
      <c r="E1374" t="s">
        <v>47</v>
      </c>
      <c r="F1374" t="s">
        <v>171</v>
      </c>
      <c r="G1374" t="s">
        <v>172</v>
      </c>
      <c r="H1374" t="s">
        <v>933</v>
      </c>
      <c r="I1374" t="s">
        <v>934</v>
      </c>
      <c r="J1374" t="s">
        <v>668</v>
      </c>
      <c r="K1374" s="3">
        <v>100819338312</v>
      </c>
      <c r="L1374" s="10">
        <v>39984</v>
      </c>
      <c r="M1374">
        <v>10122.72</v>
      </c>
      <c r="N1374" s="11">
        <v>36</v>
      </c>
      <c r="O1374" s="12">
        <v>280.98</v>
      </c>
      <c r="P1374" s="12">
        <v>57</v>
      </c>
      <c r="Q1374" s="13">
        <v>-381.16</v>
      </c>
      <c r="R1374" s="36" t="s">
        <v>1283</v>
      </c>
      <c r="S1374" s="7">
        <f t="shared" si="112"/>
        <v>1</v>
      </c>
      <c r="T1374" s="15" t="str">
        <f>VLOOKUP(R1374,产品分类!$C$2:$D$1278,2,0)</f>
        <v>办公用品</v>
      </c>
    </row>
    <row r="1375" spans="1:20">
      <c r="A1375" s="8">
        <f t="shared" si="117"/>
        <v>39983</v>
      </c>
      <c r="B1375" s="8">
        <f t="shared" si="117"/>
        <v>39983</v>
      </c>
      <c r="C1375" s="9" t="s">
        <v>341</v>
      </c>
      <c r="D1375">
        <v>10021296543</v>
      </c>
      <c r="E1375" t="s">
        <v>47</v>
      </c>
      <c r="F1375" t="s">
        <v>171</v>
      </c>
      <c r="G1375" t="s">
        <v>172</v>
      </c>
      <c r="H1375" t="s">
        <v>933</v>
      </c>
      <c r="I1375" t="s">
        <v>934</v>
      </c>
      <c r="J1375" t="s">
        <v>668</v>
      </c>
      <c r="K1375" s="3">
        <v>100922436021</v>
      </c>
      <c r="L1375" s="10">
        <v>39985</v>
      </c>
      <c r="M1375">
        <v>203.6</v>
      </c>
      <c r="N1375" s="11">
        <v>39</v>
      </c>
      <c r="O1375" s="12">
        <v>4.98</v>
      </c>
      <c r="P1375" s="12">
        <v>7.44</v>
      </c>
      <c r="Q1375" s="13">
        <v>-166.44</v>
      </c>
      <c r="R1375" s="36" t="s">
        <v>287</v>
      </c>
      <c r="S1375" s="7">
        <f t="shared" si="112"/>
        <v>2</v>
      </c>
      <c r="T1375" s="15" t="str">
        <f>VLOOKUP(R1375,产品分类!$C$2:$D$1278,2,0)</f>
        <v>办公用品</v>
      </c>
    </row>
    <row r="1376" spans="1:20">
      <c r="A1376" s="8">
        <f t="shared" si="117"/>
        <v>39983</v>
      </c>
      <c r="B1376" s="8">
        <f t="shared" si="117"/>
        <v>39983</v>
      </c>
      <c r="C1376" s="9" t="s">
        <v>341</v>
      </c>
      <c r="D1376">
        <v>10021421327</v>
      </c>
      <c r="E1376" t="s">
        <v>47</v>
      </c>
      <c r="F1376" t="s">
        <v>527</v>
      </c>
      <c r="G1376" t="s">
        <v>528</v>
      </c>
      <c r="H1376" t="s">
        <v>1356</v>
      </c>
      <c r="I1376" t="s">
        <v>1357</v>
      </c>
      <c r="J1376" t="s">
        <v>668</v>
      </c>
      <c r="K1376" s="3">
        <v>100425757554</v>
      </c>
      <c r="L1376" s="10">
        <v>39985</v>
      </c>
      <c r="M1376">
        <v>115.81</v>
      </c>
      <c r="N1376" s="11">
        <v>30</v>
      </c>
      <c r="O1376" s="12">
        <v>3.98</v>
      </c>
      <c r="P1376" s="12">
        <v>0.83</v>
      </c>
      <c r="Q1376" s="13">
        <v>22.06</v>
      </c>
      <c r="R1376" s="36" t="s">
        <v>1553</v>
      </c>
      <c r="S1376" s="7">
        <f t="shared" si="112"/>
        <v>2</v>
      </c>
      <c r="T1376" s="15" t="str">
        <f>VLOOKUP(R1376,产品分类!$C$2:$D$1278,2,0)</f>
        <v>办公用品</v>
      </c>
    </row>
    <row r="1377" spans="1:20">
      <c r="A1377" s="8">
        <f>DATE(2012,12,31)-484</f>
        <v>40790</v>
      </c>
      <c r="B1377" s="8">
        <f>DATE(2012,12,31)-484</f>
        <v>40790</v>
      </c>
      <c r="C1377" s="9" t="s">
        <v>60</v>
      </c>
      <c r="D1377">
        <v>10021280493</v>
      </c>
      <c r="E1377" t="s">
        <v>47</v>
      </c>
      <c r="F1377" t="s">
        <v>171</v>
      </c>
      <c r="G1377" t="s">
        <v>172</v>
      </c>
      <c r="H1377" t="s">
        <v>933</v>
      </c>
      <c r="I1377" t="s">
        <v>934</v>
      </c>
      <c r="J1377" t="s">
        <v>668</v>
      </c>
      <c r="K1377" s="3">
        <v>100714792485</v>
      </c>
      <c r="L1377" s="10">
        <v>40792</v>
      </c>
      <c r="M1377">
        <v>2912.015</v>
      </c>
      <c r="N1377" s="11">
        <v>37</v>
      </c>
      <c r="O1377" s="12">
        <v>95.99</v>
      </c>
      <c r="P1377" s="12">
        <v>4.9</v>
      </c>
      <c r="Q1377" s="13">
        <v>698.166</v>
      </c>
      <c r="R1377" s="36" t="s">
        <v>509</v>
      </c>
      <c r="S1377" s="7">
        <f t="shared" si="112"/>
        <v>2</v>
      </c>
      <c r="T1377" s="15" t="str">
        <f>VLOOKUP(R1377,产品分类!$C$2:$D$1278,2,0)</f>
        <v>数码电子</v>
      </c>
    </row>
    <row r="1378" spans="1:20">
      <c r="A1378" s="16">
        <f>DATE(2012,12,31)-762</f>
        <v>40512</v>
      </c>
      <c r="B1378" s="16">
        <f>DATE(2012,12,31)-762</f>
        <v>40512</v>
      </c>
      <c r="C1378" s="9" t="s">
        <v>1455</v>
      </c>
      <c r="D1378">
        <v>10021335308</v>
      </c>
      <c r="E1378" t="s">
        <v>47</v>
      </c>
      <c r="F1378" t="s">
        <v>171</v>
      </c>
      <c r="G1378" t="s">
        <v>172</v>
      </c>
      <c r="H1378" t="s">
        <v>933</v>
      </c>
      <c r="I1378" t="s">
        <v>934</v>
      </c>
      <c r="J1378" t="s">
        <v>668</v>
      </c>
      <c r="K1378" s="3">
        <v>100411524593</v>
      </c>
      <c r="L1378" s="10">
        <v>40513</v>
      </c>
      <c r="M1378">
        <v>74.75</v>
      </c>
      <c r="N1378" s="17">
        <v>31</v>
      </c>
      <c r="O1378" s="5">
        <v>2.28</v>
      </c>
      <c r="P1378" s="5">
        <v>5.2</v>
      </c>
      <c r="Q1378" s="6">
        <v>-115.43</v>
      </c>
      <c r="R1378" s="37" t="s">
        <v>1554</v>
      </c>
      <c r="S1378" s="7">
        <f t="shared" si="112"/>
        <v>1</v>
      </c>
      <c r="T1378" s="15" t="str">
        <f>VLOOKUP(R1378,产品分类!$C$2:$D$1278,2,0)</f>
        <v>办公用品</v>
      </c>
    </row>
    <row r="1379" spans="1:20">
      <c r="A1379" s="8">
        <f>DATE(2012,12,31)-877</f>
        <v>40397</v>
      </c>
      <c r="B1379" s="8">
        <f>DATE(2012,12,31)-877</f>
        <v>40397</v>
      </c>
      <c r="C1379" s="9" t="s">
        <v>823</v>
      </c>
      <c r="D1379">
        <v>10021417617</v>
      </c>
      <c r="E1379" t="s">
        <v>47</v>
      </c>
      <c r="F1379" t="s">
        <v>171</v>
      </c>
      <c r="G1379" t="s">
        <v>172</v>
      </c>
      <c r="H1379" t="s">
        <v>933</v>
      </c>
      <c r="I1379" t="s">
        <v>934</v>
      </c>
      <c r="J1379" t="s">
        <v>668</v>
      </c>
      <c r="K1379" s="3">
        <v>100915950361</v>
      </c>
      <c r="L1379" s="10">
        <v>40397</v>
      </c>
      <c r="M1379">
        <v>81.9</v>
      </c>
      <c r="N1379" s="11">
        <v>12</v>
      </c>
      <c r="O1379" s="12">
        <v>6.68</v>
      </c>
      <c r="P1379" s="12">
        <v>5.2</v>
      </c>
      <c r="Q1379" s="13">
        <v>-23.52</v>
      </c>
      <c r="R1379" s="36" t="s">
        <v>1377</v>
      </c>
      <c r="S1379" s="7">
        <f t="shared" si="112"/>
        <v>0</v>
      </c>
      <c r="T1379" s="15" t="str">
        <f>VLOOKUP(R1379,产品分类!$C$2:$D$1278,2,0)</f>
        <v>办公用品</v>
      </c>
    </row>
    <row r="1380" spans="1:20">
      <c r="A1380" s="8">
        <f>DATE(2012,12,31)-1398</f>
        <v>39876</v>
      </c>
      <c r="B1380" s="8">
        <f>DATE(2012,12,31)-1398</f>
        <v>39876</v>
      </c>
      <c r="C1380" s="9" t="s">
        <v>1555</v>
      </c>
      <c r="D1380">
        <v>10021426568</v>
      </c>
      <c r="E1380" t="s">
        <v>47</v>
      </c>
      <c r="F1380" t="s">
        <v>171</v>
      </c>
      <c r="G1380" t="s">
        <v>172</v>
      </c>
      <c r="H1380" t="s">
        <v>933</v>
      </c>
      <c r="I1380" t="s">
        <v>934</v>
      </c>
      <c r="J1380" t="s">
        <v>668</v>
      </c>
      <c r="K1380" s="3">
        <v>100730233595</v>
      </c>
      <c r="L1380" s="10">
        <v>39876</v>
      </c>
      <c r="M1380">
        <v>12.18</v>
      </c>
      <c r="N1380" s="11">
        <v>1</v>
      </c>
      <c r="O1380" s="12">
        <v>10.14</v>
      </c>
      <c r="P1380" s="12">
        <v>2.27</v>
      </c>
      <c r="Q1380" s="13">
        <v>-3.88</v>
      </c>
      <c r="R1380" s="36" t="s">
        <v>1527</v>
      </c>
      <c r="S1380" s="7">
        <f t="shared" si="112"/>
        <v>0</v>
      </c>
      <c r="T1380" s="15" t="str">
        <f>VLOOKUP(R1380,产品分类!$C$2:$D$1278,2,0)</f>
        <v>办公用品</v>
      </c>
    </row>
    <row r="1381" spans="1:20">
      <c r="A1381" s="8">
        <f>DATE(2012,12,31)-1326</f>
        <v>39948</v>
      </c>
      <c r="B1381" s="8">
        <f>DATE(2012,12,31)-1326</f>
        <v>39948</v>
      </c>
      <c r="C1381" s="9" t="s">
        <v>197</v>
      </c>
      <c r="D1381">
        <v>10021345690</v>
      </c>
      <c r="E1381" t="s">
        <v>47</v>
      </c>
      <c r="F1381" t="s">
        <v>177</v>
      </c>
      <c r="G1381" t="s">
        <v>178</v>
      </c>
      <c r="H1381" t="s">
        <v>1292</v>
      </c>
      <c r="I1381" t="s">
        <v>1293</v>
      </c>
      <c r="J1381" t="s">
        <v>668</v>
      </c>
      <c r="K1381" s="3">
        <v>100430211003</v>
      </c>
      <c r="L1381" s="10">
        <v>39951</v>
      </c>
      <c r="M1381">
        <v>3197.45</v>
      </c>
      <c r="N1381" s="11">
        <v>46</v>
      </c>
      <c r="O1381" s="12">
        <v>73.98</v>
      </c>
      <c r="P1381" s="12">
        <v>4</v>
      </c>
      <c r="Q1381" s="13">
        <v>97.1599999999999</v>
      </c>
      <c r="R1381" s="36" t="s">
        <v>600</v>
      </c>
      <c r="S1381" s="7">
        <f t="shared" si="112"/>
        <v>3</v>
      </c>
      <c r="T1381" s="15" t="str">
        <f>VLOOKUP(R1381,产品分类!$C$2:$D$1278,2,0)</f>
        <v>数码电子</v>
      </c>
    </row>
    <row r="1382" spans="1:20">
      <c r="A1382" s="8">
        <f>DATE(2012,12,31)-1326</f>
        <v>39948</v>
      </c>
      <c r="B1382" s="8">
        <f>DATE(2012,12,31)-1326</f>
        <v>39948</v>
      </c>
      <c r="C1382" s="9" t="s">
        <v>197</v>
      </c>
      <c r="D1382">
        <v>10021433912</v>
      </c>
      <c r="E1382" t="s">
        <v>47</v>
      </c>
      <c r="F1382" t="s">
        <v>183</v>
      </c>
      <c r="G1382" t="s">
        <v>184</v>
      </c>
      <c r="H1382" t="s">
        <v>185</v>
      </c>
      <c r="I1382" t="s">
        <v>186</v>
      </c>
      <c r="J1382" t="s">
        <v>668</v>
      </c>
      <c r="K1382" s="3">
        <v>100432639494</v>
      </c>
      <c r="L1382" s="10">
        <v>39950</v>
      </c>
      <c r="M1382">
        <v>78.57</v>
      </c>
      <c r="N1382" s="11">
        <v>21</v>
      </c>
      <c r="O1382" s="12">
        <v>3.68</v>
      </c>
      <c r="P1382" s="12">
        <v>1.32</v>
      </c>
      <c r="Q1382" s="13">
        <v>-20.65</v>
      </c>
      <c r="R1382" s="36" t="s">
        <v>1061</v>
      </c>
      <c r="S1382" s="7">
        <f t="shared" si="112"/>
        <v>2</v>
      </c>
      <c r="T1382" s="15" t="str">
        <f>VLOOKUP(R1382,产品分类!$C$2:$D$1278,2,0)</f>
        <v>办公用品</v>
      </c>
    </row>
    <row r="1383" spans="1:20">
      <c r="A1383" s="8">
        <f t="shared" ref="A1383:B1385" si="118">DATE(2012,12,31)-1211</f>
        <v>40063</v>
      </c>
      <c r="B1383" s="8">
        <f t="shared" si="118"/>
        <v>40063</v>
      </c>
      <c r="C1383" s="9" t="s">
        <v>982</v>
      </c>
      <c r="D1383">
        <v>10021423311</v>
      </c>
      <c r="E1383" t="s">
        <v>47</v>
      </c>
      <c r="F1383" t="s">
        <v>177</v>
      </c>
      <c r="G1383" t="s">
        <v>178</v>
      </c>
      <c r="H1383" t="s">
        <v>1292</v>
      </c>
      <c r="I1383" t="s">
        <v>1293</v>
      </c>
      <c r="J1383" t="s">
        <v>668</v>
      </c>
      <c r="K1383" s="3">
        <v>100427784804</v>
      </c>
      <c r="L1383" s="10">
        <v>40064</v>
      </c>
      <c r="M1383">
        <v>95.9</v>
      </c>
      <c r="N1383" s="11">
        <v>16</v>
      </c>
      <c r="O1383" s="12">
        <v>6.08</v>
      </c>
      <c r="P1383" s="12">
        <v>0.91</v>
      </c>
      <c r="Q1383" s="13">
        <v>19.57</v>
      </c>
      <c r="R1383" s="36" t="s">
        <v>1556</v>
      </c>
      <c r="S1383" s="7">
        <f t="shared" si="112"/>
        <v>1</v>
      </c>
      <c r="T1383" s="15" t="str">
        <f>VLOOKUP(R1383,产品分类!$C$2:$D$1278,2,0)</f>
        <v>家具产品</v>
      </c>
    </row>
    <row r="1384" spans="1:20">
      <c r="A1384" s="8">
        <f t="shared" si="118"/>
        <v>40063</v>
      </c>
      <c r="B1384" s="8">
        <f t="shared" si="118"/>
        <v>40063</v>
      </c>
      <c r="C1384" s="9" t="s">
        <v>982</v>
      </c>
      <c r="D1384">
        <v>10021431963</v>
      </c>
      <c r="E1384" t="s">
        <v>47</v>
      </c>
      <c r="F1384" t="s">
        <v>167</v>
      </c>
      <c r="G1384" t="s">
        <v>168</v>
      </c>
      <c r="H1384" t="s">
        <v>169</v>
      </c>
      <c r="I1384" t="s">
        <v>168</v>
      </c>
      <c r="J1384" t="s">
        <v>668</v>
      </c>
      <c r="K1384" s="3">
        <v>100432274264</v>
      </c>
      <c r="L1384" s="10">
        <v>40065</v>
      </c>
      <c r="M1384">
        <v>517.91</v>
      </c>
      <c r="N1384" s="11">
        <v>28</v>
      </c>
      <c r="O1384" s="12">
        <v>19.9</v>
      </c>
      <c r="P1384" s="12">
        <v>5.29</v>
      </c>
      <c r="Q1384" s="13">
        <v>107.11</v>
      </c>
      <c r="R1384" s="36" t="s">
        <v>1557</v>
      </c>
      <c r="S1384" s="7">
        <f t="shared" si="112"/>
        <v>2</v>
      </c>
      <c r="T1384" s="15" t="str">
        <f>VLOOKUP(R1384,产品分类!$C$2:$D$1278,2,0)</f>
        <v>办公用品</v>
      </c>
    </row>
    <row r="1385" spans="1:20">
      <c r="A1385" s="8">
        <f t="shared" si="118"/>
        <v>40063</v>
      </c>
      <c r="B1385" s="8">
        <f t="shared" si="118"/>
        <v>40063</v>
      </c>
      <c r="C1385" s="9" t="s">
        <v>982</v>
      </c>
      <c r="D1385">
        <v>10021429423</v>
      </c>
      <c r="E1385" t="s">
        <v>47</v>
      </c>
      <c r="F1385" t="s">
        <v>342</v>
      </c>
      <c r="G1385" t="s">
        <v>343</v>
      </c>
      <c r="H1385" t="s">
        <v>344</v>
      </c>
      <c r="I1385" t="s">
        <v>345</v>
      </c>
      <c r="J1385" t="s">
        <v>668</v>
      </c>
      <c r="K1385" s="3">
        <v>100431637253</v>
      </c>
      <c r="L1385" s="10">
        <v>40065</v>
      </c>
      <c r="M1385">
        <v>162.28</v>
      </c>
      <c r="N1385" s="11">
        <v>46</v>
      </c>
      <c r="O1385" s="12">
        <v>3.36</v>
      </c>
      <c r="P1385" s="12">
        <v>6.27</v>
      </c>
      <c r="Q1385" s="13">
        <v>-216.154</v>
      </c>
      <c r="R1385" s="36" t="s">
        <v>690</v>
      </c>
      <c r="S1385" s="7">
        <f t="shared" si="112"/>
        <v>2</v>
      </c>
      <c r="T1385" s="15" t="str">
        <f>VLOOKUP(R1385,产品分类!$C$2:$D$1278,2,0)</f>
        <v>办公用品</v>
      </c>
    </row>
    <row r="1386" spans="1:20">
      <c r="A1386" s="8">
        <f>DATE(2012,12,31)-356</f>
        <v>40918</v>
      </c>
      <c r="B1386" s="8">
        <f>DATE(2012,12,31)-356</f>
        <v>40918</v>
      </c>
      <c r="C1386" s="9" t="s">
        <v>1558</v>
      </c>
      <c r="D1386">
        <v>10021332030</v>
      </c>
      <c r="E1386" t="s">
        <v>47</v>
      </c>
      <c r="F1386" t="s">
        <v>61</v>
      </c>
      <c r="G1386" t="s">
        <v>62</v>
      </c>
      <c r="H1386" t="s">
        <v>1369</v>
      </c>
      <c r="I1386" t="s">
        <v>1370</v>
      </c>
      <c r="J1386" t="s">
        <v>668</v>
      </c>
      <c r="K1386" s="3">
        <v>10041348824</v>
      </c>
      <c r="L1386" s="10">
        <v>40921</v>
      </c>
      <c r="M1386">
        <v>162.58</v>
      </c>
      <c r="N1386" s="11">
        <v>31</v>
      </c>
      <c r="O1386" s="12">
        <v>4.89</v>
      </c>
      <c r="P1386" s="12">
        <v>4.93</v>
      </c>
      <c r="Q1386" s="13">
        <v>-109.86</v>
      </c>
      <c r="R1386" s="36" t="s">
        <v>512</v>
      </c>
      <c r="S1386" s="7">
        <f t="shared" si="112"/>
        <v>3</v>
      </c>
      <c r="T1386" s="15" t="str">
        <f>VLOOKUP(R1386,产品分类!$C$2:$D$1278,2,0)</f>
        <v>办公用品</v>
      </c>
    </row>
    <row r="1387" spans="1:20">
      <c r="A1387" s="8">
        <f>DATE(2012,12,31)-356</f>
        <v>40918</v>
      </c>
      <c r="B1387" s="8">
        <f>DATE(2012,12,31)-356</f>
        <v>40918</v>
      </c>
      <c r="C1387" s="9" t="s">
        <v>1558</v>
      </c>
      <c r="D1387">
        <v>10021414507</v>
      </c>
      <c r="E1387" t="s">
        <v>47</v>
      </c>
      <c r="F1387" t="s">
        <v>61</v>
      </c>
      <c r="G1387" t="s">
        <v>62</v>
      </c>
      <c r="H1387" t="s">
        <v>1369</v>
      </c>
      <c r="I1387" t="s">
        <v>1370</v>
      </c>
      <c r="J1387" t="s">
        <v>668</v>
      </c>
      <c r="K1387" s="3">
        <v>10083086832</v>
      </c>
      <c r="L1387" s="10">
        <v>40920</v>
      </c>
      <c r="M1387">
        <v>6815.23</v>
      </c>
      <c r="N1387" s="11">
        <v>44</v>
      </c>
      <c r="O1387" s="12">
        <v>150.98</v>
      </c>
      <c r="P1387" s="12">
        <v>39.25</v>
      </c>
      <c r="Q1387" s="13">
        <v>-196.07</v>
      </c>
      <c r="R1387" s="36" t="s">
        <v>986</v>
      </c>
      <c r="S1387" s="7">
        <f t="shared" si="112"/>
        <v>2</v>
      </c>
      <c r="T1387" s="15" t="str">
        <f>VLOOKUP(R1387,产品分类!$C$2:$D$1278,2,0)</f>
        <v>办公用品</v>
      </c>
    </row>
    <row r="1388" spans="1:20">
      <c r="A1388" s="8">
        <f>DATE(2012,12,31)-613</f>
        <v>40661</v>
      </c>
      <c r="B1388" s="8">
        <f>DATE(2012,12,31)-613</f>
        <v>40661</v>
      </c>
      <c r="C1388" s="9" t="s">
        <v>108</v>
      </c>
      <c r="D1388">
        <v>10021416407</v>
      </c>
      <c r="E1388" t="s">
        <v>47</v>
      </c>
      <c r="F1388" t="s">
        <v>61</v>
      </c>
      <c r="G1388" t="s">
        <v>62</v>
      </c>
      <c r="H1388" t="s">
        <v>1369</v>
      </c>
      <c r="I1388" t="s">
        <v>1370</v>
      </c>
      <c r="J1388" t="s">
        <v>668</v>
      </c>
      <c r="K1388" s="3">
        <v>100814667952</v>
      </c>
      <c r="L1388" s="10">
        <v>40663</v>
      </c>
      <c r="M1388">
        <v>203.3</v>
      </c>
      <c r="N1388" s="11">
        <v>2</v>
      </c>
      <c r="O1388" s="12">
        <v>79.52</v>
      </c>
      <c r="P1388" s="12">
        <v>48.2</v>
      </c>
      <c r="Q1388" s="13">
        <v>148.25</v>
      </c>
      <c r="R1388" s="36" t="s">
        <v>954</v>
      </c>
      <c r="S1388" s="7">
        <f t="shared" si="112"/>
        <v>2</v>
      </c>
      <c r="T1388" s="15" t="str">
        <f>VLOOKUP(R1388,产品分类!$C$2:$D$1278,2,0)</f>
        <v>办公用品</v>
      </c>
    </row>
    <row r="1389" spans="1:20">
      <c r="A1389" s="8">
        <f>DATE(2012,12,31)-613</f>
        <v>40661</v>
      </c>
      <c r="B1389" s="8">
        <f>DATE(2012,12,31)-613</f>
        <v>40661</v>
      </c>
      <c r="C1389" s="9" t="s">
        <v>108</v>
      </c>
      <c r="D1389">
        <v>10021427141</v>
      </c>
      <c r="E1389" t="s">
        <v>47</v>
      </c>
      <c r="F1389" t="s">
        <v>61</v>
      </c>
      <c r="G1389" t="s">
        <v>62</v>
      </c>
      <c r="H1389" t="s">
        <v>1369</v>
      </c>
      <c r="I1389" t="s">
        <v>1370</v>
      </c>
      <c r="J1389" t="s">
        <v>668</v>
      </c>
      <c r="K1389" s="3">
        <v>100430581463</v>
      </c>
      <c r="L1389" s="10">
        <v>40661</v>
      </c>
      <c r="M1389">
        <v>196.8515</v>
      </c>
      <c r="N1389" s="11">
        <v>2</v>
      </c>
      <c r="O1389" s="12">
        <v>125.99</v>
      </c>
      <c r="P1389" s="12">
        <v>5.99</v>
      </c>
      <c r="Q1389" s="13">
        <v>-606.595</v>
      </c>
      <c r="R1389" s="36" t="s">
        <v>1052</v>
      </c>
      <c r="S1389" s="7">
        <f t="shared" si="112"/>
        <v>0</v>
      </c>
      <c r="T1389" s="15" t="str">
        <f>VLOOKUP(R1389,产品分类!$C$2:$D$1278,2,0)</f>
        <v>家具产品</v>
      </c>
    </row>
    <row r="1390" spans="1:20">
      <c r="A1390" s="8">
        <f>DATE(2012,12,31)-1053</f>
        <v>40221</v>
      </c>
      <c r="B1390" s="8">
        <f>DATE(2012,12,31)-1053</f>
        <v>40221</v>
      </c>
      <c r="C1390" s="9" t="s">
        <v>506</v>
      </c>
      <c r="D1390">
        <v>10021425151</v>
      </c>
      <c r="E1390" t="s">
        <v>47</v>
      </c>
      <c r="F1390" t="s">
        <v>61</v>
      </c>
      <c r="G1390" t="s">
        <v>62</v>
      </c>
      <c r="H1390" t="s">
        <v>1369</v>
      </c>
      <c r="I1390" t="s">
        <v>1370</v>
      </c>
      <c r="J1390" t="s">
        <v>668</v>
      </c>
      <c r="K1390" s="3">
        <v>100429285473</v>
      </c>
      <c r="L1390" s="10">
        <v>40228</v>
      </c>
      <c r="M1390">
        <v>637.04</v>
      </c>
      <c r="N1390" s="11">
        <v>20</v>
      </c>
      <c r="O1390" s="12">
        <v>30.73</v>
      </c>
      <c r="P1390" s="12">
        <v>4</v>
      </c>
      <c r="Q1390" s="13">
        <v>-26.83</v>
      </c>
      <c r="R1390" s="36" t="s">
        <v>1016</v>
      </c>
      <c r="S1390" s="7">
        <f t="shared" si="112"/>
        <v>7</v>
      </c>
      <c r="T1390" s="15" t="str">
        <f>VLOOKUP(R1390,产品分类!$C$2:$D$1278,2,0)</f>
        <v>办公用品</v>
      </c>
    </row>
    <row r="1391" spans="1:20">
      <c r="A1391" s="8">
        <f>DATE(2012,12,31)-877</f>
        <v>40397</v>
      </c>
      <c r="B1391" s="8">
        <f>DATE(2012,12,31)-877</f>
        <v>40397</v>
      </c>
      <c r="C1391" s="9" t="s">
        <v>1559</v>
      </c>
      <c r="D1391">
        <v>10021263912</v>
      </c>
      <c r="E1391" t="s">
        <v>47</v>
      </c>
      <c r="F1391" t="s">
        <v>61</v>
      </c>
      <c r="G1391" t="s">
        <v>62</v>
      </c>
      <c r="H1391" t="s">
        <v>1369</v>
      </c>
      <c r="I1391" t="s">
        <v>1370</v>
      </c>
      <c r="J1391" t="s">
        <v>668</v>
      </c>
      <c r="K1391" s="3">
        <v>100130859366</v>
      </c>
      <c r="L1391" s="10">
        <v>40398</v>
      </c>
      <c r="M1391">
        <v>1058.43</v>
      </c>
      <c r="N1391" s="11">
        <v>49</v>
      </c>
      <c r="O1391" s="12">
        <v>20.28</v>
      </c>
      <c r="P1391" s="12">
        <v>6.68</v>
      </c>
      <c r="Q1391" s="13">
        <v>245</v>
      </c>
      <c r="R1391" s="36" t="s">
        <v>1197</v>
      </c>
      <c r="S1391" s="7">
        <f t="shared" si="112"/>
        <v>1</v>
      </c>
      <c r="T1391" s="15" t="str">
        <f>VLOOKUP(R1391,产品分类!$C$2:$D$1278,2,0)</f>
        <v>数码电子</v>
      </c>
    </row>
    <row r="1392" spans="1:20">
      <c r="A1392" s="8">
        <f>DATE(2012,12,31)-1057</f>
        <v>40217</v>
      </c>
      <c r="B1392" s="8">
        <f>DATE(2012,12,31)-1057</f>
        <v>40217</v>
      </c>
      <c r="C1392" s="9" t="s">
        <v>995</v>
      </c>
      <c r="D1392">
        <v>10021353870</v>
      </c>
      <c r="E1392" t="s">
        <v>47</v>
      </c>
      <c r="F1392" t="s">
        <v>78</v>
      </c>
      <c r="G1392" t="s">
        <v>79</v>
      </c>
      <c r="H1392" t="s">
        <v>1264</v>
      </c>
      <c r="I1392" t="s">
        <v>79</v>
      </c>
      <c r="J1392" t="s">
        <v>668</v>
      </c>
      <c r="K1392" s="3">
        <v>100932861091</v>
      </c>
      <c r="L1392" s="10">
        <v>40219</v>
      </c>
      <c r="M1392">
        <v>147.88</v>
      </c>
      <c r="N1392" s="11">
        <v>39</v>
      </c>
      <c r="O1392" s="12">
        <v>3.58</v>
      </c>
      <c r="P1392" s="12">
        <v>5.47</v>
      </c>
      <c r="Q1392" s="13">
        <v>-142.9105</v>
      </c>
      <c r="R1392" s="36" t="s">
        <v>320</v>
      </c>
      <c r="S1392" s="7">
        <f t="shared" si="112"/>
        <v>2</v>
      </c>
      <c r="T1392" s="15" t="str">
        <f>VLOOKUP(R1392,产品分类!$C$2:$D$1278,2,0)</f>
        <v>办公用品</v>
      </c>
    </row>
    <row r="1393" spans="1:20">
      <c r="A1393" s="8">
        <f>DATE(2012,12,31)-776</f>
        <v>40498</v>
      </c>
      <c r="B1393" s="8">
        <f>DATE(2012,12,31)-776</f>
        <v>40498</v>
      </c>
      <c r="C1393" s="9" t="s">
        <v>1560</v>
      </c>
      <c r="D1393">
        <v>10021436045</v>
      </c>
      <c r="E1393" t="s">
        <v>47</v>
      </c>
      <c r="F1393" t="s">
        <v>102</v>
      </c>
      <c r="G1393" t="s">
        <v>103</v>
      </c>
      <c r="H1393" t="s">
        <v>1217</v>
      </c>
      <c r="I1393" t="s">
        <v>1218</v>
      </c>
      <c r="J1393" t="s">
        <v>668</v>
      </c>
      <c r="K1393" s="3">
        <v>100832966392</v>
      </c>
      <c r="L1393" s="10">
        <v>40499</v>
      </c>
      <c r="M1393">
        <v>64.37</v>
      </c>
      <c r="N1393" s="11">
        <v>6</v>
      </c>
      <c r="O1393" s="12">
        <v>8.85</v>
      </c>
      <c r="P1393" s="12">
        <v>5.6</v>
      </c>
      <c r="Q1393" s="13">
        <v>-6.9575</v>
      </c>
      <c r="R1393" s="36" t="s">
        <v>1281</v>
      </c>
      <c r="S1393" s="7">
        <f t="shared" si="112"/>
        <v>1</v>
      </c>
      <c r="T1393" s="15" t="str">
        <f>VLOOKUP(R1393,产品分类!$C$2:$D$1278,2,0)</f>
        <v>办公用品</v>
      </c>
    </row>
    <row r="1394" spans="1:20">
      <c r="A1394" s="8">
        <f>DATE(2012,12,31)-776</f>
        <v>40498</v>
      </c>
      <c r="B1394" s="8">
        <f>DATE(2012,12,31)-776</f>
        <v>40498</v>
      </c>
      <c r="C1394" s="9" t="s">
        <v>1560</v>
      </c>
      <c r="D1394">
        <v>10021401960</v>
      </c>
      <c r="E1394" t="s">
        <v>47</v>
      </c>
      <c r="F1394" t="s">
        <v>167</v>
      </c>
      <c r="G1394" t="s">
        <v>168</v>
      </c>
      <c r="H1394" t="s">
        <v>169</v>
      </c>
      <c r="I1394" t="s">
        <v>168</v>
      </c>
      <c r="J1394" t="s">
        <v>668</v>
      </c>
      <c r="K1394" s="3">
        <v>100132933316</v>
      </c>
      <c r="L1394" s="10">
        <v>40500</v>
      </c>
      <c r="M1394">
        <v>4588.55</v>
      </c>
      <c r="N1394" s="11">
        <v>10</v>
      </c>
      <c r="O1394" s="12">
        <v>449.99</v>
      </c>
      <c r="P1394" s="12">
        <v>24.49</v>
      </c>
      <c r="Q1394" s="13">
        <v>-266.624</v>
      </c>
      <c r="R1394" s="36" t="s">
        <v>545</v>
      </c>
      <c r="S1394" s="7">
        <f t="shared" si="112"/>
        <v>2</v>
      </c>
      <c r="T1394" s="15" t="str">
        <f>VLOOKUP(R1394,产品分类!$C$2:$D$1278,2,0)</f>
        <v>办公用品</v>
      </c>
    </row>
    <row r="1395" spans="1:20">
      <c r="A1395" s="8">
        <f t="shared" ref="A1395:B1397" si="119">DATE(2012,12,31)-729</f>
        <v>40545</v>
      </c>
      <c r="B1395" s="8">
        <f t="shared" si="119"/>
        <v>40545</v>
      </c>
      <c r="C1395" s="9" t="s">
        <v>197</v>
      </c>
      <c r="D1395">
        <v>10021443014</v>
      </c>
      <c r="E1395" t="s">
        <v>47</v>
      </c>
      <c r="F1395" t="s">
        <v>304</v>
      </c>
      <c r="G1395" t="s">
        <v>305</v>
      </c>
      <c r="H1395" t="s">
        <v>1550</v>
      </c>
      <c r="I1395" t="s">
        <v>1551</v>
      </c>
      <c r="J1395" t="s">
        <v>668</v>
      </c>
      <c r="K1395" s="3">
        <v>100332984699</v>
      </c>
      <c r="L1395" s="10">
        <v>40547</v>
      </c>
      <c r="M1395">
        <v>5403.75</v>
      </c>
      <c r="N1395" s="11">
        <v>16</v>
      </c>
      <c r="O1395" s="12">
        <v>355.98</v>
      </c>
      <c r="P1395" s="12">
        <v>58.92</v>
      </c>
      <c r="Q1395" s="13">
        <v>103.83</v>
      </c>
      <c r="R1395" s="36" t="s">
        <v>1545</v>
      </c>
      <c r="S1395" s="7">
        <f t="shared" si="112"/>
        <v>2</v>
      </c>
      <c r="T1395" s="15" t="str">
        <f>VLOOKUP(R1395,产品分类!$C$2:$D$1278,2,0)</f>
        <v>办公用品</v>
      </c>
    </row>
    <row r="1396" spans="1:20">
      <c r="A1396" s="8">
        <f t="shared" si="119"/>
        <v>40545</v>
      </c>
      <c r="B1396" s="8">
        <f t="shared" si="119"/>
        <v>40545</v>
      </c>
      <c r="C1396" s="9" t="s">
        <v>197</v>
      </c>
      <c r="D1396">
        <v>10021310233</v>
      </c>
      <c r="E1396" t="s">
        <v>47</v>
      </c>
      <c r="F1396" t="s">
        <v>72</v>
      </c>
      <c r="G1396" t="s">
        <v>73</v>
      </c>
      <c r="H1396" t="s">
        <v>1408</v>
      </c>
      <c r="I1396" t="s">
        <v>1409</v>
      </c>
      <c r="J1396" t="s">
        <v>668</v>
      </c>
      <c r="K1396" s="3">
        <v>100432811843</v>
      </c>
      <c r="L1396" s="10">
        <v>40547</v>
      </c>
      <c r="M1396">
        <v>192.49</v>
      </c>
      <c r="N1396" s="11">
        <v>1</v>
      </c>
      <c r="O1396" s="12">
        <v>160.98</v>
      </c>
      <c r="P1396" s="12">
        <v>30</v>
      </c>
      <c r="Q1396" s="13">
        <v>-98.3</v>
      </c>
      <c r="R1396" s="36" t="s">
        <v>764</v>
      </c>
      <c r="S1396" s="7">
        <f t="shared" si="112"/>
        <v>2</v>
      </c>
      <c r="T1396" s="15" t="str">
        <f>VLOOKUP(R1396,产品分类!$C$2:$D$1278,2,0)</f>
        <v>家具产品</v>
      </c>
    </row>
    <row r="1397" spans="1:20">
      <c r="A1397" s="8">
        <f t="shared" si="119"/>
        <v>40545</v>
      </c>
      <c r="B1397" s="8">
        <f t="shared" si="119"/>
        <v>40545</v>
      </c>
      <c r="C1397" s="9" t="s">
        <v>197</v>
      </c>
      <c r="D1397">
        <v>10021441878</v>
      </c>
      <c r="E1397" t="s">
        <v>47</v>
      </c>
      <c r="F1397" t="s">
        <v>91</v>
      </c>
      <c r="G1397" t="s">
        <v>92</v>
      </c>
      <c r="H1397" t="s">
        <v>1412</v>
      </c>
      <c r="I1397" t="s">
        <v>1413</v>
      </c>
      <c r="J1397" t="s">
        <v>367</v>
      </c>
      <c r="K1397" s="3">
        <v>100132982538</v>
      </c>
      <c r="L1397" s="10">
        <v>40545</v>
      </c>
      <c r="M1397">
        <v>6408.3</v>
      </c>
      <c r="N1397" s="11">
        <v>24</v>
      </c>
      <c r="O1397" s="12">
        <v>280.98</v>
      </c>
      <c r="P1397" s="12">
        <v>35.67</v>
      </c>
      <c r="Q1397" s="13">
        <v>539.54</v>
      </c>
      <c r="R1397" s="36" t="s">
        <v>395</v>
      </c>
      <c r="S1397" s="7">
        <f t="shared" si="112"/>
        <v>0</v>
      </c>
      <c r="T1397" s="15" t="str">
        <f>VLOOKUP(R1397,产品分类!$C$2:$D$1278,2,0)</f>
        <v>数码电子</v>
      </c>
    </row>
    <row r="1398" spans="1:20">
      <c r="A1398" s="8">
        <f>DATE(2012,12,31)-1340</f>
        <v>39934</v>
      </c>
      <c r="B1398" s="8">
        <f>DATE(2012,12,31)-1340</f>
        <v>39934</v>
      </c>
      <c r="C1398" s="9" t="s">
        <v>904</v>
      </c>
      <c r="D1398">
        <v>10021459237</v>
      </c>
      <c r="E1398" t="s">
        <v>47</v>
      </c>
      <c r="F1398" t="s">
        <v>171</v>
      </c>
      <c r="G1398" t="s">
        <v>172</v>
      </c>
      <c r="H1398" t="s">
        <v>933</v>
      </c>
      <c r="I1398" t="s">
        <v>934</v>
      </c>
      <c r="J1398" t="s">
        <v>367</v>
      </c>
      <c r="K1398" s="3">
        <v>100133000626</v>
      </c>
      <c r="L1398" s="10">
        <v>39939</v>
      </c>
      <c r="M1398">
        <v>596.21</v>
      </c>
      <c r="N1398" s="11">
        <v>19</v>
      </c>
      <c r="O1398" s="12">
        <v>34.23</v>
      </c>
      <c r="P1398" s="12">
        <v>5.02</v>
      </c>
      <c r="Q1398" s="13">
        <v>211.59</v>
      </c>
      <c r="R1398" s="36" t="s">
        <v>1561</v>
      </c>
      <c r="S1398" s="7">
        <f t="shared" si="112"/>
        <v>5</v>
      </c>
      <c r="T1398" s="15" t="str">
        <f>VLOOKUP(R1398,产品分类!$C$2:$D$1278,2,0)</f>
        <v>数码电子</v>
      </c>
    </row>
    <row r="1399" spans="1:20">
      <c r="A1399" s="8">
        <f>DATE(2012,12,31)-814</f>
        <v>40460</v>
      </c>
      <c r="B1399" s="8">
        <f>DATE(2012,12,31)-814</f>
        <v>40460</v>
      </c>
      <c r="C1399" s="9" t="s">
        <v>243</v>
      </c>
      <c r="D1399">
        <v>10021329691</v>
      </c>
      <c r="E1399" t="s">
        <v>47</v>
      </c>
      <c r="F1399" t="s">
        <v>61</v>
      </c>
      <c r="G1399" t="s">
        <v>62</v>
      </c>
      <c r="H1399" t="s">
        <v>1369</v>
      </c>
      <c r="I1399" t="s">
        <v>1370</v>
      </c>
      <c r="J1399" t="s">
        <v>367</v>
      </c>
      <c r="K1399" s="3">
        <v>100432856114</v>
      </c>
      <c r="L1399" s="10">
        <v>40461</v>
      </c>
      <c r="M1399">
        <v>96.75</v>
      </c>
      <c r="N1399" s="11">
        <v>22</v>
      </c>
      <c r="O1399" s="12">
        <v>4.24</v>
      </c>
      <c r="P1399" s="12">
        <v>5.41</v>
      </c>
      <c r="Q1399" s="13">
        <v>-72.91</v>
      </c>
      <c r="R1399" s="36" t="s">
        <v>445</v>
      </c>
      <c r="S1399" s="7">
        <f t="shared" si="112"/>
        <v>1</v>
      </c>
      <c r="T1399" s="15" t="str">
        <f>VLOOKUP(R1399,产品分类!$C$2:$D$1278,2,0)</f>
        <v>数码电子</v>
      </c>
    </row>
    <row r="1400" spans="1:20">
      <c r="A1400" s="8">
        <f>DATE(2012,12,31)-1377</f>
        <v>39897</v>
      </c>
      <c r="B1400" s="8">
        <f>DATE(2012,12,31)-1377</f>
        <v>39897</v>
      </c>
      <c r="C1400" s="9" t="s">
        <v>726</v>
      </c>
      <c r="D1400">
        <v>10021443420</v>
      </c>
      <c r="E1400" t="s">
        <v>47</v>
      </c>
      <c r="F1400" t="s">
        <v>61</v>
      </c>
      <c r="G1400" t="s">
        <v>62</v>
      </c>
      <c r="H1400" t="s">
        <v>1369</v>
      </c>
      <c r="I1400" t="s">
        <v>1370</v>
      </c>
      <c r="J1400" t="s">
        <v>367</v>
      </c>
      <c r="K1400" s="3">
        <v>100932985841</v>
      </c>
      <c r="L1400" s="10">
        <v>39897</v>
      </c>
      <c r="M1400">
        <v>14357.85</v>
      </c>
      <c r="N1400" s="11">
        <v>27</v>
      </c>
      <c r="O1400" s="12">
        <v>500.98</v>
      </c>
      <c r="P1400" s="12">
        <v>41.44</v>
      </c>
      <c r="Q1400" s="13">
        <v>3309.55</v>
      </c>
      <c r="R1400" s="36" t="s">
        <v>952</v>
      </c>
      <c r="S1400" s="7">
        <f t="shared" si="112"/>
        <v>0</v>
      </c>
      <c r="T1400" s="15" t="str">
        <f>VLOOKUP(R1400,产品分类!$C$2:$D$1278,2,0)</f>
        <v>办公用品</v>
      </c>
    </row>
    <row r="1401" spans="1:20">
      <c r="A1401" s="8">
        <f>DATE(2012,12,31)-1133</f>
        <v>40141</v>
      </c>
      <c r="B1401" s="8">
        <f>DATE(2012,12,31)-1133</f>
        <v>40141</v>
      </c>
      <c r="C1401" s="9" t="s">
        <v>1348</v>
      </c>
      <c r="D1401">
        <v>10021309647</v>
      </c>
      <c r="E1401" t="s">
        <v>47</v>
      </c>
      <c r="F1401" t="s">
        <v>152</v>
      </c>
      <c r="G1401" t="s">
        <v>153</v>
      </c>
      <c r="H1401" t="s">
        <v>1474</v>
      </c>
      <c r="I1401" t="s">
        <v>1475</v>
      </c>
      <c r="J1401" t="s">
        <v>367</v>
      </c>
      <c r="K1401" s="3">
        <v>100432810204</v>
      </c>
      <c r="L1401" s="10">
        <v>40142</v>
      </c>
      <c r="M1401">
        <v>1210.02</v>
      </c>
      <c r="N1401" s="11">
        <v>48</v>
      </c>
      <c r="O1401" s="12">
        <v>25.98</v>
      </c>
      <c r="P1401" s="12">
        <v>14.36</v>
      </c>
      <c r="Q1401" s="13">
        <v>-279.44</v>
      </c>
      <c r="R1401" s="36" t="s">
        <v>1510</v>
      </c>
      <c r="S1401" s="7">
        <f t="shared" si="112"/>
        <v>1</v>
      </c>
      <c r="T1401" s="15" t="str">
        <f>VLOOKUP(R1401,产品分类!$C$2:$D$1278,2,0)</f>
        <v>办公用品</v>
      </c>
    </row>
    <row r="1402" spans="1:20">
      <c r="A1402" s="8">
        <f>DATE(2012,12,31)-763</f>
        <v>40511</v>
      </c>
      <c r="B1402" s="8">
        <f>DATE(2012,12,31)-763</f>
        <v>40511</v>
      </c>
      <c r="C1402" s="9" t="s">
        <v>593</v>
      </c>
      <c r="D1402">
        <v>10021458637</v>
      </c>
      <c r="E1402" t="s">
        <v>47</v>
      </c>
      <c r="F1402" t="s">
        <v>167</v>
      </c>
      <c r="G1402" t="s">
        <v>168</v>
      </c>
      <c r="H1402" t="s">
        <v>169</v>
      </c>
      <c r="I1402" t="s">
        <v>168</v>
      </c>
      <c r="J1402" t="s">
        <v>367</v>
      </c>
      <c r="K1402" s="3">
        <v>100431909143</v>
      </c>
      <c r="L1402" s="10">
        <v>40511</v>
      </c>
      <c r="M1402">
        <v>461.55</v>
      </c>
      <c r="N1402" s="11">
        <v>14</v>
      </c>
      <c r="O1402" s="12">
        <v>33.98</v>
      </c>
      <c r="P1402" s="12">
        <v>19.99</v>
      </c>
      <c r="Q1402" s="13">
        <v>-12</v>
      </c>
      <c r="R1402" s="36" t="s">
        <v>1302</v>
      </c>
      <c r="S1402" s="7">
        <f t="shared" si="112"/>
        <v>0</v>
      </c>
      <c r="T1402" s="15" t="str">
        <f>VLOOKUP(R1402,产品分类!$C$2:$D$1278,2,0)</f>
        <v>数码电子</v>
      </c>
    </row>
    <row r="1403" spans="1:20">
      <c r="A1403" s="8">
        <f>DATE(2012,12,31)-763</f>
        <v>40511</v>
      </c>
      <c r="B1403" s="8">
        <f>DATE(2012,12,31)-763</f>
        <v>40511</v>
      </c>
      <c r="C1403" s="9" t="s">
        <v>593</v>
      </c>
      <c r="D1403">
        <v>10021467560</v>
      </c>
      <c r="E1403" t="s">
        <v>47</v>
      </c>
      <c r="F1403" t="s">
        <v>230</v>
      </c>
      <c r="G1403" t="s">
        <v>231</v>
      </c>
      <c r="H1403" t="s">
        <v>1465</v>
      </c>
      <c r="I1403" t="s">
        <v>1466</v>
      </c>
      <c r="J1403" t="s">
        <v>367</v>
      </c>
      <c r="K1403" s="3">
        <v>100127798926</v>
      </c>
      <c r="L1403" s="10">
        <v>40513</v>
      </c>
      <c r="M1403">
        <v>418.82</v>
      </c>
      <c r="N1403" s="11">
        <v>48</v>
      </c>
      <c r="O1403" s="12">
        <v>8.6</v>
      </c>
      <c r="P1403" s="12">
        <v>6.19</v>
      </c>
      <c r="Q1403" s="13">
        <v>-60.214</v>
      </c>
      <c r="R1403" s="36" t="s">
        <v>443</v>
      </c>
      <c r="S1403" s="7">
        <f t="shared" si="112"/>
        <v>2</v>
      </c>
      <c r="T1403" s="15" t="str">
        <f>VLOOKUP(R1403,产品分类!$C$2:$D$1278,2,0)</f>
        <v>办公用品</v>
      </c>
    </row>
    <row r="1404" spans="1:20">
      <c r="A1404" s="8">
        <f>DATE(2012,12,31)-557</f>
        <v>40717</v>
      </c>
      <c r="B1404" s="8">
        <f>DATE(2012,12,31)-557</f>
        <v>40717</v>
      </c>
      <c r="C1404" s="9" t="s">
        <v>808</v>
      </c>
      <c r="D1404">
        <v>10021349495</v>
      </c>
      <c r="E1404" t="s">
        <v>47</v>
      </c>
      <c r="F1404" t="s">
        <v>91</v>
      </c>
      <c r="G1404" t="s">
        <v>92</v>
      </c>
      <c r="H1404" t="s">
        <v>1412</v>
      </c>
      <c r="I1404" t="s">
        <v>1413</v>
      </c>
      <c r="J1404" t="s">
        <v>367</v>
      </c>
      <c r="K1404" s="3">
        <v>100331870209</v>
      </c>
      <c r="L1404" s="10">
        <v>40718</v>
      </c>
      <c r="M1404">
        <v>767.34</v>
      </c>
      <c r="N1404" s="11">
        <v>10</v>
      </c>
      <c r="O1404" s="12">
        <v>73.98</v>
      </c>
      <c r="P1404" s="12">
        <v>14.52</v>
      </c>
      <c r="Q1404" s="13">
        <v>-154.65</v>
      </c>
      <c r="R1404" s="36" t="s">
        <v>885</v>
      </c>
      <c r="S1404" s="7">
        <f t="shared" si="112"/>
        <v>1</v>
      </c>
      <c r="T1404" s="15" t="str">
        <f>VLOOKUP(R1404,产品分类!$C$2:$D$1278,2,0)</f>
        <v>办公用品</v>
      </c>
    </row>
    <row r="1405" spans="1:20">
      <c r="A1405" s="8">
        <f>DATE(2012,12,31)-953</f>
        <v>40321</v>
      </c>
      <c r="B1405" s="8">
        <f>DATE(2012,12,31)-953</f>
        <v>40321</v>
      </c>
      <c r="C1405" s="9" t="s">
        <v>1080</v>
      </c>
      <c r="D1405">
        <v>10021352327</v>
      </c>
      <c r="E1405" t="s">
        <v>47</v>
      </c>
      <c r="F1405" t="s">
        <v>177</v>
      </c>
      <c r="G1405" t="s">
        <v>178</v>
      </c>
      <c r="H1405" t="s">
        <v>1292</v>
      </c>
      <c r="I1405" t="s">
        <v>1293</v>
      </c>
      <c r="J1405" t="s">
        <v>367</v>
      </c>
      <c r="K1405" s="3">
        <v>100132520477</v>
      </c>
      <c r="L1405" s="10">
        <v>40323</v>
      </c>
      <c r="M1405">
        <v>74.02</v>
      </c>
      <c r="N1405" s="11">
        <v>14</v>
      </c>
      <c r="O1405" s="12">
        <v>5.08</v>
      </c>
      <c r="P1405" s="12">
        <v>3.63</v>
      </c>
      <c r="Q1405" s="13">
        <v>-2.91</v>
      </c>
      <c r="R1405" s="36" t="s">
        <v>1395</v>
      </c>
      <c r="S1405" s="7">
        <f t="shared" si="112"/>
        <v>2</v>
      </c>
      <c r="T1405" s="15" t="str">
        <f>VLOOKUP(R1405,产品分类!$C$2:$D$1278,2,0)</f>
        <v>办公用品</v>
      </c>
    </row>
    <row r="1406" spans="1:20">
      <c r="A1406" s="8">
        <f>DATE(2012,12,31)-953</f>
        <v>40321</v>
      </c>
      <c r="B1406" s="8">
        <f>DATE(2012,12,31)-953</f>
        <v>40321</v>
      </c>
      <c r="C1406" s="9" t="s">
        <v>1080</v>
      </c>
      <c r="D1406">
        <v>10021433365</v>
      </c>
      <c r="E1406" t="s">
        <v>47</v>
      </c>
      <c r="F1406" t="s">
        <v>342</v>
      </c>
      <c r="G1406" t="s">
        <v>343</v>
      </c>
      <c r="H1406" t="s">
        <v>344</v>
      </c>
      <c r="I1406" t="s">
        <v>345</v>
      </c>
      <c r="J1406" t="s">
        <v>367</v>
      </c>
      <c r="K1406" s="3">
        <v>100132612466</v>
      </c>
      <c r="L1406" s="10">
        <v>40325</v>
      </c>
      <c r="M1406">
        <v>1276.17</v>
      </c>
      <c r="N1406" s="11">
        <v>22</v>
      </c>
      <c r="O1406" s="12">
        <v>55.48</v>
      </c>
      <c r="P1406" s="12">
        <v>6.79</v>
      </c>
      <c r="Q1406" s="13">
        <v>564.22</v>
      </c>
      <c r="R1406" s="36" t="s">
        <v>1562</v>
      </c>
      <c r="S1406" s="7">
        <f t="shared" si="112"/>
        <v>4</v>
      </c>
      <c r="T1406" s="15" t="str">
        <f>VLOOKUP(R1406,产品分类!$C$2:$D$1278,2,0)</f>
        <v>办公用品</v>
      </c>
    </row>
    <row r="1407" spans="1:20">
      <c r="A1407" s="8">
        <f>DATE(2012,12,31)-683</f>
        <v>40591</v>
      </c>
      <c r="B1407" s="8">
        <f>DATE(2012,12,31)-683</f>
        <v>40591</v>
      </c>
      <c r="C1407" s="9" t="s">
        <v>1563</v>
      </c>
      <c r="D1407">
        <v>10021276078</v>
      </c>
      <c r="E1407" t="s">
        <v>47</v>
      </c>
      <c r="F1407" t="s">
        <v>66</v>
      </c>
      <c r="G1407" t="s">
        <v>67</v>
      </c>
      <c r="H1407" t="s">
        <v>1435</v>
      </c>
      <c r="I1407" t="s">
        <v>1436</v>
      </c>
      <c r="J1407" t="s">
        <v>367</v>
      </c>
      <c r="K1407" s="3">
        <v>100823335752</v>
      </c>
      <c r="L1407" s="10">
        <v>40593</v>
      </c>
      <c r="M1407">
        <v>464.57</v>
      </c>
      <c r="N1407" s="11">
        <v>12</v>
      </c>
      <c r="O1407" s="12">
        <v>39.98</v>
      </c>
      <c r="P1407" s="12">
        <v>4</v>
      </c>
      <c r="Q1407" s="13">
        <v>-79.18</v>
      </c>
      <c r="R1407" s="36" t="s">
        <v>771</v>
      </c>
      <c r="S1407" s="7">
        <f t="shared" si="112"/>
        <v>2</v>
      </c>
      <c r="T1407" s="15" t="str">
        <f>VLOOKUP(R1407,产品分类!$C$2:$D$1278,2,0)</f>
        <v>家具产品</v>
      </c>
    </row>
    <row r="1408" spans="1:20">
      <c r="A1408" s="8">
        <f>DATE(2012,12,31)-750</f>
        <v>40524</v>
      </c>
      <c r="B1408" s="8">
        <f>DATE(2012,12,31)-750</f>
        <v>40524</v>
      </c>
      <c r="C1408" s="9" t="s">
        <v>1564</v>
      </c>
      <c r="D1408">
        <v>10021440188</v>
      </c>
      <c r="E1408" t="s">
        <v>47</v>
      </c>
      <c r="F1408" t="s">
        <v>66</v>
      </c>
      <c r="G1408" t="s">
        <v>67</v>
      </c>
      <c r="H1408" t="s">
        <v>1435</v>
      </c>
      <c r="I1408" t="s">
        <v>1436</v>
      </c>
      <c r="J1408" t="s">
        <v>367</v>
      </c>
      <c r="K1408" s="3">
        <v>10036468439</v>
      </c>
      <c r="L1408" s="10">
        <v>40525</v>
      </c>
      <c r="M1408">
        <v>690.88</v>
      </c>
      <c r="N1408" s="11">
        <v>32</v>
      </c>
      <c r="O1408" s="12">
        <v>22.98</v>
      </c>
      <c r="P1408" s="12">
        <v>7.58</v>
      </c>
      <c r="Q1408" s="13">
        <v>119.25</v>
      </c>
      <c r="R1408" s="36" t="s">
        <v>616</v>
      </c>
      <c r="S1408" s="7">
        <f t="shared" si="112"/>
        <v>1</v>
      </c>
      <c r="T1408" s="15" t="str">
        <f>VLOOKUP(R1408,产品分类!$C$2:$D$1278,2,0)</f>
        <v>家具产品</v>
      </c>
    </row>
    <row r="1409" spans="1:20">
      <c r="A1409" s="16">
        <f>DATE(2012,12,31)-373</f>
        <v>40901</v>
      </c>
      <c r="B1409" s="16">
        <f>DATE(2012,12,31)-373</f>
        <v>40901</v>
      </c>
      <c r="C1409" s="9" t="s">
        <v>1565</v>
      </c>
      <c r="D1409">
        <v>10021326261</v>
      </c>
      <c r="E1409" t="s">
        <v>47</v>
      </c>
      <c r="F1409" t="s">
        <v>152</v>
      </c>
      <c r="G1409" t="s">
        <v>153</v>
      </c>
      <c r="H1409" t="s">
        <v>1474</v>
      </c>
      <c r="I1409" t="s">
        <v>1475</v>
      </c>
      <c r="J1409" t="s">
        <v>367</v>
      </c>
      <c r="K1409" s="3">
        <v>100722649115</v>
      </c>
      <c r="L1409" s="10">
        <v>40902</v>
      </c>
      <c r="M1409">
        <v>28.41</v>
      </c>
      <c r="N1409" s="17">
        <v>12</v>
      </c>
      <c r="O1409" s="5">
        <v>1.98</v>
      </c>
      <c r="P1409" s="5">
        <v>4.77</v>
      </c>
      <c r="Q1409" s="6">
        <v>-44.0795</v>
      </c>
      <c r="R1409" s="37" t="s">
        <v>787</v>
      </c>
      <c r="S1409" s="7">
        <f t="shared" si="112"/>
        <v>1</v>
      </c>
      <c r="T1409" s="15" t="str">
        <f>VLOOKUP(R1409,产品分类!$C$2:$D$1278,2,0)</f>
        <v>办公用品</v>
      </c>
    </row>
    <row r="1410" spans="1:20">
      <c r="A1410" s="8">
        <f t="shared" ref="A1410:B1412" si="120">DATE(2012,12,31)-687</f>
        <v>40587</v>
      </c>
      <c r="B1410" s="8">
        <f t="shared" si="120"/>
        <v>40587</v>
      </c>
      <c r="C1410" s="9" t="s">
        <v>1246</v>
      </c>
      <c r="D1410">
        <v>10021401436</v>
      </c>
      <c r="E1410" t="s">
        <v>47</v>
      </c>
      <c r="F1410" t="s">
        <v>152</v>
      </c>
      <c r="G1410" t="s">
        <v>153</v>
      </c>
      <c r="H1410" t="s">
        <v>1474</v>
      </c>
      <c r="I1410" t="s">
        <v>1475</v>
      </c>
      <c r="J1410" t="s">
        <v>367</v>
      </c>
      <c r="K1410" s="3">
        <v>100331939249</v>
      </c>
      <c r="L1410" s="10">
        <v>40588</v>
      </c>
      <c r="M1410">
        <v>2645.88</v>
      </c>
      <c r="N1410" s="11">
        <v>27</v>
      </c>
      <c r="O1410" s="12">
        <v>100.98</v>
      </c>
      <c r="P1410" s="12">
        <v>57.38</v>
      </c>
      <c r="Q1410" s="13">
        <v>-1231.98</v>
      </c>
      <c r="R1410" s="36" t="s">
        <v>661</v>
      </c>
      <c r="S1410" s="7">
        <f t="shared" si="112"/>
        <v>1</v>
      </c>
      <c r="T1410" s="15" t="str">
        <f>VLOOKUP(R1410,产品分类!$C$2:$D$1278,2,0)</f>
        <v>办公用品</v>
      </c>
    </row>
    <row r="1411" spans="1:20">
      <c r="A1411" s="8">
        <f t="shared" si="120"/>
        <v>40587</v>
      </c>
      <c r="B1411" s="8">
        <f t="shared" si="120"/>
        <v>40587</v>
      </c>
      <c r="C1411" s="9" t="s">
        <v>1246</v>
      </c>
      <c r="D1411">
        <v>10021408622</v>
      </c>
      <c r="E1411" t="s">
        <v>47</v>
      </c>
      <c r="F1411" t="s">
        <v>66</v>
      </c>
      <c r="G1411" t="s">
        <v>67</v>
      </c>
      <c r="H1411" t="s">
        <v>1435</v>
      </c>
      <c r="I1411" t="s">
        <v>1436</v>
      </c>
      <c r="J1411" t="s">
        <v>367</v>
      </c>
      <c r="K1411" s="3">
        <v>100732134845</v>
      </c>
      <c r="L1411" s="10">
        <v>40588</v>
      </c>
      <c r="M1411">
        <v>2573.29</v>
      </c>
      <c r="N1411" s="11">
        <v>20</v>
      </c>
      <c r="O1411" s="12">
        <v>122.99</v>
      </c>
      <c r="P1411" s="12">
        <v>70.2</v>
      </c>
      <c r="Q1411" s="13">
        <v>-896.94</v>
      </c>
      <c r="R1411" s="36" t="s">
        <v>860</v>
      </c>
      <c r="S1411" s="7">
        <f t="shared" ref="S1411:S1474" si="121">+L1411-B1411</f>
        <v>1</v>
      </c>
      <c r="T1411" s="15" t="str">
        <f>VLOOKUP(R1411,产品分类!$C$2:$D$1278,2,0)</f>
        <v>办公用品</v>
      </c>
    </row>
    <row r="1412" spans="1:20">
      <c r="A1412" s="8">
        <f t="shared" si="120"/>
        <v>40587</v>
      </c>
      <c r="B1412" s="8">
        <f t="shared" si="120"/>
        <v>40587</v>
      </c>
      <c r="C1412" s="9" t="s">
        <v>1246</v>
      </c>
      <c r="D1412">
        <v>10021361349</v>
      </c>
      <c r="E1412" t="s">
        <v>47</v>
      </c>
      <c r="F1412" t="s">
        <v>91</v>
      </c>
      <c r="G1412" t="s">
        <v>92</v>
      </c>
      <c r="H1412" t="s">
        <v>1412</v>
      </c>
      <c r="I1412" t="s">
        <v>1413</v>
      </c>
      <c r="J1412" t="s">
        <v>367</v>
      </c>
      <c r="K1412" s="3">
        <v>100126748607</v>
      </c>
      <c r="L1412" s="10">
        <v>40589</v>
      </c>
      <c r="M1412">
        <v>127.17</v>
      </c>
      <c r="N1412" s="11">
        <v>23</v>
      </c>
      <c r="O1412" s="12">
        <v>5.53</v>
      </c>
      <c r="P1412" s="12">
        <v>6.98</v>
      </c>
      <c r="Q1412" s="13">
        <v>-108.1345</v>
      </c>
      <c r="R1412" s="36" t="s">
        <v>1566</v>
      </c>
      <c r="S1412" s="7">
        <f t="shared" si="121"/>
        <v>2</v>
      </c>
      <c r="T1412" s="15" t="str">
        <f>VLOOKUP(R1412,产品分类!$C$2:$D$1278,2,0)</f>
        <v>数码电子</v>
      </c>
    </row>
    <row r="1413" spans="1:20">
      <c r="A1413" s="8">
        <f>DATE(2012,12,31)-1086</f>
        <v>40188</v>
      </c>
      <c r="B1413" s="8">
        <f>DATE(2012,12,31)-1086</f>
        <v>40188</v>
      </c>
      <c r="C1413" s="9" t="s">
        <v>820</v>
      </c>
      <c r="D1413">
        <v>10021327305</v>
      </c>
      <c r="E1413" t="s">
        <v>47</v>
      </c>
      <c r="F1413" t="s">
        <v>91</v>
      </c>
      <c r="G1413" t="s">
        <v>92</v>
      </c>
      <c r="H1413" t="s">
        <v>1412</v>
      </c>
      <c r="I1413" t="s">
        <v>1413</v>
      </c>
      <c r="J1413" t="s">
        <v>367</v>
      </c>
      <c r="K1413" s="3">
        <v>10094138671</v>
      </c>
      <c r="L1413" s="10">
        <v>40189</v>
      </c>
      <c r="M1413">
        <v>111.66</v>
      </c>
      <c r="N1413" s="11">
        <v>21</v>
      </c>
      <c r="O1413" s="12">
        <v>4.98</v>
      </c>
      <c r="P1413" s="12">
        <v>5.49</v>
      </c>
      <c r="Q1413" s="13">
        <v>-53.33</v>
      </c>
      <c r="R1413" s="36" t="s">
        <v>602</v>
      </c>
      <c r="S1413" s="7">
        <f t="shared" si="121"/>
        <v>1</v>
      </c>
      <c r="T1413" s="15" t="str">
        <f>VLOOKUP(R1413,产品分类!$C$2:$D$1278,2,0)</f>
        <v>办公用品</v>
      </c>
    </row>
    <row r="1414" spans="1:20">
      <c r="A1414" s="8">
        <f>DATE(2012,12,31)-1086</f>
        <v>40188</v>
      </c>
      <c r="B1414" s="8">
        <f>DATE(2012,12,31)-1086</f>
        <v>40188</v>
      </c>
      <c r="C1414" s="9" t="s">
        <v>820</v>
      </c>
      <c r="D1414">
        <v>10021406699</v>
      </c>
      <c r="E1414" t="s">
        <v>47</v>
      </c>
      <c r="F1414" t="s">
        <v>91</v>
      </c>
      <c r="G1414" t="s">
        <v>92</v>
      </c>
      <c r="H1414" t="s">
        <v>1412</v>
      </c>
      <c r="I1414" t="s">
        <v>1413</v>
      </c>
      <c r="J1414" t="s">
        <v>367</v>
      </c>
      <c r="K1414" s="3">
        <v>100432370203</v>
      </c>
      <c r="L1414" s="10">
        <v>40190</v>
      </c>
      <c r="M1414">
        <v>231.95</v>
      </c>
      <c r="N1414" s="11">
        <v>24</v>
      </c>
      <c r="O1414" s="12">
        <v>9.78</v>
      </c>
      <c r="P1414" s="12">
        <v>1.99</v>
      </c>
      <c r="Q1414" s="13">
        <v>44.14</v>
      </c>
      <c r="R1414" s="36" t="s">
        <v>1567</v>
      </c>
      <c r="S1414" s="7">
        <f t="shared" si="121"/>
        <v>2</v>
      </c>
      <c r="T1414" s="15" t="str">
        <f>VLOOKUP(R1414,产品分类!$C$2:$D$1278,2,0)</f>
        <v>办公用品</v>
      </c>
    </row>
    <row r="1415" spans="1:20">
      <c r="A1415" s="8">
        <f>DATE(2012,12,31)-1444</f>
        <v>39830</v>
      </c>
      <c r="B1415" s="8">
        <f>DATE(2012,12,31)-1444</f>
        <v>39830</v>
      </c>
      <c r="C1415" s="9" t="s">
        <v>1568</v>
      </c>
      <c r="D1415">
        <v>10021410457</v>
      </c>
      <c r="E1415" t="s">
        <v>47</v>
      </c>
      <c r="F1415" t="s">
        <v>97</v>
      </c>
      <c r="G1415" t="s">
        <v>98</v>
      </c>
      <c r="H1415" t="s">
        <v>99</v>
      </c>
      <c r="I1415" t="s">
        <v>98</v>
      </c>
      <c r="J1415" t="s">
        <v>367</v>
      </c>
      <c r="K1415" s="3">
        <v>100128551306</v>
      </c>
      <c r="L1415" s="10">
        <v>39832</v>
      </c>
      <c r="M1415">
        <v>299.08</v>
      </c>
      <c r="N1415" s="11">
        <v>3</v>
      </c>
      <c r="O1415" s="12">
        <v>90.48</v>
      </c>
      <c r="P1415" s="12">
        <v>19.99</v>
      </c>
      <c r="Q1415" s="13">
        <v>-50.43</v>
      </c>
      <c r="R1415" s="36" t="s">
        <v>1008</v>
      </c>
      <c r="S1415" s="7">
        <f t="shared" si="121"/>
        <v>2</v>
      </c>
      <c r="T1415" s="15" t="str">
        <f>VLOOKUP(R1415,产品分类!$C$2:$D$1278,2,0)</f>
        <v>办公用品</v>
      </c>
    </row>
    <row r="1416" spans="1:20">
      <c r="A1416" s="8">
        <f>DATE(2012,12,31)-1444</f>
        <v>39830</v>
      </c>
      <c r="B1416" s="8">
        <f>DATE(2012,12,31)-1444</f>
        <v>39830</v>
      </c>
      <c r="C1416" s="9" t="s">
        <v>1568</v>
      </c>
      <c r="D1416">
        <v>10021277453</v>
      </c>
      <c r="E1416" t="s">
        <v>47</v>
      </c>
      <c r="F1416" t="s">
        <v>91</v>
      </c>
      <c r="G1416" t="s">
        <v>92</v>
      </c>
      <c r="H1416" t="s">
        <v>1412</v>
      </c>
      <c r="I1416" t="s">
        <v>1413</v>
      </c>
      <c r="J1416" t="s">
        <v>367</v>
      </c>
      <c r="K1416" s="3">
        <v>10011963687</v>
      </c>
      <c r="L1416" s="10">
        <v>39830</v>
      </c>
      <c r="M1416">
        <v>566.39</v>
      </c>
      <c r="N1416" s="11">
        <v>26</v>
      </c>
      <c r="O1416" s="12">
        <v>22.84</v>
      </c>
      <c r="P1416" s="12">
        <v>8.18</v>
      </c>
      <c r="Q1416" s="13">
        <v>76.43</v>
      </c>
      <c r="R1416" s="36" t="s">
        <v>1569</v>
      </c>
      <c r="S1416" s="7">
        <f t="shared" si="121"/>
        <v>0</v>
      </c>
      <c r="T1416" s="15" t="str">
        <f>VLOOKUP(R1416,产品分类!$C$2:$D$1278,2,0)</f>
        <v>办公用品</v>
      </c>
    </row>
    <row r="1417" spans="1:20">
      <c r="A1417" s="8">
        <f>DATE(2012,12,31)-1364</f>
        <v>39910</v>
      </c>
      <c r="B1417" s="8">
        <f>DATE(2012,12,31)-1364</f>
        <v>39910</v>
      </c>
      <c r="C1417" s="9" t="s">
        <v>506</v>
      </c>
      <c r="D1417">
        <v>10021392841</v>
      </c>
      <c r="E1417" t="s">
        <v>47</v>
      </c>
      <c r="F1417" t="s">
        <v>97</v>
      </c>
      <c r="G1417" t="s">
        <v>98</v>
      </c>
      <c r="H1417" t="s">
        <v>99</v>
      </c>
      <c r="I1417" t="s">
        <v>98</v>
      </c>
      <c r="J1417" t="s">
        <v>367</v>
      </c>
      <c r="K1417" s="3">
        <v>100132832417</v>
      </c>
      <c r="L1417" s="10">
        <v>39911</v>
      </c>
      <c r="M1417">
        <v>2144.924</v>
      </c>
      <c r="N1417" s="11">
        <v>36</v>
      </c>
      <c r="O1417" s="12">
        <v>65.99</v>
      </c>
      <c r="P1417" s="12">
        <v>5.26</v>
      </c>
      <c r="Q1417" s="13">
        <v>542.25</v>
      </c>
      <c r="R1417" s="36" t="s">
        <v>468</v>
      </c>
      <c r="S1417" s="7">
        <f t="shared" si="121"/>
        <v>1</v>
      </c>
      <c r="T1417" s="15" t="str">
        <f>VLOOKUP(R1417,产品分类!$C$2:$D$1278,2,0)</f>
        <v>数码电子</v>
      </c>
    </row>
    <row r="1418" spans="1:20">
      <c r="A1418" s="8">
        <f>DATE(2012,12,31)-476</f>
        <v>40798</v>
      </c>
      <c r="B1418" s="8">
        <f>DATE(2012,12,31)-476</f>
        <v>40798</v>
      </c>
      <c r="C1418" s="9" t="s">
        <v>1122</v>
      </c>
      <c r="D1418">
        <v>10021408676</v>
      </c>
      <c r="E1418" t="s">
        <v>47</v>
      </c>
      <c r="F1418" t="s">
        <v>171</v>
      </c>
      <c r="G1418" t="s">
        <v>172</v>
      </c>
      <c r="H1418" t="s">
        <v>933</v>
      </c>
      <c r="I1418" t="s">
        <v>934</v>
      </c>
      <c r="J1418" t="s">
        <v>367</v>
      </c>
      <c r="K1418" s="3">
        <v>100427062193</v>
      </c>
      <c r="L1418" s="10">
        <v>40805</v>
      </c>
      <c r="M1418">
        <v>1907.71</v>
      </c>
      <c r="N1418" s="11">
        <v>25</v>
      </c>
      <c r="O1418" s="12">
        <v>70.98</v>
      </c>
      <c r="P1418" s="12">
        <v>26.74</v>
      </c>
      <c r="Q1418" s="13">
        <v>32.55</v>
      </c>
      <c r="R1418" s="36" t="s">
        <v>1300</v>
      </c>
      <c r="S1418" s="7">
        <f t="shared" si="121"/>
        <v>7</v>
      </c>
      <c r="T1418" s="15" t="str">
        <f>VLOOKUP(R1418,产品分类!$C$2:$D$1278,2,0)</f>
        <v>家具产品</v>
      </c>
    </row>
    <row r="1419" spans="1:20">
      <c r="A1419" s="8">
        <f>DATE(2012,12,31)-1273</f>
        <v>40001</v>
      </c>
      <c r="B1419" s="8">
        <f>DATE(2012,12,31)-1273</f>
        <v>40001</v>
      </c>
      <c r="C1419" s="9" t="s">
        <v>1480</v>
      </c>
      <c r="D1419">
        <v>10021290471</v>
      </c>
      <c r="E1419" t="s">
        <v>47</v>
      </c>
      <c r="F1419" t="s">
        <v>61</v>
      </c>
      <c r="G1419" t="s">
        <v>62</v>
      </c>
      <c r="H1419" t="s">
        <v>1369</v>
      </c>
      <c r="I1419" t="s">
        <v>1370</v>
      </c>
      <c r="J1419" t="s">
        <v>367</v>
      </c>
      <c r="K1419" s="3">
        <v>100915959551</v>
      </c>
      <c r="L1419" s="10">
        <v>40006</v>
      </c>
      <c r="M1419">
        <v>65.89</v>
      </c>
      <c r="N1419" s="11">
        <v>12</v>
      </c>
      <c r="O1419" s="12">
        <v>5.08</v>
      </c>
      <c r="P1419" s="12">
        <v>2.03</v>
      </c>
      <c r="Q1419" s="13">
        <v>20.6</v>
      </c>
      <c r="R1419" s="36" t="s">
        <v>1179</v>
      </c>
      <c r="S1419" s="7">
        <f t="shared" si="121"/>
        <v>5</v>
      </c>
      <c r="T1419" s="15" t="str">
        <f>VLOOKUP(R1419,产品分类!$C$2:$D$1278,2,0)</f>
        <v>办公用品</v>
      </c>
    </row>
    <row r="1420" spans="1:20">
      <c r="A1420" s="8">
        <f>DATE(2012,12,31)-894</f>
        <v>40380</v>
      </c>
      <c r="B1420" s="8">
        <f>DATE(2012,12,31)-894</f>
        <v>40380</v>
      </c>
      <c r="C1420" s="9" t="s">
        <v>442</v>
      </c>
      <c r="D1420">
        <v>10021426724</v>
      </c>
      <c r="E1420" t="s">
        <v>47</v>
      </c>
      <c r="F1420" t="s">
        <v>152</v>
      </c>
      <c r="G1420" t="s">
        <v>153</v>
      </c>
      <c r="H1420" t="s">
        <v>1474</v>
      </c>
      <c r="I1420" t="s">
        <v>1475</v>
      </c>
      <c r="J1420" t="s">
        <v>367</v>
      </c>
      <c r="K1420" s="3">
        <v>100930262431</v>
      </c>
      <c r="L1420" s="10">
        <v>40380</v>
      </c>
      <c r="M1420">
        <v>310.31</v>
      </c>
      <c r="N1420" s="11">
        <v>20</v>
      </c>
      <c r="O1420" s="12">
        <v>14.58</v>
      </c>
      <c r="P1420" s="12">
        <v>7.4</v>
      </c>
      <c r="Q1420" s="13">
        <v>51.5</v>
      </c>
      <c r="R1420" s="36" t="s">
        <v>379</v>
      </c>
      <c r="S1420" s="7">
        <f t="shared" si="121"/>
        <v>0</v>
      </c>
      <c r="T1420" s="15" t="str">
        <f>VLOOKUP(R1420,产品分类!$C$2:$D$1278,2,0)</f>
        <v>数码电子</v>
      </c>
    </row>
    <row r="1421" spans="1:20">
      <c r="A1421" s="8">
        <f>DATE(2012,12,31)-621</f>
        <v>40653</v>
      </c>
      <c r="B1421" s="8">
        <f>DATE(2012,12,31)-621</f>
        <v>40653</v>
      </c>
      <c r="C1421" s="9" t="s">
        <v>1381</v>
      </c>
      <c r="D1421">
        <v>10021346656</v>
      </c>
      <c r="E1421" t="s">
        <v>47</v>
      </c>
      <c r="F1421" t="s">
        <v>66</v>
      </c>
      <c r="G1421" t="s">
        <v>67</v>
      </c>
      <c r="H1421" t="s">
        <v>1435</v>
      </c>
      <c r="I1421" t="s">
        <v>1436</v>
      </c>
      <c r="J1421" t="s">
        <v>367</v>
      </c>
      <c r="K1421" s="3">
        <v>100730916975</v>
      </c>
      <c r="L1421" s="10">
        <v>40655</v>
      </c>
      <c r="M1421">
        <v>5554.036</v>
      </c>
      <c r="N1421" s="11">
        <v>40</v>
      </c>
      <c r="O1421" s="12">
        <v>175.99</v>
      </c>
      <c r="P1421" s="12">
        <v>8.99</v>
      </c>
      <c r="Q1421" s="13">
        <v>1153.836</v>
      </c>
      <c r="R1421" s="36" t="s">
        <v>1570</v>
      </c>
      <c r="S1421" s="7">
        <f t="shared" si="121"/>
        <v>2</v>
      </c>
      <c r="T1421" s="15" t="str">
        <f>VLOOKUP(R1421,产品分类!$C$2:$D$1278,2,0)</f>
        <v>办公用品</v>
      </c>
    </row>
    <row r="1422" spans="1:20">
      <c r="A1422" s="8">
        <f>DATE(2012,12,31)-1136</f>
        <v>40138</v>
      </c>
      <c r="B1422" s="8">
        <f>DATE(2012,12,31)-1136</f>
        <v>40138</v>
      </c>
      <c r="C1422" s="9" t="s">
        <v>1571</v>
      </c>
      <c r="D1422">
        <v>10021249704</v>
      </c>
      <c r="E1422" t="s">
        <v>47</v>
      </c>
      <c r="F1422" t="s">
        <v>66</v>
      </c>
      <c r="G1422" t="s">
        <v>67</v>
      </c>
      <c r="H1422" t="s">
        <v>1435</v>
      </c>
      <c r="I1422" t="s">
        <v>1436</v>
      </c>
      <c r="J1422" t="s">
        <v>367</v>
      </c>
      <c r="K1422" s="3">
        <v>100110021268</v>
      </c>
      <c r="L1422" s="10">
        <v>40138</v>
      </c>
      <c r="M1422">
        <v>496.15</v>
      </c>
      <c r="N1422" s="11">
        <v>23</v>
      </c>
      <c r="O1422" s="12">
        <v>20.98</v>
      </c>
      <c r="P1422" s="12">
        <v>1.49</v>
      </c>
      <c r="Q1422" s="13">
        <v>213.3755</v>
      </c>
      <c r="R1422" s="36" t="s">
        <v>1155</v>
      </c>
      <c r="S1422" s="7">
        <f t="shared" si="121"/>
        <v>0</v>
      </c>
      <c r="T1422" s="15" t="str">
        <f>VLOOKUP(R1422,产品分类!$C$2:$D$1278,2,0)</f>
        <v>家具产品</v>
      </c>
    </row>
    <row r="1423" spans="1:20">
      <c r="A1423" s="8">
        <f>DATE(2012,12,31)-1425</f>
        <v>39849</v>
      </c>
      <c r="B1423" s="8">
        <f>DATE(2012,12,31)-1425</f>
        <v>39849</v>
      </c>
      <c r="C1423" s="9" t="s">
        <v>835</v>
      </c>
      <c r="D1423">
        <v>10021395391</v>
      </c>
      <c r="E1423" t="s">
        <v>47</v>
      </c>
      <c r="F1423" t="s">
        <v>152</v>
      </c>
      <c r="G1423" t="s">
        <v>153</v>
      </c>
      <c r="H1423" t="s">
        <v>1474</v>
      </c>
      <c r="I1423" t="s">
        <v>1475</v>
      </c>
      <c r="J1423" t="s">
        <v>367</v>
      </c>
      <c r="K1423" s="3">
        <v>100710423505</v>
      </c>
      <c r="L1423" s="10">
        <v>39853</v>
      </c>
      <c r="M1423">
        <v>139.86</v>
      </c>
      <c r="N1423" s="11">
        <v>48</v>
      </c>
      <c r="O1423" s="12">
        <v>2.88</v>
      </c>
      <c r="P1423" s="12">
        <v>1.01</v>
      </c>
      <c r="Q1423" s="13">
        <v>9.59</v>
      </c>
      <c r="R1423" s="36" t="s">
        <v>1540</v>
      </c>
      <c r="S1423" s="7">
        <f t="shared" si="121"/>
        <v>4</v>
      </c>
      <c r="T1423" s="15" t="str">
        <f>VLOOKUP(R1423,产品分类!$C$2:$D$1278,2,0)</f>
        <v>数码电子</v>
      </c>
    </row>
    <row r="1424" spans="1:20">
      <c r="A1424" s="8">
        <f>DATE(2012,12,31)-1425</f>
        <v>39849</v>
      </c>
      <c r="B1424" s="8">
        <f>DATE(2012,12,31)-1425</f>
        <v>39849</v>
      </c>
      <c r="C1424" s="9" t="s">
        <v>835</v>
      </c>
      <c r="D1424">
        <v>10021256536</v>
      </c>
      <c r="E1424" t="s">
        <v>47</v>
      </c>
      <c r="F1424" t="s">
        <v>78</v>
      </c>
      <c r="G1424" t="s">
        <v>79</v>
      </c>
      <c r="H1424" t="s">
        <v>1264</v>
      </c>
      <c r="I1424" t="s">
        <v>79</v>
      </c>
      <c r="J1424" t="s">
        <v>367</v>
      </c>
      <c r="K1424" s="3">
        <v>100325401729</v>
      </c>
      <c r="L1424" s="10">
        <v>39856</v>
      </c>
      <c r="M1424">
        <v>926.585</v>
      </c>
      <c r="N1424" s="11">
        <v>6</v>
      </c>
      <c r="O1424" s="12">
        <v>195.99</v>
      </c>
      <c r="P1424" s="12">
        <v>3.99</v>
      </c>
      <c r="Q1424" s="13">
        <v>-655.424</v>
      </c>
      <c r="R1424" s="36" t="s">
        <v>267</v>
      </c>
      <c r="S1424" s="7">
        <f t="shared" si="121"/>
        <v>7</v>
      </c>
      <c r="T1424" s="15" t="str">
        <f>VLOOKUP(R1424,产品分类!$C$2:$D$1278,2,0)</f>
        <v>办公用品</v>
      </c>
    </row>
    <row r="1425" spans="1:20">
      <c r="A1425" s="8">
        <f>DATE(2012,12,31)-536</f>
        <v>40738</v>
      </c>
      <c r="B1425" s="8">
        <f>DATE(2012,12,31)-536</f>
        <v>40738</v>
      </c>
      <c r="C1425" s="9" t="s">
        <v>593</v>
      </c>
      <c r="D1425">
        <v>10021253273</v>
      </c>
      <c r="E1425" t="s">
        <v>47</v>
      </c>
      <c r="F1425" t="s">
        <v>78</v>
      </c>
      <c r="G1425" t="s">
        <v>79</v>
      </c>
      <c r="H1425" t="s">
        <v>1264</v>
      </c>
      <c r="I1425" t="s">
        <v>79</v>
      </c>
      <c r="J1425" t="s">
        <v>367</v>
      </c>
      <c r="K1425" s="3">
        <v>100418241284</v>
      </c>
      <c r="L1425" s="10">
        <v>40740</v>
      </c>
      <c r="M1425">
        <v>799.98</v>
      </c>
      <c r="N1425" s="11">
        <v>9</v>
      </c>
      <c r="O1425" s="12">
        <v>90.97</v>
      </c>
      <c r="P1425" s="12">
        <v>14</v>
      </c>
      <c r="Q1425" s="13">
        <v>15.36</v>
      </c>
      <c r="R1425" s="36" t="s">
        <v>886</v>
      </c>
      <c r="S1425" s="7">
        <f t="shared" si="121"/>
        <v>2</v>
      </c>
      <c r="T1425" s="15" t="str">
        <f>VLOOKUP(R1425,产品分类!$C$2:$D$1278,2,0)</f>
        <v>办公用品</v>
      </c>
    </row>
    <row r="1426" spans="1:20">
      <c r="A1426" s="8">
        <f>DATE(2012,12,31)-536</f>
        <v>40738</v>
      </c>
      <c r="B1426" s="8">
        <f>DATE(2012,12,31)-536</f>
        <v>40738</v>
      </c>
      <c r="C1426" s="9" t="s">
        <v>593</v>
      </c>
      <c r="D1426">
        <v>10021461487</v>
      </c>
      <c r="E1426" t="s">
        <v>47</v>
      </c>
      <c r="F1426" t="s">
        <v>72</v>
      </c>
      <c r="G1426" t="s">
        <v>73</v>
      </c>
      <c r="H1426" t="s">
        <v>1408</v>
      </c>
      <c r="I1426" t="s">
        <v>1409</v>
      </c>
      <c r="J1426" t="s">
        <v>367</v>
      </c>
      <c r="K1426" s="3">
        <v>100415251024</v>
      </c>
      <c r="L1426" s="10">
        <v>40740</v>
      </c>
      <c r="M1426">
        <v>363.57</v>
      </c>
      <c r="N1426" s="11">
        <v>7</v>
      </c>
      <c r="O1426" s="12">
        <v>44.43</v>
      </c>
      <c r="P1426" s="12">
        <v>46.59</v>
      </c>
      <c r="Q1426" s="13">
        <v>33.98895</v>
      </c>
      <c r="R1426" s="36" t="s">
        <v>1384</v>
      </c>
      <c r="S1426" s="7">
        <f t="shared" si="121"/>
        <v>2</v>
      </c>
      <c r="T1426" s="15" t="str">
        <f>VLOOKUP(R1426,产品分类!$C$2:$D$1278,2,0)</f>
        <v>家具产品</v>
      </c>
    </row>
    <row r="1427" spans="1:20">
      <c r="A1427" s="8">
        <f>DATE(2012,12,31)-447</f>
        <v>40827</v>
      </c>
      <c r="B1427" s="8">
        <f>DATE(2012,12,31)-447</f>
        <v>40827</v>
      </c>
      <c r="C1427" s="9" t="s">
        <v>811</v>
      </c>
      <c r="D1427">
        <v>10021265057</v>
      </c>
      <c r="E1427" t="s">
        <v>47</v>
      </c>
      <c r="F1427" t="s">
        <v>72</v>
      </c>
      <c r="G1427" t="s">
        <v>73</v>
      </c>
      <c r="H1427" t="s">
        <v>1408</v>
      </c>
      <c r="I1427" t="s">
        <v>1409</v>
      </c>
      <c r="J1427" t="s">
        <v>367</v>
      </c>
      <c r="K1427" s="3">
        <v>100331259749</v>
      </c>
      <c r="L1427" s="10">
        <v>40831</v>
      </c>
      <c r="M1427">
        <v>9752.25</v>
      </c>
      <c r="N1427" s="11">
        <v>49</v>
      </c>
      <c r="O1427" s="12">
        <v>209.84</v>
      </c>
      <c r="P1427" s="12">
        <v>21.21</v>
      </c>
      <c r="Q1427" s="13">
        <v>3066.17</v>
      </c>
      <c r="R1427" s="36" t="s">
        <v>1085</v>
      </c>
      <c r="S1427" s="7">
        <f t="shared" si="121"/>
        <v>4</v>
      </c>
      <c r="T1427" s="15" t="str">
        <f>VLOOKUP(R1427,产品分类!$C$2:$D$1278,2,0)</f>
        <v>数码电子</v>
      </c>
    </row>
    <row r="1428" spans="1:20">
      <c r="A1428" s="8">
        <f t="shared" ref="A1428:B1430" si="122">DATE(2012,12,31)-558</f>
        <v>40716</v>
      </c>
      <c r="B1428" s="8">
        <f t="shared" si="122"/>
        <v>40716</v>
      </c>
      <c r="C1428" s="9" t="s">
        <v>596</v>
      </c>
      <c r="D1428">
        <v>10021386231</v>
      </c>
      <c r="E1428" t="s">
        <v>47</v>
      </c>
      <c r="F1428" t="s">
        <v>72</v>
      </c>
      <c r="G1428" t="s">
        <v>73</v>
      </c>
      <c r="H1428" t="s">
        <v>1572</v>
      </c>
      <c r="I1428" t="s">
        <v>1573</v>
      </c>
      <c r="J1428" t="s">
        <v>367</v>
      </c>
      <c r="K1428" s="3">
        <v>10077569175</v>
      </c>
      <c r="L1428" s="10">
        <v>40717</v>
      </c>
      <c r="M1428">
        <v>7547.14</v>
      </c>
      <c r="N1428" s="11">
        <v>24</v>
      </c>
      <c r="O1428" s="12">
        <v>320.98</v>
      </c>
      <c r="P1428" s="12">
        <v>24.49</v>
      </c>
      <c r="Q1428" s="13">
        <v>2080.48</v>
      </c>
      <c r="R1428" s="36" t="s">
        <v>1574</v>
      </c>
      <c r="S1428" s="7">
        <f t="shared" si="121"/>
        <v>1</v>
      </c>
      <c r="T1428" s="15" t="str">
        <f>VLOOKUP(R1428,产品分类!$C$2:$D$1278,2,0)</f>
        <v>办公用品</v>
      </c>
    </row>
    <row r="1429" spans="1:20">
      <c r="A1429" s="8">
        <f t="shared" si="122"/>
        <v>40716</v>
      </c>
      <c r="B1429" s="8">
        <f t="shared" si="122"/>
        <v>40716</v>
      </c>
      <c r="C1429" s="9" t="s">
        <v>596</v>
      </c>
      <c r="D1429">
        <v>10021417916</v>
      </c>
      <c r="E1429" t="s">
        <v>47</v>
      </c>
      <c r="F1429" t="s">
        <v>72</v>
      </c>
      <c r="G1429" t="s">
        <v>73</v>
      </c>
      <c r="H1429" t="s">
        <v>1572</v>
      </c>
      <c r="I1429" t="s">
        <v>1573</v>
      </c>
      <c r="J1429" t="s">
        <v>367</v>
      </c>
      <c r="K1429" s="3">
        <v>100718178915</v>
      </c>
      <c r="L1429" s="10">
        <v>40717</v>
      </c>
      <c r="M1429">
        <v>224.32</v>
      </c>
      <c r="N1429" s="11">
        <v>2</v>
      </c>
      <c r="O1429" s="12">
        <v>110.98</v>
      </c>
      <c r="P1429" s="12">
        <v>13.99</v>
      </c>
      <c r="Q1429" s="13">
        <v>-178.77</v>
      </c>
      <c r="R1429" s="36" t="s">
        <v>422</v>
      </c>
      <c r="S1429" s="7">
        <f t="shared" si="121"/>
        <v>1</v>
      </c>
      <c r="T1429" s="15" t="str">
        <f>VLOOKUP(R1429,产品分类!$C$2:$D$1278,2,0)</f>
        <v>数码电子</v>
      </c>
    </row>
    <row r="1430" spans="1:20">
      <c r="A1430" s="8">
        <f t="shared" si="122"/>
        <v>40716</v>
      </c>
      <c r="B1430" s="8">
        <f t="shared" si="122"/>
        <v>40716</v>
      </c>
      <c r="C1430" s="9" t="s">
        <v>596</v>
      </c>
      <c r="D1430">
        <v>10021416052</v>
      </c>
      <c r="E1430" t="s">
        <v>47</v>
      </c>
      <c r="F1430" t="s">
        <v>72</v>
      </c>
      <c r="G1430" t="s">
        <v>73</v>
      </c>
      <c r="H1430" t="s">
        <v>1572</v>
      </c>
      <c r="I1430" t="s">
        <v>1573</v>
      </c>
      <c r="J1430" t="s">
        <v>367</v>
      </c>
      <c r="K1430" s="3">
        <v>100113371366</v>
      </c>
      <c r="L1430" s="10">
        <v>40719</v>
      </c>
      <c r="M1430">
        <v>311.98</v>
      </c>
      <c r="N1430" s="11">
        <v>15</v>
      </c>
      <c r="O1430" s="12">
        <v>22.01</v>
      </c>
      <c r="P1430" s="12">
        <v>5.53</v>
      </c>
      <c r="Q1430" s="13">
        <v>-9.78</v>
      </c>
      <c r="R1430" s="36" t="s">
        <v>747</v>
      </c>
      <c r="S1430" s="7">
        <f t="shared" si="121"/>
        <v>3</v>
      </c>
      <c r="T1430" s="15" t="str">
        <f>VLOOKUP(R1430,产品分类!$C$2:$D$1278,2,0)</f>
        <v>数码电子</v>
      </c>
    </row>
    <row r="1431" spans="1:20">
      <c r="A1431" s="8">
        <f>DATE(2012,12,31)-10</f>
        <v>41264</v>
      </c>
      <c r="B1431" s="8">
        <f>DATE(2012,12,31)-10</f>
        <v>41264</v>
      </c>
      <c r="C1431" s="9" t="s">
        <v>573</v>
      </c>
      <c r="D1431">
        <v>10021386342</v>
      </c>
      <c r="E1431" t="s">
        <v>47</v>
      </c>
      <c r="F1431" t="s">
        <v>72</v>
      </c>
      <c r="G1431" t="s">
        <v>73</v>
      </c>
      <c r="H1431" t="s">
        <v>1572</v>
      </c>
      <c r="I1431" t="s">
        <v>1573</v>
      </c>
      <c r="J1431" t="s">
        <v>367</v>
      </c>
      <c r="K1431" s="3">
        <v>10099254371</v>
      </c>
      <c r="L1431" s="10">
        <v>41265</v>
      </c>
      <c r="M1431">
        <v>2312.96</v>
      </c>
      <c r="N1431" s="11">
        <v>17</v>
      </c>
      <c r="O1431" s="12">
        <v>145.45</v>
      </c>
      <c r="P1431" s="12">
        <v>17.85</v>
      </c>
      <c r="Q1431" s="13">
        <v>43.0300000000001</v>
      </c>
      <c r="R1431" s="36" t="s">
        <v>322</v>
      </c>
      <c r="S1431" s="7">
        <f t="shared" si="121"/>
        <v>1</v>
      </c>
      <c r="T1431" s="15" t="str">
        <f>VLOOKUP(R1431,产品分类!$C$2:$D$1278,2,0)</f>
        <v>家具产品</v>
      </c>
    </row>
    <row r="1432" spans="1:20">
      <c r="A1432" s="8">
        <f t="shared" ref="A1432:B1435" si="123">DATE(2012,12,31)-405</f>
        <v>40869</v>
      </c>
      <c r="B1432" s="8">
        <f t="shared" si="123"/>
        <v>40869</v>
      </c>
      <c r="C1432" s="9" t="s">
        <v>1380</v>
      </c>
      <c r="D1432">
        <v>10021432722</v>
      </c>
      <c r="E1432" t="s">
        <v>47</v>
      </c>
      <c r="F1432" t="s">
        <v>72</v>
      </c>
      <c r="G1432" t="s">
        <v>73</v>
      </c>
      <c r="H1432" t="s">
        <v>1572</v>
      </c>
      <c r="I1432" t="s">
        <v>1573</v>
      </c>
      <c r="J1432" t="s">
        <v>367</v>
      </c>
      <c r="K1432" s="3">
        <v>100132577556</v>
      </c>
      <c r="L1432" s="10">
        <v>40871</v>
      </c>
      <c r="M1432">
        <v>5181.08</v>
      </c>
      <c r="N1432" s="11">
        <v>45</v>
      </c>
      <c r="O1432" s="12">
        <v>114.98</v>
      </c>
      <c r="P1432" s="12">
        <v>58.72</v>
      </c>
      <c r="Q1432" s="13">
        <v>-1623.6</v>
      </c>
      <c r="R1432" s="36" t="s">
        <v>1575</v>
      </c>
      <c r="S1432" s="7">
        <f t="shared" si="121"/>
        <v>2</v>
      </c>
      <c r="T1432" s="15" t="str">
        <f>VLOOKUP(R1432,产品分类!$C$2:$D$1278,2,0)</f>
        <v>办公用品</v>
      </c>
    </row>
    <row r="1433" spans="1:20">
      <c r="A1433" s="8">
        <f t="shared" si="123"/>
        <v>40869</v>
      </c>
      <c r="B1433" s="8">
        <f t="shared" si="123"/>
        <v>40869</v>
      </c>
      <c r="C1433" s="9" t="s">
        <v>1380</v>
      </c>
      <c r="D1433">
        <v>10021253667</v>
      </c>
      <c r="E1433" t="s">
        <v>47</v>
      </c>
      <c r="F1433" t="s">
        <v>473</v>
      </c>
      <c r="G1433" t="s">
        <v>474</v>
      </c>
      <c r="H1433" t="s">
        <v>475</v>
      </c>
      <c r="I1433" t="s">
        <v>476</v>
      </c>
      <c r="J1433" t="s">
        <v>367</v>
      </c>
      <c r="K1433" s="3">
        <v>100420285463</v>
      </c>
      <c r="L1433" s="10">
        <v>40870</v>
      </c>
      <c r="M1433">
        <v>10567.45</v>
      </c>
      <c r="N1433" s="11">
        <v>38</v>
      </c>
      <c r="O1433" s="12">
        <v>299.99</v>
      </c>
      <c r="P1433" s="12">
        <v>11.64</v>
      </c>
      <c r="Q1433" s="13">
        <v>2925.37</v>
      </c>
      <c r="R1433" s="36" t="s">
        <v>1018</v>
      </c>
      <c r="S1433" s="7">
        <f t="shared" si="121"/>
        <v>1</v>
      </c>
      <c r="T1433" s="15" t="str">
        <f>VLOOKUP(R1433,产品分类!$C$2:$D$1278,2,0)</f>
        <v>办公用品</v>
      </c>
    </row>
    <row r="1434" spans="1:20">
      <c r="A1434" s="8">
        <f t="shared" si="123"/>
        <v>40869</v>
      </c>
      <c r="B1434" s="8">
        <f t="shared" si="123"/>
        <v>40869</v>
      </c>
      <c r="C1434" s="9" t="s">
        <v>1380</v>
      </c>
      <c r="D1434">
        <v>10021450758</v>
      </c>
      <c r="E1434" t="s">
        <v>47</v>
      </c>
      <c r="F1434" t="s">
        <v>122</v>
      </c>
      <c r="G1434" t="s">
        <v>123</v>
      </c>
      <c r="H1434" t="s">
        <v>124</v>
      </c>
      <c r="I1434" t="s">
        <v>125</v>
      </c>
      <c r="J1434" t="s">
        <v>367</v>
      </c>
      <c r="K1434" s="3">
        <v>100124513096</v>
      </c>
      <c r="L1434" s="10">
        <v>40871</v>
      </c>
      <c r="M1434">
        <v>1679.04</v>
      </c>
      <c r="N1434" s="11">
        <v>38</v>
      </c>
      <c r="O1434" s="12">
        <v>40.97</v>
      </c>
      <c r="P1434" s="12">
        <v>14.45</v>
      </c>
      <c r="Q1434" s="13">
        <v>324.47</v>
      </c>
      <c r="R1434" s="36" t="s">
        <v>542</v>
      </c>
      <c r="S1434" s="7">
        <f t="shared" si="121"/>
        <v>2</v>
      </c>
      <c r="T1434" s="15" t="str">
        <f>VLOOKUP(R1434,产品分类!$C$2:$D$1278,2,0)</f>
        <v>办公用品</v>
      </c>
    </row>
    <row r="1435" spans="1:20">
      <c r="A1435" s="8">
        <f t="shared" si="123"/>
        <v>40869</v>
      </c>
      <c r="B1435" s="8">
        <f t="shared" si="123"/>
        <v>40869</v>
      </c>
      <c r="C1435" s="9" t="s">
        <v>1380</v>
      </c>
      <c r="D1435">
        <v>10021421830</v>
      </c>
      <c r="E1435" t="s">
        <v>47</v>
      </c>
      <c r="F1435" t="s">
        <v>55</v>
      </c>
      <c r="G1435" t="s">
        <v>56</v>
      </c>
      <c r="H1435" t="s">
        <v>1331</v>
      </c>
      <c r="I1435" t="s">
        <v>1332</v>
      </c>
      <c r="J1435" t="s">
        <v>367</v>
      </c>
      <c r="K1435" s="3">
        <v>100826266882</v>
      </c>
      <c r="L1435" s="10">
        <v>40871</v>
      </c>
      <c r="M1435">
        <v>2055.97</v>
      </c>
      <c r="N1435" s="11">
        <v>2</v>
      </c>
      <c r="O1435" s="12">
        <v>999.99</v>
      </c>
      <c r="P1435" s="12">
        <v>13.99</v>
      </c>
      <c r="Q1435" s="13">
        <v>-2342.0052</v>
      </c>
      <c r="R1435" s="36" t="s">
        <v>1576</v>
      </c>
      <c r="S1435" s="7">
        <f t="shared" si="121"/>
        <v>2</v>
      </c>
      <c r="T1435" s="15" t="str">
        <f>VLOOKUP(R1435,产品分类!$C$2:$D$1278,2,0)</f>
        <v>办公用品</v>
      </c>
    </row>
    <row r="1436" spans="1:20">
      <c r="A1436" s="8">
        <f>DATE(2012,12,31)-418</f>
        <v>40856</v>
      </c>
      <c r="B1436" s="8">
        <f>DATE(2012,12,31)-418</f>
        <v>40856</v>
      </c>
      <c r="C1436" s="9" t="s">
        <v>1321</v>
      </c>
      <c r="D1436">
        <v>10021459474</v>
      </c>
      <c r="E1436" t="s">
        <v>47</v>
      </c>
      <c r="F1436" t="s">
        <v>91</v>
      </c>
      <c r="G1436" t="s">
        <v>92</v>
      </c>
      <c r="H1436" t="s">
        <v>1412</v>
      </c>
      <c r="I1436" t="s">
        <v>1413</v>
      </c>
      <c r="J1436" t="s">
        <v>367</v>
      </c>
      <c r="K1436" s="3">
        <v>10011389577</v>
      </c>
      <c r="L1436" s="10">
        <v>40858</v>
      </c>
      <c r="M1436">
        <v>27.34</v>
      </c>
      <c r="N1436" s="11">
        <v>4</v>
      </c>
      <c r="O1436" s="12">
        <v>5.78</v>
      </c>
      <c r="P1436" s="12">
        <v>4.96</v>
      </c>
      <c r="Q1436" s="13">
        <v>-12.38</v>
      </c>
      <c r="R1436" s="36" t="s">
        <v>674</v>
      </c>
      <c r="S1436" s="7">
        <f t="shared" si="121"/>
        <v>2</v>
      </c>
      <c r="T1436" s="15" t="str">
        <f>VLOOKUP(R1436,产品分类!$C$2:$D$1278,2,0)</f>
        <v>家具产品</v>
      </c>
    </row>
    <row r="1437" spans="1:20">
      <c r="A1437" s="8">
        <f>DATE(2012,12,31)-418</f>
        <v>40856</v>
      </c>
      <c r="B1437" s="8">
        <f>DATE(2012,12,31)-418</f>
        <v>40856</v>
      </c>
      <c r="C1437" s="9" t="s">
        <v>1321</v>
      </c>
      <c r="D1437">
        <v>10021462023</v>
      </c>
      <c r="E1437" t="s">
        <v>47</v>
      </c>
      <c r="F1437" t="s">
        <v>91</v>
      </c>
      <c r="G1437" t="s">
        <v>92</v>
      </c>
      <c r="H1437" t="s">
        <v>1412</v>
      </c>
      <c r="I1437" t="s">
        <v>1413</v>
      </c>
      <c r="J1437" t="s">
        <v>367</v>
      </c>
      <c r="K1437" s="3">
        <v>100318672899</v>
      </c>
      <c r="L1437" s="10">
        <v>40861</v>
      </c>
      <c r="M1437">
        <v>683.68</v>
      </c>
      <c r="N1437" s="11">
        <v>23</v>
      </c>
      <c r="O1437" s="12">
        <v>28.48</v>
      </c>
      <c r="P1437" s="12">
        <v>8.99</v>
      </c>
      <c r="Q1437" s="13">
        <v>-95.54</v>
      </c>
      <c r="R1437" s="36" t="s">
        <v>1577</v>
      </c>
      <c r="S1437" s="7">
        <f t="shared" si="121"/>
        <v>5</v>
      </c>
      <c r="T1437" s="15" t="str">
        <f>VLOOKUP(R1437,产品分类!$C$2:$D$1278,2,0)</f>
        <v>数码电子</v>
      </c>
    </row>
    <row r="1438" spans="1:20">
      <c r="A1438" s="8">
        <f>DATE(2012,12,31)-1202</f>
        <v>40072</v>
      </c>
      <c r="B1438" s="8">
        <f>DATE(2012,12,31)-1202</f>
        <v>40072</v>
      </c>
      <c r="C1438" s="9" t="s">
        <v>1578</v>
      </c>
      <c r="D1438">
        <v>10021369535</v>
      </c>
      <c r="E1438" t="s">
        <v>47</v>
      </c>
      <c r="F1438" t="s">
        <v>91</v>
      </c>
      <c r="G1438" t="s">
        <v>92</v>
      </c>
      <c r="H1438" t="s">
        <v>1412</v>
      </c>
      <c r="I1438" t="s">
        <v>1413</v>
      </c>
      <c r="J1438" t="s">
        <v>367</v>
      </c>
      <c r="K1438" s="3">
        <v>100919758281</v>
      </c>
      <c r="L1438" s="10">
        <v>40074</v>
      </c>
      <c r="M1438">
        <v>156.15</v>
      </c>
      <c r="N1438" s="11">
        <v>10</v>
      </c>
      <c r="O1438" s="12">
        <v>15.73</v>
      </c>
      <c r="P1438" s="12">
        <v>7.42</v>
      </c>
      <c r="Q1438" s="13">
        <v>-37.6</v>
      </c>
      <c r="R1438" s="36" t="s">
        <v>1579</v>
      </c>
      <c r="S1438" s="7">
        <f t="shared" si="121"/>
        <v>2</v>
      </c>
      <c r="T1438" s="15" t="str">
        <f>VLOOKUP(R1438,产品分类!$C$2:$D$1278,2,0)</f>
        <v>数码电子</v>
      </c>
    </row>
    <row r="1439" spans="1:20">
      <c r="A1439" s="16">
        <f>DATE(2012,12,31)-920</f>
        <v>40354</v>
      </c>
      <c r="B1439" s="16">
        <f>DATE(2012,12,31)-920</f>
        <v>40354</v>
      </c>
      <c r="C1439" s="9" t="s">
        <v>675</v>
      </c>
      <c r="D1439">
        <v>10021443855</v>
      </c>
      <c r="E1439" t="s">
        <v>47</v>
      </c>
      <c r="F1439" t="s">
        <v>122</v>
      </c>
      <c r="G1439" t="s">
        <v>123</v>
      </c>
      <c r="H1439" t="s">
        <v>124</v>
      </c>
      <c r="I1439" t="s">
        <v>125</v>
      </c>
      <c r="J1439" t="s">
        <v>367</v>
      </c>
      <c r="K1439" s="3">
        <v>10012737498</v>
      </c>
      <c r="L1439" s="10">
        <v>40356</v>
      </c>
      <c r="M1439">
        <v>193.16</v>
      </c>
      <c r="N1439" s="17">
        <v>28</v>
      </c>
      <c r="O1439" s="5">
        <v>6.48</v>
      </c>
      <c r="P1439" s="5">
        <v>6.6</v>
      </c>
      <c r="Q1439" s="6">
        <v>-71.73</v>
      </c>
      <c r="R1439" s="37" t="s">
        <v>784</v>
      </c>
      <c r="S1439" s="7">
        <f t="shared" si="121"/>
        <v>2</v>
      </c>
      <c r="T1439" s="15" t="str">
        <f>VLOOKUP(R1439,产品分类!$C$2:$D$1278,2,0)</f>
        <v>数码电子</v>
      </c>
    </row>
    <row r="1440" spans="1:20">
      <c r="A1440" s="8">
        <f>DATE(2012,12,31)-361</f>
        <v>40913</v>
      </c>
      <c r="B1440" s="8">
        <f>DATE(2012,12,31)-361</f>
        <v>40913</v>
      </c>
      <c r="C1440" s="9" t="s">
        <v>197</v>
      </c>
      <c r="D1440">
        <v>10021287542</v>
      </c>
      <c r="E1440" t="s">
        <v>47</v>
      </c>
      <c r="F1440" t="s">
        <v>91</v>
      </c>
      <c r="G1440" t="s">
        <v>92</v>
      </c>
      <c r="H1440" t="s">
        <v>1412</v>
      </c>
      <c r="I1440" t="s">
        <v>1413</v>
      </c>
      <c r="J1440" t="s">
        <v>367</v>
      </c>
      <c r="K1440" s="3">
        <v>100831925622</v>
      </c>
      <c r="L1440" s="10">
        <v>40920</v>
      </c>
      <c r="M1440">
        <v>2323.36</v>
      </c>
      <c r="N1440" s="11">
        <v>13</v>
      </c>
      <c r="O1440" s="12">
        <v>179.99</v>
      </c>
      <c r="P1440" s="12">
        <v>19.99</v>
      </c>
      <c r="Q1440" s="13">
        <v>220.39</v>
      </c>
      <c r="R1440" s="36" t="s">
        <v>804</v>
      </c>
      <c r="S1440" s="7">
        <f t="shared" si="121"/>
        <v>7</v>
      </c>
      <c r="T1440" s="15" t="str">
        <f>VLOOKUP(R1440,产品分类!$C$2:$D$1278,2,0)</f>
        <v>家具产品</v>
      </c>
    </row>
    <row r="1441" spans="1:20">
      <c r="A1441" s="8">
        <f>DATE(2012,12,31)-1104</f>
        <v>40170</v>
      </c>
      <c r="B1441" s="8">
        <f>DATE(2012,12,31)-1104</f>
        <v>40170</v>
      </c>
      <c r="C1441" s="9" t="s">
        <v>1380</v>
      </c>
      <c r="D1441">
        <v>10021353372</v>
      </c>
      <c r="E1441" t="s">
        <v>47</v>
      </c>
      <c r="F1441" t="s">
        <v>91</v>
      </c>
      <c r="G1441" t="s">
        <v>92</v>
      </c>
      <c r="H1441" t="s">
        <v>1412</v>
      </c>
      <c r="I1441" t="s">
        <v>1413</v>
      </c>
      <c r="J1441" t="s">
        <v>367</v>
      </c>
      <c r="K1441" s="3">
        <v>100932564731</v>
      </c>
      <c r="L1441" s="10">
        <v>40171</v>
      </c>
      <c r="M1441">
        <v>383.45</v>
      </c>
      <c r="N1441" s="11">
        <v>2</v>
      </c>
      <c r="O1441" s="12">
        <v>180.98</v>
      </c>
      <c r="P1441" s="12">
        <v>26.2</v>
      </c>
      <c r="Q1441" s="13">
        <v>-244.47</v>
      </c>
      <c r="R1441" s="36" t="s">
        <v>1580</v>
      </c>
      <c r="S1441" s="7">
        <f t="shared" si="121"/>
        <v>1</v>
      </c>
      <c r="T1441" s="15" t="str">
        <f>VLOOKUP(R1441,产品分类!$C$2:$D$1278,2,0)</f>
        <v>数码电子</v>
      </c>
    </row>
    <row r="1442" spans="1:20">
      <c r="A1442" s="16">
        <f>DATE(2012,12,31)-874</f>
        <v>40400</v>
      </c>
      <c r="B1442" s="16">
        <f>DATE(2012,12,31)-874</f>
        <v>40400</v>
      </c>
      <c r="C1442" s="9" t="s">
        <v>1581</v>
      </c>
      <c r="D1442">
        <v>10021343858</v>
      </c>
      <c r="E1442" t="s">
        <v>47</v>
      </c>
      <c r="F1442" t="s">
        <v>122</v>
      </c>
      <c r="G1442" t="s">
        <v>123</v>
      </c>
      <c r="H1442" t="s">
        <v>124</v>
      </c>
      <c r="I1442" t="s">
        <v>125</v>
      </c>
      <c r="J1442" t="s">
        <v>367</v>
      </c>
      <c r="K1442" s="3">
        <v>100929189371</v>
      </c>
      <c r="L1442" s="10">
        <v>40402</v>
      </c>
      <c r="M1442">
        <v>871.25</v>
      </c>
      <c r="N1442" s="17">
        <v>38</v>
      </c>
      <c r="O1442" s="5">
        <v>22.99</v>
      </c>
      <c r="P1442" s="5">
        <v>8.99</v>
      </c>
      <c r="Q1442" s="6">
        <v>-14.31</v>
      </c>
      <c r="R1442" s="37" t="s">
        <v>1582</v>
      </c>
      <c r="S1442" s="7">
        <f t="shared" si="121"/>
        <v>2</v>
      </c>
      <c r="T1442" s="15" t="str">
        <f>VLOOKUP(R1442,产品分类!$C$2:$D$1278,2,0)</f>
        <v>数码电子</v>
      </c>
    </row>
    <row r="1443" spans="1:20">
      <c r="A1443" s="16">
        <f>DATE(2012,12,31)-874</f>
        <v>40400</v>
      </c>
      <c r="B1443" s="16">
        <f>DATE(2012,12,31)-874</f>
        <v>40400</v>
      </c>
      <c r="C1443" s="9" t="s">
        <v>1581</v>
      </c>
      <c r="D1443">
        <v>10021427047</v>
      </c>
      <c r="E1443" t="s">
        <v>47</v>
      </c>
      <c r="F1443" t="s">
        <v>97</v>
      </c>
      <c r="G1443" t="s">
        <v>98</v>
      </c>
      <c r="H1443" t="s">
        <v>99</v>
      </c>
      <c r="I1443" t="s">
        <v>98</v>
      </c>
      <c r="J1443" t="s">
        <v>367</v>
      </c>
      <c r="K1443" s="3">
        <v>100130326097</v>
      </c>
      <c r="L1443" s="10">
        <v>40401</v>
      </c>
      <c r="M1443">
        <v>537.87</v>
      </c>
      <c r="N1443" s="17">
        <v>46</v>
      </c>
      <c r="O1443" s="5">
        <v>11.66</v>
      </c>
      <c r="P1443" s="5">
        <v>7.95</v>
      </c>
      <c r="Q1443" s="6">
        <v>-162.24</v>
      </c>
      <c r="R1443" s="37" t="s">
        <v>1583</v>
      </c>
      <c r="S1443" s="7">
        <f t="shared" si="121"/>
        <v>1</v>
      </c>
      <c r="T1443" s="15" t="str">
        <f>VLOOKUP(R1443,产品分类!$C$2:$D$1278,2,0)</f>
        <v>办公用品</v>
      </c>
    </row>
    <row r="1444" spans="1:20">
      <c r="A1444" s="16">
        <f>DATE(2012,12,31)-729</f>
        <v>40545</v>
      </c>
      <c r="B1444" s="16">
        <f>DATE(2012,12,31)-729</f>
        <v>40545</v>
      </c>
      <c r="C1444" s="9" t="s">
        <v>433</v>
      </c>
      <c r="D1444">
        <v>10021371540</v>
      </c>
      <c r="E1444" t="s">
        <v>47</v>
      </c>
      <c r="F1444" t="s">
        <v>102</v>
      </c>
      <c r="G1444" t="s">
        <v>103</v>
      </c>
      <c r="H1444" t="s">
        <v>1217</v>
      </c>
      <c r="I1444" t="s">
        <v>1218</v>
      </c>
      <c r="J1444" t="s">
        <v>367</v>
      </c>
      <c r="K1444" s="3">
        <v>100132089846</v>
      </c>
      <c r="L1444" s="10">
        <v>40552</v>
      </c>
      <c r="M1444">
        <v>138.75</v>
      </c>
      <c r="N1444" s="17">
        <v>24</v>
      </c>
      <c r="O1444" s="5">
        <v>5.84</v>
      </c>
      <c r="P1444" s="5">
        <v>1</v>
      </c>
      <c r="Q1444" s="6">
        <v>49.81</v>
      </c>
      <c r="R1444" s="37" t="s">
        <v>1202</v>
      </c>
      <c r="S1444" s="7">
        <f t="shared" si="121"/>
        <v>7</v>
      </c>
      <c r="T1444" s="15" t="str">
        <f>VLOOKUP(R1444,产品分类!$C$2:$D$1278,2,0)</f>
        <v>办公用品</v>
      </c>
    </row>
    <row r="1445" spans="1:20">
      <c r="A1445" s="8">
        <f>DATE(2012,12,31)-1231</f>
        <v>40043</v>
      </c>
      <c r="B1445" s="8">
        <f>DATE(2012,12,31)-1231</f>
        <v>40043</v>
      </c>
      <c r="C1445" s="9" t="s">
        <v>1097</v>
      </c>
      <c r="D1445">
        <v>10021261814</v>
      </c>
      <c r="E1445" t="s">
        <v>47</v>
      </c>
      <c r="F1445" t="s">
        <v>208</v>
      </c>
      <c r="G1445" t="s">
        <v>209</v>
      </c>
      <c r="H1445" t="s">
        <v>1492</v>
      </c>
      <c r="I1445" t="s">
        <v>1493</v>
      </c>
      <c r="J1445" t="s">
        <v>367</v>
      </c>
      <c r="K1445" s="3">
        <v>100329729399</v>
      </c>
      <c r="L1445" s="10">
        <v>40045</v>
      </c>
      <c r="M1445">
        <v>820.52</v>
      </c>
      <c r="N1445" s="11">
        <v>50</v>
      </c>
      <c r="O1445" s="12">
        <v>15.99</v>
      </c>
      <c r="P1445" s="12">
        <v>13.18</v>
      </c>
      <c r="Q1445" s="13">
        <v>-191.222</v>
      </c>
      <c r="R1445" s="36" t="s">
        <v>511</v>
      </c>
      <c r="S1445" s="7">
        <f t="shared" si="121"/>
        <v>2</v>
      </c>
      <c r="T1445" s="15" t="str">
        <f>VLOOKUP(R1445,产品分类!$C$2:$D$1278,2,0)</f>
        <v>数码电子</v>
      </c>
    </row>
    <row r="1446" spans="1:20">
      <c r="A1446" s="8">
        <f t="shared" ref="A1446:B1449" si="124">DATE(2012,12,31)-278</f>
        <v>40996</v>
      </c>
      <c r="B1446" s="8">
        <f t="shared" si="124"/>
        <v>40996</v>
      </c>
      <c r="C1446" s="9" t="s">
        <v>823</v>
      </c>
      <c r="D1446">
        <v>10021461624</v>
      </c>
      <c r="E1446" t="s">
        <v>47</v>
      </c>
      <c r="F1446" t="s">
        <v>137</v>
      </c>
      <c r="G1446" t="s">
        <v>138</v>
      </c>
      <c r="H1446" t="s">
        <v>139</v>
      </c>
      <c r="I1446" t="s">
        <v>601</v>
      </c>
      <c r="J1446" t="s">
        <v>367</v>
      </c>
      <c r="K1446" s="3">
        <v>100415942513</v>
      </c>
      <c r="L1446" s="10">
        <v>40998</v>
      </c>
      <c r="M1446">
        <v>823.13</v>
      </c>
      <c r="N1446" s="11">
        <v>41</v>
      </c>
      <c r="O1446" s="12">
        <v>18.94</v>
      </c>
      <c r="P1446" s="12">
        <v>1.49</v>
      </c>
      <c r="Q1446" s="13">
        <v>384.5145</v>
      </c>
      <c r="R1446" s="36" t="s">
        <v>1311</v>
      </c>
      <c r="S1446" s="7">
        <f t="shared" si="121"/>
        <v>2</v>
      </c>
      <c r="T1446" s="15" t="str">
        <f>VLOOKUP(R1446,产品分类!$C$2:$D$1278,2,0)</f>
        <v>家具产品</v>
      </c>
    </row>
    <row r="1447" spans="1:20">
      <c r="A1447" s="8">
        <f t="shared" si="124"/>
        <v>40996</v>
      </c>
      <c r="B1447" s="8">
        <f t="shared" si="124"/>
        <v>40996</v>
      </c>
      <c r="C1447" s="9" t="s">
        <v>823</v>
      </c>
      <c r="D1447">
        <v>10021463665</v>
      </c>
      <c r="E1447" t="s">
        <v>47</v>
      </c>
      <c r="F1447" t="s">
        <v>102</v>
      </c>
      <c r="G1447" t="s">
        <v>103</v>
      </c>
      <c r="H1447" t="s">
        <v>1217</v>
      </c>
      <c r="I1447" t="s">
        <v>1218</v>
      </c>
      <c r="J1447" t="s">
        <v>367</v>
      </c>
      <c r="K1447" s="3">
        <v>100725118995</v>
      </c>
      <c r="L1447" s="10">
        <v>40998</v>
      </c>
      <c r="M1447">
        <v>569.61</v>
      </c>
      <c r="N1447" s="11">
        <v>30</v>
      </c>
      <c r="O1447" s="12">
        <v>17.98</v>
      </c>
      <c r="P1447" s="12">
        <v>4</v>
      </c>
      <c r="Q1447" s="13">
        <v>-48.44</v>
      </c>
      <c r="R1447" s="36" t="s">
        <v>1584</v>
      </c>
      <c r="S1447" s="7">
        <f t="shared" si="121"/>
        <v>2</v>
      </c>
      <c r="T1447" s="15" t="str">
        <f>VLOOKUP(R1447,产品分类!$C$2:$D$1278,2,0)</f>
        <v>办公用品</v>
      </c>
    </row>
    <row r="1448" spans="1:20">
      <c r="A1448" s="8">
        <f t="shared" si="124"/>
        <v>40996</v>
      </c>
      <c r="B1448" s="8">
        <f t="shared" si="124"/>
        <v>40996</v>
      </c>
      <c r="C1448" s="9" t="s">
        <v>823</v>
      </c>
      <c r="D1448">
        <v>10021319455</v>
      </c>
      <c r="E1448" t="s">
        <v>47</v>
      </c>
      <c r="F1448" t="s">
        <v>137</v>
      </c>
      <c r="G1448" t="s">
        <v>138</v>
      </c>
      <c r="H1448" t="s">
        <v>139</v>
      </c>
      <c r="I1448" t="s">
        <v>601</v>
      </c>
      <c r="J1448" t="s">
        <v>367</v>
      </c>
      <c r="K1448" s="3">
        <v>10041756524</v>
      </c>
      <c r="L1448" s="10">
        <v>40997</v>
      </c>
      <c r="M1448">
        <v>75.06</v>
      </c>
      <c r="N1448" s="11">
        <v>27</v>
      </c>
      <c r="O1448" s="12">
        <v>2.89</v>
      </c>
      <c r="P1448" s="12">
        <v>0.5</v>
      </c>
      <c r="Q1448" s="13">
        <v>26.13</v>
      </c>
      <c r="R1448" s="36" t="s">
        <v>118</v>
      </c>
      <c r="S1448" s="7">
        <f t="shared" si="121"/>
        <v>1</v>
      </c>
      <c r="T1448" s="15" t="str">
        <f>VLOOKUP(R1448,产品分类!$C$2:$D$1278,2,0)</f>
        <v>办公用品</v>
      </c>
    </row>
    <row r="1449" spans="1:20">
      <c r="A1449" s="8">
        <f t="shared" si="124"/>
        <v>40996</v>
      </c>
      <c r="B1449" s="8">
        <f t="shared" si="124"/>
        <v>40996</v>
      </c>
      <c r="C1449" s="9" t="s">
        <v>823</v>
      </c>
      <c r="D1449">
        <v>10021260109</v>
      </c>
      <c r="E1449" t="s">
        <v>47</v>
      </c>
      <c r="F1449" t="s">
        <v>171</v>
      </c>
      <c r="G1449" t="s">
        <v>172</v>
      </c>
      <c r="H1449" t="s">
        <v>933</v>
      </c>
      <c r="I1449" t="s">
        <v>934</v>
      </c>
      <c r="J1449" t="s">
        <v>367</v>
      </c>
      <c r="K1449" s="3">
        <v>100928554961</v>
      </c>
      <c r="L1449" s="10">
        <v>40998</v>
      </c>
      <c r="M1449">
        <v>225.13</v>
      </c>
      <c r="N1449" s="11">
        <v>46</v>
      </c>
      <c r="O1449" s="12">
        <v>4.48</v>
      </c>
      <c r="P1449" s="12">
        <v>7.24</v>
      </c>
      <c r="Q1449" s="13">
        <v>-205.75</v>
      </c>
      <c r="R1449" s="36" t="s">
        <v>1585</v>
      </c>
      <c r="S1449" s="7">
        <f t="shared" si="121"/>
        <v>2</v>
      </c>
      <c r="T1449" s="15" t="str">
        <f>VLOOKUP(R1449,产品分类!$C$2:$D$1278,2,0)</f>
        <v>办公用品</v>
      </c>
    </row>
    <row r="1450" spans="1:20">
      <c r="A1450" s="8">
        <f>DATE(2012,12,31)-1239</f>
        <v>40035</v>
      </c>
      <c r="B1450" s="8">
        <f>DATE(2012,12,31)-1239</f>
        <v>40035</v>
      </c>
      <c r="C1450" s="9" t="s">
        <v>1099</v>
      </c>
      <c r="D1450">
        <v>10021288338</v>
      </c>
      <c r="E1450" t="s">
        <v>47</v>
      </c>
      <c r="F1450" t="s">
        <v>171</v>
      </c>
      <c r="G1450" t="s">
        <v>172</v>
      </c>
      <c r="H1450" t="s">
        <v>933</v>
      </c>
      <c r="I1450" t="s">
        <v>934</v>
      </c>
      <c r="J1450" t="s">
        <v>367</v>
      </c>
      <c r="K1450" s="3">
        <v>100725282065</v>
      </c>
      <c r="L1450" s="10">
        <v>40036</v>
      </c>
      <c r="M1450">
        <v>121.73</v>
      </c>
      <c r="N1450" s="11">
        <v>23</v>
      </c>
      <c r="O1450" s="12">
        <v>4.98</v>
      </c>
      <c r="P1450" s="12">
        <v>6.07</v>
      </c>
      <c r="Q1450" s="13">
        <v>-69.07</v>
      </c>
      <c r="R1450" s="36" t="s">
        <v>1586</v>
      </c>
      <c r="S1450" s="7">
        <f t="shared" si="121"/>
        <v>1</v>
      </c>
      <c r="T1450" s="15" t="str">
        <f>VLOOKUP(R1450,产品分类!$C$2:$D$1278,2,0)</f>
        <v>家具产品</v>
      </c>
    </row>
    <row r="1451" spans="1:20">
      <c r="A1451" s="8">
        <f>DATE(2012,12,31)-6</f>
        <v>41268</v>
      </c>
      <c r="B1451" s="8">
        <f>DATE(2012,12,31)-6</f>
        <v>41268</v>
      </c>
      <c r="C1451" s="9" t="s">
        <v>904</v>
      </c>
      <c r="D1451">
        <v>10021420926</v>
      </c>
      <c r="E1451" t="s">
        <v>47</v>
      </c>
      <c r="F1451" t="s">
        <v>171</v>
      </c>
      <c r="G1451" t="s">
        <v>172</v>
      </c>
      <c r="H1451" t="s">
        <v>1587</v>
      </c>
      <c r="I1451" t="s">
        <v>1588</v>
      </c>
      <c r="J1451" t="s">
        <v>367</v>
      </c>
      <c r="K1451" s="3">
        <v>100125255227</v>
      </c>
      <c r="L1451" s="10">
        <v>41269</v>
      </c>
      <c r="M1451">
        <v>114.86</v>
      </c>
      <c r="N1451" s="11">
        <v>27</v>
      </c>
      <c r="O1451" s="12">
        <v>4.28</v>
      </c>
      <c r="P1451" s="12">
        <v>0.94</v>
      </c>
      <c r="Q1451" s="13">
        <v>16.21</v>
      </c>
      <c r="R1451" s="36" t="s">
        <v>637</v>
      </c>
      <c r="S1451" s="7">
        <f t="shared" si="121"/>
        <v>1</v>
      </c>
      <c r="T1451" s="15" t="str">
        <f>VLOOKUP(R1451,产品分类!$C$2:$D$1278,2,0)</f>
        <v>数码电子</v>
      </c>
    </row>
    <row r="1452" spans="1:20">
      <c r="A1452" s="16">
        <f t="shared" ref="A1452:B1455" si="125">DATE(2012,12,31)-241</f>
        <v>41033</v>
      </c>
      <c r="B1452" s="16">
        <f t="shared" si="125"/>
        <v>41033</v>
      </c>
      <c r="C1452" s="9" t="s">
        <v>1589</v>
      </c>
      <c r="D1452">
        <v>10021268693</v>
      </c>
      <c r="E1452" t="s">
        <v>47</v>
      </c>
      <c r="F1452" t="s">
        <v>171</v>
      </c>
      <c r="G1452" t="s">
        <v>172</v>
      </c>
      <c r="H1452" t="s">
        <v>1587</v>
      </c>
      <c r="I1452" t="s">
        <v>1588</v>
      </c>
      <c r="J1452" t="s">
        <v>367</v>
      </c>
      <c r="K1452" s="3">
        <v>100432407914</v>
      </c>
      <c r="L1452" s="10">
        <v>41035</v>
      </c>
      <c r="M1452">
        <v>1757.43</v>
      </c>
      <c r="N1452" s="17">
        <v>40</v>
      </c>
      <c r="O1452" s="5">
        <v>44.01</v>
      </c>
      <c r="P1452" s="5">
        <v>3.5</v>
      </c>
      <c r="Q1452" s="6">
        <v>490.77</v>
      </c>
      <c r="R1452" s="37" t="s">
        <v>1590</v>
      </c>
      <c r="S1452" s="7">
        <f t="shared" si="121"/>
        <v>2</v>
      </c>
      <c r="T1452" s="15" t="str">
        <f>VLOOKUP(R1452,产品分类!$C$2:$D$1278,2,0)</f>
        <v>办公用品</v>
      </c>
    </row>
    <row r="1453" spans="1:20">
      <c r="A1453" s="16">
        <f t="shared" si="125"/>
        <v>41033</v>
      </c>
      <c r="B1453" s="16">
        <f t="shared" si="125"/>
        <v>41033</v>
      </c>
      <c r="C1453" s="9" t="s">
        <v>1589</v>
      </c>
      <c r="D1453">
        <v>10021331054</v>
      </c>
      <c r="E1453" t="s">
        <v>47</v>
      </c>
      <c r="F1453" t="s">
        <v>527</v>
      </c>
      <c r="G1453" t="s">
        <v>528</v>
      </c>
      <c r="H1453" t="s">
        <v>1356</v>
      </c>
      <c r="I1453" t="s">
        <v>1357</v>
      </c>
      <c r="J1453" t="s">
        <v>367</v>
      </c>
      <c r="K1453" s="3">
        <v>1008562782</v>
      </c>
      <c r="L1453" s="10">
        <v>41040</v>
      </c>
      <c r="M1453">
        <v>137.26</v>
      </c>
      <c r="N1453" s="17">
        <v>8</v>
      </c>
      <c r="O1453" s="5">
        <v>15.99</v>
      </c>
      <c r="P1453" s="5">
        <v>13.18</v>
      </c>
      <c r="Q1453" s="6">
        <v>-54.6135</v>
      </c>
      <c r="R1453" s="37" t="s">
        <v>511</v>
      </c>
      <c r="S1453" s="7">
        <f t="shared" si="121"/>
        <v>7</v>
      </c>
      <c r="T1453" s="15" t="str">
        <f>VLOOKUP(R1453,产品分类!$C$2:$D$1278,2,0)</f>
        <v>数码电子</v>
      </c>
    </row>
    <row r="1454" spans="1:20">
      <c r="A1454" s="8">
        <f t="shared" si="125"/>
        <v>41033</v>
      </c>
      <c r="B1454" s="8">
        <f t="shared" si="125"/>
        <v>41033</v>
      </c>
      <c r="C1454" s="9" t="s">
        <v>1088</v>
      </c>
      <c r="D1454">
        <v>10021432190</v>
      </c>
      <c r="E1454" t="s">
        <v>47</v>
      </c>
      <c r="F1454" t="s">
        <v>171</v>
      </c>
      <c r="G1454" t="s">
        <v>172</v>
      </c>
      <c r="H1454" t="s">
        <v>1587</v>
      </c>
      <c r="I1454" t="s">
        <v>1588</v>
      </c>
      <c r="J1454" t="s">
        <v>367</v>
      </c>
      <c r="K1454" s="3">
        <v>100132291337</v>
      </c>
      <c r="L1454" s="10">
        <v>41035</v>
      </c>
      <c r="M1454">
        <v>2913.1455</v>
      </c>
      <c r="N1454" s="11">
        <v>20</v>
      </c>
      <c r="O1454" s="12">
        <v>175.99</v>
      </c>
      <c r="P1454" s="12">
        <v>4.99</v>
      </c>
      <c r="Q1454" s="13">
        <v>333.72</v>
      </c>
      <c r="R1454" s="36" t="s">
        <v>485</v>
      </c>
      <c r="S1454" s="7">
        <f t="shared" si="121"/>
        <v>2</v>
      </c>
      <c r="T1454" s="15" t="str">
        <f>VLOOKUP(R1454,产品分类!$C$2:$D$1278,2,0)</f>
        <v>数码电子</v>
      </c>
    </row>
    <row r="1455" spans="1:20">
      <c r="A1455" s="8">
        <f t="shared" si="125"/>
        <v>41033</v>
      </c>
      <c r="B1455" s="8">
        <f t="shared" si="125"/>
        <v>41033</v>
      </c>
      <c r="C1455" s="9" t="s">
        <v>1589</v>
      </c>
      <c r="D1455">
        <v>10021293801</v>
      </c>
      <c r="E1455" t="s">
        <v>47</v>
      </c>
      <c r="F1455" t="s">
        <v>177</v>
      </c>
      <c r="G1455" t="s">
        <v>178</v>
      </c>
      <c r="H1455" t="s">
        <v>1292</v>
      </c>
      <c r="I1455" t="s">
        <v>1293</v>
      </c>
      <c r="J1455" t="s">
        <v>367</v>
      </c>
      <c r="K1455" s="3">
        <v>10047063554</v>
      </c>
      <c r="L1455" s="10">
        <v>41038</v>
      </c>
      <c r="M1455">
        <v>246.98</v>
      </c>
      <c r="N1455" s="11">
        <v>35</v>
      </c>
      <c r="O1455" s="12">
        <v>7.38</v>
      </c>
      <c r="P1455" s="12">
        <v>5.21</v>
      </c>
      <c r="Q1455" s="13">
        <v>-94.78</v>
      </c>
      <c r="R1455" s="36" t="s">
        <v>163</v>
      </c>
      <c r="S1455" s="7">
        <f t="shared" si="121"/>
        <v>5</v>
      </c>
      <c r="T1455" s="15" t="str">
        <f>VLOOKUP(R1455,产品分类!$C$2:$D$1278,2,0)</f>
        <v>家具产品</v>
      </c>
    </row>
    <row r="1456" spans="1:20">
      <c r="A1456" s="8">
        <f>DATE(2012,12,31)-800</f>
        <v>40474</v>
      </c>
      <c r="B1456" s="8">
        <f>DATE(2012,12,31)-800</f>
        <v>40474</v>
      </c>
      <c r="C1456" s="9" t="s">
        <v>1591</v>
      </c>
      <c r="D1456">
        <v>10021365672</v>
      </c>
      <c r="E1456" t="s">
        <v>47</v>
      </c>
      <c r="F1456" t="s">
        <v>167</v>
      </c>
      <c r="G1456" t="s">
        <v>168</v>
      </c>
      <c r="H1456" t="s">
        <v>169</v>
      </c>
      <c r="I1456" t="s">
        <v>168</v>
      </c>
      <c r="J1456" t="s">
        <v>367</v>
      </c>
      <c r="K1456" s="3">
        <v>100323298989</v>
      </c>
      <c r="L1456" s="10">
        <v>40481</v>
      </c>
      <c r="M1456">
        <v>1968.47</v>
      </c>
      <c r="N1456" s="11">
        <v>47</v>
      </c>
      <c r="O1456" s="12">
        <v>40.97</v>
      </c>
      <c r="P1456" s="12">
        <v>8.99</v>
      </c>
      <c r="Q1456" s="13">
        <v>327.9</v>
      </c>
      <c r="R1456" s="36" t="s">
        <v>983</v>
      </c>
      <c r="S1456" s="7">
        <f t="shared" si="121"/>
        <v>7</v>
      </c>
      <c r="T1456" s="15" t="str">
        <f>VLOOKUP(R1456,产品分类!$C$2:$D$1278,2,0)</f>
        <v>办公用品</v>
      </c>
    </row>
    <row r="1457" spans="1:20">
      <c r="A1457" s="8">
        <f>DATE(2012,12,31)-776</f>
        <v>40498</v>
      </c>
      <c r="B1457" s="8">
        <f>DATE(2012,12,31)-776</f>
        <v>40498</v>
      </c>
      <c r="C1457" s="9" t="s">
        <v>1592</v>
      </c>
      <c r="D1457">
        <v>10021414102</v>
      </c>
      <c r="E1457" t="s">
        <v>47</v>
      </c>
      <c r="F1457" t="s">
        <v>342</v>
      </c>
      <c r="G1457" t="s">
        <v>343</v>
      </c>
      <c r="H1457" t="s">
        <v>344</v>
      </c>
      <c r="I1457" t="s">
        <v>345</v>
      </c>
      <c r="J1457" t="s">
        <v>367</v>
      </c>
      <c r="K1457" s="3">
        <v>10094687411</v>
      </c>
      <c r="L1457" s="10">
        <v>40499</v>
      </c>
      <c r="M1457">
        <v>6250.936</v>
      </c>
      <c r="N1457" s="11">
        <v>29</v>
      </c>
      <c r="O1457" s="12">
        <v>262.11</v>
      </c>
      <c r="P1457" s="12">
        <v>62.74</v>
      </c>
      <c r="Q1457" s="13">
        <v>31.21</v>
      </c>
      <c r="R1457" s="36" t="s">
        <v>1593</v>
      </c>
      <c r="S1457" s="7">
        <f t="shared" si="121"/>
        <v>1</v>
      </c>
      <c r="T1457" s="15" t="str">
        <f>VLOOKUP(R1457,产品分类!$C$2:$D$1278,2,0)</f>
        <v>数码电子</v>
      </c>
    </row>
    <row r="1458" spans="1:20">
      <c r="A1458" s="8">
        <f>DATE(2012,12,31)-962</f>
        <v>40312</v>
      </c>
      <c r="B1458" s="8">
        <f>DATE(2012,12,31)-962</f>
        <v>40312</v>
      </c>
      <c r="C1458" s="9" t="s">
        <v>1410</v>
      </c>
      <c r="D1458">
        <v>10021257741</v>
      </c>
      <c r="E1458" t="s">
        <v>47</v>
      </c>
      <c r="F1458" t="s">
        <v>61</v>
      </c>
      <c r="G1458" t="s">
        <v>62</v>
      </c>
      <c r="H1458" t="s">
        <v>1369</v>
      </c>
      <c r="I1458" t="s">
        <v>1370</v>
      </c>
      <c r="J1458" t="s">
        <v>367</v>
      </c>
      <c r="K1458" s="3">
        <v>100726673835</v>
      </c>
      <c r="L1458" s="10">
        <v>40313</v>
      </c>
      <c r="M1458">
        <v>7869.22</v>
      </c>
      <c r="N1458" s="11">
        <v>33</v>
      </c>
      <c r="O1458" s="12">
        <v>243.98</v>
      </c>
      <c r="P1458" s="12">
        <v>43.32</v>
      </c>
      <c r="Q1458" s="13">
        <v>1523.46</v>
      </c>
      <c r="R1458" s="36" t="s">
        <v>704</v>
      </c>
      <c r="S1458" s="7">
        <f t="shared" si="121"/>
        <v>1</v>
      </c>
      <c r="T1458" s="15" t="str">
        <f>VLOOKUP(R1458,产品分类!$C$2:$D$1278,2,0)</f>
        <v>数码电子</v>
      </c>
    </row>
    <row r="1459" spans="1:20">
      <c r="A1459" s="8">
        <f>DATE(2012,12,31)-962</f>
        <v>40312</v>
      </c>
      <c r="B1459" s="8">
        <f>DATE(2012,12,31)-962</f>
        <v>40312</v>
      </c>
      <c r="C1459" s="9" t="s">
        <v>1410</v>
      </c>
      <c r="D1459">
        <v>10021340112</v>
      </c>
      <c r="E1459" t="s">
        <v>47</v>
      </c>
      <c r="F1459" t="s">
        <v>61</v>
      </c>
      <c r="G1459" t="s">
        <v>62</v>
      </c>
      <c r="H1459" t="s">
        <v>1369</v>
      </c>
      <c r="I1459" t="s">
        <v>1370</v>
      </c>
      <c r="J1459" t="s">
        <v>367</v>
      </c>
      <c r="K1459" s="3">
        <v>100423070404</v>
      </c>
      <c r="L1459" s="10">
        <v>40314</v>
      </c>
      <c r="M1459">
        <v>912.44</v>
      </c>
      <c r="N1459" s="11">
        <v>36</v>
      </c>
      <c r="O1459" s="12">
        <v>25.38</v>
      </c>
      <c r="P1459" s="12">
        <v>8.99</v>
      </c>
      <c r="Q1459" s="13">
        <v>182.72</v>
      </c>
      <c r="R1459" s="36" t="s">
        <v>992</v>
      </c>
      <c r="S1459" s="7">
        <f t="shared" si="121"/>
        <v>2</v>
      </c>
      <c r="T1459" s="15" t="str">
        <f>VLOOKUP(R1459,产品分类!$C$2:$D$1278,2,0)</f>
        <v>数码电子</v>
      </c>
    </row>
    <row r="1460" spans="1:20">
      <c r="A1460" s="8">
        <f>DATE(2012,12,31)-1205</f>
        <v>40069</v>
      </c>
      <c r="B1460" s="8">
        <f>DATE(2012,12,31)-1205</f>
        <v>40069</v>
      </c>
      <c r="C1460" s="9" t="s">
        <v>1594</v>
      </c>
      <c r="D1460">
        <v>10021336675</v>
      </c>
      <c r="E1460" t="s">
        <v>47</v>
      </c>
      <c r="F1460" t="s">
        <v>61</v>
      </c>
      <c r="G1460" t="s">
        <v>62</v>
      </c>
      <c r="H1460" t="s">
        <v>1369</v>
      </c>
      <c r="I1460" t="s">
        <v>1370</v>
      </c>
      <c r="J1460" t="s">
        <v>367</v>
      </c>
      <c r="K1460" s="3">
        <v>100919605271</v>
      </c>
      <c r="L1460" s="10">
        <v>40071</v>
      </c>
      <c r="M1460">
        <v>838.4</v>
      </c>
      <c r="N1460" s="11">
        <v>47</v>
      </c>
      <c r="O1460" s="12">
        <v>17.7</v>
      </c>
      <c r="P1460" s="12">
        <v>9.47</v>
      </c>
      <c r="Q1460" s="13">
        <v>-132.91</v>
      </c>
      <c r="R1460" s="36" t="s">
        <v>290</v>
      </c>
      <c r="S1460" s="7">
        <f t="shared" si="121"/>
        <v>2</v>
      </c>
      <c r="T1460" s="15" t="str">
        <f>VLOOKUP(R1460,产品分类!$C$2:$D$1278,2,0)</f>
        <v>办公用品</v>
      </c>
    </row>
    <row r="1461" spans="1:20">
      <c r="A1461" s="8">
        <f>DATE(2012,12,31)-1434</f>
        <v>39840</v>
      </c>
      <c r="B1461" s="8">
        <f>DATE(2012,12,31)-1434</f>
        <v>39840</v>
      </c>
      <c r="C1461" s="9" t="s">
        <v>1261</v>
      </c>
      <c r="D1461">
        <v>10021466416</v>
      </c>
      <c r="E1461" t="s">
        <v>47</v>
      </c>
      <c r="F1461" t="s">
        <v>61</v>
      </c>
      <c r="G1461" t="s">
        <v>62</v>
      </c>
      <c r="H1461" t="s">
        <v>1369</v>
      </c>
      <c r="I1461" t="s">
        <v>1370</v>
      </c>
      <c r="J1461" t="s">
        <v>367</v>
      </c>
      <c r="K1461" s="3">
        <v>10038826079</v>
      </c>
      <c r="L1461" s="10">
        <v>39842</v>
      </c>
      <c r="M1461">
        <v>377.213</v>
      </c>
      <c r="N1461" s="11">
        <v>4</v>
      </c>
      <c r="O1461" s="12">
        <v>110.99</v>
      </c>
      <c r="P1461" s="12">
        <v>2.5</v>
      </c>
      <c r="Q1461" s="13">
        <v>-411.653</v>
      </c>
      <c r="R1461" s="36" t="s">
        <v>1056</v>
      </c>
      <c r="S1461" s="7">
        <f t="shared" si="121"/>
        <v>2</v>
      </c>
      <c r="T1461" s="15" t="str">
        <f>VLOOKUP(R1461,产品分类!$C$2:$D$1278,2,0)</f>
        <v>家具产品</v>
      </c>
    </row>
    <row r="1462" spans="1:20">
      <c r="A1462" s="8">
        <f>DATE(2012,12,31)-584</f>
        <v>40690</v>
      </c>
      <c r="B1462" s="8">
        <f>DATE(2012,12,31)-584</f>
        <v>40690</v>
      </c>
      <c r="C1462" s="9" t="s">
        <v>1592</v>
      </c>
      <c r="D1462">
        <v>10021424208</v>
      </c>
      <c r="E1462" t="s">
        <v>47</v>
      </c>
      <c r="F1462" t="s">
        <v>61</v>
      </c>
      <c r="G1462" t="s">
        <v>62</v>
      </c>
      <c r="H1462" t="s">
        <v>1369</v>
      </c>
      <c r="I1462" t="s">
        <v>1370</v>
      </c>
      <c r="J1462" t="s">
        <v>367</v>
      </c>
      <c r="K1462" s="3">
        <v>100428657264</v>
      </c>
      <c r="L1462" s="10">
        <v>40692</v>
      </c>
      <c r="M1462">
        <v>854.88</v>
      </c>
      <c r="N1462" s="11">
        <v>25</v>
      </c>
      <c r="O1462" s="12">
        <v>33.98</v>
      </c>
      <c r="P1462" s="12">
        <v>19.99</v>
      </c>
      <c r="Q1462" s="13">
        <v>-44.14</v>
      </c>
      <c r="R1462" s="36" t="s">
        <v>1302</v>
      </c>
      <c r="S1462" s="7">
        <f t="shared" si="121"/>
        <v>2</v>
      </c>
      <c r="T1462" s="15" t="str">
        <f>VLOOKUP(R1462,产品分类!$C$2:$D$1278,2,0)</f>
        <v>数码电子</v>
      </c>
    </row>
    <row r="1463" spans="1:20">
      <c r="A1463" s="8">
        <f>DATE(2012,12,31)-584</f>
        <v>40690</v>
      </c>
      <c r="B1463" s="8">
        <f>DATE(2012,12,31)-584</f>
        <v>40690</v>
      </c>
      <c r="C1463" s="9" t="s">
        <v>1592</v>
      </c>
      <c r="D1463">
        <v>10021286449</v>
      </c>
      <c r="E1463" t="s">
        <v>47</v>
      </c>
      <c r="F1463" t="s">
        <v>253</v>
      </c>
      <c r="G1463" t="s">
        <v>254</v>
      </c>
      <c r="H1463" t="s">
        <v>255</v>
      </c>
      <c r="I1463" t="s">
        <v>256</v>
      </c>
      <c r="J1463" t="s">
        <v>367</v>
      </c>
      <c r="K1463" s="3">
        <v>10074726795</v>
      </c>
      <c r="L1463" s="10">
        <v>40697</v>
      </c>
      <c r="M1463">
        <v>80.27</v>
      </c>
      <c r="N1463" s="11">
        <v>46</v>
      </c>
      <c r="O1463" s="12">
        <v>1.76</v>
      </c>
      <c r="P1463" s="12">
        <v>0.7</v>
      </c>
      <c r="Q1463" s="13">
        <v>-0.79</v>
      </c>
      <c r="R1463" s="36" t="s">
        <v>318</v>
      </c>
      <c r="S1463" s="7">
        <f t="shared" si="121"/>
        <v>7</v>
      </c>
      <c r="T1463" s="15" t="str">
        <f>VLOOKUP(R1463,产品分类!$C$2:$D$1278,2,0)</f>
        <v>办公用品</v>
      </c>
    </row>
    <row r="1464" spans="1:20">
      <c r="A1464" s="8">
        <f>DATE(2012,12,31)-1146</f>
        <v>40128</v>
      </c>
      <c r="B1464" s="8">
        <f>DATE(2012,12,31)-1146</f>
        <v>40128</v>
      </c>
      <c r="C1464" s="9" t="s">
        <v>1595</v>
      </c>
      <c r="D1464">
        <v>10021453083</v>
      </c>
      <c r="E1464" t="s">
        <v>47</v>
      </c>
      <c r="F1464" t="s">
        <v>61</v>
      </c>
      <c r="G1464" t="s">
        <v>62</v>
      </c>
      <c r="H1464" t="s">
        <v>1369</v>
      </c>
      <c r="I1464" t="s">
        <v>1370</v>
      </c>
      <c r="J1464" t="s">
        <v>367</v>
      </c>
      <c r="K1464" s="3">
        <v>100131808136</v>
      </c>
      <c r="L1464" s="10">
        <v>40129</v>
      </c>
      <c r="M1464">
        <v>994.04</v>
      </c>
      <c r="N1464" s="11">
        <v>10</v>
      </c>
      <c r="O1464" s="12">
        <v>95.99</v>
      </c>
      <c r="P1464" s="12">
        <v>35</v>
      </c>
      <c r="Q1464" s="13">
        <v>-335.06</v>
      </c>
      <c r="R1464" s="36" t="s">
        <v>144</v>
      </c>
      <c r="S1464" s="7">
        <f t="shared" si="121"/>
        <v>1</v>
      </c>
      <c r="T1464" s="15" t="str">
        <f>VLOOKUP(R1464,产品分类!$C$2:$D$1278,2,0)</f>
        <v>办公用品</v>
      </c>
    </row>
    <row r="1465" spans="1:20">
      <c r="A1465" s="8">
        <f>DATE(2012,12,31)-824</f>
        <v>40450</v>
      </c>
      <c r="B1465" s="8">
        <f>DATE(2012,12,31)-824</f>
        <v>40450</v>
      </c>
      <c r="C1465" s="9" t="s">
        <v>1480</v>
      </c>
      <c r="D1465">
        <v>10021259189</v>
      </c>
      <c r="E1465" t="s">
        <v>47</v>
      </c>
      <c r="F1465" t="s">
        <v>61</v>
      </c>
      <c r="G1465" t="s">
        <v>62</v>
      </c>
      <c r="H1465" t="s">
        <v>1369</v>
      </c>
      <c r="I1465" t="s">
        <v>1370</v>
      </c>
      <c r="J1465" t="s">
        <v>367</v>
      </c>
      <c r="K1465" s="3">
        <v>100918207931</v>
      </c>
      <c r="L1465" s="10">
        <v>40451</v>
      </c>
      <c r="M1465">
        <v>10223.19</v>
      </c>
      <c r="N1465" s="11">
        <v>38</v>
      </c>
      <c r="O1465" s="12">
        <v>289.53</v>
      </c>
      <c r="P1465" s="12">
        <v>19.99</v>
      </c>
      <c r="Q1465" s="13">
        <v>2723.31</v>
      </c>
      <c r="R1465" s="36" t="s">
        <v>1596</v>
      </c>
      <c r="S1465" s="7">
        <f t="shared" si="121"/>
        <v>1</v>
      </c>
      <c r="T1465" s="15" t="str">
        <f>VLOOKUP(R1465,产品分类!$C$2:$D$1278,2,0)</f>
        <v>办公用品</v>
      </c>
    </row>
    <row r="1466" spans="1:20">
      <c r="A1466" s="8">
        <f>DATE(2012,12,31)-824</f>
        <v>40450</v>
      </c>
      <c r="B1466" s="8">
        <f>DATE(2012,12,31)-824</f>
        <v>40450</v>
      </c>
      <c r="C1466" s="9" t="s">
        <v>1480</v>
      </c>
      <c r="D1466">
        <v>10021252919</v>
      </c>
      <c r="E1466" t="s">
        <v>47</v>
      </c>
      <c r="F1466" t="s">
        <v>61</v>
      </c>
      <c r="G1466" t="s">
        <v>62</v>
      </c>
      <c r="H1466" t="s">
        <v>1369</v>
      </c>
      <c r="I1466" t="s">
        <v>1370</v>
      </c>
      <c r="J1466" t="s">
        <v>367</v>
      </c>
      <c r="K1466" s="3">
        <v>100915566881</v>
      </c>
      <c r="L1466" s="10">
        <v>40452</v>
      </c>
      <c r="M1466">
        <v>312.42</v>
      </c>
      <c r="N1466" s="11">
        <v>50</v>
      </c>
      <c r="O1466" s="12">
        <v>6.48</v>
      </c>
      <c r="P1466" s="12">
        <v>5.4</v>
      </c>
      <c r="Q1466" s="13">
        <v>-90.42</v>
      </c>
      <c r="R1466" s="36" t="s">
        <v>580</v>
      </c>
      <c r="S1466" s="7">
        <f t="shared" si="121"/>
        <v>2</v>
      </c>
      <c r="T1466" s="15" t="str">
        <f>VLOOKUP(R1466,产品分类!$C$2:$D$1278,2,0)</f>
        <v>家具产品</v>
      </c>
    </row>
    <row r="1467" spans="1:20">
      <c r="A1467" s="8">
        <f>DATE(2012,12,31)-277</f>
        <v>40997</v>
      </c>
      <c r="B1467" s="8">
        <f>DATE(2012,12,31)-277</f>
        <v>40997</v>
      </c>
      <c r="C1467" s="9" t="s">
        <v>1597</v>
      </c>
      <c r="D1467">
        <v>10021261397</v>
      </c>
      <c r="E1467" t="s">
        <v>47</v>
      </c>
      <c r="F1467" t="s">
        <v>66</v>
      </c>
      <c r="G1467" t="s">
        <v>67</v>
      </c>
      <c r="H1467" t="s">
        <v>1435</v>
      </c>
      <c r="I1467" t="s">
        <v>1436</v>
      </c>
      <c r="J1467" t="s">
        <v>367</v>
      </c>
      <c r="K1467" s="3">
        <v>100129432776</v>
      </c>
      <c r="L1467" s="10">
        <v>40998</v>
      </c>
      <c r="M1467">
        <v>1111.008</v>
      </c>
      <c r="N1467" s="11">
        <v>10</v>
      </c>
      <c r="O1467" s="12">
        <v>146.34</v>
      </c>
      <c r="P1467" s="12">
        <v>43.75</v>
      </c>
      <c r="Q1467" s="13">
        <v>-146.29</v>
      </c>
      <c r="R1467" s="36" t="s">
        <v>998</v>
      </c>
      <c r="S1467" s="7">
        <f t="shared" si="121"/>
        <v>1</v>
      </c>
      <c r="T1467" s="15" t="str">
        <f>VLOOKUP(R1467,产品分类!$C$2:$D$1278,2,0)</f>
        <v>办公用品</v>
      </c>
    </row>
    <row r="1468" spans="1:20">
      <c r="A1468" s="8">
        <f>DATE(2012,12,31)-323</f>
        <v>40951</v>
      </c>
      <c r="B1468" s="8">
        <f>DATE(2012,12,31)-323</f>
        <v>40951</v>
      </c>
      <c r="C1468" s="9" t="s">
        <v>462</v>
      </c>
      <c r="D1468">
        <v>10021268206</v>
      </c>
      <c r="E1468" t="s">
        <v>47</v>
      </c>
      <c r="F1468" t="s">
        <v>72</v>
      </c>
      <c r="G1468" t="s">
        <v>73</v>
      </c>
      <c r="H1468" t="s">
        <v>1572</v>
      </c>
      <c r="I1468" t="s">
        <v>1573</v>
      </c>
      <c r="J1468" t="s">
        <v>367</v>
      </c>
      <c r="K1468" s="3">
        <v>100130553518</v>
      </c>
      <c r="L1468" s="10">
        <v>40952</v>
      </c>
      <c r="M1468">
        <v>435.27</v>
      </c>
      <c r="N1468" s="11">
        <v>27</v>
      </c>
      <c r="O1468" s="12">
        <v>15.98</v>
      </c>
      <c r="P1468" s="12">
        <v>8.99</v>
      </c>
      <c r="Q1468" s="13">
        <v>-147.51</v>
      </c>
      <c r="R1468" s="36" t="s">
        <v>1256</v>
      </c>
      <c r="S1468" s="7">
        <f t="shared" si="121"/>
        <v>1</v>
      </c>
      <c r="T1468" s="15" t="str">
        <f>VLOOKUP(R1468,产品分类!$C$2:$D$1278,2,0)</f>
        <v>家具产品</v>
      </c>
    </row>
    <row r="1469" spans="1:20">
      <c r="A1469" s="8">
        <f>DATE(2012,12,31)-323</f>
        <v>40951</v>
      </c>
      <c r="B1469" s="8">
        <f>DATE(2012,12,31)-323</f>
        <v>40951</v>
      </c>
      <c r="C1469" s="9" t="s">
        <v>462</v>
      </c>
      <c r="D1469">
        <v>10021430589</v>
      </c>
      <c r="E1469" t="s">
        <v>47</v>
      </c>
      <c r="F1469" t="s">
        <v>61</v>
      </c>
      <c r="G1469" t="s">
        <v>62</v>
      </c>
      <c r="H1469" t="s">
        <v>1369</v>
      </c>
      <c r="I1469" t="s">
        <v>1370</v>
      </c>
      <c r="J1469" t="s">
        <v>367</v>
      </c>
      <c r="K1469" s="3">
        <v>100731030355</v>
      </c>
      <c r="L1469" s="10">
        <v>40953</v>
      </c>
      <c r="M1469">
        <v>723.82</v>
      </c>
      <c r="N1469" s="11">
        <v>26</v>
      </c>
      <c r="O1469" s="12">
        <v>27.42</v>
      </c>
      <c r="P1469" s="12">
        <v>19.46</v>
      </c>
      <c r="Q1469" s="13">
        <v>-40.98</v>
      </c>
      <c r="R1469" s="36" t="s">
        <v>1345</v>
      </c>
      <c r="S1469" s="7">
        <f t="shared" si="121"/>
        <v>2</v>
      </c>
      <c r="T1469" s="15" t="str">
        <f>VLOOKUP(R1469,产品分类!$C$2:$D$1278,2,0)</f>
        <v>家具产品</v>
      </c>
    </row>
    <row r="1470" spans="1:20">
      <c r="A1470" s="8">
        <f>DATE(2012,12,31)-1107</f>
        <v>40167</v>
      </c>
      <c r="B1470" s="8">
        <f>DATE(2012,12,31)-1107</f>
        <v>40167</v>
      </c>
      <c r="C1470" s="9" t="s">
        <v>1598</v>
      </c>
      <c r="D1470">
        <v>10021437985</v>
      </c>
      <c r="E1470" t="s">
        <v>47</v>
      </c>
      <c r="F1470" t="s">
        <v>72</v>
      </c>
      <c r="G1470" t="s">
        <v>73</v>
      </c>
      <c r="H1470" t="s">
        <v>1572</v>
      </c>
      <c r="I1470" t="s">
        <v>1573</v>
      </c>
      <c r="J1470" t="s">
        <v>367</v>
      </c>
      <c r="K1470" s="3">
        <v>100732099845</v>
      </c>
      <c r="L1470" s="10">
        <v>40169</v>
      </c>
      <c r="M1470">
        <v>1082.43</v>
      </c>
      <c r="N1470" s="11">
        <v>23</v>
      </c>
      <c r="O1470" s="12">
        <v>47.98</v>
      </c>
      <c r="P1470" s="12">
        <v>3.61</v>
      </c>
      <c r="Q1470" s="13">
        <v>23.97</v>
      </c>
      <c r="R1470" s="36" t="s">
        <v>364</v>
      </c>
      <c r="S1470" s="7">
        <f t="shared" si="121"/>
        <v>2</v>
      </c>
      <c r="T1470" s="15" t="str">
        <f>VLOOKUP(R1470,产品分类!$C$2:$D$1278,2,0)</f>
        <v>数码电子</v>
      </c>
    </row>
    <row r="1471" spans="1:20">
      <c r="A1471" s="8">
        <f>DATE(2012,12,31)-1041</f>
        <v>40233</v>
      </c>
      <c r="B1471" s="8">
        <f>DATE(2012,12,31)-1041</f>
        <v>40233</v>
      </c>
      <c r="C1471" s="9" t="s">
        <v>805</v>
      </c>
      <c r="D1471">
        <v>10021475351</v>
      </c>
      <c r="E1471" t="s">
        <v>47</v>
      </c>
      <c r="F1471" t="s">
        <v>473</v>
      </c>
      <c r="G1471" t="s">
        <v>474</v>
      </c>
      <c r="H1471" t="s">
        <v>475</v>
      </c>
      <c r="I1471" t="s">
        <v>476</v>
      </c>
      <c r="J1471" t="s">
        <v>367</v>
      </c>
      <c r="K1471" s="3">
        <v>10047043943</v>
      </c>
      <c r="L1471" s="10">
        <v>40238</v>
      </c>
      <c r="M1471">
        <v>40.23</v>
      </c>
      <c r="N1471" s="11">
        <v>4</v>
      </c>
      <c r="O1471" s="12">
        <v>7.77</v>
      </c>
      <c r="P1471" s="12">
        <v>9.23</v>
      </c>
      <c r="Q1471" s="13">
        <v>-30.26</v>
      </c>
      <c r="R1471" s="36" t="s">
        <v>1440</v>
      </c>
      <c r="S1471" s="7">
        <f t="shared" si="121"/>
        <v>5</v>
      </c>
      <c r="T1471" s="15" t="str">
        <f>VLOOKUP(R1471,产品分类!$C$2:$D$1278,2,0)</f>
        <v>家具产品</v>
      </c>
    </row>
    <row r="1472" spans="1:20">
      <c r="A1472" s="8">
        <f>DATE(2012,12,31)-1207</f>
        <v>40067</v>
      </c>
      <c r="B1472" s="8">
        <f>DATE(2012,12,31)-1207</f>
        <v>40067</v>
      </c>
      <c r="C1472" s="9" t="s">
        <v>108</v>
      </c>
      <c r="D1472">
        <v>10021305828</v>
      </c>
      <c r="E1472" t="s">
        <v>47</v>
      </c>
      <c r="F1472" t="s">
        <v>91</v>
      </c>
      <c r="G1472" t="s">
        <v>92</v>
      </c>
      <c r="H1472" t="s">
        <v>1412</v>
      </c>
      <c r="I1472" t="s">
        <v>1413</v>
      </c>
      <c r="J1472" t="s">
        <v>367</v>
      </c>
      <c r="K1472" s="3">
        <v>100832634912</v>
      </c>
      <c r="L1472" s="10">
        <v>40069</v>
      </c>
      <c r="M1472">
        <v>341.55</v>
      </c>
      <c r="N1472" s="11">
        <v>39</v>
      </c>
      <c r="O1472" s="12">
        <v>8.37</v>
      </c>
      <c r="P1472" s="12">
        <v>10.16</v>
      </c>
      <c r="Q1472" s="13">
        <v>-255.65</v>
      </c>
      <c r="R1472" s="36" t="s">
        <v>1599</v>
      </c>
      <c r="S1472" s="7">
        <f t="shared" si="121"/>
        <v>2</v>
      </c>
      <c r="T1472" s="15" t="str">
        <f>VLOOKUP(R1472,产品分类!$C$2:$D$1278,2,0)</f>
        <v>家具产品</v>
      </c>
    </row>
    <row r="1473" spans="1:20">
      <c r="A1473" s="8">
        <f>DATE(2012,12,31)-1207</f>
        <v>40067</v>
      </c>
      <c r="B1473" s="8">
        <f>DATE(2012,12,31)-1207</f>
        <v>40067</v>
      </c>
      <c r="C1473" s="9" t="s">
        <v>108</v>
      </c>
      <c r="D1473">
        <v>10021321821</v>
      </c>
      <c r="E1473" t="s">
        <v>47</v>
      </c>
      <c r="F1473" t="s">
        <v>177</v>
      </c>
      <c r="G1473" t="s">
        <v>178</v>
      </c>
      <c r="H1473" t="s">
        <v>1292</v>
      </c>
      <c r="I1473" t="s">
        <v>1293</v>
      </c>
      <c r="J1473" t="s">
        <v>367</v>
      </c>
      <c r="K1473" s="3">
        <v>100322823869</v>
      </c>
      <c r="L1473" s="10">
        <v>40069</v>
      </c>
      <c r="M1473">
        <v>98.37</v>
      </c>
      <c r="N1473" s="11">
        <v>14</v>
      </c>
      <c r="O1473" s="12">
        <v>6.48</v>
      </c>
      <c r="P1473" s="12">
        <v>9.17</v>
      </c>
      <c r="Q1473" s="13">
        <v>-76.54</v>
      </c>
      <c r="R1473" s="36" t="s">
        <v>1600</v>
      </c>
      <c r="S1473" s="7">
        <f t="shared" si="121"/>
        <v>2</v>
      </c>
      <c r="T1473" s="15" t="str">
        <f>VLOOKUP(R1473,产品分类!$C$2:$D$1278,2,0)</f>
        <v>办公用品</v>
      </c>
    </row>
    <row r="1474" spans="1:20">
      <c r="A1474" s="8">
        <f>DATE(2012,12,31)-1061</f>
        <v>40213</v>
      </c>
      <c r="B1474" s="8">
        <f>DATE(2012,12,31)-1061</f>
        <v>40213</v>
      </c>
      <c r="C1474" s="9" t="s">
        <v>1601</v>
      </c>
      <c r="D1474">
        <v>10021412500</v>
      </c>
      <c r="E1474" t="s">
        <v>47</v>
      </c>
      <c r="F1474" t="s">
        <v>342</v>
      </c>
      <c r="G1474" t="s">
        <v>343</v>
      </c>
      <c r="H1474" t="s">
        <v>344</v>
      </c>
      <c r="I1474" t="s">
        <v>345</v>
      </c>
      <c r="J1474" t="s">
        <v>367</v>
      </c>
      <c r="K1474" s="3">
        <v>100432782774</v>
      </c>
      <c r="L1474" s="10">
        <v>40215</v>
      </c>
      <c r="M1474">
        <v>2773.84</v>
      </c>
      <c r="N1474" s="11">
        <v>44</v>
      </c>
      <c r="O1474" s="12">
        <v>58.14</v>
      </c>
      <c r="P1474" s="12">
        <v>36.61</v>
      </c>
      <c r="Q1474" s="13">
        <v>-513.76</v>
      </c>
      <c r="R1474" s="36" t="s">
        <v>1368</v>
      </c>
      <c r="S1474" s="7">
        <f t="shared" si="121"/>
        <v>2</v>
      </c>
      <c r="T1474" s="15" t="str">
        <f>VLOOKUP(R1474,产品分类!$C$2:$D$1278,2,0)</f>
        <v>数码电子</v>
      </c>
    </row>
    <row r="1475" spans="1:20">
      <c r="A1475" s="16">
        <f>DATE(2012,12,31)-828</f>
        <v>40446</v>
      </c>
      <c r="B1475" s="16">
        <f>DATE(2012,12,31)-828</f>
        <v>40446</v>
      </c>
      <c r="C1475" s="9" t="s">
        <v>609</v>
      </c>
      <c r="D1475">
        <v>10021278532</v>
      </c>
      <c r="E1475" t="s">
        <v>47</v>
      </c>
      <c r="F1475" t="s">
        <v>342</v>
      </c>
      <c r="G1475" t="s">
        <v>343</v>
      </c>
      <c r="H1475" t="s">
        <v>1602</v>
      </c>
      <c r="I1475" t="s">
        <v>1603</v>
      </c>
      <c r="J1475" t="s">
        <v>367</v>
      </c>
      <c r="K1475" s="3">
        <v>10092134451</v>
      </c>
      <c r="L1475" s="10">
        <v>40448</v>
      </c>
      <c r="M1475">
        <v>289.94</v>
      </c>
      <c r="N1475" s="17">
        <v>44</v>
      </c>
      <c r="O1475" s="5">
        <v>6.48</v>
      </c>
      <c r="P1475" s="5">
        <v>6.22</v>
      </c>
      <c r="Q1475" s="6">
        <v>-102.19</v>
      </c>
      <c r="R1475" s="37" t="s">
        <v>1393</v>
      </c>
      <c r="S1475" s="7">
        <f t="shared" ref="S1475:S1538" si="126">+L1475-B1475</f>
        <v>2</v>
      </c>
      <c r="T1475" s="15" t="str">
        <f>VLOOKUP(R1475,产品分类!$C$2:$D$1278,2,0)</f>
        <v>家具产品</v>
      </c>
    </row>
    <row r="1476" spans="1:20">
      <c r="A1476" s="8">
        <f>DATE(2012,12,31)-828</f>
        <v>40446</v>
      </c>
      <c r="B1476" s="8">
        <f>DATE(2012,12,31)-828</f>
        <v>40446</v>
      </c>
      <c r="C1476" s="9" t="s">
        <v>609</v>
      </c>
      <c r="D1476">
        <v>10021475151</v>
      </c>
      <c r="E1476" t="s">
        <v>47</v>
      </c>
      <c r="F1476" t="s">
        <v>61</v>
      </c>
      <c r="G1476" t="s">
        <v>62</v>
      </c>
      <c r="H1476" t="s">
        <v>1369</v>
      </c>
      <c r="I1476" t="s">
        <v>1370</v>
      </c>
      <c r="J1476" t="s">
        <v>367</v>
      </c>
      <c r="K1476" s="3">
        <v>100129814358</v>
      </c>
      <c r="L1476" s="10">
        <v>40447</v>
      </c>
      <c r="M1476">
        <v>1848.52</v>
      </c>
      <c r="N1476" s="11">
        <v>8</v>
      </c>
      <c r="O1476" s="12">
        <v>218.75</v>
      </c>
      <c r="P1476" s="12">
        <v>69.64</v>
      </c>
      <c r="Q1476" s="13">
        <v>-493.6</v>
      </c>
      <c r="R1476" s="36" t="s">
        <v>456</v>
      </c>
      <c r="S1476" s="7">
        <f t="shared" si="126"/>
        <v>1</v>
      </c>
      <c r="T1476" s="15" t="str">
        <f>VLOOKUP(R1476,产品分类!$C$2:$D$1278,2,0)</f>
        <v>办公用品</v>
      </c>
    </row>
    <row r="1477" spans="1:20">
      <c r="A1477" s="8">
        <f t="shared" ref="A1477:B1479" si="127">DATE(2012,12,31)-1222</f>
        <v>40052</v>
      </c>
      <c r="B1477" s="8">
        <f t="shared" si="127"/>
        <v>40052</v>
      </c>
      <c r="C1477" s="9" t="s">
        <v>1604</v>
      </c>
      <c r="D1477">
        <v>10021377734</v>
      </c>
      <c r="E1477" t="s">
        <v>47</v>
      </c>
      <c r="F1477" t="s">
        <v>61</v>
      </c>
      <c r="G1477" t="s">
        <v>62</v>
      </c>
      <c r="H1477" t="s">
        <v>1369</v>
      </c>
      <c r="I1477" t="s">
        <v>1370</v>
      </c>
      <c r="J1477" t="s">
        <v>367</v>
      </c>
      <c r="K1477" s="3">
        <v>100413825443</v>
      </c>
      <c r="L1477" s="10">
        <v>40056</v>
      </c>
      <c r="M1477">
        <v>262.54</v>
      </c>
      <c r="N1477" s="11">
        <v>31</v>
      </c>
      <c r="O1477" s="12">
        <v>8.5</v>
      </c>
      <c r="P1477" s="12">
        <v>1.99</v>
      </c>
      <c r="Q1477" s="13">
        <v>29.24</v>
      </c>
      <c r="R1477" s="36" t="s">
        <v>973</v>
      </c>
      <c r="S1477" s="7">
        <f t="shared" si="126"/>
        <v>4</v>
      </c>
      <c r="T1477" s="15" t="str">
        <f>VLOOKUP(R1477,产品分类!$C$2:$D$1278,2,0)</f>
        <v>办公用品</v>
      </c>
    </row>
    <row r="1478" spans="1:20">
      <c r="A1478" s="8">
        <f t="shared" si="127"/>
        <v>40052</v>
      </c>
      <c r="B1478" s="8">
        <f t="shared" si="127"/>
        <v>40052</v>
      </c>
      <c r="C1478" s="9" t="s">
        <v>1604</v>
      </c>
      <c r="D1478">
        <v>10021288925</v>
      </c>
      <c r="E1478" t="s">
        <v>47</v>
      </c>
      <c r="F1478" t="s">
        <v>304</v>
      </c>
      <c r="G1478" t="s">
        <v>305</v>
      </c>
      <c r="H1478" t="s">
        <v>1550</v>
      </c>
      <c r="I1478" t="s">
        <v>1551</v>
      </c>
      <c r="J1478" t="s">
        <v>367</v>
      </c>
      <c r="K1478" s="3">
        <v>100830299692</v>
      </c>
      <c r="L1478" s="10">
        <v>40052</v>
      </c>
      <c r="M1478">
        <v>190.73</v>
      </c>
      <c r="N1478" s="11">
        <v>12</v>
      </c>
      <c r="O1478" s="12">
        <v>15.99</v>
      </c>
      <c r="P1478" s="12">
        <v>9.4</v>
      </c>
      <c r="Q1478" s="13">
        <v>-69.6435</v>
      </c>
      <c r="R1478" s="36" t="s">
        <v>349</v>
      </c>
      <c r="S1478" s="7">
        <f t="shared" si="126"/>
        <v>0</v>
      </c>
      <c r="T1478" s="15" t="str">
        <f>VLOOKUP(R1478,产品分类!$C$2:$D$1278,2,0)</f>
        <v>数码电子</v>
      </c>
    </row>
    <row r="1479" spans="1:20">
      <c r="A1479" s="8">
        <f t="shared" si="127"/>
        <v>40052</v>
      </c>
      <c r="B1479" s="8">
        <f t="shared" si="127"/>
        <v>40052</v>
      </c>
      <c r="C1479" s="9" t="s">
        <v>1604</v>
      </c>
      <c r="D1479">
        <v>10021403159</v>
      </c>
      <c r="E1479" t="s">
        <v>47</v>
      </c>
      <c r="F1479" t="s">
        <v>66</v>
      </c>
      <c r="G1479" t="s">
        <v>67</v>
      </c>
      <c r="H1479" t="s">
        <v>1435</v>
      </c>
      <c r="I1479" t="s">
        <v>1436</v>
      </c>
      <c r="J1479" t="s">
        <v>367</v>
      </c>
      <c r="K1479" s="3">
        <v>100312652789</v>
      </c>
      <c r="L1479" s="10">
        <v>40059</v>
      </c>
      <c r="M1479">
        <v>1332.97</v>
      </c>
      <c r="N1479" s="11">
        <v>17</v>
      </c>
      <c r="O1479" s="12">
        <v>95.99</v>
      </c>
      <c r="P1479" s="12">
        <v>8.99</v>
      </c>
      <c r="Q1479" s="13">
        <v>4.752</v>
      </c>
      <c r="R1479" s="36" t="s">
        <v>1605</v>
      </c>
      <c r="S1479" s="7">
        <f t="shared" si="126"/>
        <v>7</v>
      </c>
      <c r="T1479" s="15" t="str">
        <f>VLOOKUP(R1479,产品分类!$C$2:$D$1278,2,0)</f>
        <v>家具产品</v>
      </c>
    </row>
    <row r="1480" spans="1:20">
      <c r="A1480" s="8">
        <f>DATE(2012,12,31)-1327</f>
        <v>39947</v>
      </c>
      <c r="B1480" s="8">
        <f>DATE(2012,12,31)-1327</f>
        <v>39947</v>
      </c>
      <c r="C1480" s="9" t="s">
        <v>1606</v>
      </c>
      <c r="D1480">
        <v>10021353526</v>
      </c>
      <c r="E1480" t="s">
        <v>47</v>
      </c>
      <c r="F1480" t="s">
        <v>48</v>
      </c>
      <c r="G1480" t="s">
        <v>49</v>
      </c>
      <c r="H1480" t="s">
        <v>1433</v>
      </c>
      <c r="I1480" t="s">
        <v>1434</v>
      </c>
      <c r="J1480" t="s">
        <v>367</v>
      </c>
      <c r="K1480" s="3">
        <v>100732570805</v>
      </c>
      <c r="L1480" s="10">
        <v>39947</v>
      </c>
      <c r="M1480">
        <v>227.37</v>
      </c>
      <c r="N1480" s="11">
        <v>40</v>
      </c>
      <c r="O1480" s="12">
        <v>5.28</v>
      </c>
      <c r="P1480" s="12">
        <v>5.61</v>
      </c>
      <c r="Q1480" s="13">
        <v>-92.07</v>
      </c>
      <c r="R1480" s="36" t="s">
        <v>1607</v>
      </c>
      <c r="S1480" s="7">
        <f t="shared" si="126"/>
        <v>0</v>
      </c>
      <c r="T1480" s="15" t="str">
        <f>VLOOKUP(R1480,产品分类!$C$2:$D$1278,2,0)</f>
        <v>办公用品</v>
      </c>
    </row>
    <row r="1481" spans="1:20">
      <c r="A1481" s="8">
        <f>DATE(2012,12,31)-1438</f>
        <v>39836</v>
      </c>
      <c r="B1481" s="8">
        <f>DATE(2012,12,31)-1438</f>
        <v>39836</v>
      </c>
      <c r="C1481" s="9" t="s">
        <v>1608</v>
      </c>
      <c r="D1481">
        <v>10021299780</v>
      </c>
      <c r="E1481" t="s">
        <v>47</v>
      </c>
      <c r="F1481" t="s">
        <v>152</v>
      </c>
      <c r="G1481" t="s">
        <v>153</v>
      </c>
      <c r="H1481" t="s">
        <v>1474</v>
      </c>
      <c r="I1481" t="s">
        <v>1475</v>
      </c>
      <c r="J1481" t="s">
        <v>367</v>
      </c>
      <c r="K1481" s="3">
        <v>100327075379</v>
      </c>
      <c r="L1481" s="10">
        <v>39837</v>
      </c>
      <c r="M1481">
        <v>136.41</v>
      </c>
      <c r="N1481" s="11">
        <v>18</v>
      </c>
      <c r="O1481" s="12">
        <v>6.84</v>
      </c>
      <c r="P1481" s="12">
        <v>8.37</v>
      </c>
      <c r="Q1481" s="13">
        <v>-99.34</v>
      </c>
      <c r="R1481" s="36" t="s">
        <v>1239</v>
      </c>
      <c r="S1481" s="7">
        <f t="shared" si="126"/>
        <v>1</v>
      </c>
      <c r="T1481" s="15" t="str">
        <f>VLOOKUP(R1481,产品分类!$C$2:$D$1278,2,0)</f>
        <v>办公用品</v>
      </c>
    </row>
    <row r="1482" spans="1:20">
      <c r="A1482" s="16">
        <f>DATE(2012,12,31)-1438</f>
        <v>39836</v>
      </c>
      <c r="B1482" s="16">
        <f>DATE(2012,12,31)-1438</f>
        <v>39836</v>
      </c>
      <c r="C1482" s="9" t="s">
        <v>1608</v>
      </c>
      <c r="D1482">
        <v>10021430109</v>
      </c>
      <c r="E1482" t="s">
        <v>47</v>
      </c>
      <c r="F1482" t="s">
        <v>66</v>
      </c>
      <c r="G1482" t="s">
        <v>67</v>
      </c>
      <c r="H1482" t="s">
        <v>1435</v>
      </c>
      <c r="I1482" t="s">
        <v>1436</v>
      </c>
      <c r="J1482" t="s">
        <v>367</v>
      </c>
      <c r="K1482" s="3">
        <v>100831900692</v>
      </c>
      <c r="L1482" s="10">
        <v>39838</v>
      </c>
      <c r="M1482">
        <v>1312.65</v>
      </c>
      <c r="N1482" s="17">
        <v>42</v>
      </c>
      <c r="O1482" s="5">
        <v>30.98</v>
      </c>
      <c r="P1482" s="5">
        <v>5.76</v>
      </c>
      <c r="Q1482" s="6">
        <v>488.31</v>
      </c>
      <c r="R1482" s="37" t="s">
        <v>751</v>
      </c>
      <c r="S1482" s="7">
        <f t="shared" si="126"/>
        <v>2</v>
      </c>
      <c r="T1482" s="15" t="str">
        <f>VLOOKUP(R1482,产品分类!$C$2:$D$1278,2,0)</f>
        <v>办公用品</v>
      </c>
    </row>
    <row r="1483" spans="1:20">
      <c r="A1483" s="8">
        <f>DATE(2012,12,31)-599</f>
        <v>40675</v>
      </c>
      <c r="B1483" s="8">
        <f>DATE(2012,12,31)-599</f>
        <v>40675</v>
      </c>
      <c r="C1483" s="9" t="s">
        <v>1609</v>
      </c>
      <c r="D1483">
        <v>10021293637</v>
      </c>
      <c r="E1483" t="s">
        <v>47</v>
      </c>
      <c r="F1483" t="s">
        <v>48</v>
      </c>
      <c r="G1483" t="s">
        <v>49</v>
      </c>
      <c r="H1483" t="s">
        <v>1433</v>
      </c>
      <c r="I1483" t="s">
        <v>1434</v>
      </c>
      <c r="J1483" t="s">
        <v>367</v>
      </c>
      <c r="K1483" s="3">
        <v>10043053504</v>
      </c>
      <c r="L1483" s="10">
        <v>40684</v>
      </c>
      <c r="M1483">
        <v>283.13</v>
      </c>
      <c r="N1483" s="11">
        <v>45</v>
      </c>
      <c r="O1483" s="12">
        <v>6.48</v>
      </c>
      <c r="P1483" s="12">
        <v>6.81</v>
      </c>
      <c r="Q1483" s="13">
        <v>-141.26</v>
      </c>
      <c r="R1483" s="36" t="s">
        <v>772</v>
      </c>
      <c r="S1483" s="7">
        <f t="shared" si="126"/>
        <v>9</v>
      </c>
      <c r="T1483" s="15" t="str">
        <f>VLOOKUP(R1483,产品分类!$C$2:$D$1278,2,0)</f>
        <v>数码电子</v>
      </c>
    </row>
    <row r="1484" spans="1:20">
      <c r="A1484" s="8">
        <f>DATE(2012,12,31)-1318</f>
        <v>39956</v>
      </c>
      <c r="B1484" s="8">
        <f>DATE(2012,12,31)-1318</f>
        <v>39956</v>
      </c>
      <c r="C1484" s="9" t="s">
        <v>450</v>
      </c>
      <c r="D1484">
        <v>10021413450</v>
      </c>
      <c r="E1484" t="s">
        <v>47</v>
      </c>
      <c r="F1484" t="s">
        <v>78</v>
      </c>
      <c r="G1484" t="s">
        <v>79</v>
      </c>
      <c r="H1484" t="s">
        <v>1264</v>
      </c>
      <c r="I1484" t="s">
        <v>79</v>
      </c>
      <c r="J1484" t="s">
        <v>367</v>
      </c>
      <c r="K1484" s="3">
        <v>1001326568</v>
      </c>
      <c r="L1484" s="10">
        <v>39956</v>
      </c>
      <c r="M1484">
        <v>104.39</v>
      </c>
      <c r="N1484" s="11">
        <v>40</v>
      </c>
      <c r="O1484" s="12">
        <v>2.61</v>
      </c>
      <c r="P1484" s="12">
        <v>0.5</v>
      </c>
      <c r="Q1484" s="13">
        <v>38.45</v>
      </c>
      <c r="R1484" s="36" t="s">
        <v>630</v>
      </c>
      <c r="S1484" s="7">
        <f t="shared" si="126"/>
        <v>0</v>
      </c>
      <c r="T1484" s="15" t="str">
        <f>VLOOKUP(R1484,产品分类!$C$2:$D$1278,2,0)</f>
        <v>数码电子</v>
      </c>
    </row>
    <row r="1485" spans="1:20">
      <c r="A1485" s="8">
        <f>DATE(2012,12,31)-233</f>
        <v>41041</v>
      </c>
      <c r="B1485" s="8">
        <f>DATE(2012,12,31)-233</f>
        <v>41041</v>
      </c>
      <c r="C1485" s="9" t="s">
        <v>113</v>
      </c>
      <c r="D1485">
        <v>10021293573</v>
      </c>
      <c r="E1485" t="s">
        <v>47</v>
      </c>
      <c r="F1485" t="s">
        <v>78</v>
      </c>
      <c r="G1485" t="s">
        <v>79</v>
      </c>
      <c r="H1485" t="s">
        <v>1264</v>
      </c>
      <c r="I1485" t="s">
        <v>79</v>
      </c>
      <c r="J1485" t="s">
        <v>367</v>
      </c>
      <c r="K1485" s="3">
        <v>100810048692</v>
      </c>
      <c r="L1485" s="10">
        <v>41042</v>
      </c>
      <c r="M1485">
        <v>618.84</v>
      </c>
      <c r="N1485" s="11">
        <v>14</v>
      </c>
      <c r="O1485" s="12">
        <v>41.47</v>
      </c>
      <c r="P1485" s="12">
        <v>34.2</v>
      </c>
      <c r="Q1485" s="13">
        <v>-200.84</v>
      </c>
      <c r="R1485" s="36" t="s">
        <v>1610</v>
      </c>
      <c r="S1485" s="7">
        <f t="shared" si="126"/>
        <v>1</v>
      </c>
      <c r="T1485" s="15" t="str">
        <f>VLOOKUP(R1485,产品分类!$C$2:$D$1278,2,0)</f>
        <v>办公用品</v>
      </c>
    </row>
    <row r="1486" spans="1:20">
      <c r="A1486" s="8">
        <f t="shared" ref="A1486:B1488" si="128">DATE(2012,12,31)-1254</f>
        <v>40020</v>
      </c>
      <c r="B1486" s="8">
        <f t="shared" si="128"/>
        <v>40020</v>
      </c>
      <c r="C1486" s="9" t="s">
        <v>657</v>
      </c>
      <c r="D1486">
        <v>10021415872</v>
      </c>
      <c r="E1486" t="s">
        <v>47</v>
      </c>
      <c r="F1486" t="s">
        <v>72</v>
      </c>
      <c r="G1486" t="s">
        <v>73</v>
      </c>
      <c r="H1486" t="s">
        <v>1572</v>
      </c>
      <c r="I1486" t="s">
        <v>1573</v>
      </c>
      <c r="J1486" t="s">
        <v>367</v>
      </c>
      <c r="K1486" s="3">
        <v>100111377858</v>
      </c>
      <c r="L1486" s="10">
        <v>40022</v>
      </c>
      <c r="M1486">
        <v>100.41</v>
      </c>
      <c r="N1486" s="11">
        <v>26</v>
      </c>
      <c r="O1486" s="12">
        <v>3.57</v>
      </c>
      <c r="P1486" s="12">
        <v>4.17</v>
      </c>
      <c r="Q1486" s="13">
        <v>-69.91</v>
      </c>
      <c r="R1486" s="36" t="s">
        <v>641</v>
      </c>
      <c r="S1486" s="7">
        <f t="shared" si="126"/>
        <v>2</v>
      </c>
      <c r="T1486" s="15" t="str">
        <f>VLOOKUP(R1486,产品分类!$C$2:$D$1278,2,0)</f>
        <v>办公用品</v>
      </c>
    </row>
    <row r="1487" spans="1:20">
      <c r="A1487" s="8">
        <f t="shared" si="128"/>
        <v>40020</v>
      </c>
      <c r="B1487" s="8">
        <f t="shared" si="128"/>
        <v>40020</v>
      </c>
      <c r="C1487" s="9" t="s">
        <v>657</v>
      </c>
      <c r="D1487">
        <v>10021253847</v>
      </c>
      <c r="E1487" t="s">
        <v>47</v>
      </c>
      <c r="F1487" t="s">
        <v>78</v>
      </c>
      <c r="G1487" t="s">
        <v>79</v>
      </c>
      <c r="H1487" t="s">
        <v>1264</v>
      </c>
      <c r="I1487" t="s">
        <v>79</v>
      </c>
      <c r="J1487" t="s">
        <v>367</v>
      </c>
      <c r="K1487" s="3">
        <v>100420627373</v>
      </c>
      <c r="L1487" s="10">
        <v>40024</v>
      </c>
      <c r="M1487">
        <v>8101.9875</v>
      </c>
      <c r="N1487" s="11">
        <v>48</v>
      </c>
      <c r="O1487" s="12">
        <v>200.99</v>
      </c>
      <c r="P1487" s="12">
        <v>4.2</v>
      </c>
      <c r="Q1487" s="13">
        <v>2369.844</v>
      </c>
      <c r="R1487" s="36" t="s">
        <v>779</v>
      </c>
      <c r="S1487" s="7">
        <f t="shared" si="126"/>
        <v>4</v>
      </c>
      <c r="T1487" s="15" t="str">
        <f>VLOOKUP(R1487,产品分类!$C$2:$D$1278,2,0)</f>
        <v>家具产品</v>
      </c>
    </row>
    <row r="1488" spans="1:20">
      <c r="A1488" s="8">
        <f t="shared" si="128"/>
        <v>40020</v>
      </c>
      <c r="B1488" s="8">
        <f t="shared" si="128"/>
        <v>40020</v>
      </c>
      <c r="C1488" s="9" t="s">
        <v>657</v>
      </c>
      <c r="D1488">
        <v>10021387410</v>
      </c>
      <c r="E1488" t="s">
        <v>47</v>
      </c>
      <c r="F1488" t="s">
        <v>230</v>
      </c>
      <c r="G1488" t="s">
        <v>231</v>
      </c>
      <c r="H1488" t="s">
        <v>1465</v>
      </c>
      <c r="I1488" t="s">
        <v>1466</v>
      </c>
      <c r="J1488" t="s">
        <v>367</v>
      </c>
      <c r="K1488" s="3">
        <v>100119672096</v>
      </c>
      <c r="L1488" s="10">
        <v>40020</v>
      </c>
      <c r="M1488">
        <v>1313.811</v>
      </c>
      <c r="N1488" s="11">
        <v>8</v>
      </c>
      <c r="O1488" s="12">
        <v>195.99</v>
      </c>
      <c r="P1488" s="12">
        <v>8.99</v>
      </c>
      <c r="Q1488" s="13">
        <v>-457.16</v>
      </c>
      <c r="R1488" s="36" t="s">
        <v>1611</v>
      </c>
      <c r="S1488" s="7">
        <f t="shared" si="126"/>
        <v>0</v>
      </c>
      <c r="T1488" s="15" t="str">
        <f>VLOOKUP(R1488,产品分类!$C$2:$D$1278,2,0)</f>
        <v>数码电子</v>
      </c>
    </row>
    <row r="1489" spans="1:20">
      <c r="A1489" s="8">
        <f>DATE(2012,12,31)-609</f>
        <v>40665</v>
      </c>
      <c r="B1489" s="8">
        <f>DATE(2012,12,31)-609</f>
        <v>40665</v>
      </c>
      <c r="C1489" s="9" t="s">
        <v>1612</v>
      </c>
      <c r="D1489">
        <v>10021351661</v>
      </c>
      <c r="E1489" t="s">
        <v>47</v>
      </c>
      <c r="F1489" t="s">
        <v>114</v>
      </c>
      <c r="G1489" t="s">
        <v>115</v>
      </c>
      <c r="H1489" t="s">
        <v>1057</v>
      </c>
      <c r="I1489" t="s">
        <v>1058</v>
      </c>
      <c r="J1489" t="s">
        <v>367</v>
      </c>
      <c r="K1489" s="3">
        <v>100132494657</v>
      </c>
      <c r="L1489" s="10">
        <v>40666</v>
      </c>
      <c r="M1489">
        <v>6330.086</v>
      </c>
      <c r="N1489" s="11">
        <v>39</v>
      </c>
      <c r="O1489" s="12">
        <v>205.99</v>
      </c>
      <c r="P1489" s="12">
        <v>2.5</v>
      </c>
      <c r="Q1489" s="13">
        <v>1421.892</v>
      </c>
      <c r="R1489" s="36" t="s">
        <v>1613</v>
      </c>
      <c r="S1489" s="7">
        <f t="shared" si="126"/>
        <v>1</v>
      </c>
      <c r="T1489" s="15" t="str">
        <f>VLOOKUP(R1489,产品分类!$C$2:$D$1278,2,0)</f>
        <v>数码电子</v>
      </c>
    </row>
    <row r="1490" spans="1:20">
      <c r="A1490" s="8">
        <f>DATE(2012,12,31)-712</f>
        <v>40562</v>
      </c>
      <c r="B1490" s="8">
        <f>DATE(2012,12,31)-712</f>
        <v>40562</v>
      </c>
      <c r="C1490" s="9" t="s">
        <v>201</v>
      </c>
      <c r="D1490">
        <v>10021428411</v>
      </c>
      <c r="E1490" t="s">
        <v>47</v>
      </c>
      <c r="F1490" t="s">
        <v>114</v>
      </c>
      <c r="G1490" t="s">
        <v>115</v>
      </c>
      <c r="H1490" t="s">
        <v>1057</v>
      </c>
      <c r="I1490" t="s">
        <v>1058</v>
      </c>
      <c r="J1490" t="s">
        <v>367</v>
      </c>
      <c r="K1490" s="3">
        <v>100131067346</v>
      </c>
      <c r="L1490" s="10">
        <v>40564</v>
      </c>
      <c r="M1490">
        <v>40.26</v>
      </c>
      <c r="N1490" s="11">
        <v>8</v>
      </c>
      <c r="O1490" s="12">
        <v>4.28</v>
      </c>
      <c r="P1490" s="12">
        <v>5.68</v>
      </c>
      <c r="Q1490" s="13">
        <v>-27.44</v>
      </c>
      <c r="R1490" s="36" t="s">
        <v>1614</v>
      </c>
      <c r="S1490" s="7">
        <f t="shared" si="126"/>
        <v>2</v>
      </c>
      <c r="T1490" s="15" t="str">
        <f>VLOOKUP(R1490,产品分类!$C$2:$D$1278,2,0)</f>
        <v>数码电子</v>
      </c>
    </row>
    <row r="1491" spans="1:20">
      <c r="A1491" s="16">
        <f>DATE(2012,12,31)-478</f>
        <v>40796</v>
      </c>
      <c r="B1491" s="16">
        <f>DATE(2012,12,31)-478</f>
        <v>40796</v>
      </c>
      <c r="C1491" s="9" t="s">
        <v>1615</v>
      </c>
      <c r="D1491">
        <v>10021267385</v>
      </c>
      <c r="E1491" t="s">
        <v>47</v>
      </c>
      <c r="F1491" t="s">
        <v>55</v>
      </c>
      <c r="G1491" t="s">
        <v>56</v>
      </c>
      <c r="H1491" t="s">
        <v>1331</v>
      </c>
      <c r="I1491" t="s">
        <v>1332</v>
      </c>
      <c r="J1491" t="s">
        <v>367</v>
      </c>
      <c r="K1491" s="3">
        <v>100732088045</v>
      </c>
      <c r="L1491" s="10">
        <v>40797</v>
      </c>
      <c r="M1491">
        <v>95.38</v>
      </c>
      <c r="N1491" s="17">
        <v>5</v>
      </c>
      <c r="O1491" s="5">
        <v>15.99</v>
      </c>
      <c r="P1491" s="5">
        <v>13.18</v>
      </c>
      <c r="Q1491" s="6">
        <v>-36.892</v>
      </c>
      <c r="R1491" s="37" t="s">
        <v>511</v>
      </c>
      <c r="S1491" s="7">
        <f t="shared" si="126"/>
        <v>1</v>
      </c>
      <c r="T1491" s="15" t="str">
        <f>VLOOKUP(R1491,产品分类!$C$2:$D$1278,2,0)</f>
        <v>数码电子</v>
      </c>
    </row>
    <row r="1492" spans="1:20">
      <c r="A1492" s="8">
        <f>DATE(2012,12,31)-1020</f>
        <v>40254</v>
      </c>
      <c r="B1492" s="8">
        <f>DATE(2012,12,31)-1020</f>
        <v>40254</v>
      </c>
      <c r="C1492" s="9" t="s">
        <v>1616</v>
      </c>
      <c r="D1492">
        <v>10021330993</v>
      </c>
      <c r="E1492" t="s">
        <v>47</v>
      </c>
      <c r="F1492" t="s">
        <v>91</v>
      </c>
      <c r="G1492" t="s">
        <v>92</v>
      </c>
      <c r="H1492" t="s">
        <v>1412</v>
      </c>
      <c r="I1492" t="s">
        <v>1413</v>
      </c>
      <c r="J1492" t="s">
        <v>367</v>
      </c>
      <c r="K1492" s="3">
        <v>1009197391</v>
      </c>
      <c r="L1492" s="10">
        <v>40256</v>
      </c>
      <c r="M1492">
        <v>48.04</v>
      </c>
      <c r="N1492" s="11">
        <v>7</v>
      </c>
      <c r="O1492" s="12">
        <v>6.48</v>
      </c>
      <c r="P1492" s="12">
        <v>5.94</v>
      </c>
      <c r="Q1492" s="13">
        <v>-23.28</v>
      </c>
      <c r="R1492" s="36" t="s">
        <v>1284</v>
      </c>
      <c r="S1492" s="7">
        <f t="shared" si="126"/>
        <v>2</v>
      </c>
      <c r="T1492" s="15" t="str">
        <f>VLOOKUP(R1492,产品分类!$C$2:$D$1278,2,0)</f>
        <v>家具产品</v>
      </c>
    </row>
    <row r="1493" spans="1:20">
      <c r="A1493" s="8">
        <f>DATE(2012,12,31)-910</f>
        <v>40364</v>
      </c>
      <c r="B1493" s="8">
        <f>DATE(2012,12,31)-910</f>
        <v>40364</v>
      </c>
      <c r="C1493" s="9" t="s">
        <v>639</v>
      </c>
      <c r="D1493">
        <v>10021386205</v>
      </c>
      <c r="E1493" t="s">
        <v>47</v>
      </c>
      <c r="F1493" t="s">
        <v>55</v>
      </c>
      <c r="G1493" t="s">
        <v>56</v>
      </c>
      <c r="H1493" t="s">
        <v>1331</v>
      </c>
      <c r="I1493" t="s">
        <v>1332</v>
      </c>
      <c r="J1493" t="s">
        <v>367</v>
      </c>
      <c r="K1493" s="3">
        <v>10017176126</v>
      </c>
      <c r="L1493" s="10">
        <v>40365</v>
      </c>
      <c r="M1493">
        <v>19.36</v>
      </c>
      <c r="N1493" s="11">
        <v>2</v>
      </c>
      <c r="O1493" s="12">
        <v>6.78</v>
      </c>
      <c r="P1493" s="12">
        <v>6.18</v>
      </c>
      <c r="Q1493" s="13">
        <v>-11.85</v>
      </c>
      <c r="R1493" s="36" t="s">
        <v>535</v>
      </c>
      <c r="S1493" s="7">
        <f t="shared" si="126"/>
        <v>1</v>
      </c>
      <c r="T1493" s="15" t="str">
        <f>VLOOKUP(R1493,产品分类!$C$2:$D$1278,2,0)</f>
        <v>办公用品</v>
      </c>
    </row>
    <row r="1494" spans="1:20">
      <c r="A1494" s="8">
        <f>DATE(2012,12,31)-910</f>
        <v>40364</v>
      </c>
      <c r="B1494" s="8">
        <f>DATE(2012,12,31)-910</f>
        <v>40364</v>
      </c>
      <c r="C1494" s="9" t="s">
        <v>639</v>
      </c>
      <c r="D1494">
        <v>10021460268</v>
      </c>
      <c r="E1494" t="s">
        <v>47</v>
      </c>
      <c r="F1494" t="s">
        <v>91</v>
      </c>
      <c r="G1494" t="s">
        <v>92</v>
      </c>
      <c r="H1494" t="s">
        <v>1412</v>
      </c>
      <c r="I1494" t="s">
        <v>1413</v>
      </c>
      <c r="J1494" t="s">
        <v>367</v>
      </c>
      <c r="K1494" s="3">
        <v>10079685525</v>
      </c>
      <c r="L1494" s="10">
        <v>40366</v>
      </c>
      <c r="M1494">
        <v>206.27</v>
      </c>
      <c r="N1494" s="11">
        <v>30</v>
      </c>
      <c r="O1494" s="12">
        <v>6.81</v>
      </c>
      <c r="P1494" s="12">
        <v>5.48</v>
      </c>
      <c r="Q1494" s="13">
        <v>-54.441</v>
      </c>
      <c r="R1494" s="36" t="s">
        <v>1617</v>
      </c>
      <c r="S1494" s="7">
        <f t="shared" si="126"/>
        <v>2</v>
      </c>
      <c r="T1494" s="15" t="str">
        <f>VLOOKUP(R1494,产品分类!$C$2:$D$1278,2,0)</f>
        <v>办公用品</v>
      </c>
    </row>
    <row r="1495" spans="1:20">
      <c r="A1495" s="8">
        <f>DATE(2012,12,31)-861</f>
        <v>40413</v>
      </c>
      <c r="B1495" s="8">
        <f>DATE(2012,12,31)-861</f>
        <v>40413</v>
      </c>
      <c r="C1495" s="9" t="s">
        <v>1618</v>
      </c>
      <c r="D1495">
        <v>10021444192</v>
      </c>
      <c r="E1495" t="s">
        <v>47</v>
      </c>
      <c r="F1495" t="s">
        <v>91</v>
      </c>
      <c r="G1495" t="s">
        <v>92</v>
      </c>
      <c r="H1495" t="s">
        <v>1412</v>
      </c>
      <c r="I1495" t="s">
        <v>1413</v>
      </c>
      <c r="J1495" t="s">
        <v>367</v>
      </c>
      <c r="K1495" s="3">
        <v>10095873341</v>
      </c>
      <c r="L1495" s="10">
        <v>40414</v>
      </c>
      <c r="M1495">
        <v>308.54</v>
      </c>
      <c r="N1495" s="11">
        <v>15</v>
      </c>
      <c r="O1495" s="12">
        <v>19.84</v>
      </c>
      <c r="P1495" s="12">
        <v>4.1</v>
      </c>
      <c r="Q1495" s="13">
        <v>76.42</v>
      </c>
      <c r="R1495" s="36" t="s">
        <v>175</v>
      </c>
      <c r="S1495" s="7">
        <f t="shared" si="126"/>
        <v>1</v>
      </c>
      <c r="T1495" s="15" t="str">
        <f>VLOOKUP(R1495,产品分类!$C$2:$D$1278,2,0)</f>
        <v>办公用品</v>
      </c>
    </row>
    <row r="1496" spans="1:20">
      <c r="A1496" s="8">
        <f>DATE(2012,12,31)-500</f>
        <v>40774</v>
      </c>
      <c r="B1496" s="8">
        <f>DATE(2012,12,31)-500</f>
        <v>40774</v>
      </c>
      <c r="C1496" s="9" t="s">
        <v>848</v>
      </c>
      <c r="D1496">
        <v>10021254499</v>
      </c>
      <c r="E1496" t="s">
        <v>47</v>
      </c>
      <c r="F1496" t="s">
        <v>122</v>
      </c>
      <c r="G1496" t="s">
        <v>123</v>
      </c>
      <c r="H1496" t="s">
        <v>124</v>
      </c>
      <c r="I1496" t="s">
        <v>125</v>
      </c>
      <c r="J1496" t="s">
        <v>367</v>
      </c>
      <c r="K1496" s="3">
        <v>100122350747</v>
      </c>
      <c r="L1496" s="10">
        <v>40776</v>
      </c>
      <c r="M1496">
        <v>400.57</v>
      </c>
      <c r="N1496" s="11">
        <v>20</v>
      </c>
      <c r="O1496" s="12">
        <v>19.98</v>
      </c>
      <c r="P1496" s="12">
        <v>5.77</v>
      </c>
      <c r="Q1496" s="13">
        <v>93.36</v>
      </c>
      <c r="R1496" s="36" t="s">
        <v>1619</v>
      </c>
      <c r="S1496" s="7">
        <f t="shared" si="126"/>
        <v>2</v>
      </c>
      <c r="T1496" s="15" t="str">
        <f>VLOOKUP(R1496,产品分类!$C$2:$D$1278,2,0)</f>
        <v>数码电子</v>
      </c>
    </row>
    <row r="1497" spans="1:20">
      <c r="A1497" s="8">
        <f>DATE(2012,12,31)-860</f>
        <v>40414</v>
      </c>
      <c r="B1497" s="8">
        <f>DATE(2012,12,31)-860</f>
        <v>40414</v>
      </c>
      <c r="C1497" s="9" t="s">
        <v>388</v>
      </c>
      <c r="D1497">
        <v>10021335930</v>
      </c>
      <c r="E1497" t="s">
        <v>47</v>
      </c>
      <c r="F1497" t="s">
        <v>122</v>
      </c>
      <c r="G1497" t="s">
        <v>123</v>
      </c>
      <c r="H1497" t="s">
        <v>124</v>
      </c>
      <c r="I1497" t="s">
        <v>125</v>
      </c>
      <c r="J1497" t="s">
        <v>367</v>
      </c>
      <c r="K1497" s="3">
        <v>100117667706</v>
      </c>
      <c r="L1497" s="10">
        <v>40414</v>
      </c>
      <c r="M1497">
        <v>233.39</v>
      </c>
      <c r="N1497" s="11">
        <v>35</v>
      </c>
      <c r="O1497" s="12">
        <v>6.48</v>
      </c>
      <c r="P1497" s="12">
        <v>9.54</v>
      </c>
      <c r="Q1497" s="13">
        <v>-197.39</v>
      </c>
      <c r="R1497" s="36" t="s">
        <v>722</v>
      </c>
      <c r="S1497" s="7">
        <f t="shared" si="126"/>
        <v>0</v>
      </c>
      <c r="T1497" s="15" t="str">
        <f>VLOOKUP(R1497,产品分类!$C$2:$D$1278,2,0)</f>
        <v>办公用品</v>
      </c>
    </row>
    <row r="1498" spans="1:20">
      <c r="A1498" s="8">
        <f>DATE(2012,12,31)-370</f>
        <v>40904</v>
      </c>
      <c r="B1498" s="8">
        <f>DATE(2012,12,31)-370</f>
        <v>40904</v>
      </c>
      <c r="C1498" s="9" t="s">
        <v>1620</v>
      </c>
      <c r="D1498">
        <v>10021264769</v>
      </c>
      <c r="E1498" t="s">
        <v>47</v>
      </c>
      <c r="F1498" t="s">
        <v>253</v>
      </c>
      <c r="G1498" t="s">
        <v>254</v>
      </c>
      <c r="H1498" t="s">
        <v>255</v>
      </c>
      <c r="I1498" t="s">
        <v>256</v>
      </c>
      <c r="J1498" t="s">
        <v>367</v>
      </c>
      <c r="K1498" s="3">
        <v>100331221579</v>
      </c>
      <c r="L1498" s="10">
        <v>40905</v>
      </c>
      <c r="M1498">
        <v>2072.12</v>
      </c>
      <c r="N1498" s="11">
        <v>49</v>
      </c>
      <c r="O1498" s="12">
        <v>40.97</v>
      </c>
      <c r="P1498" s="12">
        <v>8.99</v>
      </c>
      <c r="Q1498" s="13">
        <v>365.23</v>
      </c>
      <c r="R1498" s="36" t="s">
        <v>983</v>
      </c>
      <c r="S1498" s="7">
        <f t="shared" si="126"/>
        <v>1</v>
      </c>
      <c r="T1498" s="15" t="str">
        <f>VLOOKUP(R1498,产品分类!$C$2:$D$1278,2,0)</f>
        <v>办公用品</v>
      </c>
    </row>
    <row r="1499" spans="1:20">
      <c r="A1499" s="8">
        <f>DATE(2012,12,31)-370</f>
        <v>40904</v>
      </c>
      <c r="B1499" s="8">
        <f>DATE(2012,12,31)-370</f>
        <v>40904</v>
      </c>
      <c r="C1499" s="9" t="s">
        <v>1620</v>
      </c>
      <c r="D1499">
        <v>10021251989</v>
      </c>
      <c r="E1499" t="s">
        <v>47</v>
      </c>
      <c r="F1499" t="s">
        <v>122</v>
      </c>
      <c r="G1499" t="s">
        <v>123</v>
      </c>
      <c r="H1499" t="s">
        <v>124</v>
      </c>
      <c r="I1499" t="s">
        <v>125</v>
      </c>
      <c r="J1499" t="s">
        <v>367</v>
      </c>
      <c r="K1499" s="3">
        <v>100916891411</v>
      </c>
      <c r="L1499" s="10">
        <v>40904</v>
      </c>
      <c r="M1499">
        <v>151.19</v>
      </c>
      <c r="N1499" s="11">
        <v>33</v>
      </c>
      <c r="O1499" s="12">
        <v>4.71</v>
      </c>
      <c r="P1499" s="12">
        <v>0.7</v>
      </c>
      <c r="Q1499" s="13">
        <v>-13.45</v>
      </c>
      <c r="R1499" s="36" t="s">
        <v>819</v>
      </c>
      <c r="S1499" s="7">
        <f t="shared" si="126"/>
        <v>0</v>
      </c>
      <c r="T1499" s="15" t="str">
        <f>VLOOKUP(R1499,产品分类!$C$2:$D$1278,2,0)</f>
        <v>家具产品</v>
      </c>
    </row>
    <row r="1500" spans="1:20">
      <c r="A1500" s="8">
        <f>DATE(2012,12,31)-202</f>
        <v>41072</v>
      </c>
      <c r="B1500" s="8">
        <f>DATE(2012,12,31)-202</f>
        <v>41072</v>
      </c>
      <c r="C1500" s="9" t="s">
        <v>108</v>
      </c>
      <c r="D1500">
        <v>10021416186</v>
      </c>
      <c r="E1500" t="s">
        <v>47</v>
      </c>
      <c r="F1500" t="s">
        <v>127</v>
      </c>
      <c r="G1500" t="s">
        <v>128</v>
      </c>
      <c r="H1500" t="s">
        <v>1366</v>
      </c>
      <c r="I1500" t="s">
        <v>1367</v>
      </c>
      <c r="J1500" t="s">
        <v>367</v>
      </c>
      <c r="K1500" s="3">
        <v>100713911645</v>
      </c>
      <c r="L1500" s="10">
        <v>41072</v>
      </c>
      <c r="M1500">
        <v>133.9</v>
      </c>
      <c r="N1500" s="11">
        <v>3</v>
      </c>
      <c r="O1500" s="12">
        <v>43.41</v>
      </c>
      <c r="P1500" s="12">
        <v>2.99</v>
      </c>
      <c r="Q1500" s="13">
        <v>-14.582</v>
      </c>
      <c r="R1500" s="36" t="s">
        <v>1007</v>
      </c>
      <c r="S1500" s="7">
        <f t="shared" si="126"/>
        <v>0</v>
      </c>
      <c r="T1500" s="15" t="str">
        <f>VLOOKUP(R1500,产品分类!$C$2:$D$1278,2,0)</f>
        <v>家具产品</v>
      </c>
    </row>
    <row r="1501" spans="1:20">
      <c r="A1501" s="16">
        <f>DATE(2012,12,31)-1365</f>
        <v>39909</v>
      </c>
      <c r="B1501" s="16">
        <f>DATE(2012,12,31)-1365</f>
        <v>39909</v>
      </c>
      <c r="C1501" s="9" t="s">
        <v>1621</v>
      </c>
      <c r="D1501">
        <v>10021426594</v>
      </c>
      <c r="E1501" t="s">
        <v>47</v>
      </c>
      <c r="F1501" t="s">
        <v>97</v>
      </c>
      <c r="G1501" t="s">
        <v>98</v>
      </c>
      <c r="H1501" t="s">
        <v>99</v>
      </c>
      <c r="I1501" t="s">
        <v>98</v>
      </c>
      <c r="J1501" t="s">
        <v>367</v>
      </c>
      <c r="K1501" s="3">
        <v>100830236312</v>
      </c>
      <c r="L1501" s="10">
        <v>39909</v>
      </c>
      <c r="M1501">
        <v>608.21</v>
      </c>
      <c r="N1501" s="17">
        <v>50</v>
      </c>
      <c r="O1501" s="5">
        <v>12.88</v>
      </c>
      <c r="P1501" s="5">
        <v>4.59</v>
      </c>
      <c r="Q1501" s="6">
        <v>-175.13</v>
      </c>
      <c r="R1501" s="37" t="s">
        <v>1622</v>
      </c>
      <c r="S1501" s="7">
        <f t="shared" si="126"/>
        <v>0</v>
      </c>
      <c r="T1501" s="15" t="str">
        <f>VLOOKUP(R1501,产品分类!$C$2:$D$1278,2,0)</f>
        <v>数码电子</v>
      </c>
    </row>
    <row r="1502" spans="1:20">
      <c r="A1502" s="8">
        <f>DATE(2012,12,31)-1365</f>
        <v>39909</v>
      </c>
      <c r="B1502" s="8">
        <f>DATE(2012,12,31)-1365</f>
        <v>39909</v>
      </c>
      <c r="C1502" s="9" t="s">
        <v>1621</v>
      </c>
      <c r="D1502">
        <v>10021255017</v>
      </c>
      <c r="E1502" t="s">
        <v>47</v>
      </c>
      <c r="F1502" t="s">
        <v>97</v>
      </c>
      <c r="G1502" t="s">
        <v>98</v>
      </c>
      <c r="H1502" t="s">
        <v>99</v>
      </c>
      <c r="I1502" t="s">
        <v>98</v>
      </c>
      <c r="J1502" t="s">
        <v>367</v>
      </c>
      <c r="K1502" s="3">
        <v>100723602025</v>
      </c>
      <c r="L1502" s="10">
        <v>39910</v>
      </c>
      <c r="M1502">
        <v>570.5285</v>
      </c>
      <c r="N1502" s="11">
        <v>14</v>
      </c>
      <c r="O1502" s="12">
        <v>45.99</v>
      </c>
      <c r="P1502" s="12">
        <v>4.99</v>
      </c>
      <c r="Q1502" s="13">
        <v>3.96</v>
      </c>
      <c r="R1502" s="36" t="s">
        <v>1623</v>
      </c>
      <c r="S1502" s="7">
        <f t="shared" si="126"/>
        <v>1</v>
      </c>
      <c r="T1502" s="15" t="str">
        <f>VLOOKUP(R1502,产品分类!$C$2:$D$1278,2,0)</f>
        <v>办公用品</v>
      </c>
    </row>
    <row r="1503" spans="1:20">
      <c r="A1503" s="16">
        <f>DATE(2012,12,31)-797</f>
        <v>40477</v>
      </c>
      <c r="B1503" s="16">
        <f>DATE(2012,12,31)-797</f>
        <v>40477</v>
      </c>
      <c r="C1503" s="9" t="s">
        <v>311</v>
      </c>
      <c r="D1503">
        <v>10021254964</v>
      </c>
      <c r="E1503" t="s">
        <v>47</v>
      </c>
      <c r="F1503" t="s">
        <v>102</v>
      </c>
      <c r="G1503" t="s">
        <v>103</v>
      </c>
      <c r="H1503" t="s">
        <v>1217</v>
      </c>
      <c r="I1503" t="s">
        <v>1218</v>
      </c>
      <c r="J1503" t="s">
        <v>367</v>
      </c>
      <c r="K1503" s="3">
        <v>100723278125</v>
      </c>
      <c r="L1503" s="10">
        <v>40479</v>
      </c>
      <c r="M1503">
        <v>285.84</v>
      </c>
      <c r="N1503" s="17">
        <v>17</v>
      </c>
      <c r="O1503" s="5">
        <v>15.28</v>
      </c>
      <c r="P1503" s="5">
        <v>10.91</v>
      </c>
      <c r="Q1503" s="6">
        <v>-27.255</v>
      </c>
      <c r="R1503" s="37" t="s">
        <v>1624</v>
      </c>
      <c r="S1503" s="7">
        <f t="shared" si="126"/>
        <v>2</v>
      </c>
      <c r="T1503" s="15" t="str">
        <f>VLOOKUP(R1503,产品分类!$C$2:$D$1278,2,0)</f>
        <v>办公用品</v>
      </c>
    </row>
    <row r="1504" spans="1:20">
      <c r="A1504" s="8">
        <f>DATE(2012,12,31)-797</f>
        <v>40477</v>
      </c>
      <c r="B1504" s="8">
        <f>DATE(2012,12,31)-797</f>
        <v>40477</v>
      </c>
      <c r="C1504" s="9" t="s">
        <v>311</v>
      </c>
      <c r="D1504">
        <v>10021349812</v>
      </c>
      <c r="E1504" t="s">
        <v>47</v>
      </c>
      <c r="F1504" t="s">
        <v>102</v>
      </c>
      <c r="G1504" t="s">
        <v>103</v>
      </c>
      <c r="H1504" t="s">
        <v>1217</v>
      </c>
      <c r="I1504" t="s">
        <v>1218</v>
      </c>
      <c r="J1504" t="s">
        <v>367</v>
      </c>
      <c r="K1504" s="3">
        <v>100432036763</v>
      </c>
      <c r="L1504" s="10">
        <v>40478</v>
      </c>
      <c r="M1504">
        <v>12450.48</v>
      </c>
      <c r="N1504" s="11">
        <v>40</v>
      </c>
      <c r="O1504" s="12">
        <v>300.98</v>
      </c>
      <c r="P1504" s="12">
        <v>54.92</v>
      </c>
      <c r="Q1504" s="13">
        <v>3030.16</v>
      </c>
      <c r="R1504" s="36" t="s">
        <v>1625</v>
      </c>
      <c r="S1504" s="7">
        <f t="shared" si="126"/>
        <v>1</v>
      </c>
      <c r="T1504" s="15" t="str">
        <f>VLOOKUP(R1504,产品分类!$C$2:$D$1278,2,0)</f>
        <v>办公用品</v>
      </c>
    </row>
    <row r="1505" spans="1:20">
      <c r="A1505" s="8">
        <f>DATE(2012,12,31)-1132</f>
        <v>40142</v>
      </c>
      <c r="B1505" s="8">
        <f>DATE(2012,12,31)-1132</f>
        <v>40142</v>
      </c>
      <c r="C1505" s="9" t="s">
        <v>697</v>
      </c>
      <c r="D1505">
        <v>10021445518</v>
      </c>
      <c r="E1505" t="s">
        <v>47</v>
      </c>
      <c r="F1505" t="s">
        <v>208</v>
      </c>
      <c r="G1505" t="s">
        <v>209</v>
      </c>
      <c r="H1505" t="s">
        <v>1492</v>
      </c>
      <c r="I1505" t="s">
        <v>1493</v>
      </c>
      <c r="J1505" t="s">
        <v>367</v>
      </c>
      <c r="K1505" s="3">
        <v>100713970325</v>
      </c>
      <c r="L1505" s="10">
        <v>40149</v>
      </c>
      <c r="M1505">
        <v>2525.9875</v>
      </c>
      <c r="N1505" s="11">
        <v>24</v>
      </c>
      <c r="O1505" s="12">
        <v>125.99</v>
      </c>
      <c r="P1505" s="12">
        <v>8.99</v>
      </c>
      <c r="Q1505" s="13">
        <v>416.673</v>
      </c>
      <c r="R1505" s="36" t="s">
        <v>112</v>
      </c>
      <c r="S1505" s="7">
        <f t="shared" si="126"/>
        <v>7</v>
      </c>
      <c r="T1505" s="15" t="str">
        <f>VLOOKUP(R1505,产品分类!$C$2:$D$1278,2,0)</f>
        <v>数码电子</v>
      </c>
    </row>
    <row r="1506" spans="1:20">
      <c r="A1506" s="8">
        <f>DATE(2012,12,31)-1226</f>
        <v>40048</v>
      </c>
      <c r="B1506" s="8">
        <f>DATE(2012,12,31)-1226</f>
        <v>40048</v>
      </c>
      <c r="C1506" s="9" t="s">
        <v>686</v>
      </c>
      <c r="D1506">
        <v>10021427045</v>
      </c>
      <c r="E1506" t="s">
        <v>47</v>
      </c>
      <c r="F1506" t="s">
        <v>208</v>
      </c>
      <c r="G1506" t="s">
        <v>209</v>
      </c>
      <c r="H1506" t="s">
        <v>1492</v>
      </c>
      <c r="I1506" t="s">
        <v>1493</v>
      </c>
      <c r="J1506" t="s">
        <v>367</v>
      </c>
      <c r="K1506" s="3">
        <v>100130325908</v>
      </c>
      <c r="L1506" s="10">
        <v>40050</v>
      </c>
      <c r="M1506">
        <v>65.42</v>
      </c>
      <c r="N1506" s="11">
        <v>36</v>
      </c>
      <c r="O1506" s="12">
        <v>1.74</v>
      </c>
      <c r="P1506" s="12">
        <v>4.08</v>
      </c>
      <c r="Q1506" s="13">
        <v>-112.92</v>
      </c>
      <c r="R1506" s="36" t="s">
        <v>980</v>
      </c>
      <c r="S1506" s="7">
        <f t="shared" si="126"/>
        <v>2</v>
      </c>
      <c r="T1506" s="15" t="str">
        <f>VLOOKUP(R1506,产品分类!$C$2:$D$1278,2,0)</f>
        <v>办公用品</v>
      </c>
    </row>
    <row r="1507" spans="1:20">
      <c r="A1507" s="8">
        <f>DATE(2012,12,31)-1226</f>
        <v>40048</v>
      </c>
      <c r="B1507" s="8">
        <f>DATE(2012,12,31)-1226</f>
        <v>40048</v>
      </c>
      <c r="C1507" s="9" t="s">
        <v>686</v>
      </c>
      <c r="D1507">
        <v>10021342649</v>
      </c>
      <c r="E1507" t="s">
        <v>47</v>
      </c>
      <c r="F1507" t="s">
        <v>102</v>
      </c>
      <c r="G1507" t="s">
        <v>103</v>
      </c>
      <c r="H1507" t="s">
        <v>1217</v>
      </c>
      <c r="I1507" t="s">
        <v>1218</v>
      </c>
      <c r="J1507" t="s">
        <v>367</v>
      </c>
      <c r="K1507" s="3">
        <v>100128193296</v>
      </c>
      <c r="L1507" s="10">
        <v>40049</v>
      </c>
      <c r="M1507">
        <v>5750.94</v>
      </c>
      <c r="N1507" s="11">
        <v>47</v>
      </c>
      <c r="O1507" s="12">
        <v>119.99</v>
      </c>
      <c r="P1507" s="12">
        <v>56.14</v>
      </c>
      <c r="Q1507" s="13">
        <v>432.98</v>
      </c>
      <c r="R1507" s="36" t="s">
        <v>1626</v>
      </c>
      <c r="S1507" s="7">
        <f t="shared" si="126"/>
        <v>1</v>
      </c>
      <c r="T1507" s="15" t="str">
        <f>VLOOKUP(R1507,产品分类!$C$2:$D$1278,2,0)</f>
        <v>办公用品</v>
      </c>
    </row>
    <row r="1508" spans="1:20">
      <c r="A1508" s="8">
        <f>DATE(2012,12,31)-1059</f>
        <v>40215</v>
      </c>
      <c r="B1508" s="8">
        <f>DATE(2012,12,31)-1059</f>
        <v>40215</v>
      </c>
      <c r="C1508" s="9" t="s">
        <v>1505</v>
      </c>
      <c r="D1508">
        <v>10021250974</v>
      </c>
      <c r="E1508" t="s">
        <v>47</v>
      </c>
      <c r="F1508" t="s">
        <v>171</v>
      </c>
      <c r="G1508" t="s">
        <v>172</v>
      </c>
      <c r="H1508" t="s">
        <v>1587</v>
      </c>
      <c r="I1508" t="s">
        <v>1588</v>
      </c>
      <c r="J1508" t="s">
        <v>367</v>
      </c>
      <c r="K1508" s="3">
        <v>100416531194</v>
      </c>
      <c r="L1508" s="10">
        <v>40215</v>
      </c>
      <c r="M1508">
        <v>5149.06</v>
      </c>
      <c r="N1508" s="11">
        <v>27</v>
      </c>
      <c r="O1508" s="12">
        <v>180.98</v>
      </c>
      <c r="P1508" s="12">
        <v>30</v>
      </c>
      <c r="Q1508" s="13">
        <v>605.44</v>
      </c>
      <c r="R1508" s="36" t="s">
        <v>1627</v>
      </c>
      <c r="S1508" s="7">
        <f t="shared" si="126"/>
        <v>0</v>
      </c>
      <c r="T1508" s="15" t="str">
        <f>VLOOKUP(R1508,产品分类!$C$2:$D$1278,2,0)</f>
        <v>办公用品</v>
      </c>
    </row>
    <row r="1509" spans="1:20">
      <c r="A1509" s="8">
        <f>DATE(2012,12,31)-662</f>
        <v>40612</v>
      </c>
      <c r="B1509" s="8">
        <f>DATE(2012,12,31)-662</f>
        <v>40612</v>
      </c>
      <c r="C1509" s="9" t="s">
        <v>555</v>
      </c>
      <c r="D1509">
        <v>10021352786</v>
      </c>
      <c r="E1509" t="s">
        <v>47</v>
      </c>
      <c r="F1509" t="s">
        <v>527</v>
      </c>
      <c r="G1509" t="s">
        <v>528</v>
      </c>
      <c r="H1509" t="s">
        <v>1356</v>
      </c>
      <c r="I1509" t="s">
        <v>1357</v>
      </c>
      <c r="J1509" t="s">
        <v>367</v>
      </c>
      <c r="K1509" s="3">
        <v>100932542031</v>
      </c>
      <c r="L1509" s="10">
        <v>40612</v>
      </c>
      <c r="M1509">
        <v>135.31</v>
      </c>
      <c r="N1509" s="11">
        <v>23</v>
      </c>
      <c r="O1509" s="12">
        <v>5.74</v>
      </c>
      <c r="P1509" s="12">
        <v>5.01</v>
      </c>
      <c r="Q1509" s="13">
        <v>-49.3235</v>
      </c>
      <c r="R1509" s="36" t="s">
        <v>876</v>
      </c>
      <c r="S1509" s="7">
        <f t="shared" si="126"/>
        <v>0</v>
      </c>
      <c r="T1509" s="15" t="str">
        <f>VLOOKUP(R1509,产品分类!$C$2:$D$1278,2,0)</f>
        <v>办公用品</v>
      </c>
    </row>
    <row r="1510" spans="1:20">
      <c r="A1510" s="8">
        <f>DATE(2012,12,31)-325</f>
        <v>40949</v>
      </c>
      <c r="B1510" s="8">
        <f>DATE(2012,12,31)-325</f>
        <v>40949</v>
      </c>
      <c r="C1510" s="9" t="s">
        <v>355</v>
      </c>
      <c r="D1510">
        <v>10021264174</v>
      </c>
      <c r="E1510" t="s">
        <v>47</v>
      </c>
      <c r="F1510" t="s">
        <v>171</v>
      </c>
      <c r="G1510" t="s">
        <v>172</v>
      </c>
      <c r="H1510" t="s">
        <v>1587</v>
      </c>
      <c r="I1510" t="s">
        <v>1588</v>
      </c>
      <c r="J1510" t="s">
        <v>367</v>
      </c>
      <c r="K1510" s="3">
        <v>100421402894</v>
      </c>
      <c r="L1510" s="10">
        <v>40951</v>
      </c>
      <c r="M1510">
        <v>1281.358</v>
      </c>
      <c r="N1510" s="11">
        <v>14</v>
      </c>
      <c r="O1510" s="12">
        <v>115.99</v>
      </c>
      <c r="P1510" s="12">
        <v>5.99</v>
      </c>
      <c r="Q1510" s="13">
        <v>-90.123</v>
      </c>
      <c r="R1510" s="36" t="s">
        <v>1082</v>
      </c>
      <c r="S1510" s="7">
        <f t="shared" si="126"/>
        <v>2</v>
      </c>
      <c r="T1510" s="15" t="str">
        <f>VLOOKUP(R1510,产品分类!$C$2:$D$1278,2,0)</f>
        <v>家具产品</v>
      </c>
    </row>
    <row r="1511" spans="1:20">
      <c r="A1511" s="8">
        <f>DATE(2012,12,31)-1010</f>
        <v>40264</v>
      </c>
      <c r="B1511" s="8">
        <f>DATE(2012,12,31)-1010</f>
        <v>40264</v>
      </c>
      <c r="C1511" s="9" t="s">
        <v>1628</v>
      </c>
      <c r="D1511">
        <v>10021428110</v>
      </c>
      <c r="E1511" t="s">
        <v>47</v>
      </c>
      <c r="F1511" t="s">
        <v>171</v>
      </c>
      <c r="G1511" t="s">
        <v>172</v>
      </c>
      <c r="H1511" t="s">
        <v>1587</v>
      </c>
      <c r="I1511" t="s">
        <v>1588</v>
      </c>
      <c r="J1511" t="s">
        <v>367</v>
      </c>
      <c r="K1511" s="3">
        <v>100131025856</v>
      </c>
      <c r="L1511" s="10">
        <v>40264</v>
      </c>
      <c r="M1511">
        <v>2040.95</v>
      </c>
      <c r="N1511" s="11">
        <v>42</v>
      </c>
      <c r="O1511" s="12">
        <v>48.91</v>
      </c>
      <c r="P1511" s="12">
        <v>35</v>
      </c>
      <c r="Q1511" s="13">
        <v>-1231.87</v>
      </c>
      <c r="R1511" s="36" t="s">
        <v>1240</v>
      </c>
      <c r="S1511" s="7">
        <f t="shared" si="126"/>
        <v>0</v>
      </c>
      <c r="T1511" s="15" t="str">
        <f>VLOOKUP(R1511,产品分类!$C$2:$D$1278,2,0)</f>
        <v>办公用品</v>
      </c>
    </row>
    <row r="1512" spans="1:20">
      <c r="A1512" s="8">
        <f>DATE(2012,12,31)-415</f>
        <v>40859</v>
      </c>
      <c r="B1512" s="8">
        <f>DATE(2012,12,31)-415</f>
        <v>40859</v>
      </c>
      <c r="C1512" s="9" t="s">
        <v>388</v>
      </c>
      <c r="D1512">
        <v>10021414799</v>
      </c>
      <c r="E1512" t="s">
        <v>47</v>
      </c>
      <c r="F1512" t="s">
        <v>171</v>
      </c>
      <c r="G1512" t="s">
        <v>172</v>
      </c>
      <c r="H1512" t="s">
        <v>1587</v>
      </c>
      <c r="I1512" t="s">
        <v>1588</v>
      </c>
      <c r="J1512" t="s">
        <v>367</v>
      </c>
      <c r="K1512" s="3">
        <v>10039573709</v>
      </c>
      <c r="L1512" s="10">
        <v>40861</v>
      </c>
      <c r="M1512">
        <v>181.66</v>
      </c>
      <c r="N1512" s="11">
        <v>9</v>
      </c>
      <c r="O1512" s="12">
        <v>17.98</v>
      </c>
      <c r="P1512" s="12">
        <v>8.51</v>
      </c>
      <c r="Q1512" s="13">
        <v>-27.4746</v>
      </c>
      <c r="R1512" s="36" t="s">
        <v>1430</v>
      </c>
      <c r="S1512" s="7">
        <f t="shared" si="126"/>
        <v>2</v>
      </c>
      <c r="T1512" s="15" t="str">
        <f>VLOOKUP(R1512,产品分类!$C$2:$D$1278,2,0)</f>
        <v>办公用品</v>
      </c>
    </row>
    <row r="1513" spans="1:20">
      <c r="A1513" s="8">
        <f>DATE(2012,12,31)-363</f>
        <v>40911</v>
      </c>
      <c r="B1513" s="8">
        <f>DATE(2012,12,31)-363</f>
        <v>40911</v>
      </c>
      <c r="C1513" s="9" t="s">
        <v>1276</v>
      </c>
      <c r="D1513">
        <v>10021252693</v>
      </c>
      <c r="E1513" t="s">
        <v>47</v>
      </c>
      <c r="F1513" t="s">
        <v>177</v>
      </c>
      <c r="G1513" t="s">
        <v>178</v>
      </c>
      <c r="H1513" t="s">
        <v>1292</v>
      </c>
      <c r="I1513" t="s">
        <v>1293</v>
      </c>
      <c r="J1513" t="s">
        <v>367</v>
      </c>
      <c r="K1513" s="3">
        <v>100812666982</v>
      </c>
      <c r="L1513" s="10">
        <v>40913</v>
      </c>
      <c r="M1513">
        <v>1170.025</v>
      </c>
      <c r="N1513" s="11">
        <v>14</v>
      </c>
      <c r="O1513" s="12">
        <v>95.99</v>
      </c>
      <c r="P1513" s="12">
        <v>8.99</v>
      </c>
      <c r="Q1513" s="13">
        <v>4.22100000000001</v>
      </c>
      <c r="R1513" s="36" t="s">
        <v>1605</v>
      </c>
      <c r="S1513" s="7">
        <f t="shared" si="126"/>
        <v>2</v>
      </c>
      <c r="T1513" s="15" t="str">
        <f>VLOOKUP(R1513,产品分类!$C$2:$D$1278,2,0)</f>
        <v>家具产品</v>
      </c>
    </row>
    <row r="1514" spans="1:20">
      <c r="A1514" s="8">
        <f>DATE(2012,12,31)-140</f>
        <v>41134</v>
      </c>
      <c r="B1514" s="8">
        <f>DATE(2012,12,31)-140</f>
        <v>41134</v>
      </c>
      <c r="C1514" s="9" t="s">
        <v>982</v>
      </c>
      <c r="D1514">
        <v>10021251643</v>
      </c>
      <c r="E1514" t="s">
        <v>47</v>
      </c>
      <c r="F1514" t="s">
        <v>177</v>
      </c>
      <c r="G1514" t="s">
        <v>178</v>
      </c>
      <c r="H1514" t="s">
        <v>1292</v>
      </c>
      <c r="I1514" t="s">
        <v>1293</v>
      </c>
      <c r="J1514" t="s">
        <v>367</v>
      </c>
      <c r="K1514" s="3">
        <v>100811045252</v>
      </c>
      <c r="L1514" s="10">
        <v>41134</v>
      </c>
      <c r="M1514">
        <v>193.11</v>
      </c>
      <c r="N1514" s="11">
        <v>50</v>
      </c>
      <c r="O1514" s="12">
        <v>3.89</v>
      </c>
      <c r="P1514" s="12">
        <v>7.01</v>
      </c>
      <c r="Q1514" s="13">
        <v>-263.764</v>
      </c>
      <c r="R1514" s="36" t="s">
        <v>749</v>
      </c>
      <c r="S1514" s="7">
        <f t="shared" si="126"/>
        <v>0</v>
      </c>
      <c r="T1514" s="15" t="str">
        <f>VLOOKUP(R1514,产品分类!$C$2:$D$1278,2,0)</f>
        <v>办公用品</v>
      </c>
    </row>
    <row r="1515" spans="1:20">
      <c r="A1515" s="8">
        <f>DATE(2012,12,31)-1372</f>
        <v>39902</v>
      </c>
      <c r="B1515" s="8">
        <f>DATE(2012,12,31)-1372</f>
        <v>39902</v>
      </c>
      <c r="C1515" s="9" t="s">
        <v>1110</v>
      </c>
      <c r="D1515">
        <v>10021367484</v>
      </c>
      <c r="E1515" t="s">
        <v>47</v>
      </c>
      <c r="F1515" t="s">
        <v>177</v>
      </c>
      <c r="G1515" t="s">
        <v>178</v>
      </c>
      <c r="H1515" t="s">
        <v>1292</v>
      </c>
      <c r="I1515" t="s">
        <v>1293</v>
      </c>
      <c r="J1515" t="s">
        <v>367</v>
      </c>
      <c r="K1515" s="3">
        <v>100813026602</v>
      </c>
      <c r="L1515" s="10">
        <v>39903</v>
      </c>
      <c r="M1515">
        <v>3449.26</v>
      </c>
      <c r="N1515" s="11">
        <v>46</v>
      </c>
      <c r="O1515" s="12">
        <v>80.97</v>
      </c>
      <c r="P1515" s="12">
        <v>30.06</v>
      </c>
      <c r="Q1515" s="13">
        <v>252.77</v>
      </c>
      <c r="R1515" s="36" t="s">
        <v>1629</v>
      </c>
      <c r="S1515" s="7">
        <f t="shared" si="126"/>
        <v>1</v>
      </c>
      <c r="T1515" s="15" t="str">
        <f>VLOOKUP(R1515,产品分类!$C$2:$D$1278,2,0)</f>
        <v>办公用品</v>
      </c>
    </row>
    <row r="1516" spans="1:20">
      <c r="A1516" s="8">
        <f>DATE(2012,12,31)-55</f>
        <v>41219</v>
      </c>
      <c r="B1516" s="8">
        <f>DATE(2012,12,31)-55</f>
        <v>41219</v>
      </c>
      <c r="C1516" s="9" t="s">
        <v>826</v>
      </c>
      <c r="D1516">
        <v>10021281469</v>
      </c>
      <c r="E1516" t="s">
        <v>47</v>
      </c>
      <c r="F1516" t="s">
        <v>177</v>
      </c>
      <c r="G1516" t="s">
        <v>178</v>
      </c>
      <c r="H1516" t="s">
        <v>1292</v>
      </c>
      <c r="I1516" t="s">
        <v>1293</v>
      </c>
      <c r="J1516" t="s">
        <v>367</v>
      </c>
      <c r="K1516" s="3">
        <v>100413025243</v>
      </c>
      <c r="L1516" s="10">
        <v>41219</v>
      </c>
      <c r="M1516">
        <v>677.43</v>
      </c>
      <c r="N1516" s="11">
        <v>14</v>
      </c>
      <c r="O1516" s="12">
        <v>50.98</v>
      </c>
      <c r="P1516" s="12">
        <v>22.24</v>
      </c>
      <c r="Q1516" s="13">
        <v>75.48</v>
      </c>
      <c r="R1516" s="36" t="s">
        <v>1630</v>
      </c>
      <c r="S1516" s="7">
        <f t="shared" si="126"/>
        <v>0</v>
      </c>
      <c r="T1516" s="15" t="str">
        <f>VLOOKUP(R1516,产品分类!$C$2:$D$1278,2,0)</f>
        <v>办公用品</v>
      </c>
    </row>
    <row r="1517" spans="1:20">
      <c r="A1517" s="8">
        <f>DATE(2012,12,31)-1370</f>
        <v>39904</v>
      </c>
      <c r="B1517" s="8">
        <f>DATE(2012,12,31)-1370</f>
        <v>39904</v>
      </c>
      <c r="C1517" s="9" t="s">
        <v>350</v>
      </c>
      <c r="D1517">
        <v>10021365250</v>
      </c>
      <c r="E1517" t="s">
        <v>47</v>
      </c>
      <c r="F1517" t="s">
        <v>61</v>
      </c>
      <c r="G1517" t="s">
        <v>62</v>
      </c>
      <c r="H1517" t="s">
        <v>1369</v>
      </c>
      <c r="I1517" t="s">
        <v>1370</v>
      </c>
      <c r="J1517" t="s">
        <v>367</v>
      </c>
      <c r="K1517" s="3">
        <v>100721497115</v>
      </c>
      <c r="L1517" s="10">
        <v>39905</v>
      </c>
      <c r="M1517">
        <v>566.53</v>
      </c>
      <c r="N1517" s="11">
        <v>9</v>
      </c>
      <c r="O1517" s="12">
        <v>60.98</v>
      </c>
      <c r="P1517" s="12">
        <v>30</v>
      </c>
      <c r="Q1517" s="13">
        <v>-209.6</v>
      </c>
      <c r="R1517" s="36" t="s">
        <v>1631</v>
      </c>
      <c r="S1517" s="7">
        <f t="shared" si="126"/>
        <v>1</v>
      </c>
      <c r="T1517" s="15" t="str">
        <f>VLOOKUP(R1517,产品分类!$C$2:$D$1278,2,0)</f>
        <v>办公用品</v>
      </c>
    </row>
    <row r="1518" spans="1:20">
      <c r="A1518" s="8">
        <f>DATE(2012,12,31)-454</f>
        <v>40820</v>
      </c>
      <c r="B1518" s="8">
        <f>DATE(2012,12,31)-454</f>
        <v>40820</v>
      </c>
      <c r="C1518" s="9" t="s">
        <v>1347</v>
      </c>
      <c r="D1518">
        <v>10021249068</v>
      </c>
      <c r="E1518" t="s">
        <v>47</v>
      </c>
      <c r="F1518" t="s">
        <v>61</v>
      </c>
      <c r="G1518" t="s">
        <v>62</v>
      </c>
      <c r="H1518" t="s">
        <v>1369</v>
      </c>
      <c r="I1518" t="s">
        <v>1370</v>
      </c>
      <c r="J1518" t="s">
        <v>367</v>
      </c>
      <c r="K1518" s="3">
        <v>10019128046</v>
      </c>
      <c r="L1518" s="10">
        <v>40822</v>
      </c>
      <c r="M1518">
        <v>486.43</v>
      </c>
      <c r="N1518" s="11">
        <v>15</v>
      </c>
      <c r="O1518" s="12">
        <v>30.93</v>
      </c>
      <c r="P1518" s="12">
        <v>3.92</v>
      </c>
      <c r="Q1518" s="13">
        <v>285.35</v>
      </c>
      <c r="R1518" s="36" t="s">
        <v>106</v>
      </c>
      <c r="S1518" s="7">
        <f t="shared" si="126"/>
        <v>2</v>
      </c>
      <c r="T1518" s="15" t="str">
        <f>VLOOKUP(R1518,产品分类!$C$2:$D$1278,2,0)</f>
        <v>数码电子</v>
      </c>
    </row>
    <row r="1519" spans="1:20">
      <c r="A1519" s="8">
        <f>DATE(2012,12,31)-454</f>
        <v>40820</v>
      </c>
      <c r="B1519" s="8">
        <f>DATE(2012,12,31)-454</f>
        <v>40820</v>
      </c>
      <c r="C1519" s="9" t="s">
        <v>1347</v>
      </c>
      <c r="D1519">
        <v>10021418038</v>
      </c>
      <c r="E1519" t="s">
        <v>47</v>
      </c>
      <c r="F1519" t="s">
        <v>253</v>
      </c>
      <c r="G1519" t="s">
        <v>254</v>
      </c>
      <c r="H1519" t="s">
        <v>255</v>
      </c>
      <c r="I1519" t="s">
        <v>256</v>
      </c>
      <c r="J1519" t="s">
        <v>367</v>
      </c>
      <c r="K1519" s="3">
        <v>100119335036</v>
      </c>
      <c r="L1519" s="10">
        <v>40822</v>
      </c>
      <c r="M1519">
        <v>144.95</v>
      </c>
      <c r="N1519" s="11">
        <v>7</v>
      </c>
      <c r="O1519" s="12">
        <v>19.98</v>
      </c>
      <c r="P1519" s="12">
        <v>5.86</v>
      </c>
      <c r="Q1519" s="13">
        <v>10.82</v>
      </c>
      <c r="R1519" s="36" t="s">
        <v>1632</v>
      </c>
      <c r="S1519" s="7">
        <f t="shared" si="126"/>
        <v>2</v>
      </c>
      <c r="T1519" s="15" t="str">
        <f>VLOOKUP(R1519,产品分类!$C$2:$D$1278,2,0)</f>
        <v>数码电子</v>
      </c>
    </row>
    <row r="1520" spans="1:20">
      <c r="A1520" s="8">
        <f>DATE(2012,12,31)-962</f>
        <v>40312</v>
      </c>
      <c r="B1520" s="8">
        <f>DATE(2012,12,31)-962</f>
        <v>40312</v>
      </c>
      <c r="C1520" s="9" t="s">
        <v>1633</v>
      </c>
      <c r="D1520">
        <v>10021367422</v>
      </c>
      <c r="E1520" t="s">
        <v>47</v>
      </c>
      <c r="F1520" t="s">
        <v>61</v>
      </c>
      <c r="G1520" t="s">
        <v>62</v>
      </c>
      <c r="H1520" t="s">
        <v>1369</v>
      </c>
      <c r="I1520" t="s">
        <v>1370</v>
      </c>
      <c r="J1520" t="s">
        <v>367</v>
      </c>
      <c r="K1520" s="3">
        <v>1009575121</v>
      </c>
      <c r="L1520" s="10">
        <v>40314</v>
      </c>
      <c r="M1520">
        <v>73.36</v>
      </c>
      <c r="N1520" s="11">
        <v>41</v>
      </c>
      <c r="O1520" s="12">
        <v>1.86</v>
      </c>
      <c r="P1520" s="12">
        <v>2.58</v>
      </c>
      <c r="Q1520" s="13">
        <v>-94.95</v>
      </c>
      <c r="R1520" s="36" t="s">
        <v>109</v>
      </c>
      <c r="S1520" s="7">
        <f t="shared" si="126"/>
        <v>2</v>
      </c>
      <c r="T1520" s="15" t="str">
        <f>VLOOKUP(R1520,产品分类!$C$2:$D$1278,2,0)</f>
        <v>数码电子</v>
      </c>
    </row>
    <row r="1521" spans="1:20">
      <c r="A1521" s="8">
        <f>DATE(2012,12,31)-962</f>
        <v>40312</v>
      </c>
      <c r="B1521" s="8">
        <f>DATE(2012,12,31)-962</f>
        <v>40312</v>
      </c>
      <c r="C1521" s="9" t="s">
        <v>1633</v>
      </c>
      <c r="D1521">
        <v>10021269250</v>
      </c>
      <c r="E1521" t="s">
        <v>47</v>
      </c>
      <c r="F1521" t="s">
        <v>61</v>
      </c>
      <c r="G1521" t="s">
        <v>62</v>
      </c>
      <c r="H1521" t="s">
        <v>1369</v>
      </c>
      <c r="I1521" t="s">
        <v>1370</v>
      </c>
      <c r="J1521" t="s">
        <v>367</v>
      </c>
      <c r="K1521" s="3">
        <v>100132435706</v>
      </c>
      <c r="L1521" s="10">
        <v>40314</v>
      </c>
      <c r="M1521">
        <v>3630.146</v>
      </c>
      <c r="N1521" s="11">
        <v>33</v>
      </c>
      <c r="O1521" s="12">
        <v>125.99</v>
      </c>
      <c r="P1521" s="12">
        <v>8.99</v>
      </c>
      <c r="Q1521" s="13">
        <v>951.678</v>
      </c>
      <c r="R1521" s="36" t="s">
        <v>1634</v>
      </c>
      <c r="S1521" s="7">
        <f t="shared" si="126"/>
        <v>2</v>
      </c>
      <c r="T1521" s="15" t="str">
        <f>VLOOKUP(R1521,产品分类!$C$2:$D$1278,2,0)</f>
        <v>家具产品</v>
      </c>
    </row>
    <row r="1522" spans="1:20">
      <c r="A1522" s="8">
        <f t="shared" ref="A1522:B1524" si="129">DATE(2012,12,31)-21</f>
        <v>41253</v>
      </c>
      <c r="B1522" s="8">
        <f t="shared" si="129"/>
        <v>41253</v>
      </c>
      <c r="C1522" s="9" t="s">
        <v>282</v>
      </c>
      <c r="D1522">
        <v>10021349926</v>
      </c>
      <c r="E1522" t="s">
        <v>47</v>
      </c>
      <c r="F1522" t="s">
        <v>61</v>
      </c>
      <c r="G1522" t="s">
        <v>62</v>
      </c>
      <c r="H1522" t="s">
        <v>1369</v>
      </c>
      <c r="I1522" t="s">
        <v>1370</v>
      </c>
      <c r="J1522" t="s">
        <v>367</v>
      </c>
      <c r="K1522" s="3">
        <v>100932132351</v>
      </c>
      <c r="L1522" s="10">
        <v>41254</v>
      </c>
      <c r="M1522">
        <v>538.27</v>
      </c>
      <c r="N1522" s="11">
        <v>29</v>
      </c>
      <c r="O1522" s="12">
        <v>18.94</v>
      </c>
      <c r="P1522" s="12">
        <v>1.49</v>
      </c>
      <c r="Q1522" s="13">
        <v>225.199</v>
      </c>
      <c r="R1522" s="36" t="s">
        <v>1311</v>
      </c>
      <c r="S1522" s="7">
        <f t="shared" si="126"/>
        <v>1</v>
      </c>
      <c r="T1522" s="15" t="str">
        <f>VLOOKUP(R1522,产品分类!$C$2:$D$1278,2,0)</f>
        <v>家具产品</v>
      </c>
    </row>
    <row r="1523" spans="1:20">
      <c r="A1523" s="8">
        <f t="shared" si="129"/>
        <v>41253</v>
      </c>
      <c r="B1523" s="8">
        <f t="shared" si="129"/>
        <v>41253</v>
      </c>
      <c r="C1523" s="9" t="s">
        <v>282</v>
      </c>
      <c r="D1523">
        <v>10021429480</v>
      </c>
      <c r="E1523" t="s">
        <v>47</v>
      </c>
      <c r="F1523" t="s">
        <v>253</v>
      </c>
      <c r="G1523" t="s">
        <v>254</v>
      </c>
      <c r="H1523" t="s">
        <v>255</v>
      </c>
      <c r="I1523" t="s">
        <v>256</v>
      </c>
      <c r="J1523" t="s">
        <v>367</v>
      </c>
      <c r="K1523" s="3">
        <v>100315742119</v>
      </c>
      <c r="L1523" s="10">
        <v>41255</v>
      </c>
      <c r="M1523">
        <v>3665.41</v>
      </c>
      <c r="N1523" s="11">
        <v>30</v>
      </c>
      <c r="O1523" s="12">
        <v>122.99</v>
      </c>
      <c r="P1523" s="12">
        <v>19.99</v>
      </c>
      <c r="Q1523" s="13">
        <v>1236.359</v>
      </c>
      <c r="R1523" s="36" t="s">
        <v>389</v>
      </c>
      <c r="S1523" s="7">
        <f t="shared" si="126"/>
        <v>2</v>
      </c>
      <c r="T1523" s="15" t="str">
        <f>VLOOKUP(R1523,产品分类!$C$2:$D$1278,2,0)</f>
        <v>家具产品</v>
      </c>
    </row>
    <row r="1524" spans="1:20">
      <c r="A1524" s="8">
        <f t="shared" si="129"/>
        <v>41253</v>
      </c>
      <c r="B1524" s="8">
        <f t="shared" si="129"/>
        <v>41253</v>
      </c>
      <c r="C1524" s="9" t="s">
        <v>282</v>
      </c>
      <c r="D1524">
        <v>10021375059</v>
      </c>
      <c r="E1524" t="s">
        <v>47</v>
      </c>
      <c r="F1524" t="s">
        <v>304</v>
      </c>
      <c r="G1524" t="s">
        <v>305</v>
      </c>
      <c r="H1524" t="s">
        <v>1550</v>
      </c>
      <c r="I1524" t="s">
        <v>1551</v>
      </c>
      <c r="J1524" t="s">
        <v>367</v>
      </c>
      <c r="K1524" s="3">
        <v>100932898461</v>
      </c>
      <c r="L1524" s="10">
        <v>41255</v>
      </c>
      <c r="M1524">
        <v>20.95</v>
      </c>
      <c r="N1524" s="11">
        <v>14</v>
      </c>
      <c r="O1524" s="12">
        <v>1.14</v>
      </c>
      <c r="P1524" s="12">
        <v>0.7</v>
      </c>
      <c r="Q1524" s="13">
        <v>2.81</v>
      </c>
      <c r="R1524" s="36" t="s">
        <v>1635</v>
      </c>
      <c r="S1524" s="7">
        <f t="shared" si="126"/>
        <v>2</v>
      </c>
      <c r="T1524" s="15" t="str">
        <f>VLOOKUP(R1524,产品分类!$C$2:$D$1278,2,0)</f>
        <v>家具产品</v>
      </c>
    </row>
    <row r="1525" spans="1:20">
      <c r="A1525" s="8">
        <f>DATE(2012,12,31)-1406</f>
        <v>39868</v>
      </c>
      <c r="B1525" s="8">
        <f>DATE(2012,12,31)-1406</f>
        <v>39868</v>
      </c>
      <c r="C1525" s="9" t="s">
        <v>338</v>
      </c>
      <c r="D1525">
        <v>10021474856</v>
      </c>
      <c r="E1525" t="s">
        <v>47</v>
      </c>
      <c r="F1525" t="s">
        <v>72</v>
      </c>
      <c r="G1525" t="s">
        <v>73</v>
      </c>
      <c r="H1525" t="s">
        <v>1572</v>
      </c>
      <c r="I1525" t="s">
        <v>1573</v>
      </c>
      <c r="J1525" t="s">
        <v>367</v>
      </c>
      <c r="K1525" s="3">
        <v>100933014091</v>
      </c>
      <c r="L1525" s="10">
        <v>39870</v>
      </c>
      <c r="M1525">
        <v>2545.89</v>
      </c>
      <c r="N1525" s="11">
        <v>17</v>
      </c>
      <c r="O1525" s="12">
        <v>138.14</v>
      </c>
      <c r="P1525" s="12">
        <v>35</v>
      </c>
      <c r="Q1525" s="13">
        <v>-321.51</v>
      </c>
      <c r="R1525" s="36" t="s">
        <v>308</v>
      </c>
      <c r="S1525" s="7">
        <f t="shared" si="126"/>
        <v>2</v>
      </c>
      <c r="T1525" s="15" t="str">
        <f>VLOOKUP(R1525,产品分类!$C$2:$D$1278,2,0)</f>
        <v>家具产品</v>
      </c>
    </row>
    <row r="1526" spans="1:20">
      <c r="A1526" s="8">
        <f t="shared" ref="A1526:B1528" si="130">DATE(2012,12,31)-232</f>
        <v>41042</v>
      </c>
      <c r="B1526" s="8">
        <f t="shared" si="130"/>
        <v>41042</v>
      </c>
      <c r="C1526" s="9" t="s">
        <v>1429</v>
      </c>
      <c r="D1526">
        <v>10021459073</v>
      </c>
      <c r="E1526" t="s">
        <v>47</v>
      </c>
      <c r="F1526" t="s">
        <v>72</v>
      </c>
      <c r="G1526" t="s">
        <v>73</v>
      </c>
      <c r="H1526" t="s">
        <v>1572</v>
      </c>
      <c r="I1526" t="s">
        <v>1573</v>
      </c>
      <c r="J1526" t="s">
        <v>367</v>
      </c>
      <c r="K1526" s="3">
        <v>100733000095</v>
      </c>
      <c r="L1526" s="10">
        <v>41044</v>
      </c>
      <c r="M1526">
        <v>8305.19</v>
      </c>
      <c r="N1526" s="11">
        <v>33</v>
      </c>
      <c r="O1526" s="12">
        <v>240.98</v>
      </c>
      <c r="P1526" s="12">
        <v>60.2</v>
      </c>
      <c r="Q1526" s="13">
        <v>1383.32</v>
      </c>
      <c r="R1526" s="36" t="s">
        <v>1636</v>
      </c>
      <c r="S1526" s="7">
        <f t="shared" si="126"/>
        <v>2</v>
      </c>
      <c r="T1526" s="15" t="str">
        <f>VLOOKUP(R1526,产品分类!$C$2:$D$1278,2,0)</f>
        <v>家具产品</v>
      </c>
    </row>
    <row r="1527" spans="1:20">
      <c r="A1527" s="16">
        <f t="shared" si="130"/>
        <v>41042</v>
      </c>
      <c r="B1527" s="16">
        <f t="shared" si="130"/>
        <v>41042</v>
      </c>
      <c r="C1527" s="9" t="s">
        <v>1429</v>
      </c>
      <c r="D1527">
        <v>10021310513</v>
      </c>
      <c r="E1527" t="s">
        <v>47</v>
      </c>
      <c r="F1527" t="s">
        <v>102</v>
      </c>
      <c r="G1527" t="s">
        <v>103</v>
      </c>
      <c r="H1527" t="s">
        <v>1217</v>
      </c>
      <c r="I1527" t="s">
        <v>1218</v>
      </c>
      <c r="J1527" t="s">
        <v>367</v>
      </c>
      <c r="K1527" s="3">
        <v>100132812446</v>
      </c>
      <c r="L1527" s="10">
        <v>41043</v>
      </c>
      <c r="M1527">
        <v>251.05</v>
      </c>
      <c r="N1527" s="17">
        <v>36</v>
      </c>
      <c r="O1527" s="5">
        <v>7.31</v>
      </c>
      <c r="P1527" s="5">
        <v>0.49</v>
      </c>
      <c r="Q1527" s="6">
        <v>118.79</v>
      </c>
      <c r="R1527" s="37" t="s">
        <v>694</v>
      </c>
      <c r="S1527" s="7">
        <f t="shared" si="126"/>
        <v>1</v>
      </c>
      <c r="T1527" s="15" t="str">
        <f>VLOOKUP(R1527,产品分类!$C$2:$D$1278,2,0)</f>
        <v>办公用品</v>
      </c>
    </row>
    <row r="1528" spans="1:20">
      <c r="A1528" s="8">
        <f t="shared" si="130"/>
        <v>41042</v>
      </c>
      <c r="B1528" s="8">
        <f t="shared" si="130"/>
        <v>41042</v>
      </c>
      <c r="C1528" s="9" t="s">
        <v>1429</v>
      </c>
      <c r="D1528">
        <v>10021288810</v>
      </c>
      <c r="E1528" t="s">
        <v>47</v>
      </c>
      <c r="F1528" t="s">
        <v>253</v>
      </c>
      <c r="G1528" t="s">
        <v>254</v>
      </c>
      <c r="H1528" t="s">
        <v>255</v>
      </c>
      <c r="I1528" t="s">
        <v>256</v>
      </c>
      <c r="J1528" t="s">
        <v>367</v>
      </c>
      <c r="K1528" s="3">
        <v>100932782801</v>
      </c>
      <c r="L1528" s="10">
        <v>41043</v>
      </c>
      <c r="M1528">
        <v>305.62</v>
      </c>
      <c r="N1528" s="11">
        <v>36</v>
      </c>
      <c r="O1528" s="12">
        <v>8.74</v>
      </c>
      <c r="P1528" s="12">
        <v>8.29</v>
      </c>
      <c r="Q1528" s="13">
        <v>-129.86</v>
      </c>
      <c r="R1528" s="36" t="s">
        <v>618</v>
      </c>
      <c r="S1528" s="7">
        <f t="shared" si="126"/>
        <v>1</v>
      </c>
      <c r="T1528" s="15" t="str">
        <f>VLOOKUP(R1528,产品分类!$C$2:$D$1278,2,0)</f>
        <v>办公用品</v>
      </c>
    </row>
    <row r="1529" spans="1:20">
      <c r="A1529" s="8">
        <f>DATE(2012,12,31)-1354</f>
        <v>39920</v>
      </c>
      <c r="B1529" s="8">
        <f>DATE(2012,12,31)-1354</f>
        <v>39920</v>
      </c>
      <c r="C1529" s="9" t="s">
        <v>54</v>
      </c>
      <c r="D1529">
        <v>10021372601</v>
      </c>
      <c r="E1529" t="s">
        <v>47</v>
      </c>
      <c r="F1529" t="s">
        <v>61</v>
      </c>
      <c r="G1529" t="s">
        <v>62</v>
      </c>
      <c r="H1529" t="s">
        <v>1369</v>
      </c>
      <c r="I1529" t="s">
        <v>1370</v>
      </c>
      <c r="J1529" t="s">
        <v>367</v>
      </c>
      <c r="K1529" s="3">
        <v>100132889947</v>
      </c>
      <c r="L1529" s="10">
        <v>39921</v>
      </c>
      <c r="M1529">
        <v>226.882</v>
      </c>
      <c r="N1529" s="11">
        <v>2</v>
      </c>
      <c r="O1529" s="12">
        <v>125.99</v>
      </c>
      <c r="P1529" s="12">
        <v>8.99</v>
      </c>
      <c r="Q1529" s="13">
        <v>-582.648</v>
      </c>
      <c r="R1529" s="36" t="s">
        <v>1637</v>
      </c>
      <c r="S1529" s="7">
        <f t="shared" si="126"/>
        <v>1</v>
      </c>
      <c r="T1529" s="15" t="str">
        <f>VLOOKUP(R1529,产品分类!$C$2:$D$1278,2,0)</f>
        <v>数码电子</v>
      </c>
    </row>
    <row r="1530" spans="1:20">
      <c r="A1530" s="8">
        <f>DATE(2012,12,31)-846</f>
        <v>40428</v>
      </c>
      <c r="B1530" s="8">
        <f>DATE(2012,12,31)-846</f>
        <v>40428</v>
      </c>
      <c r="C1530" s="9" t="s">
        <v>987</v>
      </c>
      <c r="D1530">
        <v>10021291425</v>
      </c>
      <c r="E1530" t="s">
        <v>47</v>
      </c>
      <c r="F1530" t="s">
        <v>122</v>
      </c>
      <c r="G1530" t="s">
        <v>123</v>
      </c>
      <c r="H1530" t="s">
        <v>124</v>
      </c>
      <c r="I1530" t="s">
        <v>125</v>
      </c>
      <c r="J1530" t="s">
        <v>367</v>
      </c>
      <c r="K1530" s="3">
        <v>100132790216</v>
      </c>
      <c r="L1530" s="10">
        <v>40430</v>
      </c>
      <c r="M1530">
        <v>158.79</v>
      </c>
      <c r="N1530" s="11">
        <v>13</v>
      </c>
      <c r="O1530" s="12">
        <v>11.7</v>
      </c>
      <c r="P1530" s="12">
        <v>5.63</v>
      </c>
      <c r="Q1530" s="13">
        <v>1.156</v>
      </c>
      <c r="R1530" s="36" t="s">
        <v>348</v>
      </c>
      <c r="S1530" s="7">
        <f t="shared" si="126"/>
        <v>2</v>
      </c>
      <c r="T1530" s="15" t="str">
        <f>VLOOKUP(R1530,产品分类!$C$2:$D$1278,2,0)</f>
        <v>办公用品</v>
      </c>
    </row>
    <row r="1531" spans="1:20">
      <c r="A1531" s="8">
        <f>DATE(2012,12,31)-846</f>
        <v>40428</v>
      </c>
      <c r="B1531" s="8">
        <f>DATE(2012,12,31)-846</f>
        <v>40428</v>
      </c>
      <c r="C1531" s="9" t="s">
        <v>987</v>
      </c>
      <c r="D1531">
        <v>10021435277</v>
      </c>
      <c r="E1531" t="s">
        <v>47</v>
      </c>
      <c r="F1531" t="s">
        <v>122</v>
      </c>
      <c r="G1531" t="s">
        <v>123</v>
      </c>
      <c r="H1531" t="s">
        <v>124</v>
      </c>
      <c r="I1531" t="s">
        <v>125</v>
      </c>
      <c r="J1531" t="s">
        <v>367</v>
      </c>
      <c r="K1531" s="3">
        <v>100432963593</v>
      </c>
      <c r="L1531" s="10">
        <v>40429</v>
      </c>
      <c r="M1531">
        <v>286.81</v>
      </c>
      <c r="N1531" s="11">
        <v>39</v>
      </c>
      <c r="O1531" s="12">
        <v>7.64</v>
      </c>
      <c r="P1531" s="12">
        <v>1.39</v>
      </c>
      <c r="Q1531" s="13">
        <v>110.05</v>
      </c>
      <c r="R1531" s="36" t="s">
        <v>1338</v>
      </c>
      <c r="S1531" s="7">
        <f t="shared" si="126"/>
        <v>1</v>
      </c>
      <c r="T1531" s="15" t="str">
        <f>VLOOKUP(R1531,产品分类!$C$2:$D$1278,2,0)</f>
        <v>办公用品</v>
      </c>
    </row>
    <row r="1532" spans="1:20">
      <c r="A1532" s="8">
        <f>DATE(2012,12,31)-435</f>
        <v>40839</v>
      </c>
      <c r="B1532" s="8">
        <f>DATE(2012,12,31)-435</f>
        <v>40839</v>
      </c>
      <c r="C1532" s="9" t="s">
        <v>1638</v>
      </c>
      <c r="D1532">
        <v>10021473901</v>
      </c>
      <c r="E1532" t="s">
        <v>47</v>
      </c>
      <c r="F1532" t="s">
        <v>342</v>
      </c>
      <c r="G1532" t="s">
        <v>343</v>
      </c>
      <c r="H1532" t="s">
        <v>1602</v>
      </c>
      <c r="I1532" t="s">
        <v>1603</v>
      </c>
      <c r="J1532" t="s">
        <v>367</v>
      </c>
      <c r="K1532" s="3">
        <v>100733012245</v>
      </c>
      <c r="L1532" s="10">
        <v>40839</v>
      </c>
      <c r="M1532">
        <v>1102.28</v>
      </c>
      <c r="N1532" s="11">
        <v>44</v>
      </c>
      <c r="O1532" s="12">
        <v>23.99</v>
      </c>
      <c r="P1532" s="12">
        <v>6.71</v>
      </c>
      <c r="Q1532" s="13">
        <v>389.61</v>
      </c>
      <c r="R1532" s="36" t="s">
        <v>1639</v>
      </c>
      <c r="S1532" s="7">
        <f t="shared" si="126"/>
        <v>0</v>
      </c>
      <c r="T1532" s="15" t="str">
        <f>VLOOKUP(R1532,产品分类!$C$2:$D$1278,2,0)</f>
        <v>办公用品</v>
      </c>
    </row>
    <row r="1533" spans="1:20">
      <c r="A1533" s="8">
        <f>DATE(2012,12,31)-190</f>
        <v>41084</v>
      </c>
      <c r="B1533" s="8">
        <f>DATE(2012,12,31)-190</f>
        <v>41084</v>
      </c>
      <c r="C1533" s="9" t="s">
        <v>596</v>
      </c>
      <c r="D1533">
        <v>10021437992</v>
      </c>
      <c r="E1533" t="s">
        <v>47</v>
      </c>
      <c r="F1533" t="s">
        <v>152</v>
      </c>
      <c r="G1533" t="s">
        <v>153</v>
      </c>
      <c r="H1533" t="s">
        <v>1640</v>
      </c>
      <c r="I1533" t="s">
        <v>1641</v>
      </c>
      <c r="J1533" t="s">
        <v>367</v>
      </c>
      <c r="K1533" s="3">
        <v>100926722651</v>
      </c>
      <c r="L1533" s="10">
        <v>41085</v>
      </c>
      <c r="M1533">
        <v>14.49</v>
      </c>
      <c r="N1533" s="11">
        <v>3</v>
      </c>
      <c r="O1533" s="12">
        <v>3.28</v>
      </c>
      <c r="P1533" s="12">
        <v>5</v>
      </c>
      <c r="Q1533" s="13">
        <v>-12.58</v>
      </c>
      <c r="R1533" s="36" t="s">
        <v>906</v>
      </c>
      <c r="S1533" s="7">
        <f t="shared" si="126"/>
        <v>1</v>
      </c>
      <c r="T1533" s="15" t="str">
        <f>VLOOKUP(R1533,产品分类!$C$2:$D$1278,2,0)</f>
        <v>数码电子</v>
      </c>
    </row>
    <row r="1534" spans="1:20">
      <c r="A1534" s="8">
        <f>DATE(2012,12,31)-281</f>
        <v>40993</v>
      </c>
      <c r="B1534" s="8">
        <f>DATE(2012,12,31)-281</f>
        <v>40993</v>
      </c>
      <c r="C1534" s="9" t="s">
        <v>358</v>
      </c>
      <c r="D1534">
        <v>10021268785</v>
      </c>
      <c r="E1534" t="s">
        <v>47</v>
      </c>
      <c r="F1534" t="s">
        <v>152</v>
      </c>
      <c r="G1534" t="s">
        <v>153</v>
      </c>
      <c r="H1534" t="s">
        <v>1640</v>
      </c>
      <c r="I1534" t="s">
        <v>1641</v>
      </c>
      <c r="J1534" t="s">
        <v>367</v>
      </c>
      <c r="K1534" s="3">
        <v>100732414745</v>
      </c>
      <c r="L1534" s="10">
        <v>40994</v>
      </c>
      <c r="M1534">
        <v>710.86</v>
      </c>
      <c r="N1534" s="11">
        <v>35</v>
      </c>
      <c r="O1534" s="12">
        <v>19.98</v>
      </c>
      <c r="P1534" s="12">
        <v>5.97</v>
      </c>
      <c r="Q1534" s="13">
        <v>196.22</v>
      </c>
      <c r="R1534" s="36" t="s">
        <v>1420</v>
      </c>
      <c r="S1534" s="7">
        <f t="shared" si="126"/>
        <v>1</v>
      </c>
      <c r="T1534" s="15" t="str">
        <f>VLOOKUP(R1534,产品分类!$C$2:$D$1278,2,0)</f>
        <v>家具产品</v>
      </c>
    </row>
    <row r="1535" spans="1:20">
      <c r="A1535" s="16">
        <f>DATE(2012,12,31)-752</f>
        <v>40522</v>
      </c>
      <c r="B1535" s="16">
        <f>DATE(2012,12,31)-752</f>
        <v>40522</v>
      </c>
      <c r="C1535" s="9" t="s">
        <v>428</v>
      </c>
      <c r="D1535">
        <v>10021434485</v>
      </c>
      <c r="E1535" t="s">
        <v>47</v>
      </c>
      <c r="F1535" t="s">
        <v>72</v>
      </c>
      <c r="G1535" t="s">
        <v>73</v>
      </c>
      <c r="H1535" t="s">
        <v>1572</v>
      </c>
      <c r="I1535" t="s">
        <v>1573</v>
      </c>
      <c r="J1535" t="s">
        <v>367</v>
      </c>
      <c r="K1535" s="3">
        <v>100323939239</v>
      </c>
      <c r="L1535" s="10">
        <v>40529</v>
      </c>
      <c r="M1535">
        <v>1991.26</v>
      </c>
      <c r="N1535" s="17">
        <v>27</v>
      </c>
      <c r="O1535" s="5">
        <v>68.81</v>
      </c>
      <c r="P1535" s="5">
        <v>60</v>
      </c>
      <c r="Q1535" s="6">
        <v>-528.09</v>
      </c>
      <c r="R1535" s="37" t="s">
        <v>390</v>
      </c>
      <c r="S1535" s="7">
        <f t="shared" si="126"/>
        <v>7</v>
      </c>
      <c r="T1535" s="15" t="str">
        <f>VLOOKUP(R1535,产品分类!$C$2:$D$1278,2,0)</f>
        <v>办公用品</v>
      </c>
    </row>
    <row r="1536" spans="1:20">
      <c r="A1536" s="8">
        <f>DATE(2012,12,31)-752</f>
        <v>40522</v>
      </c>
      <c r="B1536" s="8">
        <f>DATE(2012,12,31)-752</f>
        <v>40522</v>
      </c>
      <c r="C1536" s="9" t="s">
        <v>428</v>
      </c>
      <c r="D1536">
        <v>10021262822</v>
      </c>
      <c r="E1536" t="s">
        <v>47</v>
      </c>
      <c r="F1536" t="s">
        <v>91</v>
      </c>
      <c r="G1536" t="s">
        <v>92</v>
      </c>
      <c r="H1536" t="s">
        <v>1412</v>
      </c>
      <c r="I1536" t="s">
        <v>1413</v>
      </c>
      <c r="J1536" t="s">
        <v>367</v>
      </c>
      <c r="K1536" s="3">
        <v>100930335231</v>
      </c>
      <c r="L1536" s="10">
        <v>40524</v>
      </c>
      <c r="M1536">
        <v>10480.272</v>
      </c>
      <c r="N1536" s="11">
        <v>24</v>
      </c>
      <c r="O1536" s="12">
        <v>550.98</v>
      </c>
      <c r="P1536" s="12">
        <v>64.59</v>
      </c>
      <c r="Q1536" s="13">
        <v>2271.68</v>
      </c>
      <c r="R1536" s="36" t="s">
        <v>1642</v>
      </c>
      <c r="S1536" s="7">
        <f t="shared" si="126"/>
        <v>2</v>
      </c>
      <c r="T1536" s="15" t="str">
        <f>VLOOKUP(R1536,产品分类!$C$2:$D$1278,2,0)</f>
        <v>家具产品</v>
      </c>
    </row>
    <row r="1537" spans="1:20">
      <c r="A1537" s="8">
        <f>DATE(2012,12,31)-571</f>
        <v>40703</v>
      </c>
      <c r="B1537" s="8">
        <f>DATE(2012,12,31)-571</f>
        <v>40703</v>
      </c>
      <c r="C1537" s="9" t="s">
        <v>1643</v>
      </c>
      <c r="D1537">
        <v>10021350074</v>
      </c>
      <c r="E1537" t="s">
        <v>47</v>
      </c>
      <c r="F1537" t="s">
        <v>97</v>
      </c>
      <c r="G1537" t="s">
        <v>98</v>
      </c>
      <c r="H1537" t="s">
        <v>99</v>
      </c>
      <c r="I1537" t="s">
        <v>98</v>
      </c>
      <c r="J1537" t="s">
        <v>367</v>
      </c>
      <c r="K1537" s="3">
        <v>100122797148</v>
      </c>
      <c r="L1537" s="10">
        <v>40705</v>
      </c>
      <c r="M1537">
        <v>114.53</v>
      </c>
      <c r="N1537" s="11">
        <v>21</v>
      </c>
      <c r="O1537" s="12">
        <v>5.68</v>
      </c>
      <c r="P1537" s="12">
        <v>3.6</v>
      </c>
      <c r="Q1537" s="13">
        <v>-39.23</v>
      </c>
      <c r="R1537" s="36" t="s">
        <v>1538</v>
      </c>
      <c r="S1537" s="7">
        <f t="shared" si="126"/>
        <v>2</v>
      </c>
      <c r="T1537" s="15" t="str">
        <f>VLOOKUP(R1537,产品分类!$C$2:$D$1278,2,0)</f>
        <v>办公用品</v>
      </c>
    </row>
    <row r="1538" spans="1:20">
      <c r="A1538" s="8">
        <f>DATE(2012,12,31)-571</f>
        <v>40703</v>
      </c>
      <c r="B1538" s="8">
        <f>DATE(2012,12,31)-571</f>
        <v>40703</v>
      </c>
      <c r="C1538" s="9" t="s">
        <v>1643</v>
      </c>
      <c r="D1538">
        <v>10021263951</v>
      </c>
      <c r="E1538" t="s">
        <v>47</v>
      </c>
      <c r="F1538" t="s">
        <v>171</v>
      </c>
      <c r="G1538" t="s">
        <v>172</v>
      </c>
      <c r="H1538" t="s">
        <v>1587</v>
      </c>
      <c r="I1538" t="s">
        <v>1588</v>
      </c>
      <c r="J1538" t="s">
        <v>367</v>
      </c>
      <c r="K1538" s="3">
        <v>100430864883</v>
      </c>
      <c r="L1538" s="10">
        <v>40704</v>
      </c>
      <c r="M1538">
        <v>7164.7435</v>
      </c>
      <c r="N1538" s="11">
        <v>44</v>
      </c>
      <c r="O1538" s="12">
        <v>205.99</v>
      </c>
      <c r="P1538" s="12">
        <v>5.99</v>
      </c>
      <c r="Q1538" s="13">
        <v>1609.29</v>
      </c>
      <c r="R1538" s="36" t="s">
        <v>110</v>
      </c>
      <c r="S1538" s="7">
        <f t="shared" si="126"/>
        <v>1</v>
      </c>
      <c r="T1538" s="15" t="str">
        <f>VLOOKUP(R1538,产品分类!$C$2:$D$1278,2,0)</f>
        <v>数码电子</v>
      </c>
    </row>
    <row r="1539" spans="1:20">
      <c r="A1539" s="8">
        <f>DATE(2012,12,31)-1382</f>
        <v>39892</v>
      </c>
      <c r="B1539" s="8">
        <f>DATE(2012,12,31)-1382</f>
        <v>39892</v>
      </c>
      <c r="C1539" s="9" t="s">
        <v>780</v>
      </c>
      <c r="D1539">
        <v>10021411599</v>
      </c>
      <c r="E1539" t="s">
        <v>47</v>
      </c>
      <c r="F1539" t="s">
        <v>152</v>
      </c>
      <c r="G1539" t="s">
        <v>153</v>
      </c>
      <c r="H1539" t="s">
        <v>1640</v>
      </c>
      <c r="I1539" t="s">
        <v>1641</v>
      </c>
      <c r="J1539" t="s">
        <v>367</v>
      </c>
      <c r="K1539" s="3">
        <v>100832626902</v>
      </c>
      <c r="L1539" s="10">
        <v>39896</v>
      </c>
      <c r="M1539">
        <v>4620.05</v>
      </c>
      <c r="N1539" s="11">
        <v>30</v>
      </c>
      <c r="O1539" s="12">
        <v>160.98</v>
      </c>
      <c r="P1539" s="12">
        <v>35.02</v>
      </c>
      <c r="Q1539" s="13">
        <v>-229.68</v>
      </c>
      <c r="R1539" s="36" t="s">
        <v>484</v>
      </c>
      <c r="S1539" s="7">
        <f t="shared" ref="S1539:S1602" si="131">+L1539-B1539</f>
        <v>4</v>
      </c>
      <c r="T1539" s="15" t="str">
        <f>VLOOKUP(R1539,产品分类!$C$2:$D$1278,2,0)</f>
        <v>数码电子</v>
      </c>
    </row>
    <row r="1540" spans="1:20">
      <c r="A1540" s="8">
        <f>DATE(2012,12,31)-137</f>
        <v>41137</v>
      </c>
      <c r="B1540" s="8">
        <f>DATE(2012,12,31)-137</f>
        <v>41137</v>
      </c>
      <c r="C1540" s="9" t="s">
        <v>1233</v>
      </c>
      <c r="D1540">
        <v>10021443084</v>
      </c>
      <c r="E1540" t="s">
        <v>47</v>
      </c>
      <c r="F1540" t="s">
        <v>91</v>
      </c>
      <c r="G1540" t="s">
        <v>92</v>
      </c>
      <c r="H1540" t="s">
        <v>1412</v>
      </c>
      <c r="I1540" t="s">
        <v>1413</v>
      </c>
      <c r="J1540" t="s">
        <v>367</v>
      </c>
      <c r="K1540" s="3">
        <v>10034344519</v>
      </c>
      <c r="L1540" s="10">
        <v>41139</v>
      </c>
      <c r="M1540">
        <v>131.71</v>
      </c>
      <c r="N1540" s="11">
        <v>20</v>
      </c>
      <c r="O1540" s="12">
        <v>6.48</v>
      </c>
      <c r="P1540" s="12">
        <v>5.74</v>
      </c>
      <c r="Q1540" s="13">
        <v>-44</v>
      </c>
      <c r="R1540" s="36" t="s">
        <v>1644</v>
      </c>
      <c r="S1540" s="7">
        <f t="shared" si="131"/>
        <v>2</v>
      </c>
      <c r="T1540" s="15" t="str">
        <f>VLOOKUP(R1540,产品分类!$C$2:$D$1278,2,0)</f>
        <v>数码电子</v>
      </c>
    </row>
    <row r="1541" spans="1:20">
      <c r="A1541" s="8">
        <f>DATE(2012,12,31)-657</f>
        <v>40617</v>
      </c>
      <c r="B1541" s="8">
        <f>DATE(2012,12,31)-657</f>
        <v>40617</v>
      </c>
      <c r="C1541" s="9" t="s">
        <v>1616</v>
      </c>
      <c r="D1541">
        <v>10021402200</v>
      </c>
      <c r="E1541" t="s">
        <v>47</v>
      </c>
      <c r="F1541" t="s">
        <v>127</v>
      </c>
      <c r="G1541" t="s">
        <v>128</v>
      </c>
      <c r="H1541" t="s">
        <v>1366</v>
      </c>
      <c r="I1541" t="s">
        <v>1367</v>
      </c>
      <c r="J1541" t="s">
        <v>367</v>
      </c>
      <c r="K1541" s="3">
        <v>100932934081</v>
      </c>
      <c r="L1541" s="10">
        <v>40618</v>
      </c>
      <c r="M1541">
        <v>130.38</v>
      </c>
      <c r="N1541" s="11">
        <v>18</v>
      </c>
      <c r="O1541" s="12">
        <v>7.4</v>
      </c>
      <c r="P1541" s="12">
        <v>1.71</v>
      </c>
      <c r="Q1541" s="13">
        <v>31.52</v>
      </c>
      <c r="R1541" s="36" t="s">
        <v>1645</v>
      </c>
      <c r="S1541" s="7">
        <f t="shared" si="131"/>
        <v>1</v>
      </c>
      <c r="T1541" s="15" t="str">
        <f>VLOOKUP(R1541,产品分类!$C$2:$D$1278,2,0)</f>
        <v>办公用品</v>
      </c>
    </row>
    <row r="1542" spans="1:20">
      <c r="A1542" s="8">
        <f>DATE(2012,12,31)-714</f>
        <v>40560</v>
      </c>
      <c r="B1542" s="8">
        <f>DATE(2012,12,31)-714</f>
        <v>40560</v>
      </c>
      <c r="C1542" s="9" t="s">
        <v>1589</v>
      </c>
      <c r="D1542">
        <v>10021393400</v>
      </c>
      <c r="E1542" t="s">
        <v>47</v>
      </c>
      <c r="F1542" t="s">
        <v>253</v>
      </c>
      <c r="G1542" t="s">
        <v>254</v>
      </c>
      <c r="H1542" t="s">
        <v>255</v>
      </c>
      <c r="I1542" t="s">
        <v>256</v>
      </c>
      <c r="J1542" t="s">
        <v>367</v>
      </c>
      <c r="K1542" s="3">
        <v>100120066727</v>
      </c>
      <c r="L1542" s="10">
        <v>40562</v>
      </c>
      <c r="M1542">
        <v>308.52</v>
      </c>
      <c r="N1542" s="11">
        <v>7</v>
      </c>
      <c r="O1542" s="12">
        <v>41.47</v>
      </c>
      <c r="P1542" s="12">
        <v>34.2</v>
      </c>
      <c r="Q1542" s="13">
        <v>-59.85</v>
      </c>
      <c r="R1542" s="36" t="s">
        <v>1610</v>
      </c>
      <c r="S1542" s="7">
        <f t="shared" si="131"/>
        <v>2</v>
      </c>
      <c r="T1542" s="15" t="str">
        <f>VLOOKUP(R1542,产品分类!$C$2:$D$1278,2,0)</f>
        <v>办公用品</v>
      </c>
    </row>
    <row r="1543" spans="1:20">
      <c r="A1543" s="16">
        <f>DATE(2012,12,31)-714</f>
        <v>40560</v>
      </c>
      <c r="B1543" s="16">
        <f>DATE(2012,12,31)-714</f>
        <v>40560</v>
      </c>
      <c r="C1543" s="9" t="s">
        <v>1589</v>
      </c>
      <c r="D1543">
        <v>10021358403</v>
      </c>
      <c r="E1543" t="s">
        <v>47</v>
      </c>
      <c r="F1543" t="s">
        <v>61</v>
      </c>
      <c r="G1543" t="s">
        <v>62</v>
      </c>
      <c r="H1543" t="s">
        <v>1369</v>
      </c>
      <c r="I1543" t="s">
        <v>1370</v>
      </c>
      <c r="J1543" t="s">
        <v>367</v>
      </c>
      <c r="K1543" s="3">
        <v>100332517129</v>
      </c>
      <c r="L1543" s="10">
        <v>40562</v>
      </c>
      <c r="M1543">
        <v>176.5</v>
      </c>
      <c r="N1543" s="17">
        <v>29</v>
      </c>
      <c r="O1543" s="5">
        <v>6.48</v>
      </c>
      <c r="P1543" s="5">
        <v>7.37</v>
      </c>
      <c r="Q1543" s="6">
        <v>-119.72</v>
      </c>
      <c r="R1543" s="37" t="s">
        <v>1045</v>
      </c>
      <c r="S1543" s="7">
        <f t="shared" si="131"/>
        <v>2</v>
      </c>
      <c r="T1543" s="15" t="str">
        <f>VLOOKUP(R1543,产品分类!$C$2:$D$1278,2,0)</f>
        <v>数码电子</v>
      </c>
    </row>
    <row r="1544" spans="1:20">
      <c r="A1544" s="8">
        <f>DATE(2012,12,31)-32</f>
        <v>41242</v>
      </c>
      <c r="B1544" s="8">
        <f>DATE(2012,12,31)-32</f>
        <v>41242</v>
      </c>
      <c r="C1544" s="9" t="s">
        <v>403</v>
      </c>
      <c r="D1544">
        <v>10021310056</v>
      </c>
      <c r="E1544" t="s">
        <v>47</v>
      </c>
      <c r="F1544" t="s">
        <v>61</v>
      </c>
      <c r="G1544" t="s">
        <v>62</v>
      </c>
      <c r="H1544" t="s">
        <v>1369</v>
      </c>
      <c r="I1544" t="s">
        <v>1370</v>
      </c>
      <c r="J1544" t="s">
        <v>367</v>
      </c>
      <c r="K1544" s="3">
        <v>10019552117</v>
      </c>
      <c r="L1544" s="10">
        <v>41243</v>
      </c>
      <c r="M1544">
        <v>5188.86</v>
      </c>
      <c r="N1544" s="11">
        <v>48</v>
      </c>
      <c r="O1544" s="12">
        <v>111.03</v>
      </c>
      <c r="P1544" s="12">
        <v>8.64</v>
      </c>
      <c r="Q1544" s="13">
        <v>395.12</v>
      </c>
      <c r="R1544" s="36" t="s">
        <v>1646</v>
      </c>
      <c r="S1544" s="7">
        <f t="shared" si="131"/>
        <v>1</v>
      </c>
      <c r="T1544" s="15" t="str">
        <f>VLOOKUP(R1544,产品分类!$C$2:$D$1278,2,0)</f>
        <v>数码电子</v>
      </c>
    </row>
    <row r="1545" spans="1:20">
      <c r="A1545" s="8">
        <f>DATE(2012,12,31)-71</f>
        <v>41203</v>
      </c>
      <c r="B1545" s="8">
        <f>DATE(2012,12,31)-71</f>
        <v>41203</v>
      </c>
      <c r="C1545" s="9" t="s">
        <v>546</v>
      </c>
      <c r="D1545">
        <v>10021290406</v>
      </c>
      <c r="E1545" t="s">
        <v>47</v>
      </c>
      <c r="F1545" t="s">
        <v>434</v>
      </c>
      <c r="G1545" t="s">
        <v>435</v>
      </c>
      <c r="H1545" t="s">
        <v>436</v>
      </c>
      <c r="I1545" t="s">
        <v>437</v>
      </c>
      <c r="J1545" t="s">
        <v>367</v>
      </c>
      <c r="K1545" s="3">
        <v>10014094788</v>
      </c>
      <c r="L1545" s="10">
        <v>41205</v>
      </c>
      <c r="M1545">
        <v>182.86</v>
      </c>
      <c r="N1545" s="11">
        <v>35</v>
      </c>
      <c r="O1545" s="12">
        <v>4.82</v>
      </c>
      <c r="P1545" s="12">
        <v>5.72</v>
      </c>
      <c r="Q1545" s="13">
        <v>-106.27</v>
      </c>
      <c r="R1545" s="36" t="s">
        <v>1647</v>
      </c>
      <c r="S1545" s="7">
        <f t="shared" si="131"/>
        <v>2</v>
      </c>
      <c r="T1545" s="15" t="str">
        <f>VLOOKUP(R1545,产品分类!$C$2:$D$1278,2,0)</f>
        <v>办公用品</v>
      </c>
    </row>
    <row r="1546" spans="1:20">
      <c r="A1546" s="8">
        <f t="shared" ref="A1546:B1548" si="132">DATE(2012,12,31)-955</f>
        <v>40319</v>
      </c>
      <c r="B1546" s="8">
        <f t="shared" si="132"/>
        <v>40319</v>
      </c>
      <c r="C1546" s="9" t="s">
        <v>1094</v>
      </c>
      <c r="D1546">
        <v>10021408637</v>
      </c>
      <c r="E1546" t="s">
        <v>47</v>
      </c>
      <c r="F1546" t="s">
        <v>171</v>
      </c>
      <c r="G1546" t="s">
        <v>172</v>
      </c>
      <c r="H1546" t="s">
        <v>1587</v>
      </c>
      <c r="I1546" t="s">
        <v>1588</v>
      </c>
      <c r="J1546" t="s">
        <v>367</v>
      </c>
      <c r="K1546" s="3">
        <v>100327021909</v>
      </c>
      <c r="L1546" s="10">
        <v>40320</v>
      </c>
      <c r="M1546">
        <v>398.86</v>
      </c>
      <c r="N1546" s="11">
        <v>46</v>
      </c>
      <c r="O1546" s="12">
        <v>8.85</v>
      </c>
      <c r="P1546" s="12">
        <v>5.6</v>
      </c>
      <c r="Q1546" s="13">
        <v>-26.45</v>
      </c>
      <c r="R1546" s="36" t="s">
        <v>1281</v>
      </c>
      <c r="S1546" s="7">
        <f t="shared" si="131"/>
        <v>1</v>
      </c>
      <c r="T1546" s="15" t="str">
        <f>VLOOKUP(R1546,产品分类!$C$2:$D$1278,2,0)</f>
        <v>办公用品</v>
      </c>
    </row>
    <row r="1547" spans="1:20">
      <c r="A1547" s="8">
        <f t="shared" si="132"/>
        <v>40319</v>
      </c>
      <c r="B1547" s="8">
        <f t="shared" si="132"/>
        <v>40319</v>
      </c>
      <c r="C1547" s="9" t="s">
        <v>1094</v>
      </c>
      <c r="D1547">
        <v>10021431425</v>
      </c>
      <c r="E1547" t="s">
        <v>47</v>
      </c>
      <c r="F1547" t="s">
        <v>152</v>
      </c>
      <c r="G1547" t="s">
        <v>153</v>
      </c>
      <c r="H1547" t="s">
        <v>1640</v>
      </c>
      <c r="I1547" t="s">
        <v>1641</v>
      </c>
      <c r="J1547" t="s">
        <v>367</v>
      </c>
      <c r="K1547" s="3">
        <v>100132235348</v>
      </c>
      <c r="L1547" s="10">
        <v>40319</v>
      </c>
      <c r="M1547">
        <v>109.18</v>
      </c>
      <c r="N1547" s="11">
        <v>44</v>
      </c>
      <c r="O1547" s="12">
        <v>2.61</v>
      </c>
      <c r="P1547" s="12">
        <v>0.5</v>
      </c>
      <c r="Q1547" s="13">
        <v>37.17</v>
      </c>
      <c r="R1547" s="36" t="s">
        <v>624</v>
      </c>
      <c r="S1547" s="7">
        <f t="shared" si="131"/>
        <v>0</v>
      </c>
      <c r="T1547" s="15" t="str">
        <f>VLOOKUP(R1547,产品分类!$C$2:$D$1278,2,0)</f>
        <v>数码电子</v>
      </c>
    </row>
    <row r="1548" spans="1:20">
      <c r="A1548" s="8">
        <f t="shared" si="132"/>
        <v>40319</v>
      </c>
      <c r="B1548" s="8">
        <f t="shared" si="132"/>
        <v>40319</v>
      </c>
      <c r="C1548" s="9" t="s">
        <v>1094</v>
      </c>
      <c r="D1548">
        <v>10021452704</v>
      </c>
      <c r="E1548" t="s">
        <v>47</v>
      </c>
      <c r="F1548" t="s">
        <v>66</v>
      </c>
      <c r="G1548" t="s">
        <v>67</v>
      </c>
      <c r="H1548" t="s">
        <v>1435</v>
      </c>
      <c r="I1548" t="s">
        <v>1436</v>
      </c>
      <c r="J1548" t="s">
        <v>367</v>
      </c>
      <c r="K1548" s="3">
        <v>100123267226</v>
      </c>
      <c r="L1548" s="10">
        <v>40320</v>
      </c>
      <c r="M1548">
        <v>28.59</v>
      </c>
      <c r="N1548" s="11">
        <v>5</v>
      </c>
      <c r="O1548" s="12">
        <v>4.98</v>
      </c>
      <c r="P1548" s="12">
        <v>4.7</v>
      </c>
      <c r="Q1548" s="13">
        <v>-14.33</v>
      </c>
      <c r="R1548" s="36" t="s">
        <v>1648</v>
      </c>
      <c r="S1548" s="7">
        <f t="shared" si="131"/>
        <v>1</v>
      </c>
      <c r="T1548" s="15" t="str">
        <f>VLOOKUP(R1548,产品分类!$C$2:$D$1278,2,0)</f>
        <v>办公用品</v>
      </c>
    </row>
    <row r="1549" spans="1:20">
      <c r="A1549" s="8">
        <f>DATE(2012,12,31)-276</f>
        <v>40998</v>
      </c>
      <c r="B1549" s="8">
        <f>DATE(2012,12,31)-276</f>
        <v>40998</v>
      </c>
      <c r="C1549" s="9" t="s">
        <v>1649</v>
      </c>
      <c r="D1549">
        <v>10021293525</v>
      </c>
      <c r="E1549" t="s">
        <v>47</v>
      </c>
      <c r="F1549" t="s">
        <v>48</v>
      </c>
      <c r="G1549" t="s">
        <v>49</v>
      </c>
      <c r="H1549" t="s">
        <v>1433</v>
      </c>
      <c r="I1549" t="s">
        <v>1434</v>
      </c>
      <c r="J1549" t="s">
        <v>367</v>
      </c>
      <c r="K1549" s="3">
        <v>10019905737</v>
      </c>
      <c r="L1549" s="10">
        <v>41000</v>
      </c>
      <c r="M1549">
        <v>221.66</v>
      </c>
      <c r="N1549" s="11">
        <v>37</v>
      </c>
      <c r="O1549" s="12">
        <v>5.98</v>
      </c>
      <c r="P1549" s="12">
        <v>3.85</v>
      </c>
      <c r="Q1549" s="13">
        <v>-95.17</v>
      </c>
      <c r="R1549" s="36" t="s">
        <v>1135</v>
      </c>
      <c r="S1549" s="7">
        <f t="shared" si="131"/>
        <v>2</v>
      </c>
      <c r="T1549" s="15" t="str">
        <f>VLOOKUP(R1549,产品分类!$C$2:$D$1278,2,0)</f>
        <v>办公用品</v>
      </c>
    </row>
    <row r="1550" spans="1:20">
      <c r="A1550" s="8">
        <f>DATE(2012,12,31)-1362</f>
        <v>39912</v>
      </c>
      <c r="B1550" s="8">
        <f>DATE(2012,12,31)-1362</f>
        <v>39912</v>
      </c>
      <c r="C1550" s="9" t="s">
        <v>904</v>
      </c>
      <c r="D1550">
        <v>10021350465</v>
      </c>
      <c r="E1550" t="s">
        <v>47</v>
      </c>
      <c r="F1550" t="s">
        <v>152</v>
      </c>
      <c r="G1550" t="s">
        <v>153</v>
      </c>
      <c r="H1550" t="s">
        <v>1640</v>
      </c>
      <c r="I1550" t="s">
        <v>1641</v>
      </c>
      <c r="J1550" t="s">
        <v>367</v>
      </c>
      <c r="K1550" s="3">
        <v>100132153376</v>
      </c>
      <c r="L1550" s="10">
        <v>39913</v>
      </c>
      <c r="M1550">
        <v>3197.003</v>
      </c>
      <c r="N1550" s="11">
        <v>30</v>
      </c>
      <c r="O1550" s="12">
        <v>125.99</v>
      </c>
      <c r="P1550" s="12">
        <v>7.69</v>
      </c>
      <c r="Q1550" s="13">
        <v>603.459</v>
      </c>
      <c r="R1550" s="36" t="s">
        <v>999</v>
      </c>
      <c r="S1550" s="7">
        <f t="shared" si="131"/>
        <v>1</v>
      </c>
      <c r="T1550" s="15" t="str">
        <f>VLOOKUP(R1550,产品分类!$C$2:$D$1278,2,0)</f>
        <v>办公用品</v>
      </c>
    </row>
    <row r="1551" spans="1:20">
      <c r="A1551" s="8">
        <f>DATE(2012,12,31)-289</f>
        <v>40985</v>
      </c>
      <c r="B1551" s="8">
        <f>DATE(2012,12,31)-289</f>
        <v>40985</v>
      </c>
      <c r="C1551" s="9" t="s">
        <v>1191</v>
      </c>
      <c r="D1551">
        <v>10021332600</v>
      </c>
      <c r="E1551" t="s">
        <v>47</v>
      </c>
      <c r="F1551" t="s">
        <v>48</v>
      </c>
      <c r="G1551" t="s">
        <v>49</v>
      </c>
      <c r="H1551" t="s">
        <v>1433</v>
      </c>
      <c r="I1551" t="s">
        <v>1434</v>
      </c>
      <c r="J1551" t="s">
        <v>367</v>
      </c>
      <c r="K1551" s="3">
        <v>100810260902</v>
      </c>
      <c r="L1551" s="10">
        <v>40986</v>
      </c>
      <c r="M1551">
        <v>339.81</v>
      </c>
      <c r="N1551" s="11">
        <v>8</v>
      </c>
      <c r="O1551" s="12">
        <v>43.41</v>
      </c>
      <c r="P1551" s="12">
        <v>2.99</v>
      </c>
      <c r="Q1551" s="13">
        <v>79.5855</v>
      </c>
      <c r="R1551" s="36" t="s">
        <v>1007</v>
      </c>
      <c r="S1551" s="7">
        <f t="shared" si="131"/>
        <v>1</v>
      </c>
      <c r="T1551" s="15" t="str">
        <f>VLOOKUP(R1551,产品分类!$C$2:$D$1278,2,0)</f>
        <v>家具产品</v>
      </c>
    </row>
    <row r="1552" spans="1:20">
      <c r="A1552" s="8">
        <f>DATE(2012,12,31)-1099</f>
        <v>40175</v>
      </c>
      <c r="B1552" s="8">
        <f>DATE(2012,12,31)-1099</f>
        <v>40175</v>
      </c>
      <c r="C1552" s="9" t="s">
        <v>667</v>
      </c>
      <c r="D1552">
        <v>10021382293</v>
      </c>
      <c r="E1552" t="s">
        <v>47</v>
      </c>
      <c r="F1552" t="s">
        <v>72</v>
      </c>
      <c r="G1552" t="s">
        <v>73</v>
      </c>
      <c r="H1552" t="s">
        <v>1572</v>
      </c>
      <c r="I1552" t="s">
        <v>1573</v>
      </c>
      <c r="J1552" t="s">
        <v>367</v>
      </c>
      <c r="K1552" s="3">
        <v>100828898032</v>
      </c>
      <c r="L1552" s="10">
        <v>40177</v>
      </c>
      <c r="M1552">
        <v>1285.55</v>
      </c>
      <c r="N1552" s="11">
        <v>26</v>
      </c>
      <c r="O1552" s="12">
        <v>49.99</v>
      </c>
      <c r="P1552" s="12">
        <v>19.99</v>
      </c>
      <c r="Q1552" s="13">
        <v>-17.03</v>
      </c>
      <c r="R1552" s="36" t="s">
        <v>1650</v>
      </c>
      <c r="S1552" s="7">
        <f t="shared" si="131"/>
        <v>2</v>
      </c>
      <c r="T1552" s="15" t="str">
        <f>VLOOKUP(R1552,产品分类!$C$2:$D$1278,2,0)</f>
        <v>办公用品</v>
      </c>
    </row>
    <row r="1553" spans="1:20">
      <c r="A1553" s="16">
        <f>DATE(2012,12,31)-1099</f>
        <v>40175</v>
      </c>
      <c r="B1553" s="16">
        <f>DATE(2012,12,31)-1099</f>
        <v>40175</v>
      </c>
      <c r="C1553" s="9" t="s">
        <v>667</v>
      </c>
      <c r="D1553">
        <v>10021292806</v>
      </c>
      <c r="E1553" t="s">
        <v>47</v>
      </c>
      <c r="F1553" t="s">
        <v>78</v>
      </c>
      <c r="G1553" t="s">
        <v>79</v>
      </c>
      <c r="H1553" t="s">
        <v>1264</v>
      </c>
      <c r="I1553" t="s">
        <v>79</v>
      </c>
      <c r="J1553" t="s">
        <v>367</v>
      </c>
      <c r="K1553" s="3">
        <v>10012022158</v>
      </c>
      <c r="L1553" s="10">
        <v>40179</v>
      </c>
      <c r="M1553">
        <v>177.67</v>
      </c>
      <c r="N1553" s="17">
        <v>6</v>
      </c>
      <c r="O1553" s="5">
        <v>28.53</v>
      </c>
      <c r="P1553" s="5">
        <v>1.49</v>
      </c>
      <c r="Q1553" s="6">
        <v>39.627</v>
      </c>
      <c r="R1553" s="37" t="s">
        <v>1651</v>
      </c>
      <c r="S1553" s="7">
        <f t="shared" si="131"/>
        <v>4</v>
      </c>
      <c r="T1553" s="15" t="str">
        <f>VLOOKUP(R1553,产品分类!$C$2:$D$1278,2,0)</f>
        <v>数码电子</v>
      </c>
    </row>
    <row r="1554" spans="1:20">
      <c r="A1554" s="16">
        <f>DATE(2012,12,31)-489</f>
        <v>40785</v>
      </c>
      <c r="B1554" s="16">
        <f>DATE(2012,12,31)-489</f>
        <v>40785</v>
      </c>
      <c r="C1554" s="9" t="s">
        <v>1652</v>
      </c>
      <c r="D1554">
        <v>10021351650</v>
      </c>
      <c r="E1554" t="s">
        <v>47</v>
      </c>
      <c r="F1554" t="s">
        <v>72</v>
      </c>
      <c r="G1554" t="s">
        <v>73</v>
      </c>
      <c r="H1554" t="s">
        <v>1572</v>
      </c>
      <c r="I1554" t="s">
        <v>1573</v>
      </c>
      <c r="J1554" t="s">
        <v>367</v>
      </c>
      <c r="K1554" s="3">
        <v>100132494396</v>
      </c>
      <c r="L1554" s="10">
        <v>40787</v>
      </c>
      <c r="M1554">
        <v>276.5</v>
      </c>
      <c r="N1554" s="17">
        <v>25</v>
      </c>
      <c r="O1554" s="5">
        <v>10.98</v>
      </c>
      <c r="P1554" s="5">
        <v>4.8</v>
      </c>
      <c r="Q1554" s="6">
        <v>35.72</v>
      </c>
      <c r="R1554" s="37" t="s">
        <v>1102</v>
      </c>
      <c r="S1554" s="7">
        <f t="shared" si="131"/>
        <v>2</v>
      </c>
      <c r="T1554" s="15" t="str">
        <f>VLOOKUP(R1554,产品分类!$C$2:$D$1278,2,0)</f>
        <v>家具产品</v>
      </c>
    </row>
    <row r="1555" spans="1:20">
      <c r="A1555" s="8">
        <f t="shared" ref="A1555:B1558" si="133">DATE(2012,12,31)-793</f>
        <v>40481</v>
      </c>
      <c r="B1555" s="8">
        <f t="shared" si="133"/>
        <v>40481</v>
      </c>
      <c r="C1555" s="9" t="s">
        <v>247</v>
      </c>
      <c r="D1555">
        <v>10021285496</v>
      </c>
      <c r="E1555" t="s">
        <v>47</v>
      </c>
      <c r="F1555" t="s">
        <v>72</v>
      </c>
      <c r="G1555" t="s">
        <v>73</v>
      </c>
      <c r="H1555" t="s">
        <v>1572</v>
      </c>
      <c r="I1555" t="s">
        <v>1573</v>
      </c>
      <c r="J1555" t="s">
        <v>367</v>
      </c>
      <c r="K1555" s="3">
        <v>100911517141</v>
      </c>
      <c r="L1555" s="10">
        <v>40481</v>
      </c>
      <c r="M1555">
        <v>298.57</v>
      </c>
      <c r="N1555" s="11">
        <v>45</v>
      </c>
      <c r="O1555" s="12">
        <v>6.88</v>
      </c>
      <c r="P1555" s="12">
        <v>2</v>
      </c>
      <c r="Q1555" s="13">
        <v>74.07</v>
      </c>
      <c r="R1555" s="36" t="s">
        <v>383</v>
      </c>
      <c r="S1555" s="7">
        <f t="shared" si="131"/>
        <v>0</v>
      </c>
      <c r="T1555" s="15" t="str">
        <f>VLOOKUP(R1555,产品分类!$C$2:$D$1278,2,0)</f>
        <v>办公用品</v>
      </c>
    </row>
    <row r="1556" spans="1:20">
      <c r="A1556" s="8">
        <f t="shared" si="133"/>
        <v>40481</v>
      </c>
      <c r="B1556" s="8">
        <f t="shared" si="133"/>
        <v>40481</v>
      </c>
      <c r="C1556" s="9" t="s">
        <v>247</v>
      </c>
      <c r="D1556">
        <v>10021256212</v>
      </c>
      <c r="E1556" t="s">
        <v>47</v>
      </c>
      <c r="F1556" t="s">
        <v>78</v>
      </c>
      <c r="G1556" t="s">
        <v>79</v>
      </c>
      <c r="H1556" t="s">
        <v>1264</v>
      </c>
      <c r="I1556" t="s">
        <v>79</v>
      </c>
      <c r="J1556" t="s">
        <v>367</v>
      </c>
      <c r="K1556" s="3">
        <v>100818076602</v>
      </c>
      <c r="L1556" s="10">
        <v>40481</v>
      </c>
      <c r="M1556">
        <v>44.32</v>
      </c>
      <c r="N1556" s="11">
        <v>15</v>
      </c>
      <c r="O1556" s="12">
        <v>2.52</v>
      </c>
      <c r="P1556" s="12">
        <v>4.28</v>
      </c>
      <c r="Q1556" s="13">
        <v>-41.55</v>
      </c>
      <c r="R1556" s="36" t="s">
        <v>1653</v>
      </c>
      <c r="S1556" s="7">
        <f t="shared" si="131"/>
        <v>0</v>
      </c>
      <c r="T1556" s="15" t="str">
        <f>VLOOKUP(R1556,产品分类!$C$2:$D$1278,2,0)</f>
        <v>办公用品</v>
      </c>
    </row>
    <row r="1557" spans="1:20">
      <c r="A1557" s="8">
        <f t="shared" si="133"/>
        <v>40481</v>
      </c>
      <c r="B1557" s="8">
        <f t="shared" si="133"/>
        <v>40481</v>
      </c>
      <c r="C1557" s="9" t="s">
        <v>247</v>
      </c>
      <c r="D1557">
        <v>10021446068</v>
      </c>
      <c r="E1557" t="s">
        <v>47</v>
      </c>
      <c r="F1557" t="s">
        <v>72</v>
      </c>
      <c r="G1557" t="s">
        <v>73</v>
      </c>
      <c r="H1557" t="s">
        <v>1572</v>
      </c>
      <c r="I1557" t="s">
        <v>1573</v>
      </c>
      <c r="J1557" t="s">
        <v>367</v>
      </c>
      <c r="K1557" s="3">
        <v>100116228777</v>
      </c>
      <c r="L1557" s="10">
        <v>40483</v>
      </c>
      <c r="M1557">
        <v>1629.75</v>
      </c>
      <c r="N1557" s="11">
        <v>4</v>
      </c>
      <c r="O1557" s="12">
        <v>415.88</v>
      </c>
      <c r="P1557" s="12">
        <v>11.37</v>
      </c>
      <c r="Q1557" s="13">
        <v>-195.7</v>
      </c>
      <c r="R1557" s="36" t="s">
        <v>482</v>
      </c>
      <c r="S1557" s="7">
        <f t="shared" si="131"/>
        <v>2</v>
      </c>
      <c r="T1557" s="15" t="str">
        <f>VLOOKUP(R1557,产品分类!$C$2:$D$1278,2,0)</f>
        <v>家具产品</v>
      </c>
    </row>
    <row r="1558" spans="1:20">
      <c r="A1558" s="16">
        <f t="shared" si="133"/>
        <v>40481</v>
      </c>
      <c r="B1558" s="16">
        <f t="shared" si="133"/>
        <v>40481</v>
      </c>
      <c r="C1558" s="9" t="s">
        <v>247</v>
      </c>
      <c r="D1558">
        <v>10021257433</v>
      </c>
      <c r="E1558" t="s">
        <v>47</v>
      </c>
      <c r="F1558" t="s">
        <v>78</v>
      </c>
      <c r="G1558" t="s">
        <v>79</v>
      </c>
      <c r="H1558" t="s">
        <v>1654</v>
      </c>
      <c r="I1558" t="s">
        <v>1655</v>
      </c>
      <c r="J1558" t="s">
        <v>367</v>
      </c>
      <c r="K1558" s="3">
        <v>100926071671</v>
      </c>
      <c r="L1558" s="10">
        <v>40482</v>
      </c>
      <c r="M1558">
        <v>261.02</v>
      </c>
      <c r="N1558" s="17">
        <v>49</v>
      </c>
      <c r="O1558" s="5">
        <v>4.98</v>
      </c>
      <c r="P1558" s="5">
        <v>4.95</v>
      </c>
      <c r="Q1558" s="6">
        <v>-94.047</v>
      </c>
      <c r="R1558" s="37" t="s">
        <v>1656</v>
      </c>
      <c r="S1558" s="7">
        <f t="shared" si="131"/>
        <v>1</v>
      </c>
      <c r="T1558" s="15" t="str">
        <f>VLOOKUP(R1558,产品分类!$C$2:$D$1278,2,0)</f>
        <v>家具产品</v>
      </c>
    </row>
    <row r="1559" spans="1:20">
      <c r="A1559" s="8">
        <f>DATE(2012,12,31)-326</f>
        <v>40948</v>
      </c>
      <c r="B1559" s="8">
        <f>DATE(2012,12,31)-326</f>
        <v>40948</v>
      </c>
      <c r="C1559" s="9" t="s">
        <v>1657</v>
      </c>
      <c r="D1559">
        <v>10021370556</v>
      </c>
      <c r="E1559" t="s">
        <v>47</v>
      </c>
      <c r="F1559" t="s">
        <v>277</v>
      </c>
      <c r="G1559" t="s">
        <v>278</v>
      </c>
      <c r="H1559" t="s">
        <v>279</v>
      </c>
      <c r="I1559" t="s">
        <v>280</v>
      </c>
      <c r="J1559" t="s">
        <v>367</v>
      </c>
      <c r="K1559" s="3">
        <v>100921943291</v>
      </c>
      <c r="L1559" s="10">
        <v>40950</v>
      </c>
      <c r="M1559">
        <v>6170.02</v>
      </c>
      <c r="N1559" s="11">
        <v>33</v>
      </c>
      <c r="O1559" s="12">
        <v>179.29</v>
      </c>
      <c r="P1559" s="12">
        <v>29.21</v>
      </c>
      <c r="Q1559" s="13">
        <v>-433.290143</v>
      </c>
      <c r="R1559" s="36" t="s">
        <v>629</v>
      </c>
      <c r="S1559" s="7">
        <f t="shared" si="131"/>
        <v>2</v>
      </c>
      <c r="T1559" s="15" t="str">
        <f>VLOOKUP(R1559,产品分类!$C$2:$D$1278,2,0)</f>
        <v>办公用品</v>
      </c>
    </row>
    <row r="1560" spans="1:20">
      <c r="A1560" s="8">
        <f t="shared" ref="A1560:B1562" si="134">DATE(2012,12,31)-219</f>
        <v>41055</v>
      </c>
      <c r="B1560" s="8">
        <f t="shared" si="134"/>
        <v>41055</v>
      </c>
      <c r="C1560" s="9" t="s">
        <v>311</v>
      </c>
      <c r="D1560">
        <v>10021432046</v>
      </c>
      <c r="E1560" t="s">
        <v>47</v>
      </c>
      <c r="F1560" t="s">
        <v>55</v>
      </c>
      <c r="G1560" t="s">
        <v>56</v>
      </c>
      <c r="H1560" t="s">
        <v>1658</v>
      </c>
      <c r="I1560" t="s">
        <v>1659</v>
      </c>
      <c r="J1560" t="s">
        <v>367</v>
      </c>
      <c r="K1560" s="3">
        <v>100932277721</v>
      </c>
      <c r="L1560" s="10">
        <v>41059</v>
      </c>
      <c r="M1560">
        <v>2083.0525</v>
      </c>
      <c r="N1560" s="11">
        <v>39</v>
      </c>
      <c r="O1560" s="12">
        <v>65.99</v>
      </c>
      <c r="P1560" s="12">
        <v>5.99</v>
      </c>
      <c r="Q1560" s="13">
        <v>354.96</v>
      </c>
      <c r="R1560" s="36" t="s">
        <v>1660</v>
      </c>
      <c r="S1560" s="7">
        <f t="shared" si="131"/>
        <v>4</v>
      </c>
      <c r="T1560" s="15" t="str">
        <f>VLOOKUP(R1560,产品分类!$C$2:$D$1278,2,0)</f>
        <v>办公用品</v>
      </c>
    </row>
    <row r="1561" spans="1:20">
      <c r="A1561" s="16">
        <f t="shared" si="134"/>
        <v>41055</v>
      </c>
      <c r="B1561" s="16">
        <f t="shared" si="134"/>
        <v>41055</v>
      </c>
      <c r="C1561" s="9" t="s">
        <v>311</v>
      </c>
      <c r="D1561">
        <v>10021344796</v>
      </c>
      <c r="E1561" t="s">
        <v>47</v>
      </c>
      <c r="F1561" t="s">
        <v>122</v>
      </c>
      <c r="G1561" t="s">
        <v>123</v>
      </c>
      <c r="H1561" t="s">
        <v>124</v>
      </c>
      <c r="I1561" t="s">
        <v>125</v>
      </c>
      <c r="J1561" t="s">
        <v>367</v>
      </c>
      <c r="K1561" s="3">
        <v>100829817922</v>
      </c>
      <c r="L1561" s="10">
        <v>41062</v>
      </c>
      <c r="M1561">
        <v>233.28</v>
      </c>
      <c r="N1561" s="17">
        <v>49</v>
      </c>
      <c r="O1561" s="5">
        <v>4.91</v>
      </c>
      <c r="P1561" s="5">
        <v>0.5</v>
      </c>
      <c r="Q1561" s="6">
        <v>112.35</v>
      </c>
      <c r="R1561" s="37" t="s">
        <v>427</v>
      </c>
      <c r="S1561" s="7">
        <f t="shared" si="131"/>
        <v>7</v>
      </c>
      <c r="T1561" s="15" t="str">
        <f>VLOOKUP(R1561,产品分类!$C$2:$D$1278,2,0)</f>
        <v>数码电子</v>
      </c>
    </row>
    <row r="1562" spans="1:20">
      <c r="A1562" s="16">
        <f t="shared" si="134"/>
        <v>41055</v>
      </c>
      <c r="B1562" s="16">
        <f t="shared" si="134"/>
        <v>41055</v>
      </c>
      <c r="C1562" s="9" t="s">
        <v>311</v>
      </c>
      <c r="D1562">
        <v>10021336906</v>
      </c>
      <c r="E1562" t="s">
        <v>47</v>
      </c>
      <c r="F1562" t="s">
        <v>91</v>
      </c>
      <c r="G1562" t="s">
        <v>92</v>
      </c>
      <c r="H1562" t="s">
        <v>1412</v>
      </c>
      <c r="I1562" t="s">
        <v>1413</v>
      </c>
      <c r="J1562" t="s">
        <v>367</v>
      </c>
      <c r="K1562" s="3">
        <v>100420856883</v>
      </c>
      <c r="L1562" s="10">
        <v>41062</v>
      </c>
      <c r="M1562">
        <v>47.01</v>
      </c>
      <c r="N1562" s="17">
        <v>1</v>
      </c>
      <c r="O1562" s="5">
        <v>27.75</v>
      </c>
      <c r="P1562" s="5">
        <v>19.99</v>
      </c>
      <c r="Q1562" s="6">
        <v>-19.32</v>
      </c>
      <c r="R1562" s="37" t="s">
        <v>1289</v>
      </c>
      <c r="S1562" s="7">
        <f t="shared" si="131"/>
        <v>7</v>
      </c>
      <c r="T1562" s="15" t="str">
        <f>VLOOKUP(R1562,产品分类!$C$2:$D$1278,2,0)</f>
        <v>数码电子</v>
      </c>
    </row>
    <row r="1563" spans="1:20">
      <c r="A1563" s="8">
        <f>DATE(2012,12,31)-550</f>
        <v>40724</v>
      </c>
      <c r="B1563" s="8">
        <f>DATE(2012,12,31)-550</f>
        <v>40724</v>
      </c>
      <c r="C1563" s="9" t="s">
        <v>448</v>
      </c>
      <c r="D1563">
        <v>10021353240</v>
      </c>
      <c r="E1563" t="s">
        <v>47</v>
      </c>
      <c r="F1563" t="s">
        <v>55</v>
      </c>
      <c r="G1563" t="s">
        <v>56</v>
      </c>
      <c r="H1563" t="s">
        <v>1658</v>
      </c>
      <c r="I1563" t="s">
        <v>1659</v>
      </c>
      <c r="J1563" t="s">
        <v>367</v>
      </c>
      <c r="K1563" s="3">
        <v>100932560131</v>
      </c>
      <c r="L1563" s="10">
        <v>40725</v>
      </c>
      <c r="M1563">
        <v>140.07</v>
      </c>
      <c r="N1563" s="11">
        <v>15</v>
      </c>
      <c r="O1563" s="12">
        <v>8.6</v>
      </c>
      <c r="P1563" s="12">
        <v>6.19</v>
      </c>
      <c r="Q1563" s="13">
        <v>-21.85</v>
      </c>
      <c r="R1563" s="36" t="s">
        <v>443</v>
      </c>
      <c r="S1563" s="7">
        <f t="shared" si="131"/>
        <v>1</v>
      </c>
      <c r="T1563" s="15" t="str">
        <f>VLOOKUP(R1563,产品分类!$C$2:$D$1278,2,0)</f>
        <v>办公用品</v>
      </c>
    </row>
    <row r="1564" spans="1:20">
      <c r="A1564" s="8">
        <f>DATE(2012,12,31)-440</f>
        <v>40834</v>
      </c>
      <c r="B1564" s="8">
        <f>DATE(2012,12,31)-440</f>
        <v>40834</v>
      </c>
      <c r="C1564" s="9" t="s">
        <v>1661</v>
      </c>
      <c r="D1564">
        <v>10021333728</v>
      </c>
      <c r="E1564" t="s">
        <v>47</v>
      </c>
      <c r="F1564" t="s">
        <v>91</v>
      </c>
      <c r="G1564" t="s">
        <v>92</v>
      </c>
      <c r="H1564" t="s">
        <v>1412</v>
      </c>
      <c r="I1564" t="s">
        <v>1413</v>
      </c>
      <c r="J1564" t="s">
        <v>367</v>
      </c>
      <c r="K1564" s="3">
        <v>100113949716</v>
      </c>
      <c r="L1564" s="10">
        <v>40836</v>
      </c>
      <c r="M1564">
        <v>157.87</v>
      </c>
      <c r="N1564" s="11">
        <v>46</v>
      </c>
      <c r="O1564" s="12">
        <v>3.28</v>
      </c>
      <c r="P1564" s="12">
        <v>3.97</v>
      </c>
      <c r="Q1564" s="13">
        <v>-115.8</v>
      </c>
      <c r="R1564" s="36" t="s">
        <v>1396</v>
      </c>
      <c r="S1564" s="7">
        <f t="shared" si="131"/>
        <v>2</v>
      </c>
      <c r="T1564" s="15" t="str">
        <f>VLOOKUP(R1564,产品分类!$C$2:$D$1278,2,0)</f>
        <v>家具产品</v>
      </c>
    </row>
    <row r="1565" spans="1:20">
      <c r="A1565" s="8">
        <f>DATE(2012,12,31)-284</f>
        <v>40990</v>
      </c>
      <c r="B1565" s="8">
        <f>DATE(2012,12,31)-284</f>
        <v>40990</v>
      </c>
      <c r="C1565" s="9" t="s">
        <v>1662</v>
      </c>
      <c r="D1565">
        <v>10021344904</v>
      </c>
      <c r="E1565" t="s">
        <v>47</v>
      </c>
      <c r="F1565" t="s">
        <v>55</v>
      </c>
      <c r="G1565" t="s">
        <v>56</v>
      </c>
      <c r="H1565" t="s">
        <v>1658</v>
      </c>
      <c r="I1565" t="s">
        <v>1659</v>
      </c>
      <c r="J1565" t="s">
        <v>367</v>
      </c>
      <c r="K1565" s="3">
        <v>100329837029</v>
      </c>
      <c r="L1565" s="10">
        <v>40990</v>
      </c>
      <c r="M1565">
        <v>1194.96</v>
      </c>
      <c r="N1565" s="11">
        <v>29</v>
      </c>
      <c r="O1565" s="12">
        <v>39.98</v>
      </c>
      <c r="P1565" s="12">
        <v>4</v>
      </c>
      <c r="Q1565" s="13">
        <v>107.45</v>
      </c>
      <c r="R1565" s="36" t="s">
        <v>771</v>
      </c>
      <c r="S1565" s="7">
        <f t="shared" si="131"/>
        <v>0</v>
      </c>
      <c r="T1565" s="15" t="str">
        <f>VLOOKUP(R1565,产品分类!$C$2:$D$1278,2,0)</f>
        <v>家具产品</v>
      </c>
    </row>
    <row r="1566" spans="1:20">
      <c r="A1566" s="8">
        <f>DATE(2012,12,31)-1401</f>
        <v>39873</v>
      </c>
      <c r="B1566" s="8">
        <f>DATE(2012,12,31)-1401</f>
        <v>39873</v>
      </c>
      <c r="C1566" s="9" t="s">
        <v>1663</v>
      </c>
      <c r="D1566">
        <v>10021339903</v>
      </c>
      <c r="E1566" t="s">
        <v>47</v>
      </c>
      <c r="F1566" t="s">
        <v>122</v>
      </c>
      <c r="G1566" t="s">
        <v>123</v>
      </c>
      <c r="H1566" t="s">
        <v>124</v>
      </c>
      <c r="I1566" t="s">
        <v>125</v>
      </c>
      <c r="J1566" t="s">
        <v>367</v>
      </c>
      <c r="K1566" s="3">
        <v>100125633498</v>
      </c>
      <c r="L1566" s="10">
        <v>39875</v>
      </c>
      <c r="M1566">
        <v>866.66</v>
      </c>
      <c r="N1566" s="11">
        <v>10</v>
      </c>
      <c r="O1566" s="12">
        <v>90.97</v>
      </c>
      <c r="P1566" s="12">
        <v>14</v>
      </c>
      <c r="Q1566" s="13">
        <v>35.29</v>
      </c>
      <c r="R1566" s="36" t="s">
        <v>886</v>
      </c>
      <c r="S1566" s="7">
        <f t="shared" si="131"/>
        <v>2</v>
      </c>
      <c r="T1566" s="15" t="str">
        <f>VLOOKUP(R1566,产品分类!$C$2:$D$1278,2,0)</f>
        <v>办公用品</v>
      </c>
    </row>
    <row r="1567" spans="1:20">
      <c r="A1567" s="8">
        <f>DATE(2012,12,31)-1141</f>
        <v>40133</v>
      </c>
      <c r="B1567" s="8">
        <f>DATE(2012,12,31)-1141</f>
        <v>40133</v>
      </c>
      <c r="C1567" s="9" t="s">
        <v>977</v>
      </c>
      <c r="D1567">
        <v>10021465980</v>
      </c>
      <c r="E1567" t="s">
        <v>47</v>
      </c>
      <c r="F1567" t="s">
        <v>55</v>
      </c>
      <c r="G1567" t="s">
        <v>56</v>
      </c>
      <c r="H1567" t="s">
        <v>1658</v>
      </c>
      <c r="I1567" t="s">
        <v>1659</v>
      </c>
      <c r="J1567" t="s">
        <v>367</v>
      </c>
      <c r="K1567" s="3">
        <v>100429044993</v>
      </c>
      <c r="L1567" s="10">
        <v>40137</v>
      </c>
      <c r="M1567">
        <v>184.331</v>
      </c>
      <c r="N1567" s="11">
        <v>6</v>
      </c>
      <c r="O1567" s="12">
        <v>35.99</v>
      </c>
      <c r="P1567" s="12">
        <v>5.99</v>
      </c>
      <c r="Q1567" s="13">
        <v>-89.199</v>
      </c>
      <c r="R1567" s="36" t="s">
        <v>1664</v>
      </c>
      <c r="S1567" s="7">
        <f t="shared" si="131"/>
        <v>4</v>
      </c>
      <c r="T1567" s="15" t="str">
        <f>VLOOKUP(R1567,产品分类!$C$2:$D$1278,2,0)</f>
        <v>数码电子</v>
      </c>
    </row>
    <row r="1568" spans="1:20">
      <c r="A1568" s="8">
        <f>DATE(2012,12,31)-1141</f>
        <v>40133</v>
      </c>
      <c r="B1568" s="8">
        <f>DATE(2012,12,31)-1141</f>
        <v>40133</v>
      </c>
      <c r="C1568" s="9" t="s">
        <v>977</v>
      </c>
      <c r="D1568">
        <v>10021296759</v>
      </c>
      <c r="E1568" t="s">
        <v>47</v>
      </c>
      <c r="F1568" t="s">
        <v>122</v>
      </c>
      <c r="G1568" t="s">
        <v>123</v>
      </c>
      <c r="H1568" t="s">
        <v>124</v>
      </c>
      <c r="I1568" t="s">
        <v>125</v>
      </c>
      <c r="J1568" t="s">
        <v>367</v>
      </c>
      <c r="K1568" s="3">
        <v>100722636975</v>
      </c>
      <c r="L1568" s="10">
        <v>40140</v>
      </c>
      <c r="M1568">
        <v>1223.3795</v>
      </c>
      <c r="N1568" s="11">
        <v>23</v>
      </c>
      <c r="O1568" s="12">
        <v>65.99</v>
      </c>
      <c r="P1568" s="12">
        <v>5.92</v>
      </c>
      <c r="Q1568" s="13">
        <v>83.565</v>
      </c>
      <c r="R1568" s="36" t="s">
        <v>1665</v>
      </c>
      <c r="S1568" s="7">
        <f t="shared" si="131"/>
        <v>7</v>
      </c>
      <c r="T1568" s="15" t="str">
        <f>VLOOKUP(R1568,产品分类!$C$2:$D$1278,2,0)</f>
        <v>家具产品</v>
      </c>
    </row>
    <row r="1569" spans="1:20">
      <c r="A1569" s="8">
        <f>DATE(2012,12,31)-1167</f>
        <v>40107</v>
      </c>
      <c r="B1569" s="8">
        <f>DATE(2012,12,31)-1167</f>
        <v>40107</v>
      </c>
      <c r="C1569" s="9" t="s">
        <v>1378</v>
      </c>
      <c r="D1569">
        <v>10021334383</v>
      </c>
      <c r="E1569" t="s">
        <v>47</v>
      </c>
      <c r="F1569" t="s">
        <v>91</v>
      </c>
      <c r="G1569" t="s">
        <v>92</v>
      </c>
      <c r="H1569" t="s">
        <v>1412</v>
      </c>
      <c r="I1569" t="s">
        <v>1413</v>
      </c>
      <c r="J1569" t="s">
        <v>367</v>
      </c>
      <c r="K1569" s="3">
        <v>100311242929</v>
      </c>
      <c r="L1569" s="10">
        <v>40108</v>
      </c>
      <c r="M1569">
        <v>14.84</v>
      </c>
      <c r="N1569" s="11">
        <v>3</v>
      </c>
      <c r="O1569" s="12">
        <v>4.98</v>
      </c>
      <c r="P1569" s="12">
        <v>0.49</v>
      </c>
      <c r="Q1569" s="13">
        <v>-2.42</v>
      </c>
      <c r="R1569" s="36" t="s">
        <v>327</v>
      </c>
      <c r="S1569" s="7">
        <f t="shared" si="131"/>
        <v>1</v>
      </c>
      <c r="T1569" s="15" t="str">
        <f>VLOOKUP(R1569,产品分类!$C$2:$D$1278,2,0)</f>
        <v>家具产品</v>
      </c>
    </row>
    <row r="1570" spans="1:20">
      <c r="A1570" s="8">
        <f>DATE(2012,12,31)-1167</f>
        <v>40107</v>
      </c>
      <c r="B1570" s="8">
        <f>DATE(2012,12,31)-1167</f>
        <v>40107</v>
      </c>
      <c r="C1570" s="9" t="s">
        <v>1378</v>
      </c>
      <c r="D1570">
        <v>10021386410</v>
      </c>
      <c r="E1570" t="s">
        <v>47</v>
      </c>
      <c r="F1570" t="s">
        <v>122</v>
      </c>
      <c r="G1570" t="s">
        <v>123</v>
      </c>
      <c r="H1570" t="s">
        <v>124</v>
      </c>
      <c r="I1570" t="s">
        <v>125</v>
      </c>
      <c r="J1570" t="s">
        <v>367</v>
      </c>
      <c r="K1570" s="3">
        <v>10099603841</v>
      </c>
      <c r="L1570" s="10">
        <v>40109</v>
      </c>
      <c r="M1570">
        <v>922.47</v>
      </c>
      <c r="N1570" s="11">
        <v>8</v>
      </c>
      <c r="O1570" s="12">
        <v>119.99</v>
      </c>
      <c r="P1570" s="12">
        <v>14</v>
      </c>
      <c r="Q1570" s="13">
        <v>-13.1022</v>
      </c>
      <c r="R1570" s="36" t="s">
        <v>801</v>
      </c>
      <c r="S1570" s="7">
        <f t="shared" si="131"/>
        <v>2</v>
      </c>
      <c r="T1570" s="15" t="str">
        <f>VLOOKUP(R1570,产品分类!$C$2:$D$1278,2,0)</f>
        <v>办公用品</v>
      </c>
    </row>
    <row r="1571" spans="1:20">
      <c r="A1571" s="8">
        <f t="shared" ref="A1571:B1574" si="135">DATE(2012,12,31)-112</f>
        <v>41162</v>
      </c>
      <c r="B1571" s="8">
        <f t="shared" si="135"/>
        <v>41162</v>
      </c>
      <c r="C1571" s="9" t="s">
        <v>1666</v>
      </c>
      <c r="D1571">
        <v>10021452635</v>
      </c>
      <c r="E1571" t="s">
        <v>47</v>
      </c>
      <c r="F1571" t="s">
        <v>122</v>
      </c>
      <c r="G1571" t="s">
        <v>123</v>
      </c>
      <c r="H1571" t="s">
        <v>124</v>
      </c>
      <c r="I1571" t="s">
        <v>125</v>
      </c>
      <c r="J1571" t="s">
        <v>367</v>
      </c>
      <c r="K1571" s="3">
        <v>10046168603</v>
      </c>
      <c r="L1571" s="10">
        <v>41164</v>
      </c>
      <c r="M1571">
        <v>3245.73</v>
      </c>
      <c r="N1571" s="11">
        <v>32</v>
      </c>
      <c r="O1571" s="12">
        <v>110.98</v>
      </c>
      <c r="P1571" s="12">
        <v>13.99</v>
      </c>
      <c r="Q1571" s="13">
        <v>569.57</v>
      </c>
      <c r="R1571" s="36" t="s">
        <v>422</v>
      </c>
      <c r="S1571" s="7">
        <f t="shared" si="131"/>
        <v>2</v>
      </c>
      <c r="T1571" s="15" t="str">
        <f>VLOOKUP(R1571,产品分类!$C$2:$D$1278,2,0)</f>
        <v>数码电子</v>
      </c>
    </row>
    <row r="1572" spans="1:20">
      <c r="A1572" s="16">
        <f t="shared" si="135"/>
        <v>41162</v>
      </c>
      <c r="B1572" s="16">
        <f t="shared" si="135"/>
        <v>41162</v>
      </c>
      <c r="C1572" s="9" t="s">
        <v>1666</v>
      </c>
      <c r="D1572">
        <v>10021287547</v>
      </c>
      <c r="E1572" t="s">
        <v>47</v>
      </c>
      <c r="F1572" t="s">
        <v>171</v>
      </c>
      <c r="G1572" t="s">
        <v>172</v>
      </c>
      <c r="H1572" t="s">
        <v>1587</v>
      </c>
      <c r="I1572" t="s">
        <v>1588</v>
      </c>
      <c r="J1572" t="s">
        <v>367</v>
      </c>
      <c r="K1572" s="3">
        <v>100331938529</v>
      </c>
      <c r="L1572" s="10">
        <v>41164</v>
      </c>
      <c r="M1572">
        <v>63.02</v>
      </c>
      <c r="N1572" s="17">
        <v>27</v>
      </c>
      <c r="O1572" s="5">
        <v>2.18</v>
      </c>
      <c r="P1572" s="5">
        <v>5</v>
      </c>
      <c r="Q1572" s="6">
        <v>-119.66</v>
      </c>
      <c r="R1572" s="37" t="s">
        <v>711</v>
      </c>
      <c r="S1572" s="7">
        <f t="shared" si="131"/>
        <v>2</v>
      </c>
      <c r="T1572" s="15" t="str">
        <f>VLOOKUP(R1572,产品分类!$C$2:$D$1278,2,0)</f>
        <v>数码电子</v>
      </c>
    </row>
    <row r="1573" spans="1:20">
      <c r="A1573" s="8">
        <f t="shared" si="135"/>
        <v>41162</v>
      </c>
      <c r="B1573" s="8">
        <f t="shared" si="135"/>
        <v>41162</v>
      </c>
      <c r="C1573" s="9" t="s">
        <v>1666</v>
      </c>
      <c r="D1573">
        <v>10021345047</v>
      </c>
      <c r="E1573" t="s">
        <v>47</v>
      </c>
      <c r="F1573" t="s">
        <v>97</v>
      </c>
      <c r="G1573" t="s">
        <v>98</v>
      </c>
      <c r="H1573" t="s">
        <v>99</v>
      </c>
      <c r="I1573" t="s">
        <v>98</v>
      </c>
      <c r="J1573" t="s">
        <v>367</v>
      </c>
      <c r="K1573" s="3">
        <v>100424515634</v>
      </c>
      <c r="L1573" s="10">
        <v>41167</v>
      </c>
      <c r="M1573">
        <v>6420.87</v>
      </c>
      <c r="N1573" s="11">
        <v>9</v>
      </c>
      <c r="O1573" s="12">
        <v>699.99</v>
      </c>
      <c r="P1573" s="12">
        <v>24.49</v>
      </c>
      <c r="Q1573" s="13">
        <v>-690.21</v>
      </c>
      <c r="R1573" s="36" t="s">
        <v>493</v>
      </c>
      <c r="S1573" s="7">
        <f t="shared" si="131"/>
        <v>5</v>
      </c>
      <c r="T1573" s="15" t="str">
        <f>VLOOKUP(R1573,产品分类!$C$2:$D$1278,2,0)</f>
        <v>办公用品</v>
      </c>
    </row>
    <row r="1574" spans="1:20">
      <c r="A1574" s="8">
        <f t="shared" si="135"/>
        <v>41162</v>
      </c>
      <c r="B1574" s="8">
        <f t="shared" si="135"/>
        <v>41162</v>
      </c>
      <c r="C1574" s="9" t="s">
        <v>1666</v>
      </c>
      <c r="D1574">
        <v>10021340100</v>
      </c>
      <c r="E1574" t="s">
        <v>47</v>
      </c>
      <c r="F1574" t="s">
        <v>97</v>
      </c>
      <c r="G1574" t="s">
        <v>98</v>
      </c>
      <c r="H1574" t="s">
        <v>99</v>
      </c>
      <c r="I1574" t="s">
        <v>98</v>
      </c>
      <c r="J1574" t="s">
        <v>367</v>
      </c>
      <c r="K1574" s="3">
        <v>100121262106</v>
      </c>
      <c r="L1574" s="10">
        <v>41166</v>
      </c>
      <c r="M1574">
        <v>2407.693</v>
      </c>
      <c r="N1574" s="11">
        <v>25</v>
      </c>
      <c r="O1574" s="12">
        <v>110.99</v>
      </c>
      <c r="P1574" s="12">
        <v>8.99</v>
      </c>
      <c r="Q1574" s="13">
        <v>424.143</v>
      </c>
      <c r="R1574" s="36" t="s">
        <v>852</v>
      </c>
      <c r="S1574" s="7">
        <f t="shared" si="131"/>
        <v>4</v>
      </c>
      <c r="T1574" s="15" t="str">
        <f>VLOOKUP(R1574,产品分类!$C$2:$D$1278,2,0)</f>
        <v>家具产品</v>
      </c>
    </row>
    <row r="1575" spans="1:20">
      <c r="A1575" s="8">
        <f>DATE(2012,12,31)-1213</f>
        <v>40061</v>
      </c>
      <c r="B1575" s="8">
        <f>DATE(2012,12,31)-1213</f>
        <v>40061</v>
      </c>
      <c r="C1575" s="9" t="s">
        <v>1667</v>
      </c>
      <c r="D1575">
        <v>10021248788</v>
      </c>
      <c r="E1575" t="s">
        <v>47</v>
      </c>
      <c r="F1575" t="s">
        <v>97</v>
      </c>
      <c r="G1575" t="s">
        <v>98</v>
      </c>
      <c r="H1575" t="s">
        <v>99</v>
      </c>
      <c r="I1575" t="s">
        <v>98</v>
      </c>
      <c r="J1575" t="s">
        <v>367</v>
      </c>
      <c r="K1575" s="3">
        <v>10044210184</v>
      </c>
      <c r="L1575" s="10">
        <v>40063</v>
      </c>
      <c r="M1575">
        <v>128.69</v>
      </c>
      <c r="N1575" s="11">
        <v>28</v>
      </c>
      <c r="O1575" s="12">
        <v>4.55</v>
      </c>
      <c r="P1575" s="12">
        <v>1.49</v>
      </c>
      <c r="Q1575" s="13">
        <v>28.288</v>
      </c>
      <c r="R1575" s="36" t="s">
        <v>1668</v>
      </c>
      <c r="S1575" s="7">
        <f t="shared" si="131"/>
        <v>2</v>
      </c>
      <c r="T1575" s="15" t="str">
        <f>VLOOKUP(R1575,产品分类!$C$2:$D$1278,2,0)</f>
        <v>办公用品</v>
      </c>
    </row>
    <row r="1576" spans="1:20">
      <c r="A1576" s="16">
        <f>DATE(2012,12,31)-163</f>
        <v>41111</v>
      </c>
      <c r="B1576" s="16">
        <f>DATE(2012,12,31)-163</f>
        <v>41111</v>
      </c>
      <c r="C1576" s="9" t="s">
        <v>1669</v>
      </c>
      <c r="D1576">
        <v>10021298933</v>
      </c>
      <c r="E1576" t="s">
        <v>47</v>
      </c>
      <c r="F1576" t="s">
        <v>132</v>
      </c>
      <c r="G1576" t="s">
        <v>133</v>
      </c>
      <c r="H1576" t="s">
        <v>134</v>
      </c>
      <c r="I1576" t="s">
        <v>133</v>
      </c>
      <c r="J1576" t="s">
        <v>367</v>
      </c>
      <c r="K1576" s="3">
        <v>100427201224</v>
      </c>
      <c r="L1576" s="10">
        <v>41112</v>
      </c>
      <c r="M1576">
        <v>12270.3</v>
      </c>
      <c r="N1576" s="17">
        <v>42</v>
      </c>
      <c r="O1576" s="5">
        <v>304.99</v>
      </c>
      <c r="P1576" s="5">
        <v>19.99</v>
      </c>
      <c r="Q1576" s="6">
        <v>4842.3735</v>
      </c>
      <c r="R1576" s="37" t="s">
        <v>782</v>
      </c>
      <c r="S1576" s="7">
        <f t="shared" si="131"/>
        <v>1</v>
      </c>
      <c r="T1576" s="15" t="str">
        <f>VLOOKUP(R1576,产品分类!$C$2:$D$1278,2,0)</f>
        <v>办公用品</v>
      </c>
    </row>
    <row r="1577" spans="1:20">
      <c r="A1577" s="8">
        <f>DATE(2012,12,31)-147</f>
        <v>41127</v>
      </c>
      <c r="B1577" s="8">
        <f>DATE(2012,12,31)-147</f>
        <v>41127</v>
      </c>
      <c r="C1577" s="9" t="s">
        <v>1670</v>
      </c>
      <c r="D1577">
        <v>10021444584</v>
      </c>
      <c r="E1577" t="s">
        <v>47</v>
      </c>
      <c r="F1577" t="s">
        <v>132</v>
      </c>
      <c r="G1577" t="s">
        <v>133</v>
      </c>
      <c r="H1577" t="s">
        <v>134</v>
      </c>
      <c r="I1577" t="s">
        <v>133</v>
      </c>
      <c r="J1577" t="s">
        <v>367</v>
      </c>
      <c r="K1577" s="3">
        <v>10099804081</v>
      </c>
      <c r="L1577" s="10">
        <v>41128</v>
      </c>
      <c r="M1577">
        <v>109.7</v>
      </c>
      <c r="N1577" s="11">
        <v>16</v>
      </c>
      <c r="O1577" s="12">
        <v>5.98</v>
      </c>
      <c r="P1577" s="12">
        <v>10.39</v>
      </c>
      <c r="Q1577" s="13">
        <v>-106.77</v>
      </c>
      <c r="R1577" s="36" t="s">
        <v>1123</v>
      </c>
      <c r="S1577" s="7">
        <f t="shared" si="131"/>
        <v>1</v>
      </c>
      <c r="T1577" s="15" t="str">
        <f>VLOOKUP(R1577,产品分类!$C$2:$D$1278,2,0)</f>
        <v>数码电子</v>
      </c>
    </row>
    <row r="1578" spans="1:20">
      <c r="A1578" s="8">
        <f>DATE(2012,12,31)-147</f>
        <v>41127</v>
      </c>
      <c r="B1578" s="8">
        <f>DATE(2012,12,31)-147</f>
        <v>41127</v>
      </c>
      <c r="C1578" s="9" t="s">
        <v>1670</v>
      </c>
      <c r="D1578">
        <v>10021346833</v>
      </c>
      <c r="E1578" t="s">
        <v>47</v>
      </c>
      <c r="F1578" t="s">
        <v>102</v>
      </c>
      <c r="G1578" t="s">
        <v>103</v>
      </c>
      <c r="H1578" t="s">
        <v>1217</v>
      </c>
      <c r="I1578" t="s">
        <v>1218</v>
      </c>
      <c r="J1578" t="s">
        <v>367</v>
      </c>
      <c r="K1578" s="3">
        <v>100830945252</v>
      </c>
      <c r="L1578" s="10">
        <v>41129</v>
      </c>
      <c r="M1578">
        <v>80.89</v>
      </c>
      <c r="N1578" s="11">
        <v>26</v>
      </c>
      <c r="O1578" s="12">
        <v>2.94</v>
      </c>
      <c r="P1578" s="12">
        <v>0.81</v>
      </c>
      <c r="Q1578" s="13">
        <v>23.37</v>
      </c>
      <c r="R1578" s="36" t="s">
        <v>1671</v>
      </c>
      <c r="S1578" s="7">
        <f t="shared" si="131"/>
        <v>2</v>
      </c>
      <c r="T1578" s="15" t="str">
        <f>VLOOKUP(R1578,产品分类!$C$2:$D$1278,2,0)</f>
        <v>办公用品</v>
      </c>
    </row>
    <row r="1579" spans="1:20">
      <c r="A1579" s="8">
        <f>DATE(2012,12,31)-558</f>
        <v>40716</v>
      </c>
      <c r="B1579" s="8">
        <f>DATE(2012,12,31)-558</f>
        <v>40716</v>
      </c>
      <c r="C1579" s="9" t="s">
        <v>1672</v>
      </c>
      <c r="D1579">
        <v>10021368505</v>
      </c>
      <c r="E1579" t="s">
        <v>47</v>
      </c>
      <c r="F1579" t="s">
        <v>208</v>
      </c>
      <c r="G1579" t="s">
        <v>209</v>
      </c>
      <c r="H1579" t="s">
        <v>1492</v>
      </c>
      <c r="I1579" t="s">
        <v>1493</v>
      </c>
      <c r="J1579" t="s">
        <v>367</v>
      </c>
      <c r="K1579" s="3">
        <v>100915160971</v>
      </c>
      <c r="L1579" s="10">
        <v>40717</v>
      </c>
      <c r="M1579">
        <v>482.91</v>
      </c>
      <c r="N1579" s="11">
        <v>29</v>
      </c>
      <c r="O1579" s="12">
        <v>16.91</v>
      </c>
      <c r="P1579" s="12">
        <v>6.25</v>
      </c>
      <c r="Q1579" s="13">
        <v>-16.59</v>
      </c>
      <c r="R1579" s="36" t="s">
        <v>1673</v>
      </c>
      <c r="S1579" s="7">
        <f t="shared" si="131"/>
        <v>1</v>
      </c>
      <c r="T1579" s="15" t="str">
        <f>VLOOKUP(R1579,产品分类!$C$2:$D$1278,2,0)</f>
        <v>家具产品</v>
      </c>
    </row>
    <row r="1580" spans="1:20">
      <c r="A1580" s="8">
        <f>DATE(2012,12,31)-558</f>
        <v>40716</v>
      </c>
      <c r="B1580" s="8">
        <f>DATE(2012,12,31)-558</f>
        <v>40716</v>
      </c>
      <c r="C1580" s="9" t="s">
        <v>1672</v>
      </c>
      <c r="D1580">
        <v>10021414612</v>
      </c>
      <c r="E1580" t="s">
        <v>47</v>
      </c>
      <c r="F1580" t="s">
        <v>102</v>
      </c>
      <c r="G1580" t="s">
        <v>103</v>
      </c>
      <c r="H1580" t="s">
        <v>1217</v>
      </c>
      <c r="I1580" t="s">
        <v>1218</v>
      </c>
      <c r="J1580" t="s">
        <v>367</v>
      </c>
      <c r="K1580" s="3">
        <v>10015372256</v>
      </c>
      <c r="L1580" s="10">
        <v>40718</v>
      </c>
      <c r="M1580">
        <v>2969.6365</v>
      </c>
      <c r="N1580" s="11">
        <v>23</v>
      </c>
      <c r="O1580" s="12">
        <v>155.99</v>
      </c>
      <c r="P1580" s="12">
        <v>8.99</v>
      </c>
      <c r="Q1580" s="13">
        <v>383.454</v>
      </c>
      <c r="R1580" s="36" t="s">
        <v>87</v>
      </c>
      <c r="S1580" s="7">
        <f t="shared" si="131"/>
        <v>2</v>
      </c>
      <c r="T1580" s="15" t="str">
        <f>VLOOKUP(R1580,产品分类!$C$2:$D$1278,2,0)</f>
        <v>办公用品</v>
      </c>
    </row>
    <row r="1581" spans="1:20">
      <c r="A1581" s="8">
        <f>DATE(2012,12,31)-1334</f>
        <v>39940</v>
      </c>
      <c r="B1581" s="8">
        <f>DATE(2012,12,31)-1334</f>
        <v>39940</v>
      </c>
      <c r="C1581" s="9" t="s">
        <v>1674</v>
      </c>
      <c r="D1581">
        <v>10021386040</v>
      </c>
      <c r="E1581" t="s">
        <v>47</v>
      </c>
      <c r="F1581" t="s">
        <v>137</v>
      </c>
      <c r="G1581" t="s">
        <v>138</v>
      </c>
      <c r="H1581" t="s">
        <v>139</v>
      </c>
      <c r="I1581" t="s">
        <v>140</v>
      </c>
      <c r="J1581" t="s">
        <v>367</v>
      </c>
      <c r="K1581" s="3">
        <v>10084666972</v>
      </c>
      <c r="L1581" s="10">
        <v>39941</v>
      </c>
      <c r="M1581">
        <v>333.68</v>
      </c>
      <c r="N1581" s="11">
        <v>19</v>
      </c>
      <c r="O1581" s="12">
        <v>16.48</v>
      </c>
      <c r="P1581" s="12">
        <v>1.99</v>
      </c>
      <c r="Q1581" s="13">
        <v>81.96</v>
      </c>
      <c r="R1581" s="36" t="s">
        <v>1675</v>
      </c>
      <c r="S1581" s="7">
        <f t="shared" si="131"/>
        <v>1</v>
      </c>
      <c r="T1581" s="15" t="str">
        <f>VLOOKUP(R1581,产品分类!$C$2:$D$1278,2,0)</f>
        <v>数码电子</v>
      </c>
    </row>
    <row r="1582" spans="1:20">
      <c r="A1582" s="16">
        <f>DATE(2012,12,31)-768</f>
        <v>40506</v>
      </c>
      <c r="B1582" s="16">
        <f>DATE(2012,12,31)-768</f>
        <v>40506</v>
      </c>
      <c r="C1582" s="9" t="s">
        <v>766</v>
      </c>
      <c r="D1582">
        <v>10021428745</v>
      </c>
      <c r="E1582" t="s">
        <v>47</v>
      </c>
      <c r="F1582" t="s">
        <v>102</v>
      </c>
      <c r="G1582" t="s">
        <v>103</v>
      </c>
      <c r="H1582" t="s">
        <v>1217</v>
      </c>
      <c r="I1582" t="s">
        <v>1218</v>
      </c>
      <c r="J1582" t="s">
        <v>367</v>
      </c>
      <c r="K1582" s="3">
        <v>100131094166</v>
      </c>
      <c r="L1582" s="10">
        <v>40507</v>
      </c>
      <c r="M1582">
        <v>58.64</v>
      </c>
      <c r="N1582" s="17">
        <v>27</v>
      </c>
      <c r="O1582" s="5">
        <v>2.21</v>
      </c>
      <c r="P1582" s="5">
        <v>1</v>
      </c>
      <c r="Q1582" s="6">
        <v>4.55</v>
      </c>
      <c r="R1582" s="37" t="s">
        <v>226</v>
      </c>
      <c r="S1582" s="7">
        <f t="shared" si="131"/>
        <v>1</v>
      </c>
      <c r="T1582" s="15" t="str">
        <f>VLOOKUP(R1582,产品分类!$C$2:$D$1278,2,0)</f>
        <v>家具产品</v>
      </c>
    </row>
    <row r="1583" spans="1:20">
      <c r="A1583" s="16">
        <f>DATE(2012,12,31)-768</f>
        <v>40506</v>
      </c>
      <c r="B1583" s="16">
        <f>DATE(2012,12,31)-768</f>
        <v>40506</v>
      </c>
      <c r="C1583" s="9" t="s">
        <v>766</v>
      </c>
      <c r="D1583">
        <v>10021447727</v>
      </c>
      <c r="E1583" t="s">
        <v>47</v>
      </c>
      <c r="F1583" t="s">
        <v>527</v>
      </c>
      <c r="G1583" t="s">
        <v>528</v>
      </c>
      <c r="H1583" t="s">
        <v>1676</v>
      </c>
      <c r="I1583" t="s">
        <v>1677</v>
      </c>
      <c r="J1583" t="s">
        <v>367</v>
      </c>
      <c r="K1583" s="3">
        <v>100923443761</v>
      </c>
      <c r="L1583" s="10">
        <v>40508</v>
      </c>
      <c r="M1583">
        <v>136.06</v>
      </c>
      <c r="N1583" s="17">
        <v>20</v>
      </c>
      <c r="O1583" s="5">
        <v>6.37</v>
      </c>
      <c r="P1583" s="5">
        <v>5.19</v>
      </c>
      <c r="Q1583" s="6">
        <v>-33.2235</v>
      </c>
      <c r="R1583" s="37" t="s">
        <v>410</v>
      </c>
      <c r="S1583" s="7">
        <f t="shared" si="131"/>
        <v>2</v>
      </c>
      <c r="T1583" s="15" t="str">
        <f>VLOOKUP(R1583,产品分类!$C$2:$D$1278,2,0)</f>
        <v>数码电子</v>
      </c>
    </row>
    <row r="1584" spans="1:20">
      <c r="A1584" s="16">
        <f>DATE(2012,12,31)-345</f>
        <v>40929</v>
      </c>
      <c r="B1584" s="16">
        <f>DATE(2012,12,31)-345</f>
        <v>40929</v>
      </c>
      <c r="C1584" s="9" t="s">
        <v>1678</v>
      </c>
      <c r="D1584">
        <v>10021336474</v>
      </c>
      <c r="E1584" t="s">
        <v>47</v>
      </c>
      <c r="F1584" t="s">
        <v>171</v>
      </c>
      <c r="G1584" t="s">
        <v>172</v>
      </c>
      <c r="H1584" t="s">
        <v>1587</v>
      </c>
      <c r="I1584" t="s">
        <v>1588</v>
      </c>
      <c r="J1584" t="s">
        <v>367</v>
      </c>
      <c r="K1584" s="3">
        <v>100918618151</v>
      </c>
      <c r="L1584" s="10">
        <v>40929</v>
      </c>
      <c r="M1584">
        <v>1554.53</v>
      </c>
      <c r="N1584" s="17">
        <v>16</v>
      </c>
      <c r="O1584" s="5">
        <v>90.48</v>
      </c>
      <c r="P1584" s="5">
        <v>19.99</v>
      </c>
      <c r="Q1584" s="6">
        <v>474.66</v>
      </c>
      <c r="R1584" s="37" t="s">
        <v>1008</v>
      </c>
      <c r="S1584" s="7">
        <f t="shared" si="131"/>
        <v>0</v>
      </c>
      <c r="T1584" s="15" t="str">
        <f>VLOOKUP(R1584,产品分类!$C$2:$D$1278,2,0)</f>
        <v>办公用品</v>
      </c>
    </row>
    <row r="1585" spans="1:20">
      <c r="A1585" s="8">
        <f>DATE(2012,12,31)-1034</f>
        <v>40240</v>
      </c>
      <c r="B1585" s="8">
        <f>DATE(2012,12,31)-1034</f>
        <v>40240</v>
      </c>
      <c r="C1585" s="9" t="s">
        <v>1406</v>
      </c>
      <c r="D1585">
        <v>10021419296</v>
      </c>
      <c r="E1585" t="s">
        <v>47</v>
      </c>
      <c r="F1585" t="s">
        <v>171</v>
      </c>
      <c r="G1585" t="s">
        <v>172</v>
      </c>
      <c r="H1585" t="s">
        <v>1587</v>
      </c>
      <c r="I1585" t="s">
        <v>1588</v>
      </c>
      <c r="J1585" t="s">
        <v>367</v>
      </c>
      <c r="K1585" s="3">
        <v>100723421495</v>
      </c>
      <c r="L1585" s="10">
        <v>40244</v>
      </c>
      <c r="M1585">
        <v>446.04</v>
      </c>
      <c r="N1585" s="11">
        <v>39</v>
      </c>
      <c r="O1585" s="12">
        <v>10.98</v>
      </c>
      <c r="P1585" s="12">
        <v>5.14</v>
      </c>
      <c r="Q1585" s="13">
        <v>59.041</v>
      </c>
      <c r="R1585" s="36" t="s">
        <v>1679</v>
      </c>
      <c r="S1585" s="7">
        <f t="shared" si="131"/>
        <v>4</v>
      </c>
      <c r="T1585" s="15" t="str">
        <f>VLOOKUP(R1585,产品分类!$C$2:$D$1278,2,0)</f>
        <v>办公用品</v>
      </c>
    </row>
    <row r="1586" spans="1:20">
      <c r="A1586" s="8">
        <f>DATE(2012,12,31)-1034</f>
        <v>40240</v>
      </c>
      <c r="B1586" s="8">
        <f>DATE(2012,12,31)-1034</f>
        <v>40240</v>
      </c>
      <c r="C1586" s="9" t="s">
        <v>1406</v>
      </c>
      <c r="D1586">
        <v>10021461003</v>
      </c>
      <c r="E1586" t="s">
        <v>47</v>
      </c>
      <c r="F1586" t="s">
        <v>171</v>
      </c>
      <c r="G1586" t="s">
        <v>172</v>
      </c>
      <c r="H1586" t="s">
        <v>1587</v>
      </c>
      <c r="I1586" t="s">
        <v>1588</v>
      </c>
      <c r="J1586" t="s">
        <v>367</v>
      </c>
      <c r="K1586" s="3">
        <v>100312441909</v>
      </c>
      <c r="L1586" s="10">
        <v>40242</v>
      </c>
      <c r="M1586">
        <v>18421.2</v>
      </c>
      <c r="N1586" s="11">
        <v>46</v>
      </c>
      <c r="O1586" s="12">
        <v>400.98</v>
      </c>
      <c r="P1586" s="12">
        <v>42.52</v>
      </c>
      <c r="Q1586" s="13">
        <v>-969.048366</v>
      </c>
      <c r="R1586" s="36" t="s">
        <v>1048</v>
      </c>
      <c r="S1586" s="7">
        <f t="shared" si="131"/>
        <v>2</v>
      </c>
      <c r="T1586" s="15" t="str">
        <f>VLOOKUP(R1586,产品分类!$C$2:$D$1278,2,0)</f>
        <v>办公用品</v>
      </c>
    </row>
    <row r="1587" spans="1:20">
      <c r="A1587" s="8">
        <f>DATE(2012,12,31)-152</f>
        <v>41122</v>
      </c>
      <c r="B1587" s="8">
        <f>DATE(2012,12,31)-152</f>
        <v>41122</v>
      </c>
      <c r="C1587" s="9" t="s">
        <v>1315</v>
      </c>
      <c r="D1587">
        <v>10021295078</v>
      </c>
      <c r="E1587" t="s">
        <v>47</v>
      </c>
      <c r="F1587" t="s">
        <v>171</v>
      </c>
      <c r="G1587" t="s">
        <v>172</v>
      </c>
      <c r="H1587" t="s">
        <v>1587</v>
      </c>
      <c r="I1587" t="s">
        <v>1588</v>
      </c>
      <c r="J1587" t="s">
        <v>367</v>
      </c>
      <c r="K1587" s="3">
        <v>100412805293</v>
      </c>
      <c r="L1587" s="10">
        <v>41124</v>
      </c>
      <c r="M1587">
        <v>39.68</v>
      </c>
      <c r="N1587" s="11">
        <v>5</v>
      </c>
      <c r="O1587" s="12">
        <v>8.01</v>
      </c>
      <c r="P1587" s="12">
        <v>2.87</v>
      </c>
      <c r="Q1587" s="13">
        <v>-6.71</v>
      </c>
      <c r="R1587" s="36" t="s">
        <v>677</v>
      </c>
      <c r="S1587" s="7">
        <f t="shared" si="131"/>
        <v>2</v>
      </c>
      <c r="T1587" s="15" t="str">
        <f>VLOOKUP(R1587,产品分类!$C$2:$D$1278,2,0)</f>
        <v>办公用品</v>
      </c>
    </row>
    <row r="1588" spans="1:20">
      <c r="A1588" s="8">
        <f>DATE(2012,12,31)-152</f>
        <v>41122</v>
      </c>
      <c r="B1588" s="8">
        <f>DATE(2012,12,31)-152</f>
        <v>41122</v>
      </c>
      <c r="C1588" s="9" t="s">
        <v>1315</v>
      </c>
      <c r="D1588">
        <v>10021475553</v>
      </c>
      <c r="E1588" t="s">
        <v>47</v>
      </c>
      <c r="F1588" t="s">
        <v>167</v>
      </c>
      <c r="G1588" t="s">
        <v>168</v>
      </c>
      <c r="H1588" t="s">
        <v>169</v>
      </c>
      <c r="I1588" t="s">
        <v>168</v>
      </c>
      <c r="J1588" t="s">
        <v>367</v>
      </c>
      <c r="K1588" s="3">
        <v>10011728048</v>
      </c>
      <c r="L1588" s="10">
        <v>41123</v>
      </c>
      <c r="M1588">
        <v>1273.266</v>
      </c>
      <c r="N1588" s="11">
        <v>8</v>
      </c>
      <c r="O1588" s="12">
        <v>205.99</v>
      </c>
      <c r="P1588" s="12">
        <v>8.99</v>
      </c>
      <c r="Q1588" s="13">
        <v>-615.67</v>
      </c>
      <c r="R1588" s="36" t="s">
        <v>799</v>
      </c>
      <c r="S1588" s="7">
        <f t="shared" si="131"/>
        <v>1</v>
      </c>
      <c r="T1588" s="15" t="str">
        <f>VLOOKUP(R1588,产品分类!$C$2:$D$1278,2,0)</f>
        <v>家具产品</v>
      </c>
    </row>
    <row r="1589" spans="1:20">
      <c r="A1589" s="8">
        <f>DATE(2012,12,31)-994</f>
        <v>40280</v>
      </c>
      <c r="B1589" s="8">
        <f>DATE(2012,12,31)-994</f>
        <v>40280</v>
      </c>
      <c r="C1589" s="9" t="s">
        <v>1592</v>
      </c>
      <c r="D1589">
        <v>10021331243</v>
      </c>
      <c r="E1589" t="s">
        <v>47</v>
      </c>
      <c r="F1589" t="s">
        <v>177</v>
      </c>
      <c r="G1589" t="s">
        <v>178</v>
      </c>
      <c r="H1589" t="s">
        <v>1292</v>
      </c>
      <c r="I1589" t="s">
        <v>1293</v>
      </c>
      <c r="J1589" t="s">
        <v>367</v>
      </c>
      <c r="K1589" s="3">
        <v>10081938522</v>
      </c>
      <c r="L1589" s="10">
        <v>40287</v>
      </c>
      <c r="M1589">
        <v>1519.9</v>
      </c>
      <c r="N1589" s="11">
        <v>15</v>
      </c>
      <c r="O1589" s="12">
        <v>105.34</v>
      </c>
      <c r="P1589" s="12">
        <v>24.49</v>
      </c>
      <c r="Q1589" s="13">
        <v>399.37</v>
      </c>
      <c r="R1589" s="36" t="s">
        <v>1441</v>
      </c>
      <c r="S1589" s="7">
        <f t="shared" si="131"/>
        <v>7</v>
      </c>
      <c r="T1589" s="15" t="str">
        <f>VLOOKUP(R1589,产品分类!$C$2:$D$1278,2,0)</f>
        <v>办公用品</v>
      </c>
    </row>
    <row r="1590" spans="1:20">
      <c r="A1590" s="8">
        <f>DATE(2012,12,31)-860</f>
        <v>40414</v>
      </c>
      <c r="B1590" s="8">
        <f>DATE(2012,12,31)-860</f>
        <v>40414</v>
      </c>
      <c r="C1590" s="9" t="s">
        <v>294</v>
      </c>
      <c r="D1590">
        <v>10021292850</v>
      </c>
      <c r="E1590" t="s">
        <v>47</v>
      </c>
      <c r="F1590" t="s">
        <v>167</v>
      </c>
      <c r="G1590" t="s">
        <v>168</v>
      </c>
      <c r="H1590" t="s">
        <v>169</v>
      </c>
      <c r="I1590" t="s">
        <v>168</v>
      </c>
      <c r="J1590" t="s">
        <v>367</v>
      </c>
      <c r="K1590" s="3">
        <v>10082510282</v>
      </c>
      <c r="L1590" s="10">
        <v>40416</v>
      </c>
      <c r="M1590">
        <v>102.24</v>
      </c>
      <c r="N1590" s="11">
        <v>30</v>
      </c>
      <c r="O1590" s="12">
        <v>3.69</v>
      </c>
      <c r="P1590" s="12">
        <v>0.5</v>
      </c>
      <c r="Q1590" s="13">
        <v>37.79</v>
      </c>
      <c r="R1590" s="36" t="s">
        <v>1224</v>
      </c>
      <c r="S1590" s="7">
        <f t="shared" si="131"/>
        <v>2</v>
      </c>
      <c r="T1590" s="15" t="str">
        <f>VLOOKUP(R1590,产品分类!$C$2:$D$1278,2,0)</f>
        <v>办公用品</v>
      </c>
    </row>
    <row r="1591" spans="1:20">
      <c r="A1591" s="8">
        <f>DATE(2012,12,31)-867</f>
        <v>40407</v>
      </c>
      <c r="B1591" s="8">
        <f>DATE(2012,12,31)-867</f>
        <v>40407</v>
      </c>
      <c r="C1591" s="9" t="s">
        <v>1348</v>
      </c>
      <c r="D1591">
        <v>10021413577</v>
      </c>
      <c r="E1591" t="s">
        <v>47</v>
      </c>
      <c r="F1591" t="s">
        <v>167</v>
      </c>
      <c r="G1591" t="s">
        <v>168</v>
      </c>
      <c r="H1591" t="s">
        <v>169</v>
      </c>
      <c r="I1591" t="s">
        <v>168</v>
      </c>
      <c r="J1591" t="s">
        <v>367</v>
      </c>
      <c r="K1591" s="3">
        <v>10041106813</v>
      </c>
      <c r="L1591" s="10">
        <v>40416</v>
      </c>
      <c r="M1591">
        <v>165.37</v>
      </c>
      <c r="N1591" s="11">
        <v>26</v>
      </c>
      <c r="O1591" s="12">
        <v>6.6</v>
      </c>
      <c r="P1591" s="12">
        <v>4.07</v>
      </c>
      <c r="Q1591" s="13">
        <v>-80.11</v>
      </c>
      <c r="R1591" s="36" t="s">
        <v>1680</v>
      </c>
      <c r="S1591" s="7">
        <f t="shared" si="131"/>
        <v>9</v>
      </c>
      <c r="T1591" s="15" t="str">
        <f>VLOOKUP(R1591,产品分类!$C$2:$D$1278,2,0)</f>
        <v>家具产品</v>
      </c>
    </row>
    <row r="1592" spans="1:20">
      <c r="A1592" s="8">
        <f>DATE(2012,12,31)-867</f>
        <v>40407</v>
      </c>
      <c r="B1592" s="8">
        <f>DATE(2012,12,31)-867</f>
        <v>40407</v>
      </c>
      <c r="C1592" s="9" t="s">
        <v>1348</v>
      </c>
      <c r="D1592">
        <v>10021345115</v>
      </c>
      <c r="E1592" t="s">
        <v>47</v>
      </c>
      <c r="F1592" t="s">
        <v>342</v>
      </c>
      <c r="G1592" t="s">
        <v>343</v>
      </c>
      <c r="H1592" t="s">
        <v>1602</v>
      </c>
      <c r="I1592" t="s">
        <v>1603</v>
      </c>
      <c r="J1592" t="s">
        <v>367</v>
      </c>
      <c r="K1592" s="3">
        <v>100729854615</v>
      </c>
      <c r="L1592" s="10">
        <v>40409</v>
      </c>
      <c r="M1592">
        <v>1785.74</v>
      </c>
      <c r="N1592" s="11">
        <v>38</v>
      </c>
      <c r="O1592" s="12">
        <v>48.04</v>
      </c>
      <c r="P1592" s="12">
        <v>7.23</v>
      </c>
      <c r="Q1592" s="13">
        <v>739.48</v>
      </c>
      <c r="R1592" s="36" t="s">
        <v>1167</v>
      </c>
      <c r="S1592" s="7">
        <f t="shared" si="131"/>
        <v>2</v>
      </c>
      <c r="T1592" s="15" t="str">
        <f>VLOOKUP(R1592,产品分类!$C$2:$D$1278,2,0)</f>
        <v>家具产品</v>
      </c>
    </row>
    <row r="1593" spans="1:20">
      <c r="A1593" s="16">
        <f>DATE(2012,12,31)-438</f>
        <v>40836</v>
      </c>
      <c r="B1593" s="16">
        <f>DATE(2012,12,31)-438</f>
        <v>40836</v>
      </c>
      <c r="C1593" s="9" t="s">
        <v>1006</v>
      </c>
      <c r="D1593">
        <v>10021335286</v>
      </c>
      <c r="E1593" t="s">
        <v>47</v>
      </c>
      <c r="F1593" t="s">
        <v>342</v>
      </c>
      <c r="G1593" t="s">
        <v>343</v>
      </c>
      <c r="H1593" t="s">
        <v>1602</v>
      </c>
      <c r="I1593" t="s">
        <v>1603</v>
      </c>
      <c r="J1593" t="s">
        <v>367</v>
      </c>
      <c r="K1593" s="3">
        <v>100110412688</v>
      </c>
      <c r="L1593" s="10">
        <v>40838</v>
      </c>
      <c r="M1593">
        <v>111.9</v>
      </c>
      <c r="N1593" s="17">
        <v>16</v>
      </c>
      <c r="O1593" s="5">
        <v>6.47</v>
      </c>
      <c r="P1593" s="5">
        <v>1.22</v>
      </c>
      <c r="Q1593" s="6">
        <v>38.03</v>
      </c>
      <c r="R1593" s="37" t="s">
        <v>1681</v>
      </c>
      <c r="S1593" s="7">
        <f t="shared" si="131"/>
        <v>2</v>
      </c>
      <c r="T1593" s="15" t="str">
        <f>VLOOKUP(R1593,产品分类!$C$2:$D$1278,2,0)</f>
        <v>办公用品</v>
      </c>
    </row>
    <row r="1594" spans="1:20">
      <c r="A1594" s="8">
        <f>DATE(2012,12,31)-546</f>
        <v>40728</v>
      </c>
      <c r="B1594" s="8">
        <f>DATE(2012,12,31)-546</f>
        <v>40728</v>
      </c>
      <c r="C1594" s="9" t="s">
        <v>1682</v>
      </c>
      <c r="D1594">
        <v>10021253782</v>
      </c>
      <c r="E1594" t="s">
        <v>47</v>
      </c>
      <c r="F1594" t="s">
        <v>342</v>
      </c>
      <c r="G1594" t="s">
        <v>343</v>
      </c>
      <c r="H1594" t="s">
        <v>1602</v>
      </c>
      <c r="I1594" t="s">
        <v>1603</v>
      </c>
      <c r="J1594" t="s">
        <v>367</v>
      </c>
      <c r="K1594" s="3">
        <v>100120460378</v>
      </c>
      <c r="L1594" s="10">
        <v>40729</v>
      </c>
      <c r="M1594">
        <v>965.69</v>
      </c>
      <c r="N1594" s="11">
        <v>6</v>
      </c>
      <c r="O1594" s="12">
        <v>146.34</v>
      </c>
      <c r="P1594" s="12">
        <v>43.75</v>
      </c>
      <c r="Q1594" s="13">
        <v>-144.198</v>
      </c>
      <c r="R1594" s="36" t="s">
        <v>998</v>
      </c>
      <c r="S1594" s="7">
        <f t="shared" si="131"/>
        <v>1</v>
      </c>
      <c r="T1594" s="15" t="str">
        <f>VLOOKUP(R1594,产品分类!$C$2:$D$1278,2,0)</f>
        <v>办公用品</v>
      </c>
    </row>
    <row r="1595" spans="1:20">
      <c r="A1595" s="8">
        <f>DATE(2012,12,31)-1278</f>
        <v>39996</v>
      </c>
      <c r="B1595" s="8">
        <f>DATE(2012,12,31)-1278</f>
        <v>39996</v>
      </c>
      <c r="C1595" s="9" t="s">
        <v>1034</v>
      </c>
      <c r="D1595">
        <v>10021303765</v>
      </c>
      <c r="E1595" t="s">
        <v>47</v>
      </c>
      <c r="F1595" t="s">
        <v>342</v>
      </c>
      <c r="G1595" t="s">
        <v>343</v>
      </c>
      <c r="H1595" t="s">
        <v>1602</v>
      </c>
      <c r="I1595" t="s">
        <v>1603</v>
      </c>
      <c r="J1595" t="s">
        <v>367</v>
      </c>
      <c r="K1595" s="3">
        <v>100732128815</v>
      </c>
      <c r="L1595" s="10">
        <v>39998</v>
      </c>
      <c r="M1595">
        <v>4629.67</v>
      </c>
      <c r="N1595" s="11">
        <v>45</v>
      </c>
      <c r="O1595" s="12">
        <v>99.23</v>
      </c>
      <c r="P1595" s="12">
        <v>8.99</v>
      </c>
      <c r="Q1595" s="13">
        <v>2860.71</v>
      </c>
      <c r="R1595" s="36" t="s">
        <v>1484</v>
      </c>
      <c r="S1595" s="7">
        <f t="shared" si="131"/>
        <v>2</v>
      </c>
      <c r="T1595" s="15" t="str">
        <f>VLOOKUP(R1595,产品分类!$C$2:$D$1278,2,0)</f>
        <v>数码电子</v>
      </c>
    </row>
    <row r="1596" spans="1:20">
      <c r="A1596" s="8">
        <f t="shared" ref="A1596:B1598" si="136">DATE(2012,12,31)-1353</f>
        <v>39921</v>
      </c>
      <c r="B1596" s="8">
        <f t="shared" si="136"/>
        <v>39921</v>
      </c>
      <c r="C1596" s="9" t="s">
        <v>464</v>
      </c>
      <c r="D1596">
        <v>10021333076</v>
      </c>
      <c r="E1596" t="s">
        <v>47</v>
      </c>
      <c r="F1596" t="s">
        <v>61</v>
      </c>
      <c r="G1596" t="s">
        <v>62</v>
      </c>
      <c r="H1596" t="s">
        <v>1369</v>
      </c>
      <c r="I1596" t="s">
        <v>1370</v>
      </c>
      <c r="J1596" t="s">
        <v>367</v>
      </c>
      <c r="K1596" s="3">
        <v>10085878192</v>
      </c>
      <c r="L1596" s="10">
        <v>39922</v>
      </c>
      <c r="M1596">
        <v>1350.34</v>
      </c>
      <c r="N1596" s="11">
        <v>28</v>
      </c>
      <c r="O1596" s="12">
        <v>52.99</v>
      </c>
      <c r="P1596" s="12">
        <v>19.99</v>
      </c>
      <c r="Q1596" s="13">
        <v>-517.17</v>
      </c>
      <c r="R1596" s="36" t="s">
        <v>1683</v>
      </c>
      <c r="S1596" s="7">
        <f t="shared" si="131"/>
        <v>1</v>
      </c>
      <c r="T1596" s="15" t="str">
        <f>VLOOKUP(R1596,产品分类!$C$2:$D$1278,2,0)</f>
        <v>办公用品</v>
      </c>
    </row>
    <row r="1597" spans="1:20">
      <c r="A1597" s="8">
        <f t="shared" si="136"/>
        <v>39921</v>
      </c>
      <c r="B1597" s="8">
        <f t="shared" si="136"/>
        <v>39921</v>
      </c>
      <c r="C1597" s="9" t="s">
        <v>464</v>
      </c>
      <c r="D1597">
        <v>10021249067</v>
      </c>
      <c r="E1597" t="s">
        <v>47</v>
      </c>
      <c r="F1597" t="s">
        <v>61</v>
      </c>
      <c r="G1597" t="s">
        <v>62</v>
      </c>
      <c r="H1597" t="s">
        <v>1369</v>
      </c>
      <c r="I1597" t="s">
        <v>1370</v>
      </c>
      <c r="J1597" t="s">
        <v>367</v>
      </c>
      <c r="K1597" s="3">
        <v>10079127425</v>
      </c>
      <c r="L1597" s="10">
        <v>39924</v>
      </c>
      <c r="M1597">
        <v>861.26</v>
      </c>
      <c r="N1597" s="11">
        <v>8</v>
      </c>
      <c r="O1597" s="12">
        <v>100.98</v>
      </c>
      <c r="P1597" s="12">
        <v>57.38</v>
      </c>
      <c r="Q1597" s="13">
        <v>-429.86</v>
      </c>
      <c r="R1597" s="36" t="s">
        <v>661</v>
      </c>
      <c r="S1597" s="7">
        <f t="shared" si="131"/>
        <v>3</v>
      </c>
      <c r="T1597" s="15" t="str">
        <f>VLOOKUP(R1597,产品分类!$C$2:$D$1278,2,0)</f>
        <v>办公用品</v>
      </c>
    </row>
    <row r="1598" spans="1:20">
      <c r="A1598" s="8">
        <f t="shared" si="136"/>
        <v>39921</v>
      </c>
      <c r="B1598" s="8">
        <f t="shared" si="136"/>
        <v>39921</v>
      </c>
      <c r="C1598" s="9" t="s">
        <v>464</v>
      </c>
      <c r="D1598">
        <v>10021388539</v>
      </c>
      <c r="E1598" t="s">
        <v>47</v>
      </c>
      <c r="F1598" t="s">
        <v>61</v>
      </c>
      <c r="G1598" t="s">
        <v>62</v>
      </c>
      <c r="H1598" t="s">
        <v>1369</v>
      </c>
      <c r="I1598" t="s">
        <v>1370</v>
      </c>
      <c r="J1598" t="s">
        <v>367</v>
      </c>
      <c r="K1598" s="3">
        <v>100429283213</v>
      </c>
      <c r="L1598" s="10">
        <v>39923</v>
      </c>
      <c r="M1598">
        <v>1531.411</v>
      </c>
      <c r="N1598" s="11">
        <v>20</v>
      </c>
      <c r="O1598" s="12">
        <v>85.99</v>
      </c>
      <c r="P1598" s="12">
        <v>0.99</v>
      </c>
      <c r="Q1598" s="13">
        <v>365.418</v>
      </c>
      <c r="R1598" s="36" t="s">
        <v>1684</v>
      </c>
      <c r="S1598" s="7">
        <f t="shared" si="131"/>
        <v>2</v>
      </c>
      <c r="T1598" s="15" t="str">
        <f>VLOOKUP(R1598,产品分类!$C$2:$D$1278,2,0)</f>
        <v>办公用品</v>
      </c>
    </row>
    <row r="1599" spans="1:20">
      <c r="A1599" s="8">
        <f>DATE(2012,12,31)-1135</f>
        <v>40139</v>
      </c>
      <c r="B1599" s="8">
        <f>DATE(2012,12,31)-1135</f>
        <v>40139</v>
      </c>
      <c r="C1599" s="9" t="s">
        <v>1141</v>
      </c>
      <c r="D1599">
        <v>10021296899</v>
      </c>
      <c r="E1599" t="s">
        <v>47</v>
      </c>
      <c r="F1599" t="s">
        <v>61</v>
      </c>
      <c r="G1599" t="s">
        <v>62</v>
      </c>
      <c r="H1599" t="s">
        <v>1369</v>
      </c>
      <c r="I1599" t="s">
        <v>1370</v>
      </c>
      <c r="J1599" t="s">
        <v>367</v>
      </c>
      <c r="K1599" s="3">
        <v>100123168217</v>
      </c>
      <c r="L1599" s="10">
        <v>40140</v>
      </c>
      <c r="M1599">
        <v>1497.3175</v>
      </c>
      <c r="N1599" s="11">
        <v>48</v>
      </c>
      <c r="O1599" s="12">
        <v>35.99</v>
      </c>
      <c r="P1599" s="12">
        <v>0.99</v>
      </c>
      <c r="Q1599" s="13">
        <v>836.505</v>
      </c>
      <c r="R1599" s="36" t="s">
        <v>685</v>
      </c>
      <c r="S1599" s="7">
        <f t="shared" si="131"/>
        <v>1</v>
      </c>
      <c r="T1599" s="15" t="str">
        <f>VLOOKUP(R1599,产品分类!$C$2:$D$1278,2,0)</f>
        <v>办公用品</v>
      </c>
    </row>
    <row r="1600" spans="1:20">
      <c r="A1600" s="8">
        <f>DATE(2012,12,31)-1387</f>
        <v>39887</v>
      </c>
      <c r="B1600" s="8">
        <f>DATE(2012,12,31)-1387</f>
        <v>39887</v>
      </c>
      <c r="C1600" s="9" t="s">
        <v>1685</v>
      </c>
      <c r="D1600">
        <v>10021270443</v>
      </c>
      <c r="E1600" t="s">
        <v>47</v>
      </c>
      <c r="F1600" t="s">
        <v>61</v>
      </c>
      <c r="G1600" t="s">
        <v>62</v>
      </c>
      <c r="H1600" t="s">
        <v>1369</v>
      </c>
      <c r="I1600" t="s">
        <v>1370</v>
      </c>
      <c r="J1600" t="s">
        <v>367</v>
      </c>
      <c r="K1600" s="3">
        <v>10079631795</v>
      </c>
      <c r="L1600" s="10">
        <v>39888</v>
      </c>
      <c r="M1600">
        <v>281.84</v>
      </c>
      <c r="N1600" s="11">
        <v>17</v>
      </c>
      <c r="O1600" s="12">
        <v>17.98</v>
      </c>
      <c r="P1600" s="12">
        <v>4</v>
      </c>
      <c r="Q1600" s="13">
        <v>-99.55</v>
      </c>
      <c r="R1600" s="36" t="s">
        <v>1584</v>
      </c>
      <c r="S1600" s="7">
        <f t="shared" si="131"/>
        <v>1</v>
      </c>
      <c r="T1600" s="15" t="str">
        <f>VLOOKUP(R1600,产品分类!$C$2:$D$1278,2,0)</f>
        <v>办公用品</v>
      </c>
    </row>
    <row r="1601" spans="1:20">
      <c r="A1601" s="8">
        <f>DATE(2012,12,31)-1387</f>
        <v>39887</v>
      </c>
      <c r="B1601" s="8">
        <f>DATE(2012,12,31)-1387</f>
        <v>39887</v>
      </c>
      <c r="C1601" s="9" t="s">
        <v>1685</v>
      </c>
      <c r="D1601">
        <v>10021252935</v>
      </c>
      <c r="E1601" t="s">
        <v>47</v>
      </c>
      <c r="F1601" t="s">
        <v>83</v>
      </c>
      <c r="G1601" t="s">
        <v>84</v>
      </c>
      <c r="H1601" t="s">
        <v>1259</v>
      </c>
      <c r="I1601" t="s">
        <v>1260</v>
      </c>
      <c r="J1601" t="s">
        <v>367</v>
      </c>
      <c r="K1601" s="3">
        <v>100115668167</v>
      </c>
      <c r="L1601" s="10">
        <v>39888</v>
      </c>
      <c r="M1601">
        <v>200.753</v>
      </c>
      <c r="N1601" s="11">
        <v>2</v>
      </c>
      <c r="O1601" s="12">
        <v>125.99</v>
      </c>
      <c r="P1601" s="12">
        <v>8.99</v>
      </c>
      <c r="Q1601" s="13">
        <v>-605.374</v>
      </c>
      <c r="R1601" s="36" t="s">
        <v>112</v>
      </c>
      <c r="S1601" s="7">
        <f t="shared" si="131"/>
        <v>1</v>
      </c>
      <c r="T1601" s="15" t="str">
        <f>VLOOKUP(R1601,产品分类!$C$2:$D$1278,2,0)</f>
        <v>数码电子</v>
      </c>
    </row>
    <row r="1602" spans="1:20">
      <c r="A1602" s="8">
        <f>DATE(2012,12,31)-632</f>
        <v>40642</v>
      </c>
      <c r="B1602" s="8">
        <f>DATE(2012,12,31)-632</f>
        <v>40642</v>
      </c>
      <c r="C1602" s="9" t="s">
        <v>1686</v>
      </c>
      <c r="D1602">
        <v>10021396122</v>
      </c>
      <c r="E1602" t="s">
        <v>47</v>
      </c>
      <c r="F1602" t="s">
        <v>61</v>
      </c>
      <c r="G1602" t="s">
        <v>62</v>
      </c>
      <c r="H1602" t="s">
        <v>1369</v>
      </c>
      <c r="I1602" t="s">
        <v>1370</v>
      </c>
      <c r="J1602" t="s">
        <v>367</v>
      </c>
      <c r="K1602" s="3">
        <v>100117729798</v>
      </c>
      <c r="L1602" s="10">
        <v>40649</v>
      </c>
      <c r="M1602">
        <v>32.51</v>
      </c>
      <c r="N1602" s="11">
        <v>1</v>
      </c>
      <c r="O1602" s="12">
        <v>35.41</v>
      </c>
      <c r="P1602" s="12">
        <v>1.99</v>
      </c>
      <c r="Q1602" s="13">
        <v>-90.94</v>
      </c>
      <c r="R1602" s="36" t="s">
        <v>1051</v>
      </c>
      <c r="S1602" s="7">
        <f t="shared" si="131"/>
        <v>7</v>
      </c>
      <c r="T1602" s="15" t="str">
        <f>VLOOKUP(R1602,产品分类!$C$2:$D$1278,2,0)</f>
        <v>家具产品</v>
      </c>
    </row>
    <row r="1603" spans="1:20">
      <c r="A1603" s="8">
        <f>DATE(2012,12,31)-632</f>
        <v>40642</v>
      </c>
      <c r="B1603" s="8">
        <f>DATE(2012,12,31)-632</f>
        <v>40642</v>
      </c>
      <c r="C1603" s="9" t="s">
        <v>1686</v>
      </c>
      <c r="D1603">
        <v>10021422512</v>
      </c>
      <c r="E1603" t="s">
        <v>47</v>
      </c>
      <c r="F1603" t="s">
        <v>61</v>
      </c>
      <c r="G1603" t="s">
        <v>62</v>
      </c>
      <c r="H1603" t="s">
        <v>1369</v>
      </c>
      <c r="I1603" t="s">
        <v>1370</v>
      </c>
      <c r="J1603" t="s">
        <v>367</v>
      </c>
      <c r="K1603" s="3">
        <v>100817464062</v>
      </c>
      <c r="L1603" s="10">
        <v>40642</v>
      </c>
      <c r="M1603">
        <v>570.51</v>
      </c>
      <c r="N1603" s="11">
        <v>33</v>
      </c>
      <c r="O1603" s="12">
        <v>16.74</v>
      </c>
      <c r="P1603" s="12">
        <v>7.04</v>
      </c>
      <c r="Q1603" s="13">
        <v>-142.75</v>
      </c>
      <c r="R1603" s="36" t="s">
        <v>1687</v>
      </c>
      <c r="S1603" s="7">
        <f t="shared" ref="S1603:S1666" si="137">+L1603-B1603</f>
        <v>0</v>
      </c>
      <c r="T1603" s="15" t="str">
        <f>VLOOKUP(R1603,产品分类!$C$2:$D$1278,2,0)</f>
        <v>办公用品</v>
      </c>
    </row>
    <row r="1604" spans="1:20">
      <c r="A1604" s="8">
        <f>DATE(2012,12,31)-98</f>
        <v>41176</v>
      </c>
      <c r="B1604" s="8">
        <f>DATE(2012,12,31)-98</f>
        <v>41176</v>
      </c>
      <c r="C1604" s="9" t="s">
        <v>1688</v>
      </c>
      <c r="D1604">
        <v>10021417839</v>
      </c>
      <c r="E1604" t="s">
        <v>47</v>
      </c>
      <c r="F1604" t="s">
        <v>253</v>
      </c>
      <c r="G1604" t="s">
        <v>254</v>
      </c>
      <c r="H1604" t="s">
        <v>255</v>
      </c>
      <c r="I1604" t="s">
        <v>256</v>
      </c>
      <c r="J1604" t="s">
        <v>367</v>
      </c>
      <c r="K1604" s="3">
        <v>100718039315</v>
      </c>
      <c r="L1604" s="10">
        <v>41177</v>
      </c>
      <c r="M1604">
        <v>243.49</v>
      </c>
      <c r="N1604" s="11">
        <v>30</v>
      </c>
      <c r="O1604" s="12">
        <v>8.32</v>
      </c>
      <c r="P1604" s="12">
        <v>2.38</v>
      </c>
      <c r="Q1604" s="13">
        <v>-45.89</v>
      </c>
      <c r="R1604" s="36" t="s">
        <v>920</v>
      </c>
      <c r="S1604" s="7">
        <f t="shared" si="137"/>
        <v>1</v>
      </c>
      <c r="T1604" s="15" t="str">
        <f>VLOOKUP(R1604,产品分类!$C$2:$D$1278,2,0)</f>
        <v>家具产品</v>
      </c>
    </row>
    <row r="1605" spans="1:20">
      <c r="A1605" s="8">
        <f>DATE(2012,12,31)-98</f>
        <v>41176</v>
      </c>
      <c r="B1605" s="8">
        <f>DATE(2012,12,31)-98</f>
        <v>41176</v>
      </c>
      <c r="C1605" s="9" t="s">
        <v>1688</v>
      </c>
      <c r="D1605">
        <v>10021450687</v>
      </c>
      <c r="E1605" t="s">
        <v>47</v>
      </c>
      <c r="F1605" t="s">
        <v>61</v>
      </c>
      <c r="G1605" t="s">
        <v>62</v>
      </c>
      <c r="H1605" t="s">
        <v>1369</v>
      </c>
      <c r="I1605" t="s">
        <v>1370</v>
      </c>
      <c r="J1605" t="s">
        <v>367</v>
      </c>
      <c r="K1605" s="3">
        <v>100114494477</v>
      </c>
      <c r="L1605" s="10">
        <v>41178</v>
      </c>
      <c r="M1605">
        <v>1090.4</v>
      </c>
      <c r="N1605" s="11">
        <v>26</v>
      </c>
      <c r="O1605" s="12">
        <v>40.97</v>
      </c>
      <c r="P1605" s="12">
        <v>8.99</v>
      </c>
      <c r="Q1605" s="13">
        <v>146.24</v>
      </c>
      <c r="R1605" s="36" t="s">
        <v>983</v>
      </c>
      <c r="S1605" s="7">
        <f t="shared" si="137"/>
        <v>2</v>
      </c>
      <c r="T1605" s="15" t="str">
        <f>VLOOKUP(R1605,产品分类!$C$2:$D$1278,2,0)</f>
        <v>办公用品</v>
      </c>
    </row>
    <row r="1606" spans="1:20">
      <c r="A1606" s="8">
        <f>DATE(2012,12,31)-678</f>
        <v>40596</v>
      </c>
      <c r="B1606" s="8">
        <f>DATE(2012,12,31)-678</f>
        <v>40596</v>
      </c>
      <c r="C1606" s="9" t="s">
        <v>1689</v>
      </c>
      <c r="D1606">
        <v>10021441699</v>
      </c>
      <c r="E1606" t="s">
        <v>47</v>
      </c>
      <c r="F1606" t="s">
        <v>177</v>
      </c>
      <c r="G1606" t="s">
        <v>178</v>
      </c>
      <c r="H1606" t="s">
        <v>1292</v>
      </c>
      <c r="I1606" t="s">
        <v>1293</v>
      </c>
      <c r="J1606" t="s">
        <v>367</v>
      </c>
      <c r="K1606" s="3">
        <v>100428233174</v>
      </c>
      <c r="L1606" s="10">
        <v>40598</v>
      </c>
      <c r="M1606">
        <v>65.85</v>
      </c>
      <c r="N1606" s="11">
        <v>19</v>
      </c>
      <c r="O1606" s="12">
        <v>3.28</v>
      </c>
      <c r="P1606" s="12">
        <v>0.98</v>
      </c>
      <c r="Q1606" s="13">
        <v>3.9</v>
      </c>
      <c r="R1606" s="36" t="s">
        <v>1690</v>
      </c>
      <c r="S1606" s="7">
        <f t="shared" si="137"/>
        <v>2</v>
      </c>
      <c r="T1606" s="15" t="str">
        <f>VLOOKUP(R1606,产品分类!$C$2:$D$1278,2,0)</f>
        <v>数码电子</v>
      </c>
    </row>
    <row r="1607" spans="1:20">
      <c r="A1607" s="8">
        <f t="shared" ref="A1607:B1610" si="138">DATE(2012,12,31)-417</f>
        <v>40857</v>
      </c>
      <c r="B1607" s="8">
        <f t="shared" si="138"/>
        <v>40857</v>
      </c>
      <c r="C1607" s="9" t="s">
        <v>356</v>
      </c>
      <c r="D1607">
        <v>10021439937</v>
      </c>
      <c r="E1607" t="s">
        <v>47</v>
      </c>
      <c r="F1607" t="s">
        <v>122</v>
      </c>
      <c r="G1607" t="s">
        <v>123</v>
      </c>
      <c r="H1607" t="s">
        <v>124</v>
      </c>
      <c r="I1607" t="s">
        <v>125</v>
      </c>
      <c r="J1607" t="s">
        <v>367</v>
      </c>
      <c r="K1607" s="3">
        <v>100132559538</v>
      </c>
      <c r="L1607" s="10">
        <v>40858</v>
      </c>
      <c r="M1607">
        <v>1154.14</v>
      </c>
      <c r="N1607" s="11">
        <v>35</v>
      </c>
      <c r="O1607" s="12">
        <v>32.98</v>
      </c>
      <c r="P1607" s="12">
        <v>5.5</v>
      </c>
      <c r="Q1607" s="13">
        <v>-36</v>
      </c>
      <c r="R1607" s="36" t="s">
        <v>1040</v>
      </c>
      <c r="S1607" s="7">
        <f t="shared" si="137"/>
        <v>1</v>
      </c>
      <c r="T1607" s="15" t="str">
        <f>VLOOKUP(R1607,产品分类!$C$2:$D$1278,2,0)</f>
        <v>数码电子</v>
      </c>
    </row>
    <row r="1608" spans="1:20">
      <c r="A1608" s="8">
        <f t="shared" si="138"/>
        <v>40857</v>
      </c>
      <c r="B1608" s="8">
        <f t="shared" si="138"/>
        <v>40857</v>
      </c>
      <c r="C1608" s="9" t="s">
        <v>356</v>
      </c>
      <c r="D1608">
        <v>10021374753</v>
      </c>
      <c r="E1608" t="s">
        <v>47</v>
      </c>
      <c r="F1608" t="s">
        <v>97</v>
      </c>
      <c r="G1608" t="s">
        <v>98</v>
      </c>
      <c r="H1608" t="s">
        <v>99</v>
      </c>
      <c r="I1608" t="s">
        <v>98</v>
      </c>
      <c r="J1608" t="s">
        <v>367</v>
      </c>
      <c r="K1608" s="3">
        <v>100124303666</v>
      </c>
      <c r="L1608" s="10">
        <v>40858</v>
      </c>
      <c r="M1608">
        <v>223.82</v>
      </c>
      <c r="N1608" s="11">
        <v>37</v>
      </c>
      <c r="O1608" s="12">
        <v>5.98</v>
      </c>
      <c r="P1608" s="12">
        <v>10.39</v>
      </c>
      <c r="Q1608" s="13">
        <v>-249.11</v>
      </c>
      <c r="R1608" s="36" t="s">
        <v>1123</v>
      </c>
      <c r="S1608" s="7">
        <f t="shared" si="137"/>
        <v>1</v>
      </c>
      <c r="T1608" s="15" t="str">
        <f>VLOOKUP(R1608,产品分类!$C$2:$D$1278,2,0)</f>
        <v>数码电子</v>
      </c>
    </row>
    <row r="1609" spans="1:20">
      <c r="A1609" s="8">
        <f t="shared" si="138"/>
        <v>40857</v>
      </c>
      <c r="B1609" s="8">
        <f t="shared" si="138"/>
        <v>40857</v>
      </c>
      <c r="C1609" s="9" t="s">
        <v>356</v>
      </c>
      <c r="D1609">
        <v>10021266029</v>
      </c>
      <c r="E1609" t="s">
        <v>47</v>
      </c>
      <c r="F1609" t="s">
        <v>97</v>
      </c>
      <c r="G1609" t="s">
        <v>98</v>
      </c>
      <c r="H1609" t="s">
        <v>99</v>
      </c>
      <c r="I1609" t="s">
        <v>98</v>
      </c>
      <c r="J1609" t="s">
        <v>367</v>
      </c>
      <c r="K1609" s="3">
        <v>100331748999</v>
      </c>
      <c r="L1609" s="10">
        <v>40859</v>
      </c>
      <c r="M1609">
        <v>61.4635</v>
      </c>
      <c r="N1609" s="11">
        <v>1</v>
      </c>
      <c r="O1609" s="12">
        <v>65.99</v>
      </c>
      <c r="P1609" s="12">
        <v>8.99</v>
      </c>
      <c r="Q1609" s="13">
        <v>-261.349</v>
      </c>
      <c r="R1609" s="36" t="s">
        <v>335</v>
      </c>
      <c r="S1609" s="7">
        <f t="shared" si="137"/>
        <v>2</v>
      </c>
      <c r="T1609" s="15" t="str">
        <f>VLOOKUP(R1609,产品分类!$C$2:$D$1278,2,0)</f>
        <v>办公用品</v>
      </c>
    </row>
    <row r="1610" spans="1:20">
      <c r="A1610" s="8">
        <f t="shared" si="138"/>
        <v>40857</v>
      </c>
      <c r="B1610" s="8">
        <f t="shared" si="138"/>
        <v>40857</v>
      </c>
      <c r="C1610" s="9" t="s">
        <v>356</v>
      </c>
      <c r="D1610">
        <v>10021328409</v>
      </c>
      <c r="E1610" t="s">
        <v>47</v>
      </c>
      <c r="F1610" t="s">
        <v>72</v>
      </c>
      <c r="G1610" t="s">
        <v>73</v>
      </c>
      <c r="H1610" t="s">
        <v>1572</v>
      </c>
      <c r="I1610" t="s">
        <v>1573</v>
      </c>
      <c r="J1610" t="s">
        <v>367</v>
      </c>
      <c r="K1610" s="3">
        <v>100332782729</v>
      </c>
      <c r="L1610" s="10">
        <v>40859</v>
      </c>
      <c r="M1610">
        <v>122.09</v>
      </c>
      <c r="N1610" s="11">
        <v>25</v>
      </c>
      <c r="O1610" s="12">
        <v>5.18</v>
      </c>
      <c r="P1610" s="12">
        <v>2.04</v>
      </c>
      <c r="Q1610" s="13">
        <v>14.11</v>
      </c>
      <c r="R1610" s="36" t="s">
        <v>1522</v>
      </c>
      <c r="S1610" s="7">
        <f t="shared" si="137"/>
        <v>2</v>
      </c>
      <c r="T1610" s="15" t="str">
        <f>VLOOKUP(R1610,产品分类!$C$2:$D$1278,2,0)</f>
        <v>办公用品</v>
      </c>
    </row>
    <row r="1611" spans="1:20">
      <c r="A1611" s="8">
        <f>DATE(2012,12,31)-1214</f>
        <v>40060</v>
      </c>
      <c r="B1611" s="8">
        <f>DATE(2012,12,31)-1214</f>
        <v>40060</v>
      </c>
      <c r="C1611" s="9" t="s">
        <v>526</v>
      </c>
      <c r="D1611">
        <v>10021330795</v>
      </c>
      <c r="E1611" t="s">
        <v>47</v>
      </c>
      <c r="F1611" t="s">
        <v>114</v>
      </c>
      <c r="G1611" t="s">
        <v>115</v>
      </c>
      <c r="H1611" t="s">
        <v>1691</v>
      </c>
      <c r="I1611" t="s">
        <v>1692</v>
      </c>
      <c r="J1611" t="s">
        <v>367</v>
      </c>
      <c r="K1611" s="3">
        <v>100820697592</v>
      </c>
      <c r="L1611" s="10">
        <v>40062</v>
      </c>
      <c r="M1611">
        <v>7312.0315</v>
      </c>
      <c r="N1611" s="11">
        <v>50</v>
      </c>
      <c r="O1611" s="12">
        <v>175.99</v>
      </c>
      <c r="P1611" s="12">
        <v>8.99</v>
      </c>
      <c r="Q1611" s="13">
        <v>2031.507</v>
      </c>
      <c r="R1611" s="36" t="s">
        <v>1570</v>
      </c>
      <c r="S1611" s="7">
        <f t="shared" si="137"/>
        <v>2</v>
      </c>
      <c r="T1611" s="15" t="str">
        <f>VLOOKUP(R1611,产品分类!$C$2:$D$1278,2,0)</f>
        <v>办公用品</v>
      </c>
    </row>
    <row r="1612" spans="1:20">
      <c r="A1612" s="8">
        <f>DATE(2012,12,31)-911</f>
        <v>40363</v>
      </c>
      <c r="B1612" s="8">
        <f>DATE(2012,12,31)-911</f>
        <v>40363</v>
      </c>
      <c r="C1612" s="9" t="s">
        <v>158</v>
      </c>
      <c r="D1612">
        <v>10021398018</v>
      </c>
      <c r="E1612" t="s">
        <v>47</v>
      </c>
      <c r="F1612" t="s">
        <v>91</v>
      </c>
      <c r="G1612" t="s">
        <v>92</v>
      </c>
      <c r="H1612" t="s">
        <v>1412</v>
      </c>
      <c r="I1612" t="s">
        <v>1413</v>
      </c>
      <c r="J1612" t="s">
        <v>367</v>
      </c>
      <c r="K1612" s="3">
        <v>10092556011</v>
      </c>
      <c r="L1612" s="10">
        <v>40370</v>
      </c>
      <c r="M1612">
        <v>102.18</v>
      </c>
      <c r="N1612" s="11">
        <v>5</v>
      </c>
      <c r="O1612" s="12">
        <v>19.98</v>
      </c>
      <c r="P1612" s="12">
        <v>4</v>
      </c>
      <c r="Q1612" s="13">
        <v>-65.67</v>
      </c>
      <c r="R1612" s="36" t="s">
        <v>846</v>
      </c>
      <c r="S1612" s="7">
        <f t="shared" si="137"/>
        <v>7</v>
      </c>
      <c r="T1612" s="15" t="str">
        <f>VLOOKUP(R1612,产品分类!$C$2:$D$1278,2,0)</f>
        <v>数码电子</v>
      </c>
    </row>
    <row r="1613" spans="1:20">
      <c r="A1613" s="8">
        <f>DATE(2012,12,31)-328</f>
        <v>40946</v>
      </c>
      <c r="B1613" s="8">
        <f>DATE(2012,12,31)-328</f>
        <v>40946</v>
      </c>
      <c r="C1613" s="9" t="s">
        <v>1117</v>
      </c>
      <c r="D1613">
        <v>10021473711</v>
      </c>
      <c r="E1613" t="s">
        <v>47</v>
      </c>
      <c r="F1613" t="s">
        <v>91</v>
      </c>
      <c r="G1613" t="s">
        <v>92</v>
      </c>
      <c r="H1613" t="s">
        <v>1412</v>
      </c>
      <c r="I1613" t="s">
        <v>1413</v>
      </c>
      <c r="J1613" t="s">
        <v>367</v>
      </c>
      <c r="K1613" s="3">
        <v>100728731775</v>
      </c>
      <c r="L1613" s="10">
        <v>40946</v>
      </c>
      <c r="M1613">
        <v>1650.411</v>
      </c>
      <c r="N1613" s="11">
        <v>28</v>
      </c>
      <c r="O1613" s="12">
        <v>65.99</v>
      </c>
      <c r="P1613" s="12">
        <v>5.99</v>
      </c>
      <c r="Q1613" s="13">
        <v>335.079</v>
      </c>
      <c r="R1613" s="36" t="s">
        <v>1660</v>
      </c>
      <c r="S1613" s="7">
        <f t="shared" si="137"/>
        <v>0</v>
      </c>
      <c r="T1613" s="15" t="str">
        <f>VLOOKUP(R1613,产品分类!$C$2:$D$1278,2,0)</f>
        <v>办公用品</v>
      </c>
    </row>
    <row r="1614" spans="1:20">
      <c r="A1614" s="8">
        <f>DATE(2012,12,31)-157</f>
        <v>41117</v>
      </c>
      <c r="B1614" s="8">
        <f>DATE(2012,12,31)-157</f>
        <v>41117</v>
      </c>
      <c r="C1614" s="9" t="s">
        <v>1621</v>
      </c>
      <c r="D1614">
        <v>10021475140</v>
      </c>
      <c r="E1614" t="s">
        <v>47</v>
      </c>
      <c r="F1614" t="s">
        <v>55</v>
      </c>
      <c r="G1614" t="s">
        <v>56</v>
      </c>
      <c r="H1614" t="s">
        <v>1658</v>
      </c>
      <c r="I1614" t="s">
        <v>1659</v>
      </c>
      <c r="J1614" t="s">
        <v>367</v>
      </c>
      <c r="K1614" s="3">
        <v>10035990359</v>
      </c>
      <c r="L1614" s="10">
        <v>41119</v>
      </c>
      <c r="M1614">
        <v>1173.5</v>
      </c>
      <c r="N1614" s="11">
        <v>8</v>
      </c>
      <c r="O1614" s="12">
        <v>140.81</v>
      </c>
      <c r="P1614" s="12">
        <v>24.49</v>
      </c>
      <c r="Q1614" s="13">
        <v>53.87</v>
      </c>
      <c r="R1614" s="36" t="s">
        <v>1469</v>
      </c>
      <c r="S1614" s="7">
        <f t="shared" si="137"/>
        <v>2</v>
      </c>
      <c r="T1614" s="15" t="str">
        <f>VLOOKUP(R1614,产品分类!$C$2:$D$1278,2,0)</f>
        <v>办公用品</v>
      </c>
    </row>
    <row r="1615" spans="1:20">
      <c r="A1615" s="8">
        <f>DATE(2012,12,31)-1434</f>
        <v>39840</v>
      </c>
      <c r="B1615" s="8">
        <f>DATE(2012,12,31)-1434</f>
        <v>39840</v>
      </c>
      <c r="C1615" s="9" t="s">
        <v>143</v>
      </c>
      <c r="D1615">
        <v>10021393462</v>
      </c>
      <c r="E1615" t="s">
        <v>47</v>
      </c>
      <c r="F1615" t="s">
        <v>122</v>
      </c>
      <c r="G1615" t="s">
        <v>123</v>
      </c>
      <c r="H1615" t="s">
        <v>124</v>
      </c>
      <c r="I1615" t="s">
        <v>125</v>
      </c>
      <c r="J1615" t="s">
        <v>367</v>
      </c>
      <c r="K1615" s="3">
        <v>100329164549</v>
      </c>
      <c r="L1615" s="10">
        <v>39841</v>
      </c>
      <c r="M1615">
        <v>6121.1985</v>
      </c>
      <c r="N1615" s="11">
        <v>38</v>
      </c>
      <c r="O1615" s="12">
        <v>205.99</v>
      </c>
      <c r="P1615" s="12">
        <v>2.5</v>
      </c>
      <c r="Q1615" s="13">
        <v>1312.344</v>
      </c>
      <c r="R1615" s="36" t="s">
        <v>1613</v>
      </c>
      <c r="S1615" s="7">
        <f t="shared" si="137"/>
        <v>1</v>
      </c>
      <c r="T1615" s="15" t="str">
        <f>VLOOKUP(R1615,产品分类!$C$2:$D$1278,2,0)</f>
        <v>数码电子</v>
      </c>
    </row>
    <row r="1616" spans="1:20">
      <c r="A1616" s="8">
        <f>DATE(2012,12,31)-372</f>
        <v>40902</v>
      </c>
      <c r="B1616" s="8">
        <f>DATE(2012,12,31)-372</f>
        <v>40902</v>
      </c>
      <c r="C1616" s="9" t="s">
        <v>225</v>
      </c>
      <c r="D1616">
        <v>10021307665</v>
      </c>
      <c r="E1616" t="s">
        <v>47</v>
      </c>
      <c r="F1616" t="s">
        <v>91</v>
      </c>
      <c r="G1616" t="s">
        <v>92</v>
      </c>
      <c r="H1616" t="s">
        <v>1412</v>
      </c>
      <c r="I1616" t="s">
        <v>1413</v>
      </c>
      <c r="J1616" t="s">
        <v>367</v>
      </c>
      <c r="K1616" s="3">
        <v>100932509381</v>
      </c>
      <c r="L1616" s="10">
        <v>40902</v>
      </c>
      <c r="M1616">
        <v>188.93</v>
      </c>
      <c r="N1616" s="11">
        <v>26</v>
      </c>
      <c r="O1616" s="12">
        <v>7.28</v>
      </c>
      <c r="P1616" s="12">
        <v>1.77</v>
      </c>
      <c r="Q1616" s="13">
        <v>58.32</v>
      </c>
      <c r="R1616" s="36" t="s">
        <v>1693</v>
      </c>
      <c r="S1616" s="7">
        <f t="shared" si="137"/>
        <v>0</v>
      </c>
      <c r="T1616" s="15" t="str">
        <f>VLOOKUP(R1616,产品分类!$C$2:$D$1278,2,0)</f>
        <v>办公用品</v>
      </c>
    </row>
    <row r="1617" spans="1:20">
      <c r="A1617" s="8">
        <f>DATE(2012,12,31)-1345</f>
        <v>39929</v>
      </c>
      <c r="B1617" s="8">
        <f>DATE(2012,12,31)-1345</f>
        <v>39929</v>
      </c>
      <c r="C1617" s="9" t="s">
        <v>446</v>
      </c>
      <c r="D1617">
        <v>10021307738</v>
      </c>
      <c r="E1617" t="s">
        <v>47</v>
      </c>
      <c r="F1617" t="s">
        <v>91</v>
      </c>
      <c r="G1617" t="s">
        <v>92</v>
      </c>
      <c r="H1617" t="s">
        <v>1412</v>
      </c>
      <c r="I1617" t="s">
        <v>1413</v>
      </c>
      <c r="J1617" t="s">
        <v>367</v>
      </c>
      <c r="K1617" s="3">
        <v>10016277657</v>
      </c>
      <c r="L1617" s="10">
        <v>39931</v>
      </c>
      <c r="M1617">
        <v>38.96</v>
      </c>
      <c r="N1617" s="11">
        <v>9</v>
      </c>
      <c r="O1617" s="12">
        <v>4.28</v>
      </c>
      <c r="P1617" s="12">
        <v>0.94</v>
      </c>
      <c r="Q1617" s="13">
        <v>0.369999999999999</v>
      </c>
      <c r="R1617" s="36" t="s">
        <v>637</v>
      </c>
      <c r="S1617" s="7">
        <f t="shared" si="137"/>
        <v>2</v>
      </c>
      <c r="T1617" s="15" t="str">
        <f>VLOOKUP(R1617,产品分类!$C$2:$D$1278,2,0)</f>
        <v>数码电子</v>
      </c>
    </row>
    <row r="1618" spans="1:20">
      <c r="A1618" s="8">
        <f>DATE(2012,12,31)-1245</f>
        <v>40029</v>
      </c>
      <c r="B1618" s="8">
        <f>DATE(2012,12,31)-1245</f>
        <v>40029</v>
      </c>
      <c r="C1618" s="9" t="s">
        <v>976</v>
      </c>
      <c r="D1618">
        <v>10021372731</v>
      </c>
      <c r="E1618" t="s">
        <v>47</v>
      </c>
      <c r="F1618" t="s">
        <v>304</v>
      </c>
      <c r="G1618" t="s">
        <v>305</v>
      </c>
      <c r="H1618" t="s">
        <v>1550</v>
      </c>
      <c r="I1618" t="s">
        <v>1551</v>
      </c>
      <c r="J1618" t="s">
        <v>367</v>
      </c>
      <c r="K1618" s="3">
        <v>10081868142</v>
      </c>
      <c r="L1618" s="10">
        <v>40030</v>
      </c>
      <c r="M1618">
        <v>3501.79</v>
      </c>
      <c r="N1618" s="11">
        <v>1</v>
      </c>
      <c r="O1618" s="12">
        <v>3502.14</v>
      </c>
      <c r="P1618" s="12">
        <v>8.73</v>
      </c>
      <c r="Q1618" s="13">
        <v>-7838.3346</v>
      </c>
      <c r="R1618" s="36" t="s">
        <v>650</v>
      </c>
      <c r="S1618" s="7">
        <f t="shared" si="137"/>
        <v>1</v>
      </c>
      <c r="T1618" s="15" t="str">
        <f>VLOOKUP(R1618,产品分类!$C$2:$D$1278,2,0)</f>
        <v>家具产品</v>
      </c>
    </row>
    <row r="1619" spans="1:20">
      <c r="A1619" s="8">
        <f>DATE(2012,12,31)-1245</f>
        <v>40029</v>
      </c>
      <c r="B1619" s="8">
        <f>DATE(2012,12,31)-1245</f>
        <v>40029</v>
      </c>
      <c r="C1619" s="9" t="s">
        <v>976</v>
      </c>
      <c r="D1619">
        <v>10021321709</v>
      </c>
      <c r="E1619" t="s">
        <v>47</v>
      </c>
      <c r="F1619" t="s">
        <v>171</v>
      </c>
      <c r="G1619" t="s">
        <v>172</v>
      </c>
      <c r="H1619" t="s">
        <v>1587</v>
      </c>
      <c r="I1619" t="s">
        <v>1588</v>
      </c>
      <c r="J1619" t="s">
        <v>367</v>
      </c>
      <c r="K1619" s="3">
        <v>100118510357</v>
      </c>
      <c r="L1619" s="10">
        <v>40030</v>
      </c>
      <c r="M1619">
        <v>141.83</v>
      </c>
      <c r="N1619" s="11">
        <v>9</v>
      </c>
      <c r="O1619" s="12">
        <v>15.73</v>
      </c>
      <c r="P1619" s="12">
        <v>7.42</v>
      </c>
      <c r="Q1619" s="13">
        <v>-35.69</v>
      </c>
      <c r="R1619" s="36" t="s">
        <v>1579</v>
      </c>
      <c r="S1619" s="7">
        <f t="shared" si="137"/>
        <v>1</v>
      </c>
      <c r="T1619" s="15" t="str">
        <f>VLOOKUP(R1619,产品分类!$C$2:$D$1278,2,0)</f>
        <v>数码电子</v>
      </c>
    </row>
    <row r="1620" spans="1:20">
      <c r="A1620" s="8">
        <f t="shared" ref="A1620:B1622" si="139">DATE(2012,12,31)-695</f>
        <v>40579</v>
      </c>
      <c r="B1620" s="8">
        <f t="shared" si="139"/>
        <v>40579</v>
      </c>
      <c r="C1620" s="9" t="s">
        <v>111</v>
      </c>
      <c r="D1620">
        <v>10021326392</v>
      </c>
      <c r="E1620" t="s">
        <v>47</v>
      </c>
      <c r="F1620" t="s">
        <v>177</v>
      </c>
      <c r="G1620" t="s">
        <v>178</v>
      </c>
      <c r="H1620" t="s">
        <v>1292</v>
      </c>
      <c r="I1620" t="s">
        <v>1293</v>
      </c>
      <c r="J1620" t="s">
        <v>367</v>
      </c>
      <c r="K1620" s="3">
        <v>10079537655</v>
      </c>
      <c r="L1620" s="10">
        <v>40580</v>
      </c>
      <c r="M1620">
        <v>1566.8</v>
      </c>
      <c r="N1620" s="11">
        <v>3</v>
      </c>
      <c r="O1620" s="12">
        <v>500.97</v>
      </c>
      <c r="P1620" s="12">
        <v>69.3</v>
      </c>
      <c r="Q1620" s="13">
        <v>-1044.9222</v>
      </c>
      <c r="R1620" s="36" t="s">
        <v>1694</v>
      </c>
      <c r="S1620" s="7">
        <f t="shared" si="137"/>
        <v>1</v>
      </c>
      <c r="T1620" s="15" t="str">
        <f>VLOOKUP(R1620,产品分类!$C$2:$D$1278,2,0)</f>
        <v>家具产品</v>
      </c>
    </row>
    <row r="1621" spans="1:20">
      <c r="A1621" s="8">
        <f t="shared" si="139"/>
        <v>40579</v>
      </c>
      <c r="B1621" s="8">
        <f t="shared" si="139"/>
        <v>40579</v>
      </c>
      <c r="C1621" s="9" t="s">
        <v>111</v>
      </c>
      <c r="D1621">
        <v>10021392943</v>
      </c>
      <c r="E1621" t="s">
        <v>47</v>
      </c>
      <c r="F1621" t="s">
        <v>91</v>
      </c>
      <c r="G1621" t="s">
        <v>92</v>
      </c>
      <c r="H1621" t="s">
        <v>1412</v>
      </c>
      <c r="I1621" t="s">
        <v>1413</v>
      </c>
      <c r="J1621" t="s">
        <v>367</v>
      </c>
      <c r="K1621" s="3">
        <v>100132653047</v>
      </c>
      <c r="L1621" s="10">
        <v>40579</v>
      </c>
      <c r="M1621">
        <v>616.01</v>
      </c>
      <c r="N1621" s="11">
        <v>30</v>
      </c>
      <c r="O1621" s="12">
        <v>21.38</v>
      </c>
      <c r="P1621" s="12">
        <v>8.99</v>
      </c>
      <c r="Q1621" s="13">
        <v>-74.88</v>
      </c>
      <c r="R1621" s="36" t="s">
        <v>993</v>
      </c>
      <c r="S1621" s="7">
        <f t="shared" si="137"/>
        <v>0</v>
      </c>
      <c r="T1621" s="15" t="str">
        <f>VLOOKUP(R1621,产品分类!$C$2:$D$1278,2,0)</f>
        <v>数码电子</v>
      </c>
    </row>
    <row r="1622" spans="1:20">
      <c r="A1622" s="8">
        <f t="shared" si="139"/>
        <v>40579</v>
      </c>
      <c r="B1622" s="8">
        <f t="shared" si="139"/>
        <v>40579</v>
      </c>
      <c r="C1622" s="9" t="s">
        <v>111</v>
      </c>
      <c r="D1622">
        <v>10021360122</v>
      </c>
      <c r="E1622" t="s">
        <v>47</v>
      </c>
      <c r="F1622" t="s">
        <v>61</v>
      </c>
      <c r="G1622" t="s">
        <v>62</v>
      </c>
      <c r="H1622" t="s">
        <v>1369</v>
      </c>
      <c r="I1622" t="s">
        <v>1370</v>
      </c>
      <c r="J1622" t="s">
        <v>367</v>
      </c>
      <c r="K1622" s="3">
        <v>100327761269</v>
      </c>
      <c r="L1622" s="10">
        <v>40579</v>
      </c>
      <c r="M1622">
        <v>438.6085</v>
      </c>
      <c r="N1622" s="11">
        <v>17</v>
      </c>
      <c r="O1622" s="12">
        <v>28.99</v>
      </c>
      <c r="P1622" s="12">
        <v>8.59</v>
      </c>
      <c r="Q1622" s="13">
        <v>-56.045</v>
      </c>
      <c r="R1622" s="36" t="s">
        <v>1695</v>
      </c>
      <c r="S1622" s="7">
        <f t="shared" si="137"/>
        <v>0</v>
      </c>
      <c r="T1622" s="15" t="str">
        <f>VLOOKUP(R1622,产品分类!$C$2:$D$1278,2,0)</f>
        <v>办公用品</v>
      </c>
    </row>
    <row r="1623" spans="1:20">
      <c r="A1623" s="8">
        <f>DATE(2012,12,31)-165</f>
        <v>41109</v>
      </c>
      <c r="B1623" s="8">
        <f>DATE(2012,12,31)-165</f>
        <v>41109</v>
      </c>
      <c r="C1623" s="9" t="s">
        <v>1696</v>
      </c>
      <c r="D1623">
        <v>10021457894</v>
      </c>
      <c r="E1623" t="s">
        <v>47</v>
      </c>
      <c r="F1623" t="s">
        <v>61</v>
      </c>
      <c r="G1623" t="s">
        <v>62</v>
      </c>
      <c r="H1623" t="s">
        <v>1369</v>
      </c>
      <c r="I1623" t="s">
        <v>1370</v>
      </c>
      <c r="J1623" t="s">
        <v>367</v>
      </c>
      <c r="K1623" s="3">
        <v>100131218898</v>
      </c>
      <c r="L1623" s="10">
        <v>41110</v>
      </c>
      <c r="M1623">
        <v>686.27</v>
      </c>
      <c r="N1623" s="11">
        <v>17</v>
      </c>
      <c r="O1623" s="12">
        <v>40.48</v>
      </c>
      <c r="P1623" s="12">
        <v>19.99</v>
      </c>
      <c r="Q1623" s="13">
        <v>-345.36</v>
      </c>
      <c r="R1623" s="36" t="s">
        <v>1312</v>
      </c>
      <c r="S1623" s="7">
        <f t="shared" si="137"/>
        <v>1</v>
      </c>
      <c r="T1623" s="15" t="str">
        <f>VLOOKUP(R1623,产品分类!$C$2:$D$1278,2,0)</f>
        <v>办公用品</v>
      </c>
    </row>
    <row r="1624" spans="1:20">
      <c r="A1624" s="8">
        <f>DATE(2012,12,31)-1040</f>
        <v>40234</v>
      </c>
      <c r="B1624" s="8">
        <f>DATE(2012,12,31)-1040</f>
        <v>40234</v>
      </c>
      <c r="C1624" s="9" t="s">
        <v>792</v>
      </c>
      <c r="D1624">
        <v>10021408224</v>
      </c>
      <c r="E1624" t="s">
        <v>47</v>
      </c>
      <c r="F1624" t="s">
        <v>55</v>
      </c>
      <c r="G1624" t="s">
        <v>56</v>
      </c>
      <c r="H1624" t="s">
        <v>1658</v>
      </c>
      <c r="I1624" t="s">
        <v>1659</v>
      </c>
      <c r="J1624" t="s">
        <v>367</v>
      </c>
      <c r="K1624" s="3">
        <v>100310478839</v>
      </c>
      <c r="L1624" s="10">
        <v>40234</v>
      </c>
      <c r="M1624">
        <v>315.28</v>
      </c>
      <c r="N1624" s="11">
        <v>3</v>
      </c>
      <c r="O1624" s="12">
        <v>99.99</v>
      </c>
      <c r="P1624" s="12">
        <v>19.99</v>
      </c>
      <c r="Q1624" s="13">
        <v>-261.5481</v>
      </c>
      <c r="R1624" s="36" t="s">
        <v>1379</v>
      </c>
      <c r="S1624" s="7">
        <f t="shared" si="137"/>
        <v>0</v>
      </c>
      <c r="T1624" s="15" t="str">
        <f>VLOOKUP(R1624,产品分类!$C$2:$D$1278,2,0)</f>
        <v>家具产品</v>
      </c>
    </row>
    <row r="1625" spans="1:20">
      <c r="A1625" s="8">
        <f>DATE(2012,12,31)-1307</f>
        <v>39967</v>
      </c>
      <c r="B1625" s="8">
        <f>DATE(2012,12,31)-1307</f>
        <v>39967</v>
      </c>
      <c r="C1625" s="9" t="s">
        <v>956</v>
      </c>
      <c r="D1625">
        <v>10021253084</v>
      </c>
      <c r="E1625" t="s">
        <v>47</v>
      </c>
      <c r="F1625" t="s">
        <v>152</v>
      </c>
      <c r="G1625" t="s">
        <v>153</v>
      </c>
      <c r="H1625" t="s">
        <v>1640</v>
      </c>
      <c r="I1625" t="s">
        <v>1641</v>
      </c>
      <c r="J1625" t="s">
        <v>367</v>
      </c>
      <c r="K1625" s="3">
        <v>100317716549</v>
      </c>
      <c r="L1625" s="10">
        <v>39967</v>
      </c>
      <c r="M1625">
        <v>3503.12</v>
      </c>
      <c r="N1625" s="11">
        <v>23</v>
      </c>
      <c r="O1625" s="12">
        <v>145.98</v>
      </c>
      <c r="P1625" s="12">
        <v>46.2</v>
      </c>
      <c r="Q1625" s="13">
        <v>-168.14</v>
      </c>
      <c r="R1625" s="36" t="s">
        <v>955</v>
      </c>
      <c r="S1625" s="7">
        <f t="shared" si="137"/>
        <v>0</v>
      </c>
      <c r="T1625" s="15" t="str">
        <f>VLOOKUP(R1625,产品分类!$C$2:$D$1278,2,0)</f>
        <v>办公用品</v>
      </c>
    </row>
    <row r="1626" spans="1:20">
      <c r="A1626" s="8">
        <f>DATE(2012,12,31)-311</f>
        <v>40963</v>
      </c>
      <c r="B1626" s="8">
        <f>DATE(2012,12,31)-311</f>
        <v>40963</v>
      </c>
      <c r="C1626" s="9" t="s">
        <v>835</v>
      </c>
      <c r="D1626">
        <v>10021249038</v>
      </c>
      <c r="E1626" t="s">
        <v>47</v>
      </c>
      <c r="F1626" t="s">
        <v>48</v>
      </c>
      <c r="G1626" t="s">
        <v>49</v>
      </c>
      <c r="H1626" t="s">
        <v>1433</v>
      </c>
      <c r="I1626" t="s">
        <v>1434</v>
      </c>
      <c r="J1626" t="s">
        <v>367</v>
      </c>
      <c r="K1626" s="3">
        <v>10019095647</v>
      </c>
      <c r="L1626" s="10">
        <v>40963</v>
      </c>
      <c r="M1626">
        <v>57.24</v>
      </c>
      <c r="N1626" s="11">
        <v>40</v>
      </c>
      <c r="O1626" s="12">
        <v>1.26</v>
      </c>
      <c r="P1626" s="12">
        <v>0.7</v>
      </c>
      <c r="Q1626" s="13">
        <v>-14.1</v>
      </c>
      <c r="R1626" s="36" t="s">
        <v>339</v>
      </c>
      <c r="S1626" s="7">
        <f t="shared" si="137"/>
        <v>0</v>
      </c>
      <c r="T1626" s="15" t="str">
        <f>VLOOKUP(R1626,产品分类!$C$2:$D$1278,2,0)</f>
        <v>数码电子</v>
      </c>
    </row>
    <row r="1627" spans="1:20">
      <c r="A1627" s="8">
        <f>DATE(2012,12,31)-1102</f>
        <v>40172</v>
      </c>
      <c r="B1627" s="8">
        <f>DATE(2012,12,31)-1102</f>
        <v>40172</v>
      </c>
      <c r="C1627" s="9" t="s">
        <v>632</v>
      </c>
      <c r="D1627">
        <v>10021420879</v>
      </c>
      <c r="E1627" t="s">
        <v>47</v>
      </c>
      <c r="F1627" t="s">
        <v>48</v>
      </c>
      <c r="G1627" t="s">
        <v>49</v>
      </c>
      <c r="H1627" t="s">
        <v>1433</v>
      </c>
      <c r="I1627" t="s">
        <v>1434</v>
      </c>
      <c r="J1627" t="s">
        <v>367</v>
      </c>
      <c r="K1627" s="3">
        <v>100725235175</v>
      </c>
      <c r="L1627" s="10">
        <v>40179</v>
      </c>
      <c r="M1627">
        <v>651.45</v>
      </c>
      <c r="N1627" s="11">
        <v>39</v>
      </c>
      <c r="O1627" s="12">
        <v>17.7</v>
      </c>
      <c r="P1627" s="12">
        <v>9.47</v>
      </c>
      <c r="Q1627" s="13">
        <v>-160.56</v>
      </c>
      <c r="R1627" s="36" t="s">
        <v>290</v>
      </c>
      <c r="S1627" s="7">
        <f t="shared" si="137"/>
        <v>7</v>
      </c>
      <c r="T1627" s="15" t="str">
        <f>VLOOKUP(R1627,产品分类!$C$2:$D$1278,2,0)</f>
        <v>办公用品</v>
      </c>
    </row>
    <row r="1628" spans="1:20">
      <c r="A1628" s="16">
        <f>DATE(2012,12,31)-916</f>
        <v>40358</v>
      </c>
      <c r="B1628" s="16">
        <f>DATE(2012,12,31)-916</f>
        <v>40358</v>
      </c>
      <c r="C1628" s="9" t="s">
        <v>845</v>
      </c>
      <c r="D1628">
        <v>10021446314</v>
      </c>
      <c r="E1628" t="s">
        <v>47</v>
      </c>
      <c r="F1628" t="s">
        <v>152</v>
      </c>
      <c r="G1628" t="s">
        <v>153</v>
      </c>
      <c r="H1628" t="s">
        <v>1640</v>
      </c>
      <c r="I1628" t="s">
        <v>1641</v>
      </c>
      <c r="J1628" t="s">
        <v>367</v>
      </c>
      <c r="K1628" s="3">
        <v>100418048054</v>
      </c>
      <c r="L1628" s="10">
        <v>40360</v>
      </c>
      <c r="M1628">
        <v>311.1</v>
      </c>
      <c r="N1628" s="17">
        <v>45</v>
      </c>
      <c r="O1628" s="5">
        <v>6.88</v>
      </c>
      <c r="P1628" s="5">
        <v>2</v>
      </c>
      <c r="Q1628" s="6">
        <v>86.6</v>
      </c>
      <c r="R1628" s="37" t="s">
        <v>383</v>
      </c>
      <c r="S1628" s="7">
        <f t="shared" si="137"/>
        <v>2</v>
      </c>
      <c r="T1628" s="15" t="str">
        <f>VLOOKUP(R1628,产品分类!$C$2:$D$1278,2,0)</f>
        <v>办公用品</v>
      </c>
    </row>
    <row r="1629" spans="1:20">
      <c r="A1629" s="8">
        <f>DATE(2012,12,31)-916</f>
        <v>40358</v>
      </c>
      <c r="B1629" s="8">
        <f>DATE(2012,12,31)-916</f>
        <v>40358</v>
      </c>
      <c r="C1629" s="9" t="s">
        <v>845</v>
      </c>
      <c r="D1629">
        <v>10021254011</v>
      </c>
      <c r="E1629" t="s">
        <v>47</v>
      </c>
      <c r="F1629" t="s">
        <v>66</v>
      </c>
      <c r="G1629" t="s">
        <v>67</v>
      </c>
      <c r="H1629" t="s">
        <v>1435</v>
      </c>
      <c r="I1629" t="s">
        <v>1436</v>
      </c>
      <c r="J1629" t="s">
        <v>367</v>
      </c>
      <c r="K1629" s="3">
        <v>100821277182</v>
      </c>
      <c r="L1629" s="10">
        <v>40359</v>
      </c>
      <c r="M1629">
        <v>452.93</v>
      </c>
      <c r="N1629" s="11">
        <v>43</v>
      </c>
      <c r="O1629" s="12">
        <v>10.97</v>
      </c>
      <c r="P1629" s="12">
        <v>6.5</v>
      </c>
      <c r="Q1629" s="13">
        <v>-172.34</v>
      </c>
      <c r="R1629" s="36" t="s">
        <v>381</v>
      </c>
      <c r="S1629" s="7">
        <f t="shared" si="137"/>
        <v>1</v>
      </c>
      <c r="T1629" s="15" t="str">
        <f>VLOOKUP(R1629,产品分类!$C$2:$D$1278,2,0)</f>
        <v>数码电子</v>
      </c>
    </row>
    <row r="1630" spans="1:20">
      <c r="A1630" s="8">
        <f>DATE(2012,12,31)-832</f>
        <v>40442</v>
      </c>
      <c r="B1630" s="8">
        <f>DATE(2012,12,31)-832</f>
        <v>40442</v>
      </c>
      <c r="C1630" s="9" t="s">
        <v>868</v>
      </c>
      <c r="D1630">
        <v>10021386082</v>
      </c>
      <c r="E1630" t="s">
        <v>47</v>
      </c>
      <c r="F1630" t="s">
        <v>66</v>
      </c>
      <c r="G1630" t="s">
        <v>67</v>
      </c>
      <c r="H1630" t="s">
        <v>1435</v>
      </c>
      <c r="I1630" t="s">
        <v>1436</v>
      </c>
      <c r="J1630" t="s">
        <v>367</v>
      </c>
      <c r="K1630" s="3">
        <v>10095443301</v>
      </c>
      <c r="L1630" s="10">
        <v>40443</v>
      </c>
      <c r="M1630">
        <v>54.23</v>
      </c>
      <c r="N1630" s="11">
        <v>7</v>
      </c>
      <c r="O1630" s="12">
        <v>7.28</v>
      </c>
      <c r="P1630" s="12">
        <v>5.47</v>
      </c>
      <c r="Q1630" s="13">
        <v>-16.46</v>
      </c>
      <c r="R1630" s="36" t="s">
        <v>1697</v>
      </c>
      <c r="S1630" s="7">
        <f t="shared" si="137"/>
        <v>1</v>
      </c>
      <c r="T1630" s="15" t="str">
        <f>VLOOKUP(R1630,产品分类!$C$2:$D$1278,2,0)</f>
        <v>办公用品</v>
      </c>
    </row>
    <row r="1631" spans="1:20">
      <c r="A1631" s="8">
        <f>DATE(2012,12,31)-156</f>
        <v>41118</v>
      </c>
      <c r="B1631" s="8">
        <f>DATE(2012,12,31)-156</f>
        <v>41118</v>
      </c>
      <c r="C1631" s="9" t="s">
        <v>1698</v>
      </c>
      <c r="D1631">
        <v>10021447244</v>
      </c>
      <c r="E1631" t="s">
        <v>47</v>
      </c>
      <c r="F1631" t="s">
        <v>152</v>
      </c>
      <c r="G1631" t="s">
        <v>153</v>
      </c>
      <c r="H1631" t="s">
        <v>1640</v>
      </c>
      <c r="I1631" t="s">
        <v>1641</v>
      </c>
      <c r="J1631" t="s">
        <v>367</v>
      </c>
      <c r="K1631" s="3">
        <v>100422947943</v>
      </c>
      <c r="L1631" s="10">
        <v>41123</v>
      </c>
      <c r="M1631">
        <v>247.21</v>
      </c>
      <c r="N1631" s="11">
        <v>46</v>
      </c>
      <c r="O1631" s="12">
        <v>4.98</v>
      </c>
      <c r="P1631" s="12">
        <v>4.75</v>
      </c>
      <c r="Q1631" s="13">
        <v>-63.72</v>
      </c>
      <c r="R1631" s="36" t="s">
        <v>563</v>
      </c>
      <c r="S1631" s="7">
        <f t="shared" si="137"/>
        <v>5</v>
      </c>
      <c r="T1631" s="15" t="str">
        <f>VLOOKUP(R1631,产品分类!$C$2:$D$1278,2,0)</f>
        <v>家具产品</v>
      </c>
    </row>
    <row r="1632" spans="1:20">
      <c r="A1632" s="8">
        <f>DATE(2012,12,31)-156</f>
        <v>41118</v>
      </c>
      <c r="B1632" s="8">
        <f>DATE(2012,12,31)-156</f>
        <v>41118</v>
      </c>
      <c r="C1632" s="9" t="s">
        <v>1698</v>
      </c>
      <c r="D1632">
        <v>10021337209</v>
      </c>
      <c r="E1632" t="s">
        <v>47</v>
      </c>
      <c r="F1632" t="s">
        <v>66</v>
      </c>
      <c r="G1632" t="s">
        <v>67</v>
      </c>
      <c r="H1632" t="s">
        <v>1435</v>
      </c>
      <c r="I1632" t="s">
        <v>1436</v>
      </c>
      <c r="J1632" t="s">
        <v>367</v>
      </c>
      <c r="K1632" s="3">
        <v>100921447011</v>
      </c>
      <c r="L1632" s="10">
        <v>41125</v>
      </c>
      <c r="M1632">
        <v>1541.781</v>
      </c>
      <c r="N1632" s="11">
        <v>27</v>
      </c>
      <c r="O1632" s="12">
        <v>66.99</v>
      </c>
      <c r="P1632" s="12">
        <v>13.99</v>
      </c>
      <c r="Q1632" s="13">
        <v>14.346</v>
      </c>
      <c r="R1632" s="36" t="s">
        <v>1699</v>
      </c>
      <c r="S1632" s="7">
        <f t="shared" si="137"/>
        <v>7</v>
      </c>
      <c r="T1632" s="15" t="str">
        <f>VLOOKUP(R1632,产品分类!$C$2:$D$1278,2,0)</f>
        <v>办公用品</v>
      </c>
    </row>
    <row r="1633" spans="1:20">
      <c r="A1633" s="8">
        <f>DATE(2012,12,31)-153</f>
        <v>41121</v>
      </c>
      <c r="B1633" s="8">
        <f>DATE(2012,12,31)-153</f>
        <v>41121</v>
      </c>
      <c r="C1633" s="9" t="s">
        <v>802</v>
      </c>
      <c r="D1633">
        <v>10021449651</v>
      </c>
      <c r="E1633" t="s">
        <v>47</v>
      </c>
      <c r="F1633" t="s">
        <v>78</v>
      </c>
      <c r="G1633" t="s">
        <v>79</v>
      </c>
      <c r="H1633" t="s">
        <v>1654</v>
      </c>
      <c r="I1633" t="s">
        <v>1655</v>
      </c>
      <c r="J1633" t="s">
        <v>367</v>
      </c>
      <c r="K1633" s="3">
        <v>100913150641</v>
      </c>
      <c r="L1633" s="10">
        <v>41122</v>
      </c>
      <c r="M1633">
        <v>148.344</v>
      </c>
      <c r="N1633" s="11">
        <v>1</v>
      </c>
      <c r="O1633" s="12">
        <v>150.98</v>
      </c>
      <c r="P1633" s="12">
        <v>39.25</v>
      </c>
      <c r="Q1633" s="13">
        <v>25.20675</v>
      </c>
      <c r="R1633" s="36" t="s">
        <v>986</v>
      </c>
      <c r="S1633" s="7">
        <f t="shared" si="137"/>
        <v>1</v>
      </c>
      <c r="T1633" s="15" t="str">
        <f>VLOOKUP(R1633,产品分类!$C$2:$D$1278,2,0)</f>
        <v>办公用品</v>
      </c>
    </row>
    <row r="1634" spans="1:20">
      <c r="A1634" s="8">
        <f>DATE(2012,12,31)-476</f>
        <v>40798</v>
      </c>
      <c r="B1634" s="8">
        <f>DATE(2012,12,31)-476</f>
        <v>40798</v>
      </c>
      <c r="C1634" s="9" t="s">
        <v>1700</v>
      </c>
      <c r="D1634">
        <v>10021340296</v>
      </c>
      <c r="E1634" t="s">
        <v>47</v>
      </c>
      <c r="F1634" t="s">
        <v>72</v>
      </c>
      <c r="G1634" t="s">
        <v>73</v>
      </c>
      <c r="H1634" t="s">
        <v>1572</v>
      </c>
      <c r="I1634" t="s">
        <v>1573</v>
      </c>
      <c r="J1634" t="s">
        <v>367</v>
      </c>
      <c r="K1634" s="3">
        <v>100126018706</v>
      </c>
      <c r="L1634" s="10">
        <v>40800</v>
      </c>
      <c r="M1634">
        <v>351.27</v>
      </c>
      <c r="N1634" s="11">
        <v>22</v>
      </c>
      <c r="O1634" s="12">
        <v>15.73</v>
      </c>
      <c r="P1634" s="12">
        <v>7.42</v>
      </c>
      <c r="Q1634" s="13">
        <v>-37.22</v>
      </c>
      <c r="R1634" s="36" t="s">
        <v>1579</v>
      </c>
      <c r="S1634" s="7">
        <f t="shared" si="137"/>
        <v>2</v>
      </c>
      <c r="T1634" s="15" t="str">
        <f>VLOOKUP(R1634,产品分类!$C$2:$D$1278,2,0)</f>
        <v>数码电子</v>
      </c>
    </row>
    <row r="1635" spans="1:20">
      <c r="A1635" s="8">
        <f>DATE(2012,12,31)-1235</f>
        <v>40039</v>
      </c>
      <c r="B1635" s="8">
        <f>DATE(2012,12,31)-1235</f>
        <v>40039</v>
      </c>
      <c r="C1635" s="9" t="s">
        <v>763</v>
      </c>
      <c r="D1635">
        <v>10021253233</v>
      </c>
      <c r="E1635" t="s">
        <v>47</v>
      </c>
      <c r="F1635" t="s">
        <v>78</v>
      </c>
      <c r="G1635" t="s">
        <v>79</v>
      </c>
      <c r="H1635" t="s">
        <v>1654</v>
      </c>
      <c r="I1635" t="s">
        <v>1655</v>
      </c>
      <c r="J1635" t="s">
        <v>367</v>
      </c>
      <c r="K1635" s="3">
        <v>100116078747</v>
      </c>
      <c r="L1635" s="10">
        <v>40040</v>
      </c>
      <c r="M1635">
        <v>181.5</v>
      </c>
      <c r="N1635" s="11">
        <v>43</v>
      </c>
      <c r="O1635" s="12">
        <v>4.48</v>
      </c>
      <c r="P1635" s="12">
        <v>2.5</v>
      </c>
      <c r="Q1635" s="13">
        <v>-6.24</v>
      </c>
      <c r="R1635" s="36" t="s">
        <v>1701</v>
      </c>
      <c r="S1635" s="7">
        <f t="shared" si="137"/>
        <v>1</v>
      </c>
      <c r="T1635" s="15" t="str">
        <f>VLOOKUP(R1635,产品分类!$C$2:$D$1278,2,0)</f>
        <v>办公用品</v>
      </c>
    </row>
    <row r="1636" spans="1:20">
      <c r="A1636" s="8">
        <f>DATE(2012,12,31)-986</f>
        <v>40288</v>
      </c>
      <c r="B1636" s="8">
        <f>DATE(2012,12,31)-986</f>
        <v>40288</v>
      </c>
      <c r="C1636" s="9" t="s">
        <v>1578</v>
      </c>
      <c r="D1636">
        <v>10021250237</v>
      </c>
      <c r="E1636" t="s">
        <v>47</v>
      </c>
      <c r="F1636" t="s">
        <v>72</v>
      </c>
      <c r="G1636" t="s">
        <v>73</v>
      </c>
      <c r="H1636" t="s">
        <v>1572</v>
      </c>
      <c r="I1636" t="s">
        <v>1573</v>
      </c>
      <c r="J1636" t="s">
        <v>367</v>
      </c>
      <c r="K1636" s="3">
        <v>10015842326</v>
      </c>
      <c r="L1636" s="10">
        <v>40290</v>
      </c>
      <c r="M1636">
        <v>2339.52</v>
      </c>
      <c r="N1636" s="11">
        <v>44</v>
      </c>
      <c r="O1636" s="12">
        <v>54.96</v>
      </c>
      <c r="P1636" s="12">
        <v>10.75</v>
      </c>
      <c r="Q1636" s="13">
        <v>886.03</v>
      </c>
      <c r="R1636" s="36" t="s">
        <v>1702</v>
      </c>
      <c r="S1636" s="7">
        <f t="shared" si="137"/>
        <v>2</v>
      </c>
      <c r="T1636" s="15" t="str">
        <f>VLOOKUP(R1636,产品分类!$C$2:$D$1278,2,0)</f>
        <v>办公用品</v>
      </c>
    </row>
    <row r="1637" spans="1:20">
      <c r="A1637" s="8">
        <f>DATE(2012,12,31)-986</f>
        <v>40288</v>
      </c>
      <c r="B1637" s="8">
        <f>DATE(2012,12,31)-986</f>
        <v>40288</v>
      </c>
      <c r="C1637" s="9" t="s">
        <v>1578</v>
      </c>
      <c r="D1637">
        <v>10021342867</v>
      </c>
      <c r="E1637" t="s">
        <v>47</v>
      </c>
      <c r="F1637" t="s">
        <v>473</v>
      </c>
      <c r="G1637" t="s">
        <v>474</v>
      </c>
      <c r="H1637" t="s">
        <v>475</v>
      </c>
      <c r="I1637" t="s">
        <v>476</v>
      </c>
      <c r="J1637" t="s">
        <v>367</v>
      </c>
      <c r="K1637" s="3">
        <v>100428357834</v>
      </c>
      <c r="L1637" s="10">
        <v>40288</v>
      </c>
      <c r="M1637">
        <v>533.25</v>
      </c>
      <c r="N1637" s="11">
        <v>46</v>
      </c>
      <c r="O1637" s="12">
        <v>11.97</v>
      </c>
      <c r="P1637" s="12">
        <v>5.81</v>
      </c>
      <c r="Q1637" s="13">
        <v>-88.32</v>
      </c>
      <c r="R1637" s="36" t="s">
        <v>499</v>
      </c>
      <c r="S1637" s="7">
        <f t="shared" si="137"/>
        <v>0</v>
      </c>
      <c r="T1637" s="15" t="str">
        <f>VLOOKUP(R1637,产品分类!$C$2:$D$1278,2,0)</f>
        <v>办公用品</v>
      </c>
    </row>
    <row r="1638" spans="1:20">
      <c r="A1638" s="8">
        <f>DATE(2012,12,31)-1263</f>
        <v>40011</v>
      </c>
      <c r="B1638" s="8">
        <f>DATE(2012,12,31)-1263</f>
        <v>40011</v>
      </c>
      <c r="C1638" s="9" t="s">
        <v>697</v>
      </c>
      <c r="D1638">
        <v>10021252197</v>
      </c>
      <c r="E1638" t="s">
        <v>47</v>
      </c>
      <c r="F1638" t="s">
        <v>91</v>
      </c>
      <c r="G1638" t="s">
        <v>92</v>
      </c>
      <c r="H1638" t="s">
        <v>1412</v>
      </c>
      <c r="I1638" t="s">
        <v>1413</v>
      </c>
      <c r="J1638" t="s">
        <v>367</v>
      </c>
      <c r="K1638" s="3">
        <v>10017841686</v>
      </c>
      <c r="L1638" s="10">
        <v>40013</v>
      </c>
      <c r="M1638">
        <v>4993.42</v>
      </c>
      <c r="N1638" s="11">
        <v>42</v>
      </c>
      <c r="O1638" s="12">
        <v>119.99</v>
      </c>
      <c r="P1638" s="12">
        <v>56.14</v>
      </c>
      <c r="Q1638" s="13">
        <v>190.14</v>
      </c>
      <c r="R1638" s="36" t="s">
        <v>1626</v>
      </c>
      <c r="S1638" s="7">
        <f t="shared" si="137"/>
        <v>2</v>
      </c>
      <c r="T1638" s="15" t="str">
        <f>VLOOKUP(R1638,产品分类!$C$2:$D$1278,2,0)</f>
        <v>办公用品</v>
      </c>
    </row>
    <row r="1639" spans="1:20">
      <c r="A1639" s="8">
        <f>DATE(2012,12,31)-1263</f>
        <v>40011</v>
      </c>
      <c r="B1639" s="8">
        <f>DATE(2012,12,31)-1263</f>
        <v>40011</v>
      </c>
      <c r="C1639" s="9" t="s">
        <v>697</v>
      </c>
      <c r="D1639">
        <v>10021419669</v>
      </c>
      <c r="E1639" t="s">
        <v>47</v>
      </c>
      <c r="F1639" t="s">
        <v>91</v>
      </c>
      <c r="G1639" t="s">
        <v>92</v>
      </c>
      <c r="H1639" t="s">
        <v>1412</v>
      </c>
      <c r="I1639" t="s">
        <v>1413</v>
      </c>
      <c r="J1639" t="s">
        <v>367</v>
      </c>
      <c r="K1639" s="3">
        <v>100723988695</v>
      </c>
      <c r="L1639" s="10">
        <v>40013</v>
      </c>
      <c r="M1639">
        <v>1059.3</v>
      </c>
      <c r="N1639" s="11">
        <v>9</v>
      </c>
      <c r="O1639" s="12">
        <v>115.79</v>
      </c>
      <c r="P1639" s="12">
        <v>1.99</v>
      </c>
      <c r="Q1639" s="13">
        <v>67.5999999999999</v>
      </c>
      <c r="R1639" s="36" t="s">
        <v>95</v>
      </c>
      <c r="S1639" s="7">
        <f t="shared" si="137"/>
        <v>2</v>
      </c>
      <c r="T1639" s="15" t="str">
        <f>VLOOKUP(R1639,产品分类!$C$2:$D$1278,2,0)</f>
        <v>数码电子</v>
      </c>
    </row>
    <row r="1640" spans="1:20">
      <c r="A1640" s="8">
        <f>DATE(2012,12,31)-986</f>
        <v>40288</v>
      </c>
      <c r="B1640" s="8">
        <f>DATE(2012,12,31)-986</f>
        <v>40288</v>
      </c>
      <c r="C1640" s="9" t="s">
        <v>1703</v>
      </c>
      <c r="D1640">
        <v>10021389034</v>
      </c>
      <c r="E1640" t="s">
        <v>47</v>
      </c>
      <c r="F1640" t="s">
        <v>253</v>
      </c>
      <c r="G1640" t="s">
        <v>254</v>
      </c>
      <c r="H1640" t="s">
        <v>255</v>
      </c>
      <c r="I1640" t="s">
        <v>256</v>
      </c>
      <c r="J1640" t="s">
        <v>367</v>
      </c>
      <c r="K1640" s="3">
        <v>100131024677</v>
      </c>
      <c r="L1640" s="10">
        <v>40292</v>
      </c>
      <c r="M1640">
        <v>7319.85</v>
      </c>
      <c r="N1640" s="11">
        <v>49</v>
      </c>
      <c r="O1640" s="12">
        <v>152.48</v>
      </c>
      <c r="P1640" s="12">
        <v>4</v>
      </c>
      <c r="Q1640" s="13">
        <v>611.43</v>
      </c>
      <c r="R1640" s="36" t="s">
        <v>505</v>
      </c>
      <c r="S1640" s="7">
        <f t="shared" si="137"/>
        <v>4</v>
      </c>
      <c r="T1640" s="15" t="str">
        <f>VLOOKUP(R1640,产品分类!$C$2:$D$1278,2,0)</f>
        <v>家具产品</v>
      </c>
    </row>
    <row r="1641" spans="1:20">
      <c r="A1641" s="8">
        <f>DATE(2012,12,31)-986</f>
        <v>40288</v>
      </c>
      <c r="B1641" s="8">
        <f>DATE(2012,12,31)-986</f>
        <v>40288</v>
      </c>
      <c r="C1641" s="9" t="s">
        <v>1703</v>
      </c>
      <c r="D1641">
        <v>10021339215</v>
      </c>
      <c r="E1641" t="s">
        <v>47</v>
      </c>
      <c r="F1641" t="s">
        <v>91</v>
      </c>
      <c r="G1641" t="s">
        <v>92</v>
      </c>
      <c r="H1641" t="s">
        <v>1412</v>
      </c>
      <c r="I1641" t="s">
        <v>1413</v>
      </c>
      <c r="J1641" t="s">
        <v>367</v>
      </c>
      <c r="K1641" s="3">
        <v>100124900546</v>
      </c>
      <c r="L1641" s="10">
        <v>40295</v>
      </c>
      <c r="M1641">
        <v>707.44</v>
      </c>
      <c r="N1641" s="11">
        <v>28</v>
      </c>
      <c r="O1641" s="12">
        <v>24.98</v>
      </c>
      <c r="P1641" s="12">
        <v>8.79</v>
      </c>
      <c r="Q1641" s="13">
        <v>-50.27</v>
      </c>
      <c r="R1641" s="36" t="s">
        <v>1704</v>
      </c>
      <c r="S1641" s="7">
        <f t="shared" si="137"/>
        <v>7</v>
      </c>
      <c r="T1641" s="15" t="str">
        <f>VLOOKUP(R1641,产品分类!$C$2:$D$1278,2,0)</f>
        <v>家具产品</v>
      </c>
    </row>
    <row r="1642" spans="1:20">
      <c r="A1642" s="8">
        <f>DATE(2012,12,31)-113</f>
        <v>41161</v>
      </c>
      <c r="B1642" s="8">
        <f>DATE(2012,12,31)-113</f>
        <v>41161</v>
      </c>
      <c r="C1642" s="9" t="s">
        <v>240</v>
      </c>
      <c r="D1642">
        <v>10021352627</v>
      </c>
      <c r="E1642" t="s">
        <v>47</v>
      </c>
      <c r="F1642" t="s">
        <v>91</v>
      </c>
      <c r="G1642" t="s">
        <v>92</v>
      </c>
      <c r="H1642" t="s">
        <v>1412</v>
      </c>
      <c r="I1642" t="s">
        <v>1413</v>
      </c>
      <c r="J1642" t="s">
        <v>367</v>
      </c>
      <c r="K1642" s="3">
        <v>100432533734</v>
      </c>
      <c r="L1642" s="10">
        <v>41163</v>
      </c>
      <c r="M1642">
        <v>40.29</v>
      </c>
      <c r="N1642" s="11">
        <v>1</v>
      </c>
      <c r="O1642" s="12">
        <v>30.42</v>
      </c>
      <c r="P1642" s="12">
        <v>8.65</v>
      </c>
      <c r="Q1642" s="13">
        <v>-82.13</v>
      </c>
      <c r="R1642" s="36" t="s">
        <v>1231</v>
      </c>
      <c r="S1642" s="7">
        <f t="shared" si="137"/>
        <v>2</v>
      </c>
      <c r="T1642" s="15" t="str">
        <f>VLOOKUP(R1642,产品分类!$C$2:$D$1278,2,0)</f>
        <v>办公用品</v>
      </c>
    </row>
    <row r="1643" spans="1:20">
      <c r="A1643" s="16">
        <f>DATE(2012,12,31)-113</f>
        <v>41161</v>
      </c>
      <c r="B1643" s="16">
        <f>DATE(2012,12,31)-113</f>
        <v>41161</v>
      </c>
      <c r="C1643" s="9" t="s">
        <v>240</v>
      </c>
      <c r="D1643">
        <v>10021249933</v>
      </c>
      <c r="E1643" t="s">
        <v>47</v>
      </c>
      <c r="F1643" t="s">
        <v>122</v>
      </c>
      <c r="G1643" t="s">
        <v>123</v>
      </c>
      <c r="H1643" t="s">
        <v>124</v>
      </c>
      <c r="I1643" t="s">
        <v>125</v>
      </c>
      <c r="J1643" t="s">
        <v>367</v>
      </c>
      <c r="K1643" s="3">
        <v>100412531314</v>
      </c>
      <c r="L1643" s="10">
        <v>41161</v>
      </c>
      <c r="M1643">
        <v>775.77</v>
      </c>
      <c r="N1643" s="17">
        <v>20</v>
      </c>
      <c r="O1643" s="5">
        <v>39.98</v>
      </c>
      <c r="P1643" s="5">
        <v>9.83</v>
      </c>
      <c r="Q1643" s="6">
        <v>179.37</v>
      </c>
      <c r="R1643" s="37" t="s">
        <v>1705</v>
      </c>
      <c r="S1643" s="7">
        <f t="shared" si="137"/>
        <v>0</v>
      </c>
      <c r="T1643" s="15" t="str">
        <f>VLOOKUP(R1643,产品分类!$C$2:$D$1278,2,0)</f>
        <v>办公用品</v>
      </c>
    </row>
    <row r="1644" spans="1:20">
      <c r="A1644" s="8">
        <f>DATE(2012,12,31)-133</f>
        <v>41141</v>
      </c>
      <c r="B1644" s="8">
        <f>DATE(2012,12,31)-133</f>
        <v>41141</v>
      </c>
      <c r="C1644" s="9" t="s">
        <v>1105</v>
      </c>
      <c r="D1644">
        <v>10021414450</v>
      </c>
      <c r="E1644" t="s">
        <v>47</v>
      </c>
      <c r="F1644" t="s">
        <v>91</v>
      </c>
      <c r="G1644" t="s">
        <v>92</v>
      </c>
      <c r="H1644" t="s">
        <v>1412</v>
      </c>
      <c r="I1644" t="s">
        <v>1413</v>
      </c>
      <c r="J1644" t="s">
        <v>367</v>
      </c>
      <c r="K1644" s="3">
        <v>1001887557</v>
      </c>
      <c r="L1644" s="10">
        <v>41142</v>
      </c>
      <c r="M1644">
        <v>242.63</v>
      </c>
      <c r="N1644" s="11">
        <v>19</v>
      </c>
      <c r="O1644" s="12">
        <v>12.44</v>
      </c>
      <c r="P1644" s="12">
        <v>6.27</v>
      </c>
      <c r="Q1644" s="13">
        <v>-36.11</v>
      </c>
      <c r="R1644" s="36" t="s">
        <v>150</v>
      </c>
      <c r="S1644" s="7">
        <f t="shared" si="137"/>
        <v>1</v>
      </c>
      <c r="T1644" s="15" t="str">
        <f>VLOOKUP(R1644,产品分类!$C$2:$D$1278,2,0)</f>
        <v>家具产品</v>
      </c>
    </row>
    <row r="1645" spans="1:20">
      <c r="A1645" s="8">
        <f>DATE(2012,12,31)-547</f>
        <v>40727</v>
      </c>
      <c r="B1645" s="8">
        <f>DATE(2012,12,31)-547</f>
        <v>40727</v>
      </c>
      <c r="C1645" s="9" t="s">
        <v>551</v>
      </c>
      <c r="D1645">
        <v>10021413571</v>
      </c>
      <c r="E1645" t="s">
        <v>47</v>
      </c>
      <c r="F1645" t="s">
        <v>122</v>
      </c>
      <c r="G1645" t="s">
        <v>123</v>
      </c>
      <c r="H1645" t="s">
        <v>124</v>
      </c>
      <c r="I1645" t="s">
        <v>125</v>
      </c>
      <c r="J1645" t="s">
        <v>367</v>
      </c>
      <c r="K1645" s="3">
        <v>10091070201</v>
      </c>
      <c r="L1645" s="10">
        <v>40730</v>
      </c>
      <c r="M1645">
        <v>5051.89</v>
      </c>
      <c r="N1645" s="11">
        <v>47</v>
      </c>
      <c r="O1645" s="12">
        <v>107.53</v>
      </c>
      <c r="P1645" s="12">
        <v>5.81</v>
      </c>
      <c r="Q1645" s="13">
        <v>1708.84</v>
      </c>
      <c r="R1645" s="36" t="s">
        <v>65</v>
      </c>
      <c r="S1645" s="7">
        <f t="shared" si="137"/>
        <v>3</v>
      </c>
      <c r="T1645" s="15" t="str">
        <f>VLOOKUP(R1645,产品分类!$C$2:$D$1278,2,0)</f>
        <v>家具产品</v>
      </c>
    </row>
    <row r="1646" spans="1:20">
      <c r="A1646" s="8">
        <f>DATE(2012,12,31)-953</f>
        <v>40321</v>
      </c>
      <c r="B1646" s="8">
        <f>DATE(2012,12,31)-953</f>
        <v>40321</v>
      </c>
      <c r="C1646" s="9" t="s">
        <v>792</v>
      </c>
      <c r="D1646">
        <v>10021371166</v>
      </c>
      <c r="E1646" t="s">
        <v>47</v>
      </c>
      <c r="F1646" t="s">
        <v>83</v>
      </c>
      <c r="G1646" t="s">
        <v>84</v>
      </c>
      <c r="H1646" t="s">
        <v>1259</v>
      </c>
      <c r="I1646" t="s">
        <v>1260</v>
      </c>
      <c r="J1646" t="s">
        <v>367</v>
      </c>
      <c r="K1646" s="3">
        <v>100731784755</v>
      </c>
      <c r="L1646" s="10">
        <v>40322</v>
      </c>
      <c r="M1646">
        <v>796.14</v>
      </c>
      <c r="N1646" s="11">
        <v>19</v>
      </c>
      <c r="O1646" s="12">
        <v>41.94</v>
      </c>
      <c r="P1646" s="12">
        <v>2.99</v>
      </c>
      <c r="Q1646" s="13">
        <v>320.0675</v>
      </c>
      <c r="R1646" s="36" t="s">
        <v>1548</v>
      </c>
      <c r="S1646" s="7">
        <f t="shared" si="137"/>
        <v>1</v>
      </c>
      <c r="T1646" s="15" t="str">
        <f>VLOOKUP(R1646,产品分类!$C$2:$D$1278,2,0)</f>
        <v>办公用品</v>
      </c>
    </row>
    <row r="1647" spans="1:20">
      <c r="A1647" s="8">
        <f>DATE(2012,12,31)-953</f>
        <v>40321</v>
      </c>
      <c r="B1647" s="8">
        <f>DATE(2012,12,31)-953</f>
        <v>40321</v>
      </c>
      <c r="C1647" s="9" t="s">
        <v>792</v>
      </c>
      <c r="D1647">
        <v>10021295043</v>
      </c>
      <c r="E1647" t="s">
        <v>47</v>
      </c>
      <c r="F1647" t="s">
        <v>122</v>
      </c>
      <c r="G1647" t="s">
        <v>123</v>
      </c>
      <c r="H1647" t="s">
        <v>124</v>
      </c>
      <c r="I1647" t="s">
        <v>125</v>
      </c>
      <c r="J1647" t="s">
        <v>367</v>
      </c>
      <c r="K1647" s="3">
        <v>100412753363</v>
      </c>
      <c r="L1647" s="10">
        <v>40323</v>
      </c>
      <c r="M1647">
        <v>142.96</v>
      </c>
      <c r="N1647" s="11">
        <v>31</v>
      </c>
      <c r="O1647" s="12">
        <v>4.73</v>
      </c>
      <c r="P1647" s="12">
        <v>1.52</v>
      </c>
      <c r="Q1647" s="13">
        <v>33.59</v>
      </c>
      <c r="R1647" s="36" t="s">
        <v>713</v>
      </c>
      <c r="S1647" s="7">
        <f t="shared" si="137"/>
        <v>2</v>
      </c>
      <c r="T1647" s="15" t="str">
        <f>VLOOKUP(R1647,产品分类!$C$2:$D$1278,2,0)</f>
        <v>办公用品</v>
      </c>
    </row>
    <row r="1648" spans="1:20">
      <c r="A1648" s="8">
        <f>DATE(2012,12,31)-1041</f>
        <v>40233</v>
      </c>
      <c r="B1648" s="8">
        <f>DATE(2012,12,31)-1041</f>
        <v>40233</v>
      </c>
      <c r="C1648" s="9" t="s">
        <v>1591</v>
      </c>
      <c r="D1648">
        <v>10021261451</v>
      </c>
      <c r="E1648" t="s">
        <v>47</v>
      </c>
      <c r="F1648" t="s">
        <v>97</v>
      </c>
      <c r="G1648" t="s">
        <v>98</v>
      </c>
      <c r="H1648" t="s">
        <v>99</v>
      </c>
      <c r="I1648" t="s">
        <v>98</v>
      </c>
      <c r="J1648" t="s">
        <v>367</v>
      </c>
      <c r="K1648" s="3">
        <v>100129445367</v>
      </c>
      <c r="L1648" s="10">
        <v>40234</v>
      </c>
      <c r="M1648">
        <v>102.06</v>
      </c>
      <c r="N1648" s="11">
        <v>18</v>
      </c>
      <c r="O1648" s="12">
        <v>6.3</v>
      </c>
      <c r="P1648" s="12">
        <v>0.5</v>
      </c>
      <c r="Q1648" s="13">
        <v>36.23</v>
      </c>
      <c r="R1648" s="36" t="s">
        <v>741</v>
      </c>
      <c r="S1648" s="7">
        <f t="shared" si="137"/>
        <v>1</v>
      </c>
      <c r="T1648" s="15" t="str">
        <f>VLOOKUP(R1648,产品分类!$C$2:$D$1278,2,0)</f>
        <v>办公用品</v>
      </c>
    </row>
    <row r="1649" spans="1:20">
      <c r="A1649" s="8">
        <f>DATE(2012,12,31)-1041</f>
        <v>40233</v>
      </c>
      <c r="B1649" s="8">
        <f>DATE(2012,12,31)-1041</f>
        <v>40233</v>
      </c>
      <c r="C1649" s="9" t="s">
        <v>1591</v>
      </c>
      <c r="D1649">
        <v>10021415938</v>
      </c>
      <c r="E1649" t="s">
        <v>47</v>
      </c>
      <c r="F1649" t="s">
        <v>132</v>
      </c>
      <c r="G1649" t="s">
        <v>133</v>
      </c>
      <c r="H1649" t="s">
        <v>134</v>
      </c>
      <c r="I1649" t="s">
        <v>133</v>
      </c>
      <c r="J1649" t="s">
        <v>367</v>
      </c>
      <c r="K1649" s="3">
        <v>100311458029</v>
      </c>
      <c r="L1649" s="10">
        <v>40234</v>
      </c>
      <c r="M1649">
        <v>101.82</v>
      </c>
      <c r="N1649" s="11">
        <v>15</v>
      </c>
      <c r="O1649" s="12">
        <v>6.48</v>
      </c>
      <c r="P1649" s="12">
        <v>7.03</v>
      </c>
      <c r="Q1649" s="13">
        <v>-52.55</v>
      </c>
      <c r="R1649" s="36" t="s">
        <v>1421</v>
      </c>
      <c r="S1649" s="7">
        <f t="shared" si="137"/>
        <v>1</v>
      </c>
      <c r="T1649" s="15" t="str">
        <f>VLOOKUP(R1649,产品分类!$C$2:$D$1278,2,0)</f>
        <v>办公用品</v>
      </c>
    </row>
    <row r="1650" spans="1:20">
      <c r="A1650" s="8">
        <f>DATE(2012,12,31)-861</f>
        <v>40413</v>
      </c>
      <c r="B1650" s="8">
        <f>DATE(2012,12,31)-861</f>
        <v>40413</v>
      </c>
      <c r="C1650" s="9" t="s">
        <v>1696</v>
      </c>
      <c r="D1650">
        <v>10021414674</v>
      </c>
      <c r="E1650" t="s">
        <v>47</v>
      </c>
      <c r="F1650" t="s">
        <v>97</v>
      </c>
      <c r="G1650" t="s">
        <v>98</v>
      </c>
      <c r="H1650" t="s">
        <v>99</v>
      </c>
      <c r="I1650" t="s">
        <v>98</v>
      </c>
      <c r="J1650" t="s">
        <v>367</v>
      </c>
      <c r="K1650" s="3">
        <v>10085617452</v>
      </c>
      <c r="L1650" s="10">
        <v>40413</v>
      </c>
      <c r="M1650">
        <v>4729.85</v>
      </c>
      <c r="N1650" s="11">
        <v>45</v>
      </c>
      <c r="O1650" s="12">
        <v>100.97</v>
      </c>
      <c r="P1650" s="12">
        <v>14</v>
      </c>
      <c r="Q1650" s="13">
        <v>2014.82</v>
      </c>
      <c r="R1650" s="36" t="s">
        <v>1706</v>
      </c>
      <c r="S1650" s="7">
        <f t="shared" si="137"/>
        <v>0</v>
      </c>
      <c r="T1650" s="15" t="str">
        <f>VLOOKUP(R1650,产品分类!$C$2:$D$1278,2,0)</f>
        <v>办公用品</v>
      </c>
    </row>
    <row r="1651" spans="1:20">
      <c r="A1651" s="8">
        <f>DATE(2012,12,31)-951</f>
        <v>40323</v>
      </c>
      <c r="B1651" s="8">
        <f>DATE(2012,12,31)-951</f>
        <v>40323</v>
      </c>
      <c r="C1651" s="9" t="s">
        <v>1404</v>
      </c>
      <c r="D1651">
        <v>10021423714</v>
      </c>
      <c r="E1651" t="s">
        <v>47</v>
      </c>
      <c r="F1651" t="s">
        <v>132</v>
      </c>
      <c r="G1651" t="s">
        <v>133</v>
      </c>
      <c r="H1651" t="s">
        <v>134</v>
      </c>
      <c r="I1651" t="s">
        <v>133</v>
      </c>
      <c r="J1651" t="s">
        <v>367</v>
      </c>
      <c r="K1651" s="3">
        <v>100828232382</v>
      </c>
      <c r="L1651" s="10">
        <v>40325</v>
      </c>
      <c r="M1651">
        <v>1386.6</v>
      </c>
      <c r="N1651" s="11">
        <v>5</v>
      </c>
      <c r="O1651" s="12">
        <v>280.98</v>
      </c>
      <c r="P1651" s="12">
        <v>57</v>
      </c>
      <c r="Q1651" s="13">
        <v>-556.18</v>
      </c>
      <c r="R1651" s="36" t="s">
        <v>1283</v>
      </c>
      <c r="S1651" s="7">
        <f t="shared" si="137"/>
        <v>2</v>
      </c>
      <c r="T1651" s="15" t="str">
        <f>VLOOKUP(R1651,产品分类!$C$2:$D$1278,2,0)</f>
        <v>办公用品</v>
      </c>
    </row>
    <row r="1652" spans="1:20">
      <c r="A1652" s="8">
        <f>DATE(2012,12,31)-1133</f>
        <v>40141</v>
      </c>
      <c r="B1652" s="8">
        <f>DATE(2012,12,31)-1133</f>
        <v>40141</v>
      </c>
      <c r="C1652" s="9" t="s">
        <v>931</v>
      </c>
      <c r="D1652">
        <v>10021266141</v>
      </c>
      <c r="E1652" t="s">
        <v>47</v>
      </c>
      <c r="F1652" t="s">
        <v>97</v>
      </c>
      <c r="G1652" t="s">
        <v>98</v>
      </c>
      <c r="H1652" t="s">
        <v>99</v>
      </c>
      <c r="I1652" t="s">
        <v>98</v>
      </c>
      <c r="J1652" t="s">
        <v>367</v>
      </c>
      <c r="K1652" s="3">
        <v>100121614538</v>
      </c>
      <c r="L1652" s="10">
        <v>40143</v>
      </c>
      <c r="M1652">
        <v>194.174</v>
      </c>
      <c r="N1652" s="11">
        <v>11</v>
      </c>
      <c r="O1652" s="12">
        <v>20.99</v>
      </c>
      <c r="P1652" s="12">
        <v>0.99</v>
      </c>
      <c r="Q1652" s="13">
        <v>-20.911</v>
      </c>
      <c r="R1652" s="36" t="s">
        <v>1707</v>
      </c>
      <c r="S1652" s="7">
        <f t="shared" si="137"/>
        <v>2</v>
      </c>
      <c r="T1652" s="15" t="str">
        <f>VLOOKUP(R1652,产品分类!$C$2:$D$1278,2,0)</f>
        <v>办公用品</v>
      </c>
    </row>
    <row r="1653" spans="1:20">
      <c r="A1653" s="8">
        <f>DATE(2012,12,31)-565</f>
        <v>40709</v>
      </c>
      <c r="B1653" s="8">
        <f>DATE(2012,12,31)-565</f>
        <v>40709</v>
      </c>
      <c r="C1653" s="9" t="s">
        <v>1502</v>
      </c>
      <c r="D1653">
        <v>10021331722</v>
      </c>
      <c r="E1653" t="s">
        <v>47</v>
      </c>
      <c r="F1653" t="s">
        <v>97</v>
      </c>
      <c r="G1653" t="s">
        <v>98</v>
      </c>
      <c r="H1653" t="s">
        <v>99</v>
      </c>
      <c r="I1653" t="s">
        <v>98</v>
      </c>
      <c r="J1653" t="s">
        <v>367</v>
      </c>
      <c r="K1653" s="3">
        <v>10015028096</v>
      </c>
      <c r="L1653" s="10">
        <v>40711</v>
      </c>
      <c r="M1653">
        <v>49.23</v>
      </c>
      <c r="N1653" s="11">
        <v>21</v>
      </c>
      <c r="O1653" s="12">
        <v>1.98</v>
      </c>
      <c r="P1653" s="12">
        <v>4.77</v>
      </c>
      <c r="Q1653" s="13">
        <v>-77.7055</v>
      </c>
      <c r="R1653" s="36" t="s">
        <v>787</v>
      </c>
      <c r="S1653" s="7">
        <f t="shared" si="137"/>
        <v>2</v>
      </c>
      <c r="T1653" s="15" t="str">
        <f>VLOOKUP(R1653,产品分类!$C$2:$D$1278,2,0)</f>
        <v>办公用品</v>
      </c>
    </row>
    <row r="1654" spans="1:20">
      <c r="A1654" s="8">
        <f>DATE(2012,12,31)-782</f>
        <v>40492</v>
      </c>
      <c r="B1654" s="8">
        <f>DATE(2012,12,31)-782</f>
        <v>40492</v>
      </c>
      <c r="C1654" s="9" t="s">
        <v>773</v>
      </c>
      <c r="D1654">
        <v>10021415604</v>
      </c>
      <c r="E1654" t="s">
        <v>47</v>
      </c>
      <c r="F1654" t="s">
        <v>97</v>
      </c>
      <c r="G1654" t="s">
        <v>98</v>
      </c>
      <c r="H1654" t="s">
        <v>99</v>
      </c>
      <c r="I1654" t="s">
        <v>98</v>
      </c>
      <c r="J1654" t="s">
        <v>367</v>
      </c>
      <c r="K1654" s="3">
        <v>10086803922</v>
      </c>
      <c r="L1654" s="10">
        <v>40494</v>
      </c>
      <c r="M1654">
        <v>397.84</v>
      </c>
      <c r="N1654" s="11">
        <v>25</v>
      </c>
      <c r="O1654" s="12">
        <v>15.22</v>
      </c>
      <c r="P1654" s="12">
        <v>9.73</v>
      </c>
      <c r="Q1654" s="13">
        <v>-14.7545</v>
      </c>
      <c r="R1654" s="36" t="s">
        <v>1708</v>
      </c>
      <c r="S1654" s="7">
        <f t="shared" si="137"/>
        <v>2</v>
      </c>
      <c r="T1654" s="15" t="str">
        <f>VLOOKUP(R1654,产品分类!$C$2:$D$1278,2,0)</f>
        <v>数码电子</v>
      </c>
    </row>
    <row r="1655" spans="1:20">
      <c r="A1655" s="8">
        <f>DATE(2012,12,31)-921</f>
        <v>40353</v>
      </c>
      <c r="B1655" s="8">
        <f>DATE(2012,12,31)-921</f>
        <v>40353</v>
      </c>
      <c r="C1655" s="9" t="s">
        <v>1618</v>
      </c>
      <c r="D1655">
        <v>10021335672</v>
      </c>
      <c r="E1655" t="s">
        <v>47</v>
      </c>
      <c r="F1655" t="s">
        <v>132</v>
      </c>
      <c r="G1655" t="s">
        <v>133</v>
      </c>
      <c r="H1655" t="s">
        <v>134</v>
      </c>
      <c r="I1655" t="s">
        <v>133</v>
      </c>
      <c r="J1655" t="s">
        <v>367</v>
      </c>
      <c r="K1655" s="3">
        <v>100115601656</v>
      </c>
      <c r="L1655" s="10">
        <v>40354</v>
      </c>
      <c r="M1655">
        <v>73.07</v>
      </c>
      <c r="N1655" s="11">
        <v>4</v>
      </c>
      <c r="O1655" s="12">
        <v>15.7</v>
      </c>
      <c r="P1655" s="12">
        <v>11.25</v>
      </c>
      <c r="Q1655" s="13">
        <v>-41.01</v>
      </c>
      <c r="R1655" s="36" t="s">
        <v>261</v>
      </c>
      <c r="S1655" s="7">
        <f t="shared" si="137"/>
        <v>1</v>
      </c>
      <c r="T1655" s="15" t="str">
        <f>VLOOKUP(R1655,产品分类!$C$2:$D$1278,2,0)</f>
        <v>家具产品</v>
      </c>
    </row>
    <row r="1656" spans="1:20">
      <c r="A1656" s="8">
        <f>DATE(2012,12,31)-921</f>
        <v>40353</v>
      </c>
      <c r="B1656" s="8">
        <f>DATE(2012,12,31)-921</f>
        <v>40353</v>
      </c>
      <c r="C1656" s="9" t="s">
        <v>1618</v>
      </c>
      <c r="D1656">
        <v>10021253008</v>
      </c>
      <c r="E1656" t="s">
        <v>47</v>
      </c>
      <c r="F1656" t="s">
        <v>137</v>
      </c>
      <c r="G1656" t="s">
        <v>138</v>
      </c>
      <c r="H1656" t="s">
        <v>139</v>
      </c>
      <c r="I1656" t="s">
        <v>140</v>
      </c>
      <c r="J1656" t="s">
        <v>367</v>
      </c>
      <c r="K1656" s="3">
        <v>100317187349</v>
      </c>
      <c r="L1656" s="10">
        <v>40354</v>
      </c>
      <c r="M1656">
        <v>4679.1</v>
      </c>
      <c r="N1656" s="11">
        <v>26</v>
      </c>
      <c r="O1656" s="12">
        <v>179.29</v>
      </c>
      <c r="P1656" s="12">
        <v>29.21</v>
      </c>
      <c r="Q1656" s="13">
        <v>111.52</v>
      </c>
      <c r="R1656" s="36" t="s">
        <v>629</v>
      </c>
      <c r="S1656" s="7">
        <f t="shared" si="137"/>
        <v>1</v>
      </c>
      <c r="T1656" s="15" t="str">
        <f>VLOOKUP(R1656,产品分类!$C$2:$D$1278,2,0)</f>
        <v>办公用品</v>
      </c>
    </row>
    <row r="1657" spans="1:20">
      <c r="A1657" s="8">
        <f>DATE(2012,12,31)-999</f>
        <v>40275</v>
      </c>
      <c r="B1657" s="8">
        <f>DATE(2012,12,31)-999</f>
        <v>40275</v>
      </c>
      <c r="C1657" s="9" t="s">
        <v>931</v>
      </c>
      <c r="D1657">
        <v>10021253684</v>
      </c>
      <c r="E1657" t="s">
        <v>47</v>
      </c>
      <c r="F1657" t="s">
        <v>603</v>
      </c>
      <c r="G1657" t="s">
        <v>604</v>
      </c>
      <c r="H1657" t="s">
        <v>605</v>
      </c>
      <c r="I1657" t="s">
        <v>606</v>
      </c>
      <c r="J1657" t="s">
        <v>367</v>
      </c>
      <c r="K1657" s="3">
        <v>100120308476</v>
      </c>
      <c r="L1657" s="10">
        <v>40282</v>
      </c>
      <c r="M1657">
        <v>657.94</v>
      </c>
      <c r="N1657" s="11">
        <v>49</v>
      </c>
      <c r="O1657" s="12">
        <v>14.45</v>
      </c>
      <c r="P1657" s="12">
        <v>7.17</v>
      </c>
      <c r="Q1657" s="13">
        <v>7.3525</v>
      </c>
      <c r="R1657" s="36" t="s">
        <v>1317</v>
      </c>
      <c r="S1657" s="7">
        <f t="shared" si="137"/>
        <v>7</v>
      </c>
      <c r="T1657" s="15" t="str">
        <f>VLOOKUP(R1657,产品分类!$C$2:$D$1278,2,0)</f>
        <v>家具产品</v>
      </c>
    </row>
    <row r="1658" spans="1:20">
      <c r="A1658" s="8">
        <f>DATE(2012,12,31)-999</f>
        <v>40275</v>
      </c>
      <c r="B1658" s="8">
        <f>DATE(2012,12,31)-999</f>
        <v>40275</v>
      </c>
      <c r="C1658" s="9" t="s">
        <v>931</v>
      </c>
      <c r="D1658">
        <v>10021339941</v>
      </c>
      <c r="E1658" t="s">
        <v>47</v>
      </c>
      <c r="F1658" t="s">
        <v>137</v>
      </c>
      <c r="G1658" t="s">
        <v>138</v>
      </c>
      <c r="H1658" t="s">
        <v>139</v>
      </c>
      <c r="I1658" t="s">
        <v>140</v>
      </c>
      <c r="J1658" t="s">
        <v>367</v>
      </c>
      <c r="K1658" s="3">
        <v>100925645531</v>
      </c>
      <c r="L1658" s="10">
        <v>40277</v>
      </c>
      <c r="M1658">
        <v>1270.73</v>
      </c>
      <c r="N1658" s="11">
        <v>19</v>
      </c>
      <c r="O1658" s="12">
        <v>70.98</v>
      </c>
      <c r="P1658" s="12">
        <v>30</v>
      </c>
      <c r="Q1658" s="13">
        <v>-425.72</v>
      </c>
      <c r="R1658" s="36" t="s">
        <v>1009</v>
      </c>
      <c r="S1658" s="7">
        <f t="shared" si="137"/>
        <v>2</v>
      </c>
      <c r="T1658" s="15" t="str">
        <f>VLOOKUP(R1658,产品分类!$C$2:$D$1278,2,0)</f>
        <v>数码电子</v>
      </c>
    </row>
    <row r="1659" spans="1:20">
      <c r="A1659" s="16">
        <f>DATE(2012,12,31)-656</f>
        <v>40618</v>
      </c>
      <c r="B1659" s="16">
        <f>DATE(2012,12,31)-656</f>
        <v>40618</v>
      </c>
      <c r="C1659" s="9" t="s">
        <v>1473</v>
      </c>
      <c r="D1659">
        <v>10021337621</v>
      </c>
      <c r="E1659" t="s">
        <v>47</v>
      </c>
      <c r="F1659" t="s">
        <v>171</v>
      </c>
      <c r="G1659" t="s">
        <v>172</v>
      </c>
      <c r="H1659" t="s">
        <v>1587</v>
      </c>
      <c r="I1659" t="s">
        <v>1588</v>
      </c>
      <c r="J1659" t="s">
        <v>367</v>
      </c>
      <c r="K1659" s="3">
        <v>100122550367</v>
      </c>
      <c r="L1659" s="10">
        <v>40618</v>
      </c>
      <c r="M1659">
        <v>109.49</v>
      </c>
      <c r="N1659" s="17">
        <v>31</v>
      </c>
      <c r="O1659" s="5">
        <v>3.38</v>
      </c>
      <c r="P1659" s="5">
        <v>0.85</v>
      </c>
      <c r="Q1659" s="6">
        <v>26.09</v>
      </c>
      <c r="R1659" s="37" t="s">
        <v>1709</v>
      </c>
      <c r="S1659" s="7">
        <f t="shared" si="137"/>
        <v>0</v>
      </c>
      <c r="T1659" s="15" t="str">
        <f>VLOOKUP(R1659,产品分类!$C$2:$D$1278,2,0)</f>
        <v>办公用品</v>
      </c>
    </row>
    <row r="1660" spans="1:20">
      <c r="A1660" s="8">
        <f t="shared" ref="A1660:B1662" si="140">DATE(2012,12,31)-347</f>
        <v>40927</v>
      </c>
      <c r="B1660" s="8">
        <f t="shared" si="140"/>
        <v>40927</v>
      </c>
      <c r="C1660" s="9" t="s">
        <v>1710</v>
      </c>
      <c r="D1660">
        <v>10021395413</v>
      </c>
      <c r="E1660" t="s">
        <v>47</v>
      </c>
      <c r="F1660" t="s">
        <v>177</v>
      </c>
      <c r="G1660" t="s">
        <v>178</v>
      </c>
      <c r="H1660" t="s">
        <v>1292</v>
      </c>
      <c r="I1660" t="s">
        <v>1293</v>
      </c>
      <c r="J1660" t="s">
        <v>367</v>
      </c>
      <c r="K1660" s="3">
        <v>100110450578</v>
      </c>
      <c r="L1660" s="10">
        <v>40928</v>
      </c>
      <c r="M1660">
        <v>1684.96</v>
      </c>
      <c r="N1660" s="11">
        <v>16</v>
      </c>
      <c r="O1660" s="12">
        <v>110.98</v>
      </c>
      <c r="P1660" s="12">
        <v>35</v>
      </c>
      <c r="Q1660" s="13">
        <v>-553.06</v>
      </c>
      <c r="R1660" s="36" t="s">
        <v>1711</v>
      </c>
      <c r="S1660" s="7">
        <f t="shared" si="137"/>
        <v>1</v>
      </c>
      <c r="T1660" s="15" t="str">
        <f>VLOOKUP(R1660,产品分类!$C$2:$D$1278,2,0)</f>
        <v>家具产品</v>
      </c>
    </row>
    <row r="1661" spans="1:20">
      <c r="A1661" s="8">
        <f t="shared" si="140"/>
        <v>40927</v>
      </c>
      <c r="B1661" s="8">
        <f t="shared" si="140"/>
        <v>40927</v>
      </c>
      <c r="C1661" s="9" t="s">
        <v>1710</v>
      </c>
      <c r="D1661">
        <v>10021366882</v>
      </c>
      <c r="E1661" t="s">
        <v>47</v>
      </c>
      <c r="F1661" t="s">
        <v>171</v>
      </c>
      <c r="G1661" t="s">
        <v>172</v>
      </c>
      <c r="H1661" t="s">
        <v>1587</v>
      </c>
      <c r="I1661" t="s">
        <v>1588</v>
      </c>
      <c r="J1661" t="s">
        <v>367</v>
      </c>
      <c r="K1661" s="3">
        <v>100826499352</v>
      </c>
      <c r="L1661" s="10">
        <v>40929</v>
      </c>
      <c r="M1661">
        <v>1662.048</v>
      </c>
      <c r="N1661" s="11">
        <v>9</v>
      </c>
      <c r="O1661" s="12">
        <v>212.6</v>
      </c>
      <c r="P1661" s="12">
        <v>110.2</v>
      </c>
      <c r="Q1661" s="13">
        <v>-471.258</v>
      </c>
      <c r="R1661" s="36" t="s">
        <v>652</v>
      </c>
      <c r="S1661" s="7">
        <f t="shared" si="137"/>
        <v>2</v>
      </c>
      <c r="T1661" s="15" t="str">
        <f>VLOOKUP(R1661,产品分类!$C$2:$D$1278,2,0)</f>
        <v>办公用品</v>
      </c>
    </row>
    <row r="1662" spans="1:20">
      <c r="A1662" s="8">
        <f t="shared" si="140"/>
        <v>40927</v>
      </c>
      <c r="B1662" s="8">
        <f t="shared" si="140"/>
        <v>40927</v>
      </c>
      <c r="C1662" s="9" t="s">
        <v>1710</v>
      </c>
      <c r="D1662">
        <v>10021269722</v>
      </c>
      <c r="E1662" t="s">
        <v>47</v>
      </c>
      <c r="F1662" t="s">
        <v>171</v>
      </c>
      <c r="G1662" t="s">
        <v>172</v>
      </c>
      <c r="H1662" t="s">
        <v>1712</v>
      </c>
      <c r="I1662" t="s">
        <v>1713</v>
      </c>
      <c r="J1662" t="s">
        <v>367</v>
      </c>
      <c r="K1662" s="3">
        <v>100832458602</v>
      </c>
      <c r="L1662" s="10">
        <v>40929</v>
      </c>
      <c r="M1662">
        <v>11460.76</v>
      </c>
      <c r="N1662" s="11">
        <v>42</v>
      </c>
      <c r="O1662" s="12">
        <v>349.45</v>
      </c>
      <c r="P1662" s="12">
        <v>60</v>
      </c>
      <c r="Q1662" s="13">
        <v>4264.82</v>
      </c>
      <c r="R1662" s="36" t="s">
        <v>1081</v>
      </c>
      <c r="S1662" s="7">
        <f t="shared" si="137"/>
        <v>2</v>
      </c>
      <c r="T1662" s="15" t="str">
        <f>VLOOKUP(R1662,产品分类!$C$2:$D$1278,2,0)</f>
        <v>办公用品</v>
      </c>
    </row>
    <row r="1663" spans="1:20">
      <c r="A1663" s="8">
        <f>DATE(2012,12,31)-1458</f>
        <v>39816</v>
      </c>
      <c r="B1663" s="8">
        <f>DATE(2012,12,31)-1458</f>
        <v>39816</v>
      </c>
      <c r="C1663" s="9" t="s">
        <v>1714</v>
      </c>
      <c r="D1663">
        <v>10021292669</v>
      </c>
      <c r="E1663" t="s">
        <v>47</v>
      </c>
      <c r="F1663" t="s">
        <v>527</v>
      </c>
      <c r="G1663" t="s">
        <v>528</v>
      </c>
      <c r="H1663" t="s">
        <v>1676</v>
      </c>
      <c r="I1663" t="s">
        <v>1677</v>
      </c>
      <c r="J1663" t="s">
        <v>367</v>
      </c>
      <c r="K1663" s="3">
        <v>1003611219</v>
      </c>
      <c r="L1663" s="10">
        <v>39818</v>
      </c>
      <c r="M1663">
        <v>896.49</v>
      </c>
      <c r="N1663" s="11">
        <v>4</v>
      </c>
      <c r="O1663" s="12">
        <v>213.45</v>
      </c>
      <c r="P1663" s="12">
        <v>14.7</v>
      </c>
      <c r="Q1663" s="13">
        <v>-452.2695</v>
      </c>
      <c r="R1663" s="36" t="s">
        <v>1715</v>
      </c>
      <c r="S1663" s="7">
        <f t="shared" si="137"/>
        <v>2</v>
      </c>
      <c r="T1663" s="15" t="str">
        <f>VLOOKUP(R1663,产品分类!$C$2:$D$1278,2,0)</f>
        <v>数码电子</v>
      </c>
    </row>
    <row r="1664" spans="1:20">
      <c r="A1664" s="16">
        <f>DATE(2012,12,31)-628</f>
        <v>40646</v>
      </c>
      <c r="B1664" s="16">
        <f>DATE(2012,12,31)-628</f>
        <v>40646</v>
      </c>
      <c r="C1664" s="9" t="s">
        <v>405</v>
      </c>
      <c r="D1664">
        <v>10021387367</v>
      </c>
      <c r="E1664" t="s">
        <v>47</v>
      </c>
      <c r="F1664" t="s">
        <v>167</v>
      </c>
      <c r="G1664" t="s">
        <v>168</v>
      </c>
      <c r="H1664" t="s">
        <v>169</v>
      </c>
      <c r="I1664" t="s">
        <v>168</v>
      </c>
      <c r="J1664" t="s">
        <v>367</v>
      </c>
      <c r="K1664" s="3">
        <v>100119528708</v>
      </c>
      <c r="L1664" s="10">
        <v>40648</v>
      </c>
      <c r="M1664">
        <v>210.66</v>
      </c>
      <c r="N1664" s="17">
        <v>43</v>
      </c>
      <c r="O1664" s="5">
        <v>5.18</v>
      </c>
      <c r="P1664" s="5">
        <v>5.74</v>
      </c>
      <c r="Q1664" s="6">
        <v>-145.7165</v>
      </c>
      <c r="R1664" s="37" t="s">
        <v>458</v>
      </c>
      <c r="S1664" s="7">
        <f t="shared" si="137"/>
        <v>2</v>
      </c>
      <c r="T1664" s="15" t="str">
        <f>VLOOKUP(R1664,产品分类!$C$2:$D$1278,2,0)</f>
        <v>家具产品</v>
      </c>
    </row>
    <row r="1665" spans="1:20">
      <c r="A1665" s="8">
        <f>DATE(2012,12,31)-190</f>
        <v>41084</v>
      </c>
      <c r="B1665" s="8">
        <f>DATE(2012,12,31)-190</f>
        <v>41084</v>
      </c>
      <c r="C1665" s="9" t="s">
        <v>225</v>
      </c>
      <c r="D1665">
        <v>10021343788</v>
      </c>
      <c r="E1665" t="s">
        <v>47</v>
      </c>
      <c r="F1665" t="s">
        <v>177</v>
      </c>
      <c r="G1665" t="s">
        <v>178</v>
      </c>
      <c r="H1665" t="s">
        <v>1292</v>
      </c>
      <c r="I1665" t="s">
        <v>1293</v>
      </c>
      <c r="J1665" t="s">
        <v>367</v>
      </c>
      <c r="K1665" s="3">
        <v>100729172045</v>
      </c>
      <c r="L1665" s="10">
        <v>41086</v>
      </c>
      <c r="M1665">
        <v>1660.86</v>
      </c>
      <c r="N1665" s="11">
        <v>4</v>
      </c>
      <c r="O1665" s="12">
        <v>415.88</v>
      </c>
      <c r="P1665" s="12">
        <v>11.37</v>
      </c>
      <c r="Q1665" s="13">
        <v>-164.59</v>
      </c>
      <c r="R1665" s="36" t="s">
        <v>482</v>
      </c>
      <c r="S1665" s="7">
        <f t="shared" si="137"/>
        <v>2</v>
      </c>
      <c r="T1665" s="15" t="str">
        <f>VLOOKUP(R1665,产品分类!$C$2:$D$1278,2,0)</f>
        <v>家具产品</v>
      </c>
    </row>
    <row r="1666" spans="1:20">
      <c r="A1666" s="8">
        <f>DATE(2012,12,31)-1191</f>
        <v>40083</v>
      </c>
      <c r="B1666" s="8">
        <f>DATE(2012,12,31)-1191</f>
        <v>40083</v>
      </c>
      <c r="C1666" s="9" t="s">
        <v>987</v>
      </c>
      <c r="D1666">
        <v>10021444951</v>
      </c>
      <c r="E1666" t="s">
        <v>47</v>
      </c>
      <c r="F1666" t="s">
        <v>177</v>
      </c>
      <c r="G1666" t="s">
        <v>178</v>
      </c>
      <c r="H1666" t="s">
        <v>1292</v>
      </c>
      <c r="I1666" t="s">
        <v>1293</v>
      </c>
      <c r="J1666" t="s">
        <v>367</v>
      </c>
      <c r="K1666" s="3">
        <v>100310325559</v>
      </c>
      <c r="L1666" s="10">
        <v>40085</v>
      </c>
      <c r="M1666">
        <v>152.26</v>
      </c>
      <c r="N1666" s="11">
        <v>42</v>
      </c>
      <c r="O1666" s="12">
        <v>3.69</v>
      </c>
      <c r="P1666" s="12">
        <v>0.5</v>
      </c>
      <c r="Q1666" s="13">
        <v>64.99</v>
      </c>
      <c r="R1666" s="36" t="s">
        <v>1224</v>
      </c>
      <c r="S1666" s="7">
        <f t="shared" si="137"/>
        <v>2</v>
      </c>
      <c r="T1666" s="15" t="str">
        <f>VLOOKUP(R1666,产品分类!$C$2:$D$1278,2,0)</f>
        <v>办公用品</v>
      </c>
    </row>
    <row r="1667" spans="1:20">
      <c r="A1667" s="16">
        <f>DATE(2012,12,31)-550</f>
        <v>40724</v>
      </c>
      <c r="B1667" s="16">
        <f>DATE(2012,12,31)-550</f>
        <v>40724</v>
      </c>
      <c r="C1667" s="9" t="s">
        <v>419</v>
      </c>
      <c r="D1667">
        <v>10021425415</v>
      </c>
      <c r="E1667" t="s">
        <v>47</v>
      </c>
      <c r="F1667" t="s">
        <v>183</v>
      </c>
      <c r="G1667" t="s">
        <v>184</v>
      </c>
      <c r="H1667" t="s">
        <v>1716</v>
      </c>
      <c r="I1667" t="s">
        <v>1717</v>
      </c>
      <c r="J1667" t="s">
        <v>367</v>
      </c>
      <c r="K1667" s="3">
        <v>100129573077</v>
      </c>
      <c r="L1667" s="10">
        <v>40729</v>
      </c>
      <c r="M1667">
        <v>135.21</v>
      </c>
      <c r="N1667" s="17">
        <v>14</v>
      </c>
      <c r="O1667" s="5">
        <v>9.27</v>
      </c>
      <c r="P1667" s="5">
        <v>4.39</v>
      </c>
      <c r="Q1667" s="6">
        <v>5.89</v>
      </c>
      <c r="R1667" s="37" t="s">
        <v>465</v>
      </c>
      <c r="S1667" s="7">
        <f t="shared" ref="S1667:S1730" si="141">+L1667-B1667</f>
        <v>5</v>
      </c>
      <c r="T1667" s="15" t="str">
        <f>VLOOKUP(R1667,产品分类!$C$2:$D$1278,2,0)</f>
        <v>办公用品</v>
      </c>
    </row>
    <row r="1668" spans="1:20">
      <c r="A1668" s="8">
        <f>DATE(2012,12,31)-929</f>
        <v>40345</v>
      </c>
      <c r="B1668" s="8">
        <f>DATE(2012,12,31)-929</f>
        <v>40345</v>
      </c>
      <c r="C1668" s="9" t="s">
        <v>1019</v>
      </c>
      <c r="D1668">
        <v>10021370438</v>
      </c>
      <c r="E1668" t="s">
        <v>47</v>
      </c>
      <c r="F1668" t="s">
        <v>127</v>
      </c>
      <c r="G1668" t="s">
        <v>128</v>
      </c>
      <c r="H1668" t="s">
        <v>1366</v>
      </c>
      <c r="I1668" t="s">
        <v>1367</v>
      </c>
      <c r="J1668" t="s">
        <v>367</v>
      </c>
      <c r="K1668" s="3">
        <v>10012789347</v>
      </c>
      <c r="L1668" s="10">
        <v>40347</v>
      </c>
      <c r="M1668">
        <v>2048.568</v>
      </c>
      <c r="N1668" s="11">
        <v>13</v>
      </c>
      <c r="O1668" s="12">
        <v>205.99</v>
      </c>
      <c r="P1668" s="12">
        <v>8.99</v>
      </c>
      <c r="Q1668" s="13">
        <v>-259.985</v>
      </c>
      <c r="R1668" s="36" t="s">
        <v>1543</v>
      </c>
      <c r="S1668" s="7">
        <f t="shared" si="141"/>
        <v>2</v>
      </c>
      <c r="T1668" s="15" t="str">
        <f>VLOOKUP(R1668,产品分类!$C$2:$D$1278,2,0)</f>
        <v>家具产品</v>
      </c>
    </row>
    <row r="1669" spans="1:20">
      <c r="A1669" s="8">
        <f>DATE(2012,12,31)-694</f>
        <v>40580</v>
      </c>
      <c r="B1669" s="8">
        <f>DATE(2012,12,31)-694</f>
        <v>40580</v>
      </c>
      <c r="C1669" s="9" t="s">
        <v>739</v>
      </c>
      <c r="D1669">
        <v>10021249360</v>
      </c>
      <c r="E1669" t="s">
        <v>47</v>
      </c>
      <c r="F1669" t="s">
        <v>177</v>
      </c>
      <c r="G1669" t="s">
        <v>178</v>
      </c>
      <c r="H1669" t="s">
        <v>1292</v>
      </c>
      <c r="I1669" t="s">
        <v>1293</v>
      </c>
      <c r="J1669" t="s">
        <v>367</v>
      </c>
      <c r="K1669" s="3">
        <v>10097590711</v>
      </c>
      <c r="L1669" s="10">
        <v>40581</v>
      </c>
      <c r="M1669">
        <v>4442.049</v>
      </c>
      <c r="N1669" s="11">
        <v>27</v>
      </c>
      <c r="O1669" s="12">
        <v>200.99</v>
      </c>
      <c r="P1669" s="12">
        <v>8.08</v>
      </c>
      <c r="Q1669" s="13">
        <v>720.954</v>
      </c>
      <c r="R1669" s="36" t="s">
        <v>1199</v>
      </c>
      <c r="S1669" s="7">
        <f t="shared" si="141"/>
        <v>1</v>
      </c>
      <c r="T1669" s="15" t="str">
        <f>VLOOKUP(R1669,产品分类!$C$2:$D$1278,2,0)</f>
        <v>数码电子</v>
      </c>
    </row>
    <row r="1670" spans="1:20">
      <c r="A1670" s="8">
        <f t="shared" ref="A1670:B1674" si="142">DATE(2012,12,31)-1061</f>
        <v>40213</v>
      </c>
      <c r="B1670" s="8">
        <f t="shared" si="142"/>
        <v>40213</v>
      </c>
      <c r="C1670" s="9" t="s">
        <v>350</v>
      </c>
      <c r="D1670">
        <v>10021255114</v>
      </c>
      <c r="E1670" t="s">
        <v>47</v>
      </c>
      <c r="F1670" t="s">
        <v>61</v>
      </c>
      <c r="G1670" t="s">
        <v>62</v>
      </c>
      <c r="H1670" t="s">
        <v>1369</v>
      </c>
      <c r="I1670" t="s">
        <v>1370</v>
      </c>
      <c r="J1670" t="s">
        <v>367</v>
      </c>
      <c r="K1670" s="3">
        <v>1001602967</v>
      </c>
      <c r="L1670" s="10">
        <v>40213</v>
      </c>
      <c r="M1670">
        <v>271.06</v>
      </c>
      <c r="N1670" s="11">
        <v>45</v>
      </c>
      <c r="O1670" s="12">
        <v>5.74</v>
      </c>
      <c r="P1670" s="12">
        <v>5.01</v>
      </c>
      <c r="Q1670" s="13">
        <v>-76.6015</v>
      </c>
      <c r="R1670" s="36" t="s">
        <v>876</v>
      </c>
      <c r="S1670" s="7">
        <f t="shared" si="141"/>
        <v>0</v>
      </c>
      <c r="T1670" s="15" t="str">
        <f>VLOOKUP(R1670,产品分类!$C$2:$D$1278,2,0)</f>
        <v>办公用品</v>
      </c>
    </row>
    <row r="1671" spans="1:20">
      <c r="A1671" s="8">
        <f t="shared" si="142"/>
        <v>40213</v>
      </c>
      <c r="B1671" s="8">
        <f t="shared" si="142"/>
        <v>40213</v>
      </c>
      <c r="C1671" s="9" t="s">
        <v>350</v>
      </c>
      <c r="D1671">
        <v>10021294900</v>
      </c>
      <c r="E1671" t="s">
        <v>47</v>
      </c>
      <c r="F1671" t="s">
        <v>253</v>
      </c>
      <c r="G1671" t="s">
        <v>254</v>
      </c>
      <c r="H1671" t="s">
        <v>255</v>
      </c>
      <c r="I1671" t="s">
        <v>256</v>
      </c>
      <c r="J1671" t="s">
        <v>367</v>
      </c>
      <c r="K1671" s="3">
        <v>100911858341</v>
      </c>
      <c r="L1671" s="10">
        <v>40214</v>
      </c>
      <c r="M1671">
        <v>58.84</v>
      </c>
      <c r="N1671" s="11">
        <v>6</v>
      </c>
      <c r="O1671" s="12">
        <v>9.48</v>
      </c>
      <c r="P1671" s="12">
        <v>3.72</v>
      </c>
      <c r="Q1671" s="13">
        <v>4.29</v>
      </c>
      <c r="R1671" s="36" t="s">
        <v>1718</v>
      </c>
      <c r="S1671" s="7">
        <f t="shared" si="141"/>
        <v>1</v>
      </c>
      <c r="T1671" s="15" t="str">
        <f>VLOOKUP(R1671,产品分类!$C$2:$D$1278,2,0)</f>
        <v>办公用品</v>
      </c>
    </row>
    <row r="1672" spans="1:20">
      <c r="A1672" s="8">
        <f t="shared" si="142"/>
        <v>40213</v>
      </c>
      <c r="B1672" s="8">
        <f t="shared" si="142"/>
        <v>40213</v>
      </c>
      <c r="C1672" s="9" t="s">
        <v>350</v>
      </c>
      <c r="D1672">
        <v>10021419389</v>
      </c>
      <c r="E1672" t="s">
        <v>47</v>
      </c>
      <c r="F1672" t="s">
        <v>61</v>
      </c>
      <c r="G1672" t="s">
        <v>62</v>
      </c>
      <c r="H1672" t="s">
        <v>1369</v>
      </c>
      <c r="I1672" t="s">
        <v>1370</v>
      </c>
      <c r="J1672" t="s">
        <v>367</v>
      </c>
      <c r="K1672" s="3">
        <v>100923495791</v>
      </c>
      <c r="L1672" s="10">
        <v>40214</v>
      </c>
      <c r="M1672">
        <v>1211.72</v>
      </c>
      <c r="N1672" s="11">
        <v>12</v>
      </c>
      <c r="O1672" s="12">
        <v>99.23</v>
      </c>
      <c r="P1672" s="12">
        <v>8.99</v>
      </c>
      <c r="Q1672" s="13">
        <v>587.84</v>
      </c>
      <c r="R1672" s="36" t="s">
        <v>1484</v>
      </c>
      <c r="S1672" s="7">
        <f t="shared" si="141"/>
        <v>1</v>
      </c>
      <c r="T1672" s="15" t="str">
        <f>VLOOKUP(R1672,产品分类!$C$2:$D$1278,2,0)</f>
        <v>数码电子</v>
      </c>
    </row>
    <row r="1673" spans="1:20">
      <c r="A1673" s="8">
        <f t="shared" si="142"/>
        <v>40213</v>
      </c>
      <c r="B1673" s="8">
        <f t="shared" si="142"/>
        <v>40213</v>
      </c>
      <c r="C1673" s="9" t="s">
        <v>350</v>
      </c>
      <c r="D1673">
        <v>10021463511</v>
      </c>
      <c r="E1673" t="s">
        <v>47</v>
      </c>
      <c r="F1673" t="s">
        <v>61</v>
      </c>
      <c r="G1673" t="s">
        <v>62</v>
      </c>
      <c r="H1673" t="s">
        <v>1369</v>
      </c>
      <c r="I1673" t="s">
        <v>1370</v>
      </c>
      <c r="J1673" t="s">
        <v>367</v>
      </c>
      <c r="K1673" s="3">
        <v>100924644091</v>
      </c>
      <c r="L1673" s="10">
        <v>40214</v>
      </c>
      <c r="M1673">
        <v>75.26</v>
      </c>
      <c r="N1673" s="11">
        <v>9</v>
      </c>
      <c r="O1673" s="12">
        <v>7.64</v>
      </c>
      <c r="P1673" s="12">
        <v>5.83</v>
      </c>
      <c r="Q1673" s="13">
        <v>-17.24</v>
      </c>
      <c r="R1673" s="36" t="s">
        <v>202</v>
      </c>
      <c r="S1673" s="7">
        <f t="shared" si="141"/>
        <v>1</v>
      </c>
      <c r="T1673" s="15" t="str">
        <f>VLOOKUP(R1673,产品分类!$C$2:$D$1278,2,0)</f>
        <v>办公用品</v>
      </c>
    </row>
    <row r="1674" spans="1:20">
      <c r="A1674" s="8">
        <f t="shared" si="142"/>
        <v>40213</v>
      </c>
      <c r="B1674" s="8">
        <f t="shared" si="142"/>
        <v>40213</v>
      </c>
      <c r="C1674" s="9" t="s">
        <v>350</v>
      </c>
      <c r="D1674">
        <v>10021341923</v>
      </c>
      <c r="E1674" t="s">
        <v>47</v>
      </c>
      <c r="F1674" t="s">
        <v>61</v>
      </c>
      <c r="G1674" t="s">
        <v>62</v>
      </c>
      <c r="H1674" t="s">
        <v>1369</v>
      </c>
      <c r="I1674" t="s">
        <v>1370</v>
      </c>
      <c r="J1674" t="s">
        <v>367</v>
      </c>
      <c r="K1674" s="3">
        <v>100827580882</v>
      </c>
      <c r="L1674" s="10">
        <v>40214</v>
      </c>
      <c r="M1674">
        <v>407.116</v>
      </c>
      <c r="N1674" s="11">
        <v>7</v>
      </c>
      <c r="O1674" s="12">
        <v>65.99</v>
      </c>
      <c r="P1674" s="12">
        <v>19.99</v>
      </c>
      <c r="Q1674" s="13">
        <v>-289.806</v>
      </c>
      <c r="R1674" s="36" t="s">
        <v>1719</v>
      </c>
      <c r="S1674" s="7">
        <f t="shared" si="141"/>
        <v>1</v>
      </c>
      <c r="T1674" s="15" t="str">
        <f>VLOOKUP(R1674,产品分类!$C$2:$D$1278,2,0)</f>
        <v>办公用品</v>
      </c>
    </row>
    <row r="1675" spans="1:20">
      <c r="A1675" s="8">
        <f>DATE(2012,12,31)-103</f>
        <v>41171</v>
      </c>
      <c r="B1675" s="8">
        <f>DATE(2012,12,31)-103</f>
        <v>41171</v>
      </c>
      <c r="C1675" s="9" t="s">
        <v>1126</v>
      </c>
      <c r="D1675">
        <v>10021288479</v>
      </c>
      <c r="E1675" t="s">
        <v>47</v>
      </c>
      <c r="F1675" t="s">
        <v>61</v>
      </c>
      <c r="G1675" t="s">
        <v>62</v>
      </c>
      <c r="H1675" t="s">
        <v>1369</v>
      </c>
      <c r="I1675" t="s">
        <v>1370</v>
      </c>
      <c r="J1675" t="s">
        <v>367</v>
      </c>
      <c r="K1675" s="3">
        <v>100118679496</v>
      </c>
      <c r="L1675" s="10">
        <v>41171</v>
      </c>
      <c r="M1675">
        <v>8009.5925</v>
      </c>
      <c r="N1675" s="11">
        <v>46</v>
      </c>
      <c r="O1675" s="12">
        <v>200.99</v>
      </c>
      <c r="P1675" s="12">
        <v>8.08</v>
      </c>
      <c r="Q1675" s="13">
        <v>2332.395</v>
      </c>
      <c r="R1675" s="36" t="s">
        <v>1199</v>
      </c>
      <c r="S1675" s="7">
        <f t="shared" si="141"/>
        <v>0</v>
      </c>
      <c r="T1675" s="15" t="str">
        <f>VLOOKUP(R1675,产品分类!$C$2:$D$1278,2,0)</f>
        <v>数码电子</v>
      </c>
    </row>
    <row r="1676" spans="1:20">
      <c r="A1676" s="8">
        <f>DATE(2012,12,31)-103</f>
        <v>41171</v>
      </c>
      <c r="B1676" s="8">
        <f>DATE(2012,12,31)-103</f>
        <v>41171</v>
      </c>
      <c r="C1676" s="9" t="s">
        <v>1126</v>
      </c>
      <c r="D1676">
        <v>10021416114</v>
      </c>
      <c r="E1676" t="s">
        <v>47</v>
      </c>
      <c r="F1676" t="s">
        <v>253</v>
      </c>
      <c r="G1676" t="s">
        <v>254</v>
      </c>
      <c r="H1676" t="s">
        <v>255</v>
      </c>
      <c r="I1676" t="s">
        <v>256</v>
      </c>
      <c r="J1676" t="s">
        <v>367</v>
      </c>
      <c r="K1676" s="3">
        <v>100413821474</v>
      </c>
      <c r="L1676" s="10">
        <v>41173</v>
      </c>
      <c r="M1676">
        <v>4689.66</v>
      </c>
      <c r="N1676" s="11">
        <v>23</v>
      </c>
      <c r="O1676" s="12">
        <v>194.3</v>
      </c>
      <c r="P1676" s="12">
        <v>11.54</v>
      </c>
      <c r="Q1676" s="13">
        <v>2176.19</v>
      </c>
      <c r="R1676" s="36" t="s">
        <v>1720</v>
      </c>
      <c r="S1676" s="7">
        <f t="shared" si="141"/>
        <v>2</v>
      </c>
      <c r="T1676" s="15" t="str">
        <f>VLOOKUP(R1676,产品分类!$C$2:$D$1278,2,0)</f>
        <v>数码电子</v>
      </c>
    </row>
    <row r="1677" spans="1:20">
      <c r="A1677" s="8">
        <f>DATE(2012,12,31)-783</f>
        <v>40491</v>
      </c>
      <c r="B1677" s="8">
        <f>DATE(2012,12,31)-783</f>
        <v>40491</v>
      </c>
      <c r="C1677" s="9" t="s">
        <v>448</v>
      </c>
      <c r="D1677">
        <v>10021312470</v>
      </c>
      <c r="E1677" t="s">
        <v>47</v>
      </c>
      <c r="F1677" t="s">
        <v>61</v>
      </c>
      <c r="G1677" t="s">
        <v>62</v>
      </c>
      <c r="H1677" t="s">
        <v>1369</v>
      </c>
      <c r="I1677" t="s">
        <v>1370</v>
      </c>
      <c r="J1677" t="s">
        <v>367</v>
      </c>
      <c r="K1677" s="3">
        <v>100425611933</v>
      </c>
      <c r="L1677" s="10">
        <v>40493</v>
      </c>
      <c r="M1677">
        <v>49.89</v>
      </c>
      <c r="N1677" s="11">
        <v>9</v>
      </c>
      <c r="O1677" s="12">
        <v>4.98</v>
      </c>
      <c r="P1677" s="12">
        <v>6.07</v>
      </c>
      <c r="Q1677" s="13">
        <v>-30.84</v>
      </c>
      <c r="R1677" s="36" t="s">
        <v>1586</v>
      </c>
      <c r="S1677" s="7">
        <f t="shared" si="141"/>
        <v>2</v>
      </c>
      <c r="T1677" s="15" t="str">
        <f>VLOOKUP(R1677,产品分类!$C$2:$D$1278,2,0)</f>
        <v>家具产品</v>
      </c>
    </row>
    <row r="1678" spans="1:20">
      <c r="A1678" s="8">
        <f>DATE(2012,12,31)-783</f>
        <v>40491</v>
      </c>
      <c r="B1678" s="8">
        <f>DATE(2012,12,31)-783</f>
        <v>40491</v>
      </c>
      <c r="C1678" s="9" t="s">
        <v>448</v>
      </c>
      <c r="D1678">
        <v>10021279847</v>
      </c>
      <c r="E1678" t="s">
        <v>47</v>
      </c>
      <c r="F1678" t="s">
        <v>61</v>
      </c>
      <c r="G1678" t="s">
        <v>62</v>
      </c>
      <c r="H1678" t="s">
        <v>1369</v>
      </c>
      <c r="I1678" t="s">
        <v>1370</v>
      </c>
      <c r="J1678" t="s">
        <v>367</v>
      </c>
      <c r="K1678" s="3">
        <v>10047882933</v>
      </c>
      <c r="L1678" s="10">
        <v>40491</v>
      </c>
      <c r="M1678">
        <v>1831.529</v>
      </c>
      <c r="N1678" s="11">
        <v>25</v>
      </c>
      <c r="O1678" s="12">
        <v>85.99</v>
      </c>
      <c r="P1678" s="12">
        <v>0.99</v>
      </c>
      <c r="Q1678" s="13">
        <v>-139.975</v>
      </c>
      <c r="R1678" s="36" t="s">
        <v>228</v>
      </c>
      <c r="S1678" s="7">
        <f t="shared" si="141"/>
        <v>0</v>
      </c>
      <c r="T1678" s="15" t="str">
        <f>VLOOKUP(R1678,产品分类!$C$2:$D$1278,2,0)</f>
        <v>数码电子</v>
      </c>
    </row>
    <row r="1679" spans="1:20">
      <c r="A1679" s="8">
        <f>DATE(2012,12,31)-1207</f>
        <v>40067</v>
      </c>
      <c r="B1679" s="8">
        <f>DATE(2012,12,31)-1207</f>
        <v>40067</v>
      </c>
      <c r="C1679" s="9" t="s">
        <v>1721</v>
      </c>
      <c r="D1679">
        <v>10021454418</v>
      </c>
      <c r="E1679" t="s">
        <v>47</v>
      </c>
      <c r="F1679" t="s">
        <v>83</v>
      </c>
      <c r="G1679" t="s">
        <v>84</v>
      </c>
      <c r="H1679" t="s">
        <v>1259</v>
      </c>
      <c r="I1679" t="s">
        <v>1260</v>
      </c>
      <c r="J1679" t="s">
        <v>367</v>
      </c>
      <c r="K1679" s="3">
        <v>100132987047</v>
      </c>
      <c r="L1679" s="10">
        <v>40067</v>
      </c>
      <c r="M1679">
        <v>17.59</v>
      </c>
      <c r="N1679" s="11">
        <v>1</v>
      </c>
      <c r="O1679" s="12">
        <v>2.61</v>
      </c>
      <c r="P1679" s="12">
        <v>0.5</v>
      </c>
      <c r="Q1679" s="13">
        <v>10.85</v>
      </c>
      <c r="R1679" s="36" t="s">
        <v>624</v>
      </c>
      <c r="S1679" s="7">
        <f t="shared" si="141"/>
        <v>0</v>
      </c>
      <c r="T1679" s="15" t="str">
        <f>VLOOKUP(R1679,产品分类!$C$2:$D$1278,2,0)</f>
        <v>数码电子</v>
      </c>
    </row>
    <row r="1680" spans="1:20">
      <c r="A1680" s="8">
        <f>DATE(2012,12,31)-1207</f>
        <v>40067</v>
      </c>
      <c r="B1680" s="8">
        <f>DATE(2012,12,31)-1207</f>
        <v>40067</v>
      </c>
      <c r="C1680" s="9" t="s">
        <v>1721</v>
      </c>
      <c r="D1680">
        <v>10021442023</v>
      </c>
      <c r="E1680" t="s">
        <v>47</v>
      </c>
      <c r="F1680" t="s">
        <v>66</v>
      </c>
      <c r="G1680" t="s">
        <v>67</v>
      </c>
      <c r="H1680" t="s">
        <v>1435</v>
      </c>
      <c r="I1680" t="s">
        <v>1436</v>
      </c>
      <c r="J1680" t="s">
        <v>367</v>
      </c>
      <c r="K1680" s="3">
        <v>100432982754</v>
      </c>
      <c r="L1680" s="10">
        <v>40069</v>
      </c>
      <c r="M1680">
        <v>308.81</v>
      </c>
      <c r="N1680" s="11">
        <v>48</v>
      </c>
      <c r="O1680" s="12">
        <v>6.35</v>
      </c>
      <c r="P1680" s="12">
        <v>1.02</v>
      </c>
      <c r="Q1680" s="13">
        <v>128.28</v>
      </c>
      <c r="R1680" s="36" t="s">
        <v>1265</v>
      </c>
      <c r="S1680" s="7">
        <f t="shared" si="141"/>
        <v>2</v>
      </c>
      <c r="T1680" s="15" t="str">
        <f>VLOOKUP(R1680,产品分类!$C$2:$D$1278,2,0)</f>
        <v>家具产品</v>
      </c>
    </row>
    <row r="1681" spans="1:20">
      <c r="A1681" s="8">
        <f>DATE(2012,12,31)-6</f>
        <v>41268</v>
      </c>
      <c r="B1681" s="8">
        <f>DATE(2012,12,31)-6</f>
        <v>41268</v>
      </c>
      <c r="C1681" s="9" t="s">
        <v>213</v>
      </c>
      <c r="D1681">
        <v>10021327424</v>
      </c>
      <c r="E1681" t="s">
        <v>47</v>
      </c>
      <c r="F1681" t="s">
        <v>61</v>
      </c>
      <c r="G1681" t="s">
        <v>62</v>
      </c>
      <c r="H1681" t="s">
        <v>1369</v>
      </c>
      <c r="I1681" t="s">
        <v>1370</v>
      </c>
      <c r="J1681" t="s">
        <v>367</v>
      </c>
      <c r="K1681" s="3">
        <v>100432848924</v>
      </c>
      <c r="L1681" s="10">
        <v>41271</v>
      </c>
      <c r="M1681">
        <v>4852.05</v>
      </c>
      <c r="N1681" s="11">
        <v>36</v>
      </c>
      <c r="O1681" s="12">
        <v>122.99</v>
      </c>
      <c r="P1681" s="12">
        <v>70.2</v>
      </c>
      <c r="Q1681" s="13">
        <v>-1197.58</v>
      </c>
      <c r="R1681" s="36" t="s">
        <v>860</v>
      </c>
      <c r="S1681" s="7">
        <f t="shared" si="141"/>
        <v>3</v>
      </c>
      <c r="T1681" s="15" t="str">
        <f>VLOOKUP(R1681,产品分类!$C$2:$D$1278,2,0)</f>
        <v>办公用品</v>
      </c>
    </row>
    <row r="1682" spans="1:20">
      <c r="A1682" s="8">
        <f>DATE(2012,12,31)-388</f>
        <v>40886</v>
      </c>
      <c r="B1682" s="8">
        <f>DATE(2012,12,31)-388</f>
        <v>40886</v>
      </c>
      <c r="C1682" s="9" t="s">
        <v>1722</v>
      </c>
      <c r="D1682">
        <v>10021435495</v>
      </c>
      <c r="E1682" t="s">
        <v>47</v>
      </c>
      <c r="F1682" t="s">
        <v>61</v>
      </c>
      <c r="G1682" t="s">
        <v>62</v>
      </c>
      <c r="H1682" t="s">
        <v>1369</v>
      </c>
      <c r="I1682" t="s">
        <v>1370</v>
      </c>
      <c r="J1682" t="s">
        <v>367</v>
      </c>
      <c r="K1682" s="3">
        <v>100932963971</v>
      </c>
      <c r="L1682" s="10">
        <v>40889</v>
      </c>
      <c r="M1682">
        <v>686.2</v>
      </c>
      <c r="N1682" s="11">
        <v>37</v>
      </c>
      <c r="O1682" s="12">
        <v>18.84</v>
      </c>
      <c r="P1682" s="12">
        <v>3.62</v>
      </c>
      <c r="Q1682" s="13">
        <v>290.2</v>
      </c>
      <c r="R1682" s="36" t="s">
        <v>1723</v>
      </c>
      <c r="S1682" s="7">
        <f t="shared" si="141"/>
        <v>3</v>
      </c>
      <c r="T1682" s="15" t="str">
        <f>VLOOKUP(R1682,产品分类!$C$2:$D$1278,2,0)</f>
        <v>办公用品</v>
      </c>
    </row>
    <row r="1683" spans="1:20">
      <c r="A1683" s="8">
        <f>DATE(2012,12,31)-388</f>
        <v>40886</v>
      </c>
      <c r="B1683" s="8">
        <f>DATE(2012,12,31)-388</f>
        <v>40886</v>
      </c>
      <c r="C1683" s="9" t="s">
        <v>1722</v>
      </c>
      <c r="D1683">
        <v>10021354625</v>
      </c>
      <c r="E1683" t="s">
        <v>47</v>
      </c>
      <c r="F1683" t="s">
        <v>152</v>
      </c>
      <c r="G1683" t="s">
        <v>153</v>
      </c>
      <c r="H1683" t="s">
        <v>1640</v>
      </c>
      <c r="I1683" t="s">
        <v>1641</v>
      </c>
      <c r="J1683" t="s">
        <v>367</v>
      </c>
      <c r="K1683" s="3">
        <v>100732863125</v>
      </c>
      <c r="L1683" s="10">
        <v>40889</v>
      </c>
      <c r="M1683">
        <v>1274.5155</v>
      </c>
      <c r="N1683" s="11">
        <v>42</v>
      </c>
      <c r="O1683" s="12">
        <v>35.99</v>
      </c>
      <c r="P1683" s="12">
        <v>5.99</v>
      </c>
      <c r="Q1683" s="13">
        <v>444.15</v>
      </c>
      <c r="R1683" s="36" t="s">
        <v>1664</v>
      </c>
      <c r="S1683" s="7">
        <f t="shared" si="141"/>
        <v>3</v>
      </c>
      <c r="T1683" s="15" t="str">
        <f>VLOOKUP(R1683,产品分类!$C$2:$D$1278,2,0)</f>
        <v>数码电子</v>
      </c>
    </row>
    <row r="1684" spans="1:20">
      <c r="A1684" s="8">
        <f t="shared" ref="A1684:B1686" si="143">DATE(2012,12,31)-750</f>
        <v>40524</v>
      </c>
      <c r="B1684" s="8">
        <f t="shared" si="143"/>
        <v>40524</v>
      </c>
      <c r="C1684" s="9" t="s">
        <v>1348</v>
      </c>
      <c r="D1684">
        <v>10021330211</v>
      </c>
      <c r="E1684" t="s">
        <v>47</v>
      </c>
      <c r="F1684" t="s">
        <v>97</v>
      </c>
      <c r="G1684" t="s">
        <v>98</v>
      </c>
      <c r="H1684" t="s">
        <v>99</v>
      </c>
      <c r="I1684" t="s">
        <v>98</v>
      </c>
      <c r="J1684" t="s">
        <v>367</v>
      </c>
      <c r="K1684" s="3">
        <v>100132858068</v>
      </c>
      <c r="L1684" s="10">
        <v>40529</v>
      </c>
      <c r="M1684">
        <v>10341.47</v>
      </c>
      <c r="N1684" s="11">
        <v>48</v>
      </c>
      <c r="O1684" s="12">
        <v>208.16</v>
      </c>
      <c r="P1684" s="12">
        <v>68.02</v>
      </c>
      <c r="Q1684" s="13">
        <v>865.02</v>
      </c>
      <c r="R1684" s="36" t="s">
        <v>574</v>
      </c>
      <c r="S1684" s="7">
        <f t="shared" si="141"/>
        <v>5</v>
      </c>
      <c r="T1684" s="15" t="str">
        <f>VLOOKUP(R1684,产品分类!$C$2:$D$1278,2,0)</f>
        <v>办公用品</v>
      </c>
    </row>
    <row r="1685" spans="1:20">
      <c r="A1685" s="8">
        <f t="shared" si="143"/>
        <v>40524</v>
      </c>
      <c r="B1685" s="8">
        <f t="shared" si="143"/>
        <v>40524</v>
      </c>
      <c r="C1685" s="9" t="s">
        <v>1348</v>
      </c>
      <c r="D1685">
        <v>10021326884</v>
      </c>
      <c r="E1685" t="s">
        <v>47</v>
      </c>
      <c r="F1685" t="s">
        <v>102</v>
      </c>
      <c r="G1685" t="s">
        <v>103</v>
      </c>
      <c r="H1685" t="s">
        <v>1217</v>
      </c>
      <c r="I1685" t="s">
        <v>1218</v>
      </c>
      <c r="J1685" t="s">
        <v>367</v>
      </c>
      <c r="K1685" s="3">
        <v>100132847727</v>
      </c>
      <c r="L1685" s="10">
        <v>40528</v>
      </c>
      <c r="M1685">
        <v>55.21</v>
      </c>
      <c r="N1685" s="11">
        <v>2</v>
      </c>
      <c r="O1685" s="12">
        <v>24.98</v>
      </c>
      <c r="P1685" s="12">
        <v>8.79</v>
      </c>
      <c r="Q1685" s="13">
        <v>-45.3</v>
      </c>
      <c r="R1685" s="36" t="s">
        <v>1170</v>
      </c>
      <c r="S1685" s="7">
        <f t="shared" si="141"/>
        <v>4</v>
      </c>
      <c r="T1685" s="15" t="str">
        <f>VLOOKUP(R1685,产品分类!$C$2:$D$1278,2,0)</f>
        <v>数码电子</v>
      </c>
    </row>
    <row r="1686" spans="1:20">
      <c r="A1686" s="8">
        <f t="shared" si="143"/>
        <v>40524</v>
      </c>
      <c r="B1686" s="8">
        <f t="shared" si="143"/>
        <v>40524</v>
      </c>
      <c r="C1686" s="9" t="s">
        <v>1348</v>
      </c>
      <c r="D1686">
        <v>10021346152</v>
      </c>
      <c r="E1686" t="s">
        <v>47</v>
      </c>
      <c r="F1686" t="s">
        <v>72</v>
      </c>
      <c r="G1686" t="s">
        <v>73</v>
      </c>
      <c r="H1686" t="s">
        <v>1572</v>
      </c>
      <c r="I1686" t="s">
        <v>1573</v>
      </c>
      <c r="J1686" t="s">
        <v>367</v>
      </c>
      <c r="K1686" s="3">
        <v>100130552636</v>
      </c>
      <c r="L1686" s="10">
        <v>40529</v>
      </c>
      <c r="M1686">
        <v>38.3</v>
      </c>
      <c r="N1686" s="11">
        <v>9</v>
      </c>
      <c r="O1686" s="12">
        <v>3.36</v>
      </c>
      <c r="P1686" s="12">
        <v>6.27</v>
      </c>
      <c r="Q1686" s="13">
        <v>-42.4925</v>
      </c>
      <c r="R1686" s="36" t="s">
        <v>1630</v>
      </c>
      <c r="S1686" s="7">
        <f t="shared" si="141"/>
        <v>5</v>
      </c>
      <c r="T1686" s="15" t="str">
        <f>VLOOKUP(R1686,产品分类!$C$2:$D$1278,2,0)</f>
        <v>办公用品</v>
      </c>
    </row>
    <row r="1687" spans="1:20">
      <c r="A1687" s="8">
        <f>DATE(2012,12,31)-671</f>
        <v>40603</v>
      </c>
      <c r="B1687" s="8">
        <f>DATE(2012,12,31)-671</f>
        <v>40603</v>
      </c>
      <c r="C1687" s="9" t="s">
        <v>781</v>
      </c>
      <c r="D1687">
        <v>10021430552</v>
      </c>
      <c r="E1687" t="s">
        <v>47</v>
      </c>
      <c r="F1687" t="s">
        <v>177</v>
      </c>
      <c r="G1687" t="s">
        <v>178</v>
      </c>
      <c r="H1687" t="s">
        <v>1292</v>
      </c>
      <c r="I1687" t="s">
        <v>1293</v>
      </c>
      <c r="J1687" t="s">
        <v>367</v>
      </c>
      <c r="K1687" s="3">
        <v>100128750657</v>
      </c>
      <c r="L1687" s="10">
        <v>40604</v>
      </c>
      <c r="M1687">
        <v>3355.154</v>
      </c>
      <c r="N1687" s="11">
        <v>19</v>
      </c>
      <c r="O1687" s="12">
        <v>195.99</v>
      </c>
      <c r="P1687" s="12">
        <v>3.99</v>
      </c>
      <c r="Q1687" s="13">
        <v>658.503</v>
      </c>
      <c r="R1687" s="36" t="s">
        <v>267</v>
      </c>
      <c r="S1687" s="7">
        <f t="shared" si="141"/>
        <v>1</v>
      </c>
      <c r="T1687" s="15" t="str">
        <f>VLOOKUP(R1687,产品分类!$C$2:$D$1278,2,0)</f>
        <v>办公用品</v>
      </c>
    </row>
    <row r="1688" spans="1:20">
      <c r="A1688" s="8">
        <f>DATE(2012,12,31)-943</f>
        <v>40331</v>
      </c>
      <c r="B1688" s="8">
        <f>DATE(2012,12,31)-943</f>
        <v>40331</v>
      </c>
      <c r="C1688" s="9" t="s">
        <v>783</v>
      </c>
      <c r="D1688">
        <v>10021257583</v>
      </c>
      <c r="E1688" t="s">
        <v>47</v>
      </c>
      <c r="F1688" t="s">
        <v>177</v>
      </c>
      <c r="G1688" t="s">
        <v>178</v>
      </c>
      <c r="H1688" t="s">
        <v>1292</v>
      </c>
      <c r="I1688" t="s">
        <v>1293</v>
      </c>
      <c r="J1688" t="s">
        <v>367</v>
      </c>
      <c r="K1688" s="3">
        <v>100126547646</v>
      </c>
      <c r="L1688" s="10">
        <v>40332</v>
      </c>
      <c r="M1688">
        <v>599.52</v>
      </c>
      <c r="N1688" s="11">
        <v>32</v>
      </c>
      <c r="O1688" s="12">
        <v>17.98</v>
      </c>
      <c r="P1688" s="12">
        <v>8.51</v>
      </c>
      <c r="Q1688" s="13">
        <v>25.14</v>
      </c>
      <c r="R1688" s="36" t="s">
        <v>1430</v>
      </c>
      <c r="S1688" s="7">
        <f t="shared" si="141"/>
        <v>1</v>
      </c>
      <c r="T1688" s="15" t="str">
        <f>VLOOKUP(R1688,产品分类!$C$2:$D$1278,2,0)</f>
        <v>办公用品</v>
      </c>
    </row>
    <row r="1689" spans="1:20">
      <c r="A1689" s="8">
        <f>DATE(2012,12,31)-943</f>
        <v>40331</v>
      </c>
      <c r="B1689" s="8">
        <f>DATE(2012,12,31)-943</f>
        <v>40331</v>
      </c>
      <c r="C1689" s="9" t="s">
        <v>783</v>
      </c>
      <c r="D1689">
        <v>10021269730</v>
      </c>
      <c r="E1689" t="s">
        <v>47</v>
      </c>
      <c r="F1689" t="s">
        <v>61</v>
      </c>
      <c r="G1689" t="s">
        <v>62</v>
      </c>
      <c r="H1689" t="s">
        <v>1369</v>
      </c>
      <c r="I1689" t="s">
        <v>1370</v>
      </c>
      <c r="J1689" t="s">
        <v>367</v>
      </c>
      <c r="K1689" s="3">
        <v>100132458846</v>
      </c>
      <c r="L1689" s="10">
        <v>40331</v>
      </c>
      <c r="M1689">
        <v>10330.94</v>
      </c>
      <c r="N1689" s="11">
        <v>25</v>
      </c>
      <c r="O1689" s="12">
        <v>419.19</v>
      </c>
      <c r="P1689" s="12">
        <v>19.99</v>
      </c>
      <c r="Q1689" s="13">
        <v>2914.56</v>
      </c>
      <c r="R1689" s="36" t="s">
        <v>1223</v>
      </c>
      <c r="S1689" s="7">
        <f t="shared" si="141"/>
        <v>0</v>
      </c>
      <c r="T1689" s="15" t="str">
        <f>VLOOKUP(R1689,产品分类!$C$2:$D$1278,2,0)</f>
        <v>办公用品</v>
      </c>
    </row>
    <row r="1690" spans="1:20">
      <c r="A1690" s="8">
        <f>DATE(2012,12,31)-383</f>
        <v>40891</v>
      </c>
      <c r="B1690" s="8">
        <f>DATE(2012,12,31)-383</f>
        <v>40891</v>
      </c>
      <c r="C1690" s="9" t="s">
        <v>464</v>
      </c>
      <c r="D1690">
        <v>10021436040</v>
      </c>
      <c r="E1690" t="s">
        <v>47</v>
      </c>
      <c r="F1690" t="s">
        <v>66</v>
      </c>
      <c r="G1690" t="s">
        <v>67</v>
      </c>
      <c r="H1690" t="s">
        <v>1435</v>
      </c>
      <c r="I1690" t="s">
        <v>1436</v>
      </c>
      <c r="J1690" t="s">
        <v>367</v>
      </c>
      <c r="K1690" s="3">
        <v>100320248149</v>
      </c>
      <c r="L1690" s="10">
        <v>40896</v>
      </c>
      <c r="M1690">
        <v>19</v>
      </c>
      <c r="N1690" s="11">
        <v>2</v>
      </c>
      <c r="O1690" s="12">
        <v>6.54</v>
      </c>
      <c r="P1690" s="12">
        <v>5.27</v>
      </c>
      <c r="Q1690" s="13">
        <v>-10.7295</v>
      </c>
      <c r="R1690" s="36" t="s">
        <v>196</v>
      </c>
      <c r="S1690" s="7">
        <f t="shared" si="141"/>
        <v>5</v>
      </c>
      <c r="T1690" s="15" t="str">
        <f>VLOOKUP(R1690,产品分类!$C$2:$D$1278,2,0)</f>
        <v>办公用品</v>
      </c>
    </row>
    <row r="1691" spans="1:20">
      <c r="A1691" s="8">
        <f>DATE(2012,12,31)-383</f>
        <v>40891</v>
      </c>
      <c r="B1691" s="8">
        <f>DATE(2012,12,31)-383</f>
        <v>40891</v>
      </c>
      <c r="C1691" s="9" t="s">
        <v>464</v>
      </c>
      <c r="D1691">
        <v>10021456320</v>
      </c>
      <c r="E1691" t="s">
        <v>47</v>
      </c>
      <c r="F1691" t="s">
        <v>72</v>
      </c>
      <c r="G1691" t="s">
        <v>73</v>
      </c>
      <c r="H1691" t="s">
        <v>1572</v>
      </c>
      <c r="I1691" t="s">
        <v>1573</v>
      </c>
      <c r="J1691" t="s">
        <v>367</v>
      </c>
      <c r="K1691" s="3">
        <v>100131493028</v>
      </c>
      <c r="L1691" s="10">
        <v>40895</v>
      </c>
      <c r="M1691">
        <v>8289.51</v>
      </c>
      <c r="N1691" s="11">
        <v>50</v>
      </c>
      <c r="O1691" s="12">
        <v>155.06</v>
      </c>
      <c r="P1691" s="12">
        <v>7.07</v>
      </c>
      <c r="Q1691" s="13">
        <v>3051.62</v>
      </c>
      <c r="R1691" s="36" t="s">
        <v>1160</v>
      </c>
      <c r="S1691" s="7">
        <f t="shared" si="141"/>
        <v>4</v>
      </c>
      <c r="T1691" s="15" t="str">
        <f>VLOOKUP(R1691,产品分类!$C$2:$D$1278,2,0)</f>
        <v>数码电子</v>
      </c>
    </row>
    <row r="1692" spans="1:20">
      <c r="A1692" s="8">
        <f>DATE(2012,12,31)-1115</f>
        <v>40159</v>
      </c>
      <c r="B1692" s="8">
        <f>DATE(2012,12,31)-1115</f>
        <v>40159</v>
      </c>
      <c r="C1692" s="9" t="s">
        <v>551</v>
      </c>
      <c r="D1692">
        <v>10021398674</v>
      </c>
      <c r="E1692" t="s">
        <v>47</v>
      </c>
      <c r="F1692" t="s">
        <v>72</v>
      </c>
      <c r="G1692" t="s">
        <v>73</v>
      </c>
      <c r="H1692" t="s">
        <v>1572</v>
      </c>
      <c r="I1692" t="s">
        <v>1573</v>
      </c>
      <c r="J1692" t="s">
        <v>367</v>
      </c>
      <c r="K1692" s="3">
        <v>100132923597</v>
      </c>
      <c r="L1692" s="10">
        <v>40161</v>
      </c>
      <c r="M1692">
        <v>302.91</v>
      </c>
      <c r="N1692" s="11">
        <v>2</v>
      </c>
      <c r="O1692" s="12">
        <v>124.49</v>
      </c>
      <c r="P1692" s="12">
        <v>51.94</v>
      </c>
      <c r="Q1692" s="13">
        <v>-186.129</v>
      </c>
      <c r="R1692" s="36" t="s">
        <v>237</v>
      </c>
      <c r="S1692" s="7">
        <f t="shared" si="141"/>
        <v>2</v>
      </c>
      <c r="T1692" s="15" t="str">
        <f>VLOOKUP(R1692,产品分类!$C$2:$D$1278,2,0)</f>
        <v>数码电子</v>
      </c>
    </row>
    <row r="1693" spans="1:20">
      <c r="A1693" s="8">
        <f>DATE(2012,12,31)-1115</f>
        <v>40159</v>
      </c>
      <c r="B1693" s="8">
        <f>DATE(2012,12,31)-1115</f>
        <v>40159</v>
      </c>
      <c r="C1693" s="9" t="s">
        <v>551</v>
      </c>
      <c r="D1693">
        <v>10021316098</v>
      </c>
      <c r="E1693" t="s">
        <v>47</v>
      </c>
      <c r="F1693" t="s">
        <v>230</v>
      </c>
      <c r="G1693" t="s">
        <v>231</v>
      </c>
      <c r="H1693" t="s">
        <v>1465</v>
      </c>
      <c r="I1693" t="s">
        <v>1466</v>
      </c>
      <c r="J1693" t="s">
        <v>367</v>
      </c>
      <c r="K1693" s="3">
        <v>100832177802</v>
      </c>
      <c r="L1693" s="10">
        <v>40159</v>
      </c>
      <c r="M1693">
        <v>842.6135</v>
      </c>
      <c r="N1693" s="11">
        <v>29</v>
      </c>
      <c r="O1693" s="12">
        <v>35.99</v>
      </c>
      <c r="P1693" s="12">
        <v>5</v>
      </c>
      <c r="Q1693" s="13">
        <v>-208.428</v>
      </c>
      <c r="R1693" s="36" t="s">
        <v>1724</v>
      </c>
      <c r="S1693" s="7">
        <f t="shared" si="141"/>
        <v>0</v>
      </c>
      <c r="T1693" s="15" t="str">
        <f>VLOOKUP(R1693,产品分类!$C$2:$D$1278,2,0)</f>
        <v>办公用品</v>
      </c>
    </row>
    <row r="1694" spans="1:20">
      <c r="A1694" s="8">
        <f>DATE(2012,12,31)-1285</f>
        <v>39989</v>
      </c>
      <c r="B1694" s="8">
        <f>DATE(2012,12,31)-1285</f>
        <v>39989</v>
      </c>
      <c r="C1694" s="9" t="s">
        <v>1725</v>
      </c>
      <c r="D1694">
        <v>10021355508</v>
      </c>
      <c r="E1694" t="s">
        <v>47</v>
      </c>
      <c r="F1694" t="s">
        <v>122</v>
      </c>
      <c r="G1694" t="s">
        <v>123</v>
      </c>
      <c r="H1694" t="s">
        <v>124</v>
      </c>
      <c r="I1694" t="s">
        <v>125</v>
      </c>
      <c r="J1694" t="s">
        <v>367</v>
      </c>
      <c r="K1694" s="3">
        <v>100132867707</v>
      </c>
      <c r="L1694" s="10">
        <v>39992</v>
      </c>
      <c r="M1694">
        <v>159.51</v>
      </c>
      <c r="N1694" s="11">
        <v>1</v>
      </c>
      <c r="O1694" s="12">
        <v>130.98</v>
      </c>
      <c r="P1694" s="12">
        <v>30</v>
      </c>
      <c r="Q1694" s="13">
        <v>-103.63</v>
      </c>
      <c r="R1694" s="36" t="s">
        <v>1025</v>
      </c>
      <c r="S1694" s="7">
        <f t="shared" si="141"/>
        <v>3</v>
      </c>
      <c r="T1694" s="15" t="str">
        <f>VLOOKUP(R1694,产品分类!$C$2:$D$1278,2,0)</f>
        <v>办公用品</v>
      </c>
    </row>
    <row r="1695" spans="1:20">
      <c r="A1695" s="8">
        <f>DATE(2012,12,31)-1285</f>
        <v>39989</v>
      </c>
      <c r="B1695" s="8">
        <f>DATE(2012,12,31)-1285</f>
        <v>39989</v>
      </c>
      <c r="C1695" s="9" t="s">
        <v>1725</v>
      </c>
      <c r="D1695">
        <v>10021491737</v>
      </c>
      <c r="E1695" t="s">
        <v>47</v>
      </c>
      <c r="F1695" t="s">
        <v>527</v>
      </c>
      <c r="G1695" t="s">
        <v>528</v>
      </c>
      <c r="H1695" t="s">
        <v>1676</v>
      </c>
      <c r="I1695" t="s">
        <v>1677</v>
      </c>
      <c r="J1695" t="s">
        <v>367</v>
      </c>
      <c r="K1695" s="3">
        <v>100430207404</v>
      </c>
      <c r="L1695" s="10">
        <v>39989</v>
      </c>
      <c r="M1695">
        <v>5015.051</v>
      </c>
      <c r="N1695" s="11">
        <v>30</v>
      </c>
      <c r="O1695" s="12">
        <v>200.99</v>
      </c>
      <c r="P1695" s="12">
        <v>4.2</v>
      </c>
      <c r="Q1695" s="13">
        <v>1090.431</v>
      </c>
      <c r="R1695" s="36" t="s">
        <v>779</v>
      </c>
      <c r="S1695" s="7">
        <f t="shared" si="141"/>
        <v>0</v>
      </c>
      <c r="T1695" s="15" t="str">
        <f>VLOOKUP(R1695,产品分类!$C$2:$D$1278,2,0)</f>
        <v>家具产品</v>
      </c>
    </row>
    <row r="1696" spans="1:20">
      <c r="A1696" s="8">
        <f>DATE(2012,12,31)-13</f>
        <v>41261</v>
      </c>
      <c r="B1696" s="8">
        <f>DATE(2012,12,31)-13</f>
        <v>41261</v>
      </c>
      <c r="C1696" s="9" t="s">
        <v>551</v>
      </c>
      <c r="D1696">
        <v>10021330389</v>
      </c>
      <c r="E1696" t="s">
        <v>47</v>
      </c>
      <c r="F1696" t="s">
        <v>61</v>
      </c>
      <c r="G1696" t="s">
        <v>62</v>
      </c>
      <c r="H1696" t="s">
        <v>1369</v>
      </c>
      <c r="I1696" t="s">
        <v>1370</v>
      </c>
      <c r="J1696" t="s">
        <v>367</v>
      </c>
      <c r="K1696" s="3">
        <v>100732858725</v>
      </c>
      <c r="L1696" s="10">
        <v>41263</v>
      </c>
      <c r="M1696">
        <v>117.97</v>
      </c>
      <c r="N1696" s="11">
        <v>44</v>
      </c>
      <c r="O1696" s="12">
        <v>2.88</v>
      </c>
      <c r="P1696" s="12">
        <v>0.5</v>
      </c>
      <c r="Q1696" s="13">
        <v>44.59</v>
      </c>
      <c r="R1696" s="36" t="s">
        <v>967</v>
      </c>
      <c r="S1696" s="7">
        <f t="shared" si="141"/>
        <v>2</v>
      </c>
      <c r="T1696" s="15" t="str">
        <f>VLOOKUP(R1696,产品分类!$C$2:$D$1278,2,0)</f>
        <v>数码电子</v>
      </c>
    </row>
    <row r="1697" spans="1:20">
      <c r="A1697" s="8">
        <f t="shared" ref="A1697:B1700" si="144">DATE(2012,12,31)-1127</f>
        <v>40147</v>
      </c>
      <c r="B1697" s="8">
        <f t="shared" si="144"/>
        <v>40147</v>
      </c>
      <c r="C1697" s="9" t="s">
        <v>400</v>
      </c>
      <c r="D1697">
        <v>10021292468</v>
      </c>
      <c r="E1697" t="s">
        <v>47</v>
      </c>
      <c r="F1697" t="s">
        <v>61</v>
      </c>
      <c r="G1697" t="s">
        <v>62</v>
      </c>
      <c r="H1697" t="s">
        <v>1369</v>
      </c>
      <c r="I1697" t="s">
        <v>1370</v>
      </c>
      <c r="J1697" t="s">
        <v>367</v>
      </c>
      <c r="K1697" s="3">
        <v>100124175227</v>
      </c>
      <c r="L1697" s="10">
        <v>40147</v>
      </c>
      <c r="M1697">
        <v>561.65</v>
      </c>
      <c r="N1697" s="11">
        <v>3</v>
      </c>
      <c r="O1697" s="12">
        <v>180.98</v>
      </c>
      <c r="P1697" s="12">
        <v>30</v>
      </c>
      <c r="Q1697" s="13">
        <v>-264.94</v>
      </c>
      <c r="R1697" s="36" t="s">
        <v>1627</v>
      </c>
      <c r="S1697" s="7">
        <f t="shared" si="141"/>
        <v>0</v>
      </c>
      <c r="T1697" s="15" t="str">
        <f>VLOOKUP(R1697,产品分类!$C$2:$D$1278,2,0)</f>
        <v>办公用品</v>
      </c>
    </row>
    <row r="1698" spans="1:20">
      <c r="A1698" s="8">
        <f t="shared" si="144"/>
        <v>40147</v>
      </c>
      <c r="B1698" s="8">
        <f t="shared" si="144"/>
        <v>40147</v>
      </c>
      <c r="C1698" s="9" t="s">
        <v>400</v>
      </c>
      <c r="D1698">
        <v>10021357550</v>
      </c>
      <c r="E1698" t="s">
        <v>47</v>
      </c>
      <c r="F1698" t="s">
        <v>61</v>
      </c>
      <c r="G1698" t="s">
        <v>62</v>
      </c>
      <c r="H1698" t="s">
        <v>1369</v>
      </c>
      <c r="I1698" t="s">
        <v>1370</v>
      </c>
      <c r="J1698" t="s">
        <v>367</v>
      </c>
      <c r="K1698" s="3">
        <v>100831538712</v>
      </c>
      <c r="L1698" s="10">
        <v>40152</v>
      </c>
      <c r="M1698">
        <v>55.6</v>
      </c>
      <c r="N1698" s="11">
        <v>2</v>
      </c>
      <c r="O1698" s="12">
        <v>3.25</v>
      </c>
      <c r="P1698" s="12">
        <v>49</v>
      </c>
      <c r="Q1698" s="13">
        <v>-52.54</v>
      </c>
      <c r="R1698" s="36" t="s">
        <v>1503</v>
      </c>
      <c r="S1698" s="7">
        <f t="shared" si="141"/>
        <v>5</v>
      </c>
      <c r="T1698" s="15" t="str">
        <f>VLOOKUP(R1698,产品分类!$C$2:$D$1278,2,0)</f>
        <v>办公用品</v>
      </c>
    </row>
    <row r="1699" spans="1:20">
      <c r="A1699" s="8">
        <f t="shared" si="144"/>
        <v>40147</v>
      </c>
      <c r="B1699" s="8">
        <f t="shared" si="144"/>
        <v>40147</v>
      </c>
      <c r="C1699" s="9" t="s">
        <v>400</v>
      </c>
      <c r="D1699">
        <v>10021278023</v>
      </c>
      <c r="E1699" t="s">
        <v>47</v>
      </c>
      <c r="F1699" t="s">
        <v>78</v>
      </c>
      <c r="G1699" t="s">
        <v>79</v>
      </c>
      <c r="H1699" t="s">
        <v>1654</v>
      </c>
      <c r="I1699" t="s">
        <v>1655</v>
      </c>
      <c r="J1699" t="s">
        <v>367</v>
      </c>
      <c r="K1699" s="3">
        <v>10071807545</v>
      </c>
      <c r="L1699" s="10">
        <v>40151</v>
      </c>
      <c r="M1699">
        <v>2431.13</v>
      </c>
      <c r="N1699" s="11">
        <v>22</v>
      </c>
      <c r="O1699" s="12">
        <v>110.98</v>
      </c>
      <c r="P1699" s="12">
        <v>13.99</v>
      </c>
      <c r="Q1699" s="13">
        <v>660.63</v>
      </c>
      <c r="R1699" s="36" t="s">
        <v>422</v>
      </c>
      <c r="S1699" s="7">
        <f t="shared" si="141"/>
        <v>4</v>
      </c>
      <c r="T1699" s="15" t="str">
        <f>VLOOKUP(R1699,产品分类!$C$2:$D$1278,2,0)</f>
        <v>数码电子</v>
      </c>
    </row>
    <row r="1700" spans="1:20">
      <c r="A1700" s="8">
        <f t="shared" si="144"/>
        <v>40147</v>
      </c>
      <c r="B1700" s="8">
        <f t="shared" si="144"/>
        <v>40147</v>
      </c>
      <c r="C1700" s="9" t="s">
        <v>400</v>
      </c>
      <c r="D1700">
        <v>10021402122</v>
      </c>
      <c r="E1700" t="s">
        <v>47</v>
      </c>
      <c r="F1700" t="s">
        <v>91</v>
      </c>
      <c r="G1700" t="s">
        <v>92</v>
      </c>
      <c r="H1700" t="s">
        <v>1412</v>
      </c>
      <c r="I1700" t="s">
        <v>1413</v>
      </c>
      <c r="J1700" t="s">
        <v>367</v>
      </c>
      <c r="K1700" s="3">
        <v>10092127521</v>
      </c>
      <c r="L1700" s="10">
        <v>40154</v>
      </c>
      <c r="M1700">
        <v>113.4</v>
      </c>
      <c r="N1700" s="11">
        <v>27</v>
      </c>
      <c r="O1700" s="12">
        <v>3.95</v>
      </c>
      <c r="P1700" s="12">
        <v>2</v>
      </c>
      <c r="Q1700" s="13">
        <v>-5.02</v>
      </c>
      <c r="R1700" s="36" t="s">
        <v>354</v>
      </c>
      <c r="S1700" s="7">
        <f t="shared" si="141"/>
        <v>7</v>
      </c>
      <c r="T1700" s="15" t="str">
        <f>VLOOKUP(R1700,产品分类!$C$2:$D$1278,2,0)</f>
        <v>办公用品</v>
      </c>
    </row>
    <row r="1701" spans="1:20">
      <c r="A1701" s="8">
        <f>DATE(2012,12,31)-1051</f>
        <v>40223</v>
      </c>
      <c r="B1701" s="8">
        <f>DATE(2012,12,31)-1051</f>
        <v>40223</v>
      </c>
      <c r="C1701" s="9" t="s">
        <v>419</v>
      </c>
      <c r="D1701">
        <v>10021376735</v>
      </c>
      <c r="E1701" t="s">
        <v>47</v>
      </c>
      <c r="F1701" t="s">
        <v>527</v>
      </c>
      <c r="G1701" t="s">
        <v>528</v>
      </c>
      <c r="H1701" t="s">
        <v>1676</v>
      </c>
      <c r="I1701" t="s">
        <v>1677</v>
      </c>
      <c r="J1701" t="s">
        <v>367</v>
      </c>
      <c r="K1701" s="3">
        <v>10018338288</v>
      </c>
      <c r="L1701" s="10">
        <v>40225</v>
      </c>
      <c r="M1701">
        <v>5007.69</v>
      </c>
      <c r="N1701" s="11">
        <v>45</v>
      </c>
      <c r="O1701" s="12">
        <v>114.98</v>
      </c>
      <c r="P1701" s="12">
        <v>51.42</v>
      </c>
      <c r="Q1701" s="13">
        <v>-899.34</v>
      </c>
      <c r="R1701" s="36" t="s">
        <v>1520</v>
      </c>
      <c r="S1701" s="7">
        <f t="shared" si="141"/>
        <v>2</v>
      </c>
      <c r="T1701" s="15" t="str">
        <f>VLOOKUP(R1701,产品分类!$C$2:$D$1278,2,0)</f>
        <v>家具产品</v>
      </c>
    </row>
    <row r="1702" spans="1:20">
      <c r="A1702" s="16">
        <f>DATE(2012,12,31)-1051</f>
        <v>40223</v>
      </c>
      <c r="B1702" s="16">
        <f>DATE(2012,12,31)-1051</f>
        <v>40223</v>
      </c>
      <c r="C1702" s="9" t="s">
        <v>419</v>
      </c>
      <c r="D1702">
        <v>10021480687</v>
      </c>
      <c r="E1702" t="s">
        <v>47</v>
      </c>
      <c r="F1702" t="s">
        <v>171</v>
      </c>
      <c r="G1702" t="s">
        <v>172</v>
      </c>
      <c r="H1702" t="s">
        <v>1712</v>
      </c>
      <c r="I1702" t="s">
        <v>1713</v>
      </c>
      <c r="J1702" t="s">
        <v>367</v>
      </c>
      <c r="K1702" s="3">
        <v>100330380619</v>
      </c>
      <c r="L1702" s="10">
        <v>40224</v>
      </c>
      <c r="M1702">
        <v>1379.62</v>
      </c>
      <c r="N1702" s="17">
        <v>45</v>
      </c>
      <c r="O1702" s="5">
        <v>31.98</v>
      </c>
      <c r="P1702" s="5">
        <v>6.72</v>
      </c>
      <c r="Q1702" s="6">
        <v>-66.07</v>
      </c>
      <c r="R1702" s="37" t="s">
        <v>449</v>
      </c>
      <c r="S1702" s="7">
        <f t="shared" si="141"/>
        <v>1</v>
      </c>
      <c r="T1702" s="15" t="str">
        <f>VLOOKUP(R1702,产品分类!$C$2:$D$1278,2,0)</f>
        <v>家具产品</v>
      </c>
    </row>
    <row r="1703" spans="1:20">
      <c r="A1703" s="8">
        <f t="shared" ref="A1703:B1707" si="145">DATE(2012,12,31)-800</f>
        <v>40474</v>
      </c>
      <c r="B1703" s="8">
        <f t="shared" si="145"/>
        <v>40474</v>
      </c>
      <c r="C1703" s="9" t="s">
        <v>470</v>
      </c>
      <c r="D1703">
        <v>10021332522</v>
      </c>
      <c r="E1703" t="s">
        <v>47</v>
      </c>
      <c r="F1703" t="s">
        <v>66</v>
      </c>
      <c r="G1703" t="s">
        <v>67</v>
      </c>
      <c r="H1703" t="s">
        <v>1435</v>
      </c>
      <c r="I1703" t="s">
        <v>1436</v>
      </c>
      <c r="J1703" t="s">
        <v>367</v>
      </c>
      <c r="K1703" s="3">
        <v>100710162505</v>
      </c>
      <c r="L1703" s="10">
        <v>40479</v>
      </c>
      <c r="M1703">
        <v>2237.76</v>
      </c>
      <c r="N1703" s="11">
        <v>12</v>
      </c>
      <c r="O1703" s="12">
        <v>200.98</v>
      </c>
      <c r="P1703" s="12">
        <v>23.76</v>
      </c>
      <c r="Q1703" s="13">
        <v>151.86</v>
      </c>
      <c r="R1703" s="36" t="s">
        <v>1343</v>
      </c>
      <c r="S1703" s="7">
        <f t="shared" si="141"/>
        <v>5</v>
      </c>
      <c r="T1703" s="15" t="str">
        <f>VLOOKUP(R1703,产品分类!$C$2:$D$1278,2,0)</f>
        <v>办公用品</v>
      </c>
    </row>
    <row r="1704" spans="1:20">
      <c r="A1704" s="8">
        <f t="shared" si="145"/>
        <v>40474</v>
      </c>
      <c r="B1704" s="8">
        <f t="shared" si="145"/>
        <v>40474</v>
      </c>
      <c r="C1704" s="9" t="s">
        <v>470</v>
      </c>
      <c r="D1704">
        <v>10021417610</v>
      </c>
      <c r="E1704" t="s">
        <v>47</v>
      </c>
      <c r="F1704" t="s">
        <v>66</v>
      </c>
      <c r="G1704" t="s">
        <v>67</v>
      </c>
      <c r="H1704" t="s">
        <v>1435</v>
      </c>
      <c r="I1704" t="s">
        <v>1436</v>
      </c>
      <c r="J1704" t="s">
        <v>367</v>
      </c>
      <c r="K1704" s="3">
        <v>100915888181</v>
      </c>
      <c r="L1704" s="10">
        <v>40478</v>
      </c>
      <c r="M1704">
        <v>20.59</v>
      </c>
      <c r="N1704" s="11">
        <v>4</v>
      </c>
      <c r="O1704" s="12">
        <v>3.98</v>
      </c>
      <c r="P1704" s="12">
        <v>0.83</v>
      </c>
      <c r="Q1704" s="13">
        <v>1.19</v>
      </c>
      <c r="R1704" s="36" t="s">
        <v>1553</v>
      </c>
      <c r="S1704" s="7">
        <f t="shared" si="141"/>
        <v>4</v>
      </c>
      <c r="T1704" s="15" t="str">
        <f>VLOOKUP(R1704,产品分类!$C$2:$D$1278,2,0)</f>
        <v>办公用品</v>
      </c>
    </row>
    <row r="1705" spans="1:20">
      <c r="A1705" s="8">
        <f t="shared" si="145"/>
        <v>40474</v>
      </c>
      <c r="B1705" s="8">
        <f t="shared" si="145"/>
        <v>40474</v>
      </c>
      <c r="C1705" s="9" t="s">
        <v>470</v>
      </c>
      <c r="D1705">
        <v>10021416584</v>
      </c>
      <c r="E1705" t="s">
        <v>47</v>
      </c>
      <c r="F1705" t="s">
        <v>66</v>
      </c>
      <c r="G1705" t="s">
        <v>67</v>
      </c>
      <c r="H1705" t="s">
        <v>1435</v>
      </c>
      <c r="I1705" t="s">
        <v>1436</v>
      </c>
      <c r="J1705" t="s">
        <v>367</v>
      </c>
      <c r="K1705" s="3">
        <v>10098744701</v>
      </c>
      <c r="L1705" s="10">
        <v>40479</v>
      </c>
      <c r="M1705">
        <v>281.74</v>
      </c>
      <c r="N1705" s="11">
        <v>19</v>
      </c>
      <c r="O1705" s="12">
        <v>14.56</v>
      </c>
      <c r="P1705" s="12">
        <v>3.5</v>
      </c>
      <c r="Q1705" s="13">
        <v>25.67</v>
      </c>
      <c r="R1705" s="36" t="s">
        <v>1017</v>
      </c>
      <c r="S1705" s="7">
        <f t="shared" si="141"/>
        <v>5</v>
      </c>
      <c r="T1705" s="15" t="str">
        <f>VLOOKUP(R1705,产品分类!$C$2:$D$1278,2,0)</f>
        <v>家具产品</v>
      </c>
    </row>
    <row r="1706" spans="1:20">
      <c r="A1706" s="8">
        <f t="shared" si="145"/>
        <v>40474</v>
      </c>
      <c r="B1706" s="8">
        <f t="shared" si="145"/>
        <v>40474</v>
      </c>
      <c r="C1706" s="9" t="s">
        <v>470</v>
      </c>
      <c r="D1706">
        <v>10021262584</v>
      </c>
      <c r="E1706" t="s">
        <v>47</v>
      </c>
      <c r="F1706" t="s">
        <v>152</v>
      </c>
      <c r="G1706" t="s">
        <v>153</v>
      </c>
      <c r="H1706" t="s">
        <v>1640</v>
      </c>
      <c r="I1706" t="s">
        <v>1641</v>
      </c>
      <c r="J1706" t="s">
        <v>367</v>
      </c>
      <c r="K1706" s="3">
        <v>100130096598</v>
      </c>
      <c r="L1706" s="10">
        <v>40481</v>
      </c>
      <c r="M1706">
        <v>217.35</v>
      </c>
      <c r="N1706" s="11">
        <v>23</v>
      </c>
      <c r="O1706" s="12">
        <v>8.74</v>
      </c>
      <c r="P1706" s="12">
        <v>8.29</v>
      </c>
      <c r="Q1706" s="13">
        <v>-67.19</v>
      </c>
      <c r="R1706" s="36" t="s">
        <v>618</v>
      </c>
      <c r="S1706" s="7">
        <f t="shared" si="141"/>
        <v>7</v>
      </c>
      <c r="T1706" s="15" t="str">
        <f>VLOOKUP(R1706,产品分类!$C$2:$D$1278,2,0)</f>
        <v>办公用品</v>
      </c>
    </row>
    <row r="1707" spans="1:20">
      <c r="A1707" s="8">
        <f t="shared" si="145"/>
        <v>40474</v>
      </c>
      <c r="B1707" s="8">
        <f t="shared" si="145"/>
        <v>40474</v>
      </c>
      <c r="C1707" s="9" t="s">
        <v>470</v>
      </c>
      <c r="D1707">
        <v>10021389167</v>
      </c>
      <c r="E1707" t="s">
        <v>47</v>
      </c>
      <c r="F1707" t="s">
        <v>66</v>
      </c>
      <c r="G1707" t="s">
        <v>67</v>
      </c>
      <c r="H1707" t="s">
        <v>1435</v>
      </c>
      <c r="I1707" t="s">
        <v>1436</v>
      </c>
      <c r="J1707" t="s">
        <v>367</v>
      </c>
      <c r="K1707" s="3">
        <v>100431360944</v>
      </c>
      <c r="L1707" s="10">
        <v>40479</v>
      </c>
      <c r="M1707">
        <v>2746.57</v>
      </c>
      <c r="N1707" s="11">
        <v>15</v>
      </c>
      <c r="O1707" s="12">
        <v>178.47</v>
      </c>
      <c r="P1707" s="12">
        <v>19.99</v>
      </c>
      <c r="Q1707" s="13">
        <v>617.4</v>
      </c>
      <c r="R1707" s="36" t="s">
        <v>249</v>
      </c>
      <c r="S1707" s="7">
        <f t="shared" si="141"/>
        <v>5</v>
      </c>
      <c r="T1707" s="15" t="str">
        <f>VLOOKUP(R1707,产品分类!$C$2:$D$1278,2,0)</f>
        <v>办公用品</v>
      </c>
    </row>
    <row r="1708" spans="1:20">
      <c r="A1708" s="8">
        <f>DATE(2012,12,31)-387</f>
        <v>40887</v>
      </c>
      <c r="B1708" s="8">
        <f>DATE(2012,12,31)-387</f>
        <v>40887</v>
      </c>
      <c r="C1708" s="9" t="s">
        <v>1480</v>
      </c>
      <c r="D1708">
        <v>10021430920</v>
      </c>
      <c r="E1708" t="s">
        <v>47</v>
      </c>
      <c r="F1708" t="s">
        <v>48</v>
      </c>
      <c r="G1708" t="s">
        <v>49</v>
      </c>
      <c r="H1708" t="s">
        <v>1433</v>
      </c>
      <c r="I1708" t="s">
        <v>1434</v>
      </c>
      <c r="J1708" t="s">
        <v>367</v>
      </c>
      <c r="K1708" s="3">
        <v>100731965385</v>
      </c>
      <c r="L1708" s="10">
        <v>40892</v>
      </c>
      <c r="M1708">
        <v>1212.928</v>
      </c>
      <c r="N1708" s="11">
        <v>45</v>
      </c>
      <c r="O1708" s="12">
        <v>31.76</v>
      </c>
      <c r="P1708" s="12">
        <v>45.51</v>
      </c>
      <c r="Q1708" s="13">
        <v>-1460.77</v>
      </c>
      <c r="R1708" s="36" t="s">
        <v>576</v>
      </c>
      <c r="S1708" s="7">
        <f t="shared" si="141"/>
        <v>5</v>
      </c>
      <c r="T1708" s="15" t="str">
        <f>VLOOKUP(R1708,产品分类!$C$2:$D$1278,2,0)</f>
        <v>办公用品</v>
      </c>
    </row>
    <row r="1709" spans="1:20">
      <c r="A1709" s="8">
        <f>DATE(2012,12,31)-544</f>
        <v>40730</v>
      </c>
      <c r="B1709" s="8">
        <f>DATE(2012,12,31)-544</f>
        <v>40730</v>
      </c>
      <c r="C1709" s="9" t="s">
        <v>1726</v>
      </c>
      <c r="D1709">
        <v>10021395187</v>
      </c>
      <c r="E1709" t="s">
        <v>47</v>
      </c>
      <c r="F1709" t="s">
        <v>72</v>
      </c>
      <c r="G1709" t="s">
        <v>73</v>
      </c>
      <c r="H1709" t="s">
        <v>1572</v>
      </c>
      <c r="I1709" t="s">
        <v>1573</v>
      </c>
      <c r="J1709" t="s">
        <v>367</v>
      </c>
      <c r="K1709" s="3">
        <v>10037639069</v>
      </c>
      <c r="L1709" s="10">
        <v>40730</v>
      </c>
      <c r="M1709">
        <v>515.65</v>
      </c>
      <c r="N1709" s="11">
        <v>12</v>
      </c>
      <c r="O1709" s="12">
        <v>39.48</v>
      </c>
      <c r="P1709" s="12">
        <v>3.99</v>
      </c>
      <c r="Q1709" s="13">
        <v>123.5</v>
      </c>
      <c r="R1709" s="36" t="s">
        <v>1727</v>
      </c>
      <c r="S1709" s="7">
        <f t="shared" si="141"/>
        <v>0</v>
      </c>
      <c r="T1709" s="15" t="str">
        <f>VLOOKUP(R1709,产品分类!$C$2:$D$1278,2,0)</f>
        <v>家具产品</v>
      </c>
    </row>
    <row r="1710" spans="1:20">
      <c r="A1710" s="8">
        <f>DATE(2012,12,31)-373</f>
        <v>40901</v>
      </c>
      <c r="B1710" s="8">
        <f>DATE(2012,12,31)-373</f>
        <v>40901</v>
      </c>
      <c r="C1710" s="9" t="s">
        <v>1682</v>
      </c>
      <c r="D1710">
        <v>10021414104</v>
      </c>
      <c r="E1710" t="s">
        <v>47</v>
      </c>
      <c r="F1710" t="s">
        <v>78</v>
      </c>
      <c r="G1710" t="s">
        <v>79</v>
      </c>
      <c r="H1710" t="s">
        <v>1654</v>
      </c>
      <c r="I1710" t="s">
        <v>1655</v>
      </c>
      <c r="J1710" t="s">
        <v>367</v>
      </c>
      <c r="K1710" s="3">
        <v>10084699192</v>
      </c>
      <c r="L1710" s="10">
        <v>40905</v>
      </c>
      <c r="M1710">
        <v>3019.41</v>
      </c>
      <c r="N1710" s="11">
        <v>25</v>
      </c>
      <c r="O1710" s="12">
        <v>120.97</v>
      </c>
      <c r="P1710" s="12">
        <v>7.11</v>
      </c>
      <c r="Q1710" s="13">
        <v>1269.05</v>
      </c>
      <c r="R1710" s="36" t="s">
        <v>1000</v>
      </c>
      <c r="S1710" s="7">
        <f t="shared" si="141"/>
        <v>4</v>
      </c>
      <c r="T1710" s="15" t="str">
        <f>VLOOKUP(R1710,产品分类!$C$2:$D$1278,2,0)</f>
        <v>家具产品</v>
      </c>
    </row>
    <row r="1711" spans="1:20">
      <c r="A1711" s="8">
        <f>DATE(2012,12,31)-212</f>
        <v>41062</v>
      </c>
      <c r="B1711" s="8">
        <f>DATE(2012,12,31)-212</f>
        <v>41062</v>
      </c>
      <c r="C1711" s="9" t="s">
        <v>613</v>
      </c>
      <c r="D1711">
        <v>10021294122</v>
      </c>
      <c r="E1711" t="s">
        <v>47</v>
      </c>
      <c r="F1711" t="s">
        <v>78</v>
      </c>
      <c r="G1711" t="s">
        <v>79</v>
      </c>
      <c r="H1711" t="s">
        <v>1654</v>
      </c>
      <c r="I1711" t="s">
        <v>1655</v>
      </c>
      <c r="J1711" t="s">
        <v>367</v>
      </c>
      <c r="K1711" s="3">
        <v>100111106416</v>
      </c>
      <c r="L1711" s="10">
        <v>41062</v>
      </c>
      <c r="M1711">
        <v>824.24</v>
      </c>
      <c r="N1711" s="11">
        <v>32</v>
      </c>
      <c r="O1711" s="12">
        <v>26.31</v>
      </c>
      <c r="P1711" s="12">
        <v>5.89</v>
      </c>
      <c r="Q1711" s="13">
        <v>-127.23</v>
      </c>
      <c r="R1711" s="36" t="s">
        <v>1352</v>
      </c>
      <c r="S1711" s="7">
        <f t="shared" si="141"/>
        <v>0</v>
      </c>
      <c r="T1711" s="15" t="str">
        <f>VLOOKUP(R1711,产品分类!$C$2:$D$1278,2,0)</f>
        <v>数码电子</v>
      </c>
    </row>
    <row r="1712" spans="1:20">
      <c r="A1712" s="16">
        <f>DATE(2012,12,31)-562</f>
        <v>40712</v>
      </c>
      <c r="B1712" s="16">
        <f>DATE(2012,12,31)-562</f>
        <v>40712</v>
      </c>
      <c r="C1712" s="9" t="s">
        <v>311</v>
      </c>
      <c r="D1712">
        <v>10021249985</v>
      </c>
      <c r="E1712" t="s">
        <v>47</v>
      </c>
      <c r="F1712" t="s">
        <v>78</v>
      </c>
      <c r="G1712" t="s">
        <v>79</v>
      </c>
      <c r="H1712" t="s">
        <v>1654</v>
      </c>
      <c r="I1712" t="s">
        <v>1655</v>
      </c>
      <c r="J1712" t="s">
        <v>367</v>
      </c>
      <c r="K1712" s="3">
        <v>100413052234</v>
      </c>
      <c r="L1712" s="10">
        <v>40713</v>
      </c>
      <c r="M1712">
        <v>283.17</v>
      </c>
      <c r="N1712" s="17">
        <v>31</v>
      </c>
      <c r="O1712" s="5">
        <v>8.74</v>
      </c>
      <c r="P1712" s="5">
        <v>1.39</v>
      </c>
      <c r="Q1712" s="6">
        <v>119.64</v>
      </c>
      <c r="R1712" s="37" t="s">
        <v>618</v>
      </c>
      <c r="S1712" s="7">
        <f t="shared" si="141"/>
        <v>1</v>
      </c>
      <c r="T1712" s="15" t="str">
        <f>VLOOKUP(R1712,产品分类!$C$2:$D$1278,2,0)</f>
        <v>办公用品</v>
      </c>
    </row>
    <row r="1713" spans="1:20">
      <c r="A1713" s="8">
        <f>DATE(2012,12,31)-377</f>
        <v>40897</v>
      </c>
      <c r="B1713" s="8">
        <f>DATE(2012,12,31)-377</f>
        <v>40897</v>
      </c>
      <c r="C1713" s="9" t="s">
        <v>240</v>
      </c>
      <c r="D1713">
        <v>10021262258</v>
      </c>
      <c r="E1713" t="s">
        <v>47</v>
      </c>
      <c r="F1713" t="s">
        <v>72</v>
      </c>
      <c r="G1713" t="s">
        <v>73</v>
      </c>
      <c r="H1713" t="s">
        <v>1572</v>
      </c>
      <c r="I1713" t="s">
        <v>1573</v>
      </c>
      <c r="J1713" t="s">
        <v>367</v>
      </c>
      <c r="K1713" s="3">
        <v>100829877502</v>
      </c>
      <c r="L1713" s="10">
        <v>40899</v>
      </c>
      <c r="M1713">
        <v>539.21</v>
      </c>
      <c r="N1713" s="11">
        <v>35</v>
      </c>
      <c r="O1713" s="12">
        <v>15.23</v>
      </c>
      <c r="P1713" s="12">
        <v>27.75</v>
      </c>
      <c r="Q1713" s="13">
        <v>11.65095</v>
      </c>
      <c r="R1713" s="36" t="s">
        <v>1728</v>
      </c>
      <c r="S1713" s="7">
        <f t="shared" si="141"/>
        <v>2</v>
      </c>
      <c r="T1713" s="15" t="str">
        <f>VLOOKUP(R1713,产品分类!$C$2:$D$1278,2,0)</f>
        <v>家具产品</v>
      </c>
    </row>
    <row r="1714" spans="1:20">
      <c r="A1714" s="8">
        <f>DATE(2012,12,31)-600</f>
        <v>40674</v>
      </c>
      <c r="B1714" s="8">
        <f>DATE(2012,12,31)-600</f>
        <v>40674</v>
      </c>
      <c r="C1714" s="9" t="s">
        <v>1657</v>
      </c>
      <c r="D1714">
        <v>10021336259</v>
      </c>
      <c r="E1714" t="s">
        <v>47</v>
      </c>
      <c r="F1714" t="s">
        <v>230</v>
      </c>
      <c r="G1714" t="s">
        <v>231</v>
      </c>
      <c r="H1714" t="s">
        <v>1465</v>
      </c>
      <c r="I1714" t="s">
        <v>1466</v>
      </c>
      <c r="J1714" t="s">
        <v>367</v>
      </c>
      <c r="K1714" s="3">
        <v>100417761314</v>
      </c>
      <c r="L1714" s="10">
        <v>40676</v>
      </c>
      <c r="M1714">
        <v>3436.9</v>
      </c>
      <c r="N1714" s="11">
        <v>36</v>
      </c>
      <c r="O1714" s="12">
        <v>92.23</v>
      </c>
      <c r="P1714" s="12">
        <v>39.61</v>
      </c>
      <c r="Q1714" s="13">
        <v>-398.11</v>
      </c>
      <c r="R1714" s="36" t="s">
        <v>1164</v>
      </c>
      <c r="S1714" s="7">
        <f t="shared" si="141"/>
        <v>2</v>
      </c>
      <c r="T1714" s="15" t="str">
        <f>VLOOKUP(R1714,产品分类!$C$2:$D$1278,2,0)</f>
        <v>数码电子</v>
      </c>
    </row>
    <row r="1715" spans="1:20">
      <c r="A1715" s="8">
        <f>DATE(2012,12,31)-639</f>
        <v>40635</v>
      </c>
      <c r="B1715" s="8">
        <f>DATE(2012,12,31)-639</f>
        <v>40635</v>
      </c>
      <c r="C1715" s="9" t="s">
        <v>849</v>
      </c>
      <c r="D1715">
        <v>10021252094</v>
      </c>
      <c r="E1715" t="s">
        <v>47</v>
      </c>
      <c r="F1715" t="s">
        <v>230</v>
      </c>
      <c r="G1715" t="s">
        <v>231</v>
      </c>
      <c r="H1715" t="s">
        <v>1465</v>
      </c>
      <c r="I1715" t="s">
        <v>1466</v>
      </c>
      <c r="J1715" t="s">
        <v>367</v>
      </c>
      <c r="K1715" s="3">
        <v>100917458131</v>
      </c>
      <c r="L1715" s="10">
        <v>40636</v>
      </c>
      <c r="M1715">
        <v>513.74</v>
      </c>
      <c r="N1715" s="11">
        <v>32</v>
      </c>
      <c r="O1715" s="12">
        <v>15.15</v>
      </c>
      <c r="P1715" s="12">
        <v>10.13</v>
      </c>
      <c r="Q1715" s="13">
        <v>-28.681</v>
      </c>
      <c r="R1715" s="36" t="s">
        <v>1729</v>
      </c>
      <c r="S1715" s="7">
        <f t="shared" si="141"/>
        <v>1</v>
      </c>
      <c r="T1715" s="15" t="str">
        <f>VLOOKUP(R1715,产品分类!$C$2:$D$1278,2,0)</f>
        <v>办公用品</v>
      </c>
    </row>
    <row r="1716" spans="1:20">
      <c r="A1716" s="8">
        <f>DATE(2012,12,31)-639</f>
        <v>40635</v>
      </c>
      <c r="B1716" s="8">
        <f>DATE(2012,12,31)-639</f>
        <v>40635</v>
      </c>
      <c r="C1716" s="9" t="s">
        <v>849</v>
      </c>
      <c r="D1716">
        <v>10021279783</v>
      </c>
      <c r="E1716" t="s">
        <v>47</v>
      </c>
      <c r="F1716" t="s">
        <v>55</v>
      </c>
      <c r="G1716" t="s">
        <v>56</v>
      </c>
      <c r="H1716" t="s">
        <v>1658</v>
      </c>
      <c r="I1716" t="s">
        <v>1659</v>
      </c>
      <c r="J1716" t="s">
        <v>367</v>
      </c>
      <c r="K1716" s="3">
        <v>10036961189</v>
      </c>
      <c r="L1716" s="10">
        <v>40637</v>
      </c>
      <c r="M1716">
        <v>36.8</v>
      </c>
      <c r="N1716" s="11">
        <v>4</v>
      </c>
      <c r="O1716" s="12">
        <v>7.38</v>
      </c>
      <c r="P1716" s="12">
        <v>5.21</v>
      </c>
      <c r="Q1716" s="13">
        <v>14.19</v>
      </c>
      <c r="R1716" s="36" t="s">
        <v>163</v>
      </c>
      <c r="S1716" s="7">
        <f t="shared" si="141"/>
        <v>2</v>
      </c>
      <c r="T1716" s="15" t="str">
        <f>VLOOKUP(R1716,产品分类!$C$2:$D$1278,2,0)</f>
        <v>家具产品</v>
      </c>
    </row>
    <row r="1717" spans="1:20">
      <c r="A1717" s="8">
        <f>DATE(2012,12,31)-698</f>
        <v>40576</v>
      </c>
      <c r="B1717" s="8">
        <f>DATE(2012,12,31)-698</f>
        <v>40576</v>
      </c>
      <c r="C1717" s="9" t="s">
        <v>1730</v>
      </c>
      <c r="D1717">
        <v>10021476920</v>
      </c>
      <c r="E1717" t="s">
        <v>47</v>
      </c>
      <c r="F1717" t="s">
        <v>91</v>
      </c>
      <c r="G1717" t="s">
        <v>92</v>
      </c>
      <c r="H1717" t="s">
        <v>1412</v>
      </c>
      <c r="I1717" t="s">
        <v>1413</v>
      </c>
      <c r="J1717" t="s">
        <v>367</v>
      </c>
      <c r="K1717" s="3">
        <v>100728485085</v>
      </c>
      <c r="L1717" s="10">
        <v>40578</v>
      </c>
      <c r="M1717">
        <v>123.82</v>
      </c>
      <c r="N1717" s="11">
        <v>4</v>
      </c>
      <c r="O1717" s="12">
        <v>29.34</v>
      </c>
      <c r="P1717" s="12">
        <v>57.87</v>
      </c>
      <c r="Q1717" s="13">
        <v>-0.370000000000001</v>
      </c>
      <c r="R1717" s="36" t="s">
        <v>1731</v>
      </c>
      <c r="S1717" s="7">
        <f t="shared" si="141"/>
        <v>2</v>
      </c>
      <c r="T1717" s="15" t="str">
        <f>VLOOKUP(R1717,产品分类!$C$2:$D$1278,2,0)</f>
        <v>数码电子</v>
      </c>
    </row>
    <row r="1718" spans="1:20">
      <c r="A1718" s="8">
        <f>DATE(2012,12,31)-283</f>
        <v>40991</v>
      </c>
      <c r="B1718" s="8">
        <f>DATE(2012,12,31)-283</f>
        <v>40991</v>
      </c>
      <c r="C1718" s="9" t="s">
        <v>1732</v>
      </c>
      <c r="D1718">
        <v>10021466392</v>
      </c>
      <c r="E1718" t="s">
        <v>47</v>
      </c>
      <c r="F1718" t="s">
        <v>122</v>
      </c>
      <c r="G1718" t="s">
        <v>123</v>
      </c>
      <c r="H1718" t="s">
        <v>124</v>
      </c>
      <c r="I1718" t="s">
        <v>125</v>
      </c>
      <c r="J1718" t="s">
        <v>367</v>
      </c>
      <c r="K1718" s="3">
        <v>10012220536</v>
      </c>
      <c r="L1718" s="10">
        <v>40992</v>
      </c>
      <c r="M1718">
        <v>36.86</v>
      </c>
      <c r="N1718" s="11">
        <v>5</v>
      </c>
      <c r="O1718" s="12">
        <v>5.81</v>
      </c>
      <c r="P1718" s="12">
        <v>8.49</v>
      </c>
      <c r="Q1718" s="13">
        <v>-32.821</v>
      </c>
      <c r="R1718" s="36" t="s">
        <v>1248</v>
      </c>
      <c r="S1718" s="7">
        <f t="shared" si="141"/>
        <v>1</v>
      </c>
      <c r="T1718" s="15" t="str">
        <f>VLOOKUP(R1718,产品分类!$C$2:$D$1278,2,0)</f>
        <v>数码电子</v>
      </c>
    </row>
    <row r="1719" spans="1:20">
      <c r="A1719" s="8">
        <f t="shared" ref="A1719:B1721" si="146">DATE(2012,12,31)-583</f>
        <v>40691</v>
      </c>
      <c r="B1719" s="8">
        <f t="shared" si="146"/>
        <v>40691</v>
      </c>
      <c r="C1719" s="9" t="s">
        <v>873</v>
      </c>
      <c r="D1719">
        <v>10021443929</v>
      </c>
      <c r="E1719" t="s">
        <v>47</v>
      </c>
      <c r="F1719" t="s">
        <v>83</v>
      </c>
      <c r="G1719" t="s">
        <v>84</v>
      </c>
      <c r="H1719" t="s">
        <v>1259</v>
      </c>
      <c r="I1719" t="s">
        <v>1260</v>
      </c>
      <c r="J1719" t="s">
        <v>367</v>
      </c>
      <c r="K1719" s="3">
        <v>10013422847</v>
      </c>
      <c r="L1719" s="10">
        <v>40692</v>
      </c>
      <c r="M1719">
        <v>209.53</v>
      </c>
      <c r="N1719" s="11">
        <v>36</v>
      </c>
      <c r="O1719" s="12">
        <v>5.78</v>
      </c>
      <c r="P1719" s="12">
        <v>5.67</v>
      </c>
      <c r="Q1719" s="13">
        <v>-81.06</v>
      </c>
      <c r="R1719" s="36" t="s">
        <v>591</v>
      </c>
      <c r="S1719" s="7">
        <f t="shared" si="141"/>
        <v>1</v>
      </c>
      <c r="T1719" s="15" t="str">
        <f>VLOOKUP(R1719,产品分类!$C$2:$D$1278,2,0)</f>
        <v>家具产品</v>
      </c>
    </row>
    <row r="1720" spans="1:20">
      <c r="A1720" s="8">
        <f t="shared" si="146"/>
        <v>40691</v>
      </c>
      <c r="B1720" s="8">
        <f t="shared" si="146"/>
        <v>40691</v>
      </c>
      <c r="C1720" s="9" t="s">
        <v>873</v>
      </c>
      <c r="D1720">
        <v>10021348483</v>
      </c>
      <c r="E1720" t="s">
        <v>47</v>
      </c>
      <c r="F1720" t="s">
        <v>91</v>
      </c>
      <c r="G1720" t="s">
        <v>92</v>
      </c>
      <c r="H1720" t="s">
        <v>1412</v>
      </c>
      <c r="I1720" t="s">
        <v>1413</v>
      </c>
      <c r="J1720" t="s">
        <v>367</v>
      </c>
      <c r="K1720" s="3">
        <v>100131581796</v>
      </c>
      <c r="L1720" s="10">
        <v>40692</v>
      </c>
      <c r="M1720">
        <v>225.47</v>
      </c>
      <c r="N1720" s="11">
        <v>14</v>
      </c>
      <c r="O1720" s="12">
        <v>14.97</v>
      </c>
      <c r="P1720" s="12">
        <v>7.51</v>
      </c>
      <c r="Q1720" s="13">
        <v>-29.07</v>
      </c>
      <c r="R1720" s="36" t="s">
        <v>1733</v>
      </c>
      <c r="S1720" s="7">
        <f t="shared" si="141"/>
        <v>1</v>
      </c>
      <c r="T1720" s="15" t="str">
        <f>VLOOKUP(R1720,产品分类!$C$2:$D$1278,2,0)</f>
        <v>办公用品</v>
      </c>
    </row>
    <row r="1721" spans="1:20">
      <c r="A1721" s="8">
        <f t="shared" si="146"/>
        <v>40691</v>
      </c>
      <c r="B1721" s="8">
        <f t="shared" si="146"/>
        <v>40691</v>
      </c>
      <c r="C1721" s="9" t="s">
        <v>873</v>
      </c>
      <c r="D1721">
        <v>10021415783</v>
      </c>
      <c r="E1721" t="s">
        <v>47</v>
      </c>
      <c r="F1721" t="s">
        <v>55</v>
      </c>
      <c r="G1721" t="s">
        <v>56</v>
      </c>
      <c r="H1721" t="s">
        <v>1658</v>
      </c>
      <c r="I1721" t="s">
        <v>1659</v>
      </c>
      <c r="J1721" t="s">
        <v>367</v>
      </c>
      <c r="K1721" s="3">
        <v>100110767577</v>
      </c>
      <c r="L1721" s="10">
        <v>40693</v>
      </c>
      <c r="M1721">
        <v>168.66</v>
      </c>
      <c r="N1721" s="11">
        <v>45</v>
      </c>
      <c r="O1721" s="12">
        <v>3.95</v>
      </c>
      <c r="P1721" s="12">
        <v>5.13</v>
      </c>
      <c r="Q1721" s="13">
        <v>-167.06</v>
      </c>
      <c r="R1721" s="36" t="s">
        <v>599</v>
      </c>
      <c r="S1721" s="7">
        <f t="shared" si="141"/>
        <v>2</v>
      </c>
      <c r="T1721" s="15" t="str">
        <f>VLOOKUP(R1721,产品分类!$C$2:$D$1278,2,0)</f>
        <v>办公用品</v>
      </c>
    </row>
    <row r="1722" spans="1:20">
      <c r="A1722" s="8">
        <f>DATE(2012,12,31)-74</f>
        <v>41200</v>
      </c>
      <c r="B1722" s="8">
        <f>DATE(2012,12,31)-74</f>
        <v>41200</v>
      </c>
      <c r="C1722" s="9" t="s">
        <v>763</v>
      </c>
      <c r="D1722">
        <v>10021427494</v>
      </c>
      <c r="E1722" t="s">
        <v>47</v>
      </c>
      <c r="F1722" t="s">
        <v>91</v>
      </c>
      <c r="G1722" t="s">
        <v>92</v>
      </c>
      <c r="H1722" t="s">
        <v>1412</v>
      </c>
      <c r="I1722" t="s">
        <v>1413</v>
      </c>
      <c r="J1722" t="s">
        <v>367</v>
      </c>
      <c r="K1722" s="3">
        <v>100816922532</v>
      </c>
      <c r="L1722" s="10">
        <v>41203</v>
      </c>
      <c r="M1722">
        <v>243.05</v>
      </c>
      <c r="N1722" s="11">
        <v>39</v>
      </c>
      <c r="O1722" s="12">
        <v>5.98</v>
      </c>
      <c r="P1722" s="12">
        <v>5.35</v>
      </c>
      <c r="Q1722" s="13">
        <v>-70.85</v>
      </c>
      <c r="R1722" s="36" t="s">
        <v>978</v>
      </c>
      <c r="S1722" s="7">
        <f t="shared" si="141"/>
        <v>3</v>
      </c>
      <c r="T1722" s="15" t="str">
        <f>VLOOKUP(R1722,产品分类!$C$2:$D$1278,2,0)</f>
        <v>家具产品</v>
      </c>
    </row>
    <row r="1723" spans="1:20">
      <c r="A1723" s="8">
        <f>DATE(2012,12,31)-1245</f>
        <v>40029</v>
      </c>
      <c r="B1723" s="8">
        <f>DATE(2012,12,31)-1245</f>
        <v>40029</v>
      </c>
      <c r="C1723" s="9" t="s">
        <v>832</v>
      </c>
      <c r="D1723">
        <v>10021363455</v>
      </c>
      <c r="E1723" t="s">
        <v>47</v>
      </c>
      <c r="F1723" t="s">
        <v>91</v>
      </c>
      <c r="G1723" t="s">
        <v>92</v>
      </c>
      <c r="H1723" t="s">
        <v>1412</v>
      </c>
      <c r="I1723" t="s">
        <v>1413</v>
      </c>
      <c r="J1723" t="s">
        <v>367</v>
      </c>
      <c r="K1723" s="3">
        <v>1003992299</v>
      </c>
      <c r="L1723" s="10">
        <v>40031</v>
      </c>
      <c r="M1723">
        <v>2560.59</v>
      </c>
      <c r="N1723" s="11">
        <v>34</v>
      </c>
      <c r="O1723" s="12">
        <v>80.98</v>
      </c>
      <c r="P1723" s="12">
        <v>7.18</v>
      </c>
      <c r="Q1723" s="13">
        <v>670.96</v>
      </c>
      <c r="R1723" s="36" t="s">
        <v>1734</v>
      </c>
      <c r="S1723" s="7">
        <f t="shared" si="141"/>
        <v>2</v>
      </c>
      <c r="T1723" s="15" t="str">
        <f>VLOOKUP(R1723,产品分类!$C$2:$D$1278,2,0)</f>
        <v>家具产品</v>
      </c>
    </row>
    <row r="1724" spans="1:20">
      <c r="A1724" s="8">
        <f>DATE(2012,12,31)-1245</f>
        <v>40029</v>
      </c>
      <c r="B1724" s="8">
        <f>DATE(2012,12,31)-1245</f>
        <v>40029</v>
      </c>
      <c r="C1724" s="9" t="s">
        <v>832</v>
      </c>
      <c r="D1724">
        <v>10021342633</v>
      </c>
      <c r="E1724" t="s">
        <v>47</v>
      </c>
      <c r="F1724" t="s">
        <v>55</v>
      </c>
      <c r="G1724" t="s">
        <v>56</v>
      </c>
      <c r="H1724" t="s">
        <v>1658</v>
      </c>
      <c r="I1724" t="s">
        <v>1659</v>
      </c>
      <c r="J1724" t="s">
        <v>367</v>
      </c>
      <c r="K1724" s="3">
        <v>100128187518</v>
      </c>
      <c r="L1724" s="10">
        <v>40030</v>
      </c>
      <c r="M1724">
        <v>189.04</v>
      </c>
      <c r="N1724" s="11">
        <v>16</v>
      </c>
      <c r="O1724" s="12">
        <v>11.35</v>
      </c>
      <c r="P1724" s="12">
        <v>8.6</v>
      </c>
      <c r="Q1724" s="13">
        <v>-74.77</v>
      </c>
      <c r="R1724" s="36" t="s">
        <v>1735</v>
      </c>
      <c r="S1724" s="7">
        <f t="shared" si="141"/>
        <v>1</v>
      </c>
      <c r="T1724" s="15" t="str">
        <f>VLOOKUP(R1724,产品分类!$C$2:$D$1278,2,0)</f>
        <v>办公用品</v>
      </c>
    </row>
    <row r="1725" spans="1:20">
      <c r="A1725" s="8">
        <f>DATE(2012,12,31)-799</f>
        <v>40475</v>
      </c>
      <c r="B1725" s="8">
        <f>DATE(2012,12,31)-799</f>
        <v>40475</v>
      </c>
      <c r="C1725" s="9" t="s">
        <v>1736</v>
      </c>
      <c r="D1725">
        <v>10021295042</v>
      </c>
      <c r="E1725" t="s">
        <v>47</v>
      </c>
      <c r="F1725" t="s">
        <v>132</v>
      </c>
      <c r="G1725" t="s">
        <v>133</v>
      </c>
      <c r="H1725" t="s">
        <v>134</v>
      </c>
      <c r="I1725" t="s">
        <v>133</v>
      </c>
      <c r="J1725" t="s">
        <v>367</v>
      </c>
      <c r="K1725" s="3">
        <v>100312752779</v>
      </c>
      <c r="L1725" s="10">
        <v>40477</v>
      </c>
      <c r="M1725">
        <v>137.84</v>
      </c>
      <c r="N1725" s="11">
        <v>19</v>
      </c>
      <c r="O1725" s="12">
        <v>7.4</v>
      </c>
      <c r="P1725" s="12">
        <v>1.71</v>
      </c>
      <c r="Q1725" s="13">
        <v>34.31</v>
      </c>
      <c r="R1725" s="36" t="s">
        <v>1645</v>
      </c>
      <c r="S1725" s="7">
        <f t="shared" si="141"/>
        <v>2</v>
      </c>
      <c r="T1725" s="15" t="str">
        <f>VLOOKUP(R1725,产品分类!$C$2:$D$1278,2,0)</f>
        <v>办公用品</v>
      </c>
    </row>
    <row r="1726" spans="1:20">
      <c r="A1726" s="8">
        <f>DATE(2012,12,31)-317</f>
        <v>40957</v>
      </c>
      <c r="B1726" s="8">
        <f>DATE(2012,12,31)-317</f>
        <v>40957</v>
      </c>
      <c r="C1726" s="9" t="s">
        <v>421</v>
      </c>
      <c r="D1726">
        <v>10021415924</v>
      </c>
      <c r="E1726" t="s">
        <v>47</v>
      </c>
      <c r="F1726" t="s">
        <v>66</v>
      </c>
      <c r="G1726" t="s">
        <v>67</v>
      </c>
      <c r="H1726" t="s">
        <v>1435</v>
      </c>
      <c r="I1726" t="s">
        <v>1436</v>
      </c>
      <c r="J1726" t="s">
        <v>367</v>
      </c>
      <c r="K1726" s="3">
        <v>100911443611</v>
      </c>
      <c r="L1726" s="10">
        <v>40959</v>
      </c>
      <c r="M1726">
        <v>299.01</v>
      </c>
      <c r="N1726" s="11">
        <v>38</v>
      </c>
      <c r="O1726" s="12">
        <v>7.98</v>
      </c>
      <c r="P1726" s="12">
        <v>6.5</v>
      </c>
      <c r="Q1726" s="13">
        <v>-142.86</v>
      </c>
      <c r="R1726" s="36" t="s">
        <v>1029</v>
      </c>
      <c r="S1726" s="7">
        <f t="shared" si="141"/>
        <v>2</v>
      </c>
      <c r="T1726" s="15" t="str">
        <f>VLOOKUP(R1726,产品分类!$C$2:$D$1278,2,0)</f>
        <v>家具产品</v>
      </c>
    </row>
    <row r="1727" spans="1:20">
      <c r="A1727" s="8">
        <f>DATE(2012,12,31)-443</f>
        <v>40831</v>
      </c>
      <c r="B1727" s="8">
        <f>DATE(2012,12,31)-443</f>
        <v>40831</v>
      </c>
      <c r="C1727" s="9" t="s">
        <v>425</v>
      </c>
      <c r="D1727">
        <v>10021269337</v>
      </c>
      <c r="E1727" t="s">
        <v>47</v>
      </c>
      <c r="F1727" t="s">
        <v>208</v>
      </c>
      <c r="G1727" t="s">
        <v>209</v>
      </c>
      <c r="H1727" t="s">
        <v>1492</v>
      </c>
      <c r="I1727" t="s">
        <v>1493</v>
      </c>
      <c r="J1727" t="s">
        <v>367</v>
      </c>
      <c r="K1727" s="3">
        <v>100932441501</v>
      </c>
      <c r="L1727" s="10">
        <v>40833</v>
      </c>
      <c r="M1727">
        <v>22079.47</v>
      </c>
      <c r="N1727" s="11">
        <v>12</v>
      </c>
      <c r="O1727" s="12">
        <v>1938.02</v>
      </c>
      <c r="P1727" s="12">
        <v>13.99</v>
      </c>
      <c r="Q1727" s="13">
        <v>5322.14</v>
      </c>
      <c r="R1727" s="36" t="s">
        <v>1737</v>
      </c>
      <c r="S1727" s="7">
        <f t="shared" si="141"/>
        <v>2</v>
      </c>
      <c r="T1727" s="15" t="str">
        <f>VLOOKUP(R1727,产品分类!$C$2:$D$1278,2,0)</f>
        <v>数码电子</v>
      </c>
    </row>
    <row r="1728" spans="1:20">
      <c r="A1728" s="8">
        <f>DATE(2012,12,31)-736</f>
        <v>40538</v>
      </c>
      <c r="B1728" s="8">
        <f>DATE(2012,12,31)-736</f>
        <v>40538</v>
      </c>
      <c r="C1728" s="9" t="s">
        <v>1738</v>
      </c>
      <c r="D1728">
        <v>10021347528</v>
      </c>
      <c r="E1728" t="s">
        <v>47</v>
      </c>
      <c r="F1728" t="s">
        <v>102</v>
      </c>
      <c r="G1728" t="s">
        <v>103</v>
      </c>
      <c r="H1728" t="s">
        <v>1217</v>
      </c>
      <c r="I1728" t="s">
        <v>1218</v>
      </c>
      <c r="J1728" t="s">
        <v>367</v>
      </c>
      <c r="K1728" s="3">
        <v>100131271268</v>
      </c>
      <c r="L1728" s="10">
        <v>40538</v>
      </c>
      <c r="M1728">
        <v>536.25</v>
      </c>
      <c r="N1728" s="11">
        <v>34</v>
      </c>
      <c r="O1728" s="12">
        <v>15.99</v>
      </c>
      <c r="P1728" s="12">
        <v>13.18</v>
      </c>
      <c r="Q1728" s="13">
        <v>-166.75</v>
      </c>
      <c r="R1728" s="36" t="s">
        <v>511</v>
      </c>
      <c r="S1728" s="7">
        <f t="shared" si="141"/>
        <v>0</v>
      </c>
      <c r="T1728" s="15" t="str">
        <f>VLOOKUP(R1728,产品分类!$C$2:$D$1278,2,0)</f>
        <v>数码电子</v>
      </c>
    </row>
    <row r="1729" spans="1:20">
      <c r="A1729" s="8">
        <f>DATE(2012,12,31)-736</f>
        <v>40538</v>
      </c>
      <c r="B1729" s="8">
        <f>DATE(2012,12,31)-736</f>
        <v>40538</v>
      </c>
      <c r="C1729" s="9" t="s">
        <v>1738</v>
      </c>
      <c r="D1729">
        <v>10021248748</v>
      </c>
      <c r="E1729" t="s">
        <v>47</v>
      </c>
      <c r="F1729" t="s">
        <v>102</v>
      </c>
      <c r="G1729" t="s">
        <v>103</v>
      </c>
      <c r="H1729" t="s">
        <v>1217</v>
      </c>
      <c r="I1729" t="s">
        <v>1218</v>
      </c>
      <c r="J1729" t="s">
        <v>367</v>
      </c>
      <c r="K1729" s="3">
        <v>10013951057</v>
      </c>
      <c r="L1729" s="10">
        <v>40539</v>
      </c>
      <c r="M1729">
        <v>5.73</v>
      </c>
      <c r="N1729" s="11">
        <v>1</v>
      </c>
      <c r="O1729" s="12">
        <v>4.98</v>
      </c>
      <c r="P1729" s="12">
        <v>0.8</v>
      </c>
      <c r="Q1729" s="13">
        <v>-1.84</v>
      </c>
      <c r="R1729" s="36" t="s">
        <v>521</v>
      </c>
      <c r="S1729" s="7">
        <f t="shared" si="141"/>
        <v>1</v>
      </c>
      <c r="T1729" s="15" t="str">
        <f>VLOOKUP(R1729,产品分类!$C$2:$D$1278,2,0)</f>
        <v>家具产品</v>
      </c>
    </row>
    <row r="1730" spans="1:20">
      <c r="A1730" s="8">
        <f>DATE(2012,12,31)-419</f>
        <v>40855</v>
      </c>
      <c r="B1730" s="8">
        <f>DATE(2012,12,31)-419</f>
        <v>40855</v>
      </c>
      <c r="C1730" s="9" t="s">
        <v>1129</v>
      </c>
      <c r="D1730">
        <v>10021252347</v>
      </c>
      <c r="E1730" t="s">
        <v>47</v>
      </c>
      <c r="F1730" t="s">
        <v>137</v>
      </c>
      <c r="G1730" t="s">
        <v>138</v>
      </c>
      <c r="H1730" t="s">
        <v>139</v>
      </c>
      <c r="I1730" t="s">
        <v>140</v>
      </c>
      <c r="J1730" t="s">
        <v>367</v>
      </c>
      <c r="K1730" s="3">
        <v>10078636935</v>
      </c>
      <c r="L1730" s="10">
        <v>40858</v>
      </c>
      <c r="M1730">
        <v>240.27</v>
      </c>
      <c r="N1730" s="11">
        <v>33</v>
      </c>
      <c r="O1730" s="12">
        <v>7.38</v>
      </c>
      <c r="P1730" s="12">
        <v>11.51</v>
      </c>
      <c r="Q1730" s="13">
        <v>-269.8015</v>
      </c>
      <c r="R1730" s="36" t="s">
        <v>1739</v>
      </c>
      <c r="S1730" s="7">
        <f t="shared" si="141"/>
        <v>3</v>
      </c>
      <c r="T1730" s="15" t="str">
        <f>VLOOKUP(R1730,产品分类!$C$2:$D$1278,2,0)</f>
        <v>家具产品</v>
      </c>
    </row>
    <row r="1731" spans="1:20">
      <c r="A1731" s="8">
        <f>DATE(2012,12,31)-419</f>
        <v>40855</v>
      </c>
      <c r="B1731" s="8">
        <f>DATE(2012,12,31)-419</f>
        <v>40855</v>
      </c>
      <c r="C1731" s="9" t="s">
        <v>1129</v>
      </c>
      <c r="D1731">
        <v>10021419053</v>
      </c>
      <c r="E1731" t="s">
        <v>47</v>
      </c>
      <c r="F1731" t="s">
        <v>171</v>
      </c>
      <c r="G1731" t="s">
        <v>172</v>
      </c>
      <c r="H1731" t="s">
        <v>1712</v>
      </c>
      <c r="I1731" t="s">
        <v>1713</v>
      </c>
      <c r="J1731" t="s">
        <v>367</v>
      </c>
      <c r="K1731" s="3">
        <v>100922807001</v>
      </c>
      <c r="L1731" s="10">
        <v>40856</v>
      </c>
      <c r="M1731">
        <v>6802.37</v>
      </c>
      <c r="N1731" s="11">
        <v>24</v>
      </c>
      <c r="O1731" s="12">
        <v>284.98</v>
      </c>
      <c r="P1731" s="12">
        <v>69.55</v>
      </c>
      <c r="Q1731" s="13">
        <v>459.5</v>
      </c>
      <c r="R1731" s="36" t="s">
        <v>1740</v>
      </c>
      <c r="S1731" s="7">
        <f t="shared" ref="S1731:S1794" si="147">+L1731-B1731</f>
        <v>1</v>
      </c>
      <c r="T1731" s="15" t="str">
        <f>VLOOKUP(R1731,产品分类!$C$2:$D$1278,2,0)</f>
        <v>办公用品</v>
      </c>
    </row>
    <row r="1732" spans="1:20">
      <c r="A1732" s="8">
        <f>DATE(2012,12,31)-1065</f>
        <v>40209</v>
      </c>
      <c r="B1732" s="8">
        <f>DATE(2012,12,31)-1065</f>
        <v>40209</v>
      </c>
      <c r="C1732" s="9" t="s">
        <v>1741</v>
      </c>
      <c r="D1732">
        <v>10021343226</v>
      </c>
      <c r="E1732" t="s">
        <v>47</v>
      </c>
      <c r="F1732" t="s">
        <v>171</v>
      </c>
      <c r="G1732" t="s">
        <v>172</v>
      </c>
      <c r="H1732" t="s">
        <v>1712</v>
      </c>
      <c r="I1732" t="s">
        <v>1713</v>
      </c>
      <c r="J1732" t="s">
        <v>367</v>
      </c>
      <c r="K1732" s="3">
        <v>100128714486</v>
      </c>
      <c r="L1732" s="10">
        <v>40211</v>
      </c>
      <c r="M1732">
        <v>1400.1</v>
      </c>
      <c r="N1732" s="11">
        <v>36</v>
      </c>
      <c r="O1732" s="12">
        <v>39.98</v>
      </c>
      <c r="P1732" s="12">
        <v>4</v>
      </c>
      <c r="Q1732" s="13">
        <v>88.68</v>
      </c>
      <c r="R1732" s="36" t="s">
        <v>771</v>
      </c>
      <c r="S1732" s="7">
        <f t="shared" si="147"/>
        <v>2</v>
      </c>
      <c r="T1732" s="15" t="str">
        <f>VLOOKUP(R1732,产品分类!$C$2:$D$1278,2,0)</f>
        <v>家具产品</v>
      </c>
    </row>
    <row r="1733" spans="1:20">
      <c r="A1733" s="8">
        <f>DATE(2012,12,31)-1390</f>
        <v>39884</v>
      </c>
      <c r="B1733" s="8">
        <f>DATE(2012,12,31)-1390</f>
        <v>39884</v>
      </c>
      <c r="C1733" s="9" t="s">
        <v>1254</v>
      </c>
      <c r="D1733">
        <v>10021413756</v>
      </c>
      <c r="E1733" t="s">
        <v>47</v>
      </c>
      <c r="F1733" t="s">
        <v>527</v>
      </c>
      <c r="G1733" t="s">
        <v>528</v>
      </c>
      <c r="H1733" t="s">
        <v>1676</v>
      </c>
      <c r="I1733" t="s">
        <v>1677</v>
      </c>
      <c r="J1733" t="s">
        <v>367</v>
      </c>
      <c r="K1733" s="3">
        <v>10012272476</v>
      </c>
      <c r="L1733" s="10">
        <v>39886</v>
      </c>
      <c r="M1733">
        <v>1146.41</v>
      </c>
      <c r="N1733" s="11">
        <v>15</v>
      </c>
      <c r="O1733" s="12">
        <v>73.98</v>
      </c>
      <c r="P1733" s="12">
        <v>14.52</v>
      </c>
      <c r="Q1733" s="13">
        <v>-88.61</v>
      </c>
      <c r="R1733" s="36" t="s">
        <v>885</v>
      </c>
      <c r="S1733" s="7">
        <f t="shared" si="147"/>
        <v>2</v>
      </c>
      <c r="T1733" s="15" t="str">
        <f>VLOOKUP(R1733,产品分类!$C$2:$D$1278,2,0)</f>
        <v>办公用品</v>
      </c>
    </row>
    <row r="1734" spans="1:20">
      <c r="A1734" s="8">
        <f>DATE(2012,12,31)-987</f>
        <v>40287</v>
      </c>
      <c r="B1734" s="8">
        <f>DATE(2012,12,31)-987</f>
        <v>40287</v>
      </c>
      <c r="C1734" s="9" t="s">
        <v>341</v>
      </c>
      <c r="D1734">
        <v>10021263865</v>
      </c>
      <c r="E1734" t="s">
        <v>47</v>
      </c>
      <c r="F1734" t="s">
        <v>171</v>
      </c>
      <c r="G1734" t="s">
        <v>172</v>
      </c>
      <c r="H1734" t="s">
        <v>1712</v>
      </c>
      <c r="I1734" t="s">
        <v>1713</v>
      </c>
      <c r="J1734" t="s">
        <v>367</v>
      </c>
      <c r="K1734" s="3">
        <v>100130848467</v>
      </c>
      <c r="L1734" s="10">
        <v>40289</v>
      </c>
      <c r="M1734">
        <v>3662.16</v>
      </c>
      <c r="N1734" s="11">
        <v>26</v>
      </c>
      <c r="O1734" s="12">
        <v>130.98</v>
      </c>
      <c r="P1734" s="12">
        <v>54.74</v>
      </c>
      <c r="Q1734" s="13">
        <v>-372.82</v>
      </c>
      <c r="R1734" s="36" t="s">
        <v>142</v>
      </c>
      <c r="S1734" s="7">
        <f t="shared" si="147"/>
        <v>2</v>
      </c>
      <c r="T1734" s="15" t="str">
        <f>VLOOKUP(R1734,产品分类!$C$2:$D$1278,2,0)</f>
        <v>数码电子</v>
      </c>
    </row>
    <row r="1735" spans="1:20">
      <c r="A1735" s="8">
        <f>DATE(2012,12,31)-987</f>
        <v>40287</v>
      </c>
      <c r="B1735" s="8">
        <f>DATE(2012,12,31)-987</f>
        <v>40287</v>
      </c>
      <c r="C1735" s="9" t="s">
        <v>341</v>
      </c>
      <c r="D1735">
        <v>10021331524</v>
      </c>
      <c r="E1735" t="s">
        <v>47</v>
      </c>
      <c r="F1735" t="s">
        <v>527</v>
      </c>
      <c r="G1735" t="s">
        <v>528</v>
      </c>
      <c r="H1735" t="s">
        <v>1676</v>
      </c>
      <c r="I1735" t="s">
        <v>1677</v>
      </c>
      <c r="J1735" t="s">
        <v>367</v>
      </c>
      <c r="K1735" s="3">
        <v>10083660492</v>
      </c>
      <c r="L1735" s="10">
        <v>40289</v>
      </c>
      <c r="M1735">
        <v>329.37</v>
      </c>
      <c r="N1735" s="11">
        <v>21</v>
      </c>
      <c r="O1735" s="12">
        <v>15.14</v>
      </c>
      <c r="P1735" s="12">
        <v>4.53</v>
      </c>
      <c r="Q1735" s="13">
        <v>-53.57</v>
      </c>
      <c r="R1735" s="36" t="s">
        <v>836</v>
      </c>
      <c r="S1735" s="7">
        <f t="shared" si="147"/>
        <v>2</v>
      </c>
      <c r="T1735" s="15" t="str">
        <f>VLOOKUP(R1735,产品分类!$C$2:$D$1278,2,0)</f>
        <v>办公用品</v>
      </c>
    </row>
    <row r="1736" spans="1:20">
      <c r="A1736" s="16">
        <f t="shared" ref="A1736:B1738" si="148">DATE(2012,12,31)-755</f>
        <v>40519</v>
      </c>
      <c r="B1736" s="16">
        <f t="shared" si="148"/>
        <v>40519</v>
      </c>
      <c r="C1736" s="9" t="s">
        <v>1678</v>
      </c>
      <c r="D1736">
        <v>10021349410</v>
      </c>
      <c r="E1736" t="s">
        <v>47</v>
      </c>
      <c r="F1736" t="s">
        <v>527</v>
      </c>
      <c r="G1736" t="s">
        <v>528</v>
      </c>
      <c r="H1736" t="s">
        <v>1676</v>
      </c>
      <c r="I1736" t="s">
        <v>1677</v>
      </c>
      <c r="J1736" t="s">
        <v>367</v>
      </c>
      <c r="K1736" s="3">
        <v>100931860931</v>
      </c>
      <c r="L1736" s="10">
        <v>40520</v>
      </c>
      <c r="M1736">
        <v>356.95</v>
      </c>
      <c r="N1736" s="17">
        <v>1</v>
      </c>
      <c r="O1736" s="5">
        <v>387.99</v>
      </c>
      <c r="P1736" s="5">
        <v>19.99</v>
      </c>
      <c r="Q1736" s="6">
        <v>-228.2405</v>
      </c>
      <c r="R1736" s="37" t="s">
        <v>1742</v>
      </c>
      <c r="S1736" s="7">
        <f t="shared" si="147"/>
        <v>1</v>
      </c>
      <c r="T1736" s="15" t="str">
        <f>VLOOKUP(R1736,产品分类!$C$2:$D$1278,2,0)</f>
        <v>家具产品</v>
      </c>
    </row>
    <row r="1737" spans="1:20">
      <c r="A1737" s="8">
        <f t="shared" si="148"/>
        <v>40519</v>
      </c>
      <c r="B1737" s="8">
        <f t="shared" si="148"/>
        <v>40519</v>
      </c>
      <c r="C1737" s="9" t="s">
        <v>1678</v>
      </c>
      <c r="D1737">
        <v>10021421661</v>
      </c>
      <c r="E1737" t="s">
        <v>47</v>
      </c>
      <c r="F1737" t="s">
        <v>177</v>
      </c>
      <c r="G1737" t="s">
        <v>178</v>
      </c>
      <c r="H1737" t="s">
        <v>1292</v>
      </c>
      <c r="I1737" t="s">
        <v>1293</v>
      </c>
      <c r="J1737" t="s">
        <v>367</v>
      </c>
      <c r="K1737" s="3">
        <v>100126097097</v>
      </c>
      <c r="L1737" s="10">
        <v>40521</v>
      </c>
      <c r="M1737">
        <v>112.86</v>
      </c>
      <c r="N1737" s="11">
        <v>17</v>
      </c>
      <c r="O1737" s="12">
        <v>6.6</v>
      </c>
      <c r="P1737" s="12">
        <v>4.07</v>
      </c>
      <c r="Q1737" s="13">
        <v>-56.78</v>
      </c>
      <c r="R1737" s="36" t="s">
        <v>1680</v>
      </c>
      <c r="S1737" s="7">
        <f t="shared" si="147"/>
        <v>2</v>
      </c>
      <c r="T1737" s="15" t="str">
        <f>VLOOKUP(R1737,产品分类!$C$2:$D$1278,2,0)</f>
        <v>家具产品</v>
      </c>
    </row>
    <row r="1738" spans="1:20">
      <c r="A1738" s="16">
        <f t="shared" si="148"/>
        <v>40519</v>
      </c>
      <c r="B1738" s="16">
        <f t="shared" si="148"/>
        <v>40519</v>
      </c>
      <c r="C1738" s="9" t="s">
        <v>1678</v>
      </c>
      <c r="D1738">
        <v>10021444173</v>
      </c>
      <c r="E1738" t="s">
        <v>47</v>
      </c>
      <c r="F1738" t="s">
        <v>61</v>
      </c>
      <c r="G1738" t="s">
        <v>62</v>
      </c>
      <c r="H1738" t="s">
        <v>1369</v>
      </c>
      <c r="I1738" t="s">
        <v>1370</v>
      </c>
      <c r="J1738" t="s">
        <v>367</v>
      </c>
      <c r="K1738" s="3">
        <v>10045585034</v>
      </c>
      <c r="L1738" s="10">
        <v>40521</v>
      </c>
      <c r="M1738">
        <v>2063.42</v>
      </c>
      <c r="N1738" s="17">
        <v>38</v>
      </c>
      <c r="O1738" s="5">
        <v>55.98</v>
      </c>
      <c r="P1738" s="5">
        <v>5.15</v>
      </c>
      <c r="Q1738" s="6">
        <v>989.95</v>
      </c>
      <c r="R1738" s="37" t="s">
        <v>1743</v>
      </c>
      <c r="S1738" s="7">
        <f t="shared" si="147"/>
        <v>2</v>
      </c>
      <c r="T1738" s="15" t="str">
        <f>VLOOKUP(R1738,产品分类!$C$2:$D$1278,2,0)</f>
        <v>办公用品</v>
      </c>
    </row>
    <row r="1739" spans="1:20">
      <c r="A1739" s="8">
        <f>DATE(2012,12,31)-1273</f>
        <v>40001</v>
      </c>
      <c r="B1739" s="8">
        <f>DATE(2012,12,31)-1273</f>
        <v>40001</v>
      </c>
      <c r="C1739" s="9" t="s">
        <v>853</v>
      </c>
      <c r="D1739">
        <v>10021423446</v>
      </c>
      <c r="E1739" t="s">
        <v>47</v>
      </c>
      <c r="F1739" t="s">
        <v>61</v>
      </c>
      <c r="G1739" t="s">
        <v>62</v>
      </c>
      <c r="H1739" t="s">
        <v>1369</v>
      </c>
      <c r="I1739" t="s">
        <v>1370</v>
      </c>
      <c r="J1739" t="s">
        <v>367</v>
      </c>
      <c r="K1739" s="3">
        <v>1001613758</v>
      </c>
      <c r="L1739" s="10">
        <v>40002</v>
      </c>
      <c r="M1739">
        <v>1187.01</v>
      </c>
      <c r="N1739" s="11">
        <v>8</v>
      </c>
      <c r="O1739" s="12">
        <v>137.48</v>
      </c>
      <c r="P1739" s="12">
        <v>32.18</v>
      </c>
      <c r="Q1739" s="13">
        <v>-203.27</v>
      </c>
      <c r="R1739" s="36" t="s">
        <v>1744</v>
      </c>
      <c r="S1739" s="7">
        <f t="shared" si="147"/>
        <v>1</v>
      </c>
      <c r="T1739" s="15" t="str">
        <f>VLOOKUP(R1739,产品分类!$C$2:$D$1278,2,0)</f>
        <v>数码电子</v>
      </c>
    </row>
    <row r="1740" spans="1:20">
      <c r="A1740" s="8">
        <f>DATE(2012,12,31)-540</f>
        <v>40734</v>
      </c>
      <c r="B1740" s="8">
        <f>DATE(2012,12,31)-540</f>
        <v>40734</v>
      </c>
      <c r="C1740" s="9" t="s">
        <v>1258</v>
      </c>
      <c r="D1740">
        <v>10021302643</v>
      </c>
      <c r="E1740" t="s">
        <v>47</v>
      </c>
      <c r="F1740" t="s">
        <v>61</v>
      </c>
      <c r="G1740" t="s">
        <v>62</v>
      </c>
      <c r="H1740" t="s">
        <v>1369</v>
      </c>
      <c r="I1740" t="s">
        <v>1370</v>
      </c>
      <c r="J1740" t="s">
        <v>367</v>
      </c>
      <c r="K1740" s="3">
        <v>10046318624</v>
      </c>
      <c r="L1740" s="10">
        <v>40736</v>
      </c>
      <c r="M1740">
        <v>744</v>
      </c>
      <c r="N1740" s="11">
        <v>37</v>
      </c>
      <c r="O1740" s="12">
        <v>20.89</v>
      </c>
      <c r="P1740" s="12">
        <v>1.99</v>
      </c>
      <c r="Q1740" s="13">
        <v>215.8</v>
      </c>
      <c r="R1740" s="36" t="s">
        <v>1745</v>
      </c>
      <c r="S1740" s="7">
        <f t="shared" si="147"/>
        <v>2</v>
      </c>
      <c r="T1740" s="15" t="str">
        <f>VLOOKUP(R1740,产品分类!$C$2:$D$1278,2,0)</f>
        <v>数码电子</v>
      </c>
    </row>
    <row r="1741" spans="1:20">
      <c r="A1741" s="8">
        <f>DATE(2012,12,31)-540</f>
        <v>40734</v>
      </c>
      <c r="B1741" s="8">
        <f>DATE(2012,12,31)-540</f>
        <v>40734</v>
      </c>
      <c r="C1741" s="9" t="s">
        <v>1258</v>
      </c>
      <c r="D1741">
        <v>10021264430</v>
      </c>
      <c r="E1741" t="s">
        <v>47</v>
      </c>
      <c r="F1741" t="s">
        <v>61</v>
      </c>
      <c r="G1741" t="s">
        <v>62</v>
      </c>
      <c r="H1741" t="s">
        <v>1369</v>
      </c>
      <c r="I1741" t="s">
        <v>1370</v>
      </c>
      <c r="J1741" t="s">
        <v>367</v>
      </c>
      <c r="K1741" s="3">
        <v>100131133577</v>
      </c>
      <c r="L1741" s="10">
        <v>40734</v>
      </c>
      <c r="M1741">
        <v>388.8665</v>
      </c>
      <c r="N1741" s="11">
        <v>12</v>
      </c>
      <c r="O1741" s="12">
        <v>35.99</v>
      </c>
      <c r="P1741" s="12">
        <v>0.99</v>
      </c>
      <c r="Q1741" s="13">
        <v>103.05</v>
      </c>
      <c r="R1741" s="36" t="s">
        <v>685</v>
      </c>
      <c r="S1741" s="7">
        <f t="shared" si="147"/>
        <v>0</v>
      </c>
      <c r="T1741" s="15" t="str">
        <f>VLOOKUP(R1741,产品分类!$C$2:$D$1278,2,0)</f>
        <v>办公用品</v>
      </c>
    </row>
    <row r="1742" spans="1:20">
      <c r="A1742" s="8">
        <f t="shared" ref="A1742:B1744" si="149">DATE(2012,12,31)-880</f>
        <v>40394</v>
      </c>
      <c r="B1742" s="8">
        <f t="shared" si="149"/>
        <v>40394</v>
      </c>
      <c r="C1742" s="9" t="s">
        <v>1746</v>
      </c>
      <c r="D1742">
        <v>10021320163</v>
      </c>
      <c r="E1742" t="s">
        <v>47</v>
      </c>
      <c r="F1742" t="s">
        <v>61</v>
      </c>
      <c r="G1742" t="s">
        <v>62</v>
      </c>
      <c r="H1742" t="s">
        <v>1369</v>
      </c>
      <c r="I1742" t="s">
        <v>1370</v>
      </c>
      <c r="J1742" t="s">
        <v>367</v>
      </c>
      <c r="K1742" s="3">
        <v>100917423491</v>
      </c>
      <c r="L1742" s="10">
        <v>40394</v>
      </c>
      <c r="M1742">
        <v>1676.44</v>
      </c>
      <c r="N1742" s="11">
        <v>14</v>
      </c>
      <c r="O1742" s="12">
        <v>120.98</v>
      </c>
      <c r="P1742" s="12">
        <v>9.07</v>
      </c>
      <c r="Q1742" s="13">
        <v>607.495</v>
      </c>
      <c r="R1742" s="36" t="s">
        <v>1524</v>
      </c>
      <c r="S1742" s="7">
        <f t="shared" si="147"/>
        <v>0</v>
      </c>
      <c r="T1742" s="15" t="str">
        <f>VLOOKUP(R1742,产品分类!$C$2:$D$1278,2,0)</f>
        <v>办公用品</v>
      </c>
    </row>
    <row r="1743" spans="1:20">
      <c r="A1743" s="8">
        <f t="shared" si="149"/>
        <v>40394</v>
      </c>
      <c r="B1743" s="8">
        <f t="shared" si="149"/>
        <v>40394</v>
      </c>
      <c r="C1743" s="9" t="s">
        <v>1746</v>
      </c>
      <c r="D1743">
        <v>10021335343</v>
      </c>
      <c r="E1743" t="s">
        <v>47</v>
      </c>
      <c r="F1743" t="s">
        <v>61</v>
      </c>
      <c r="G1743" t="s">
        <v>62</v>
      </c>
      <c r="H1743" t="s">
        <v>1369</v>
      </c>
      <c r="I1743" t="s">
        <v>1370</v>
      </c>
      <c r="J1743" t="s">
        <v>367</v>
      </c>
      <c r="K1743" s="3">
        <v>100911817101</v>
      </c>
      <c r="L1743" s="10">
        <v>40396</v>
      </c>
      <c r="M1743">
        <v>1406.07</v>
      </c>
      <c r="N1743" s="11">
        <v>14</v>
      </c>
      <c r="O1743" s="12">
        <v>100.98</v>
      </c>
      <c r="P1743" s="12">
        <v>57.38</v>
      </c>
      <c r="Q1743" s="13">
        <v>-701.91</v>
      </c>
      <c r="R1743" s="36" t="s">
        <v>661</v>
      </c>
      <c r="S1743" s="7">
        <f t="shared" si="147"/>
        <v>2</v>
      </c>
      <c r="T1743" s="15" t="str">
        <f>VLOOKUP(R1743,产品分类!$C$2:$D$1278,2,0)</f>
        <v>办公用品</v>
      </c>
    </row>
    <row r="1744" spans="1:20">
      <c r="A1744" s="8">
        <f t="shared" si="149"/>
        <v>40394</v>
      </c>
      <c r="B1744" s="8">
        <f t="shared" si="149"/>
        <v>40394</v>
      </c>
      <c r="C1744" s="9" t="s">
        <v>1746</v>
      </c>
      <c r="D1744">
        <v>10021349320</v>
      </c>
      <c r="E1744" t="s">
        <v>47</v>
      </c>
      <c r="F1744" t="s">
        <v>61</v>
      </c>
      <c r="G1744" t="s">
        <v>62</v>
      </c>
      <c r="H1744" t="s">
        <v>1369</v>
      </c>
      <c r="I1744" t="s">
        <v>1370</v>
      </c>
      <c r="J1744" t="s">
        <v>367</v>
      </c>
      <c r="K1744" s="3">
        <v>100931849871</v>
      </c>
      <c r="L1744" s="10">
        <v>40395</v>
      </c>
      <c r="M1744">
        <v>1771.67</v>
      </c>
      <c r="N1744" s="11">
        <v>30</v>
      </c>
      <c r="O1744" s="12">
        <v>59.76</v>
      </c>
      <c r="P1744" s="12">
        <v>9.71</v>
      </c>
      <c r="Q1744" s="13">
        <v>338.95</v>
      </c>
      <c r="R1744" s="36" t="s">
        <v>1747</v>
      </c>
      <c r="S1744" s="7">
        <f t="shared" si="147"/>
        <v>1</v>
      </c>
      <c r="T1744" s="15" t="str">
        <f>VLOOKUP(R1744,产品分类!$C$2:$D$1278,2,0)</f>
        <v>办公用品</v>
      </c>
    </row>
    <row r="1745" spans="1:20">
      <c r="A1745" s="8">
        <f>DATE(2012,12,31)-877</f>
        <v>40397</v>
      </c>
      <c r="B1745" s="8">
        <f>DATE(2012,12,31)-877</f>
        <v>40397</v>
      </c>
      <c r="C1745" s="9" t="s">
        <v>748</v>
      </c>
      <c r="D1745">
        <v>10021415212</v>
      </c>
      <c r="E1745" t="s">
        <v>47</v>
      </c>
      <c r="F1745" t="s">
        <v>61</v>
      </c>
      <c r="G1745" t="s">
        <v>62</v>
      </c>
      <c r="H1745" t="s">
        <v>1369</v>
      </c>
      <c r="I1745" t="s">
        <v>1370</v>
      </c>
      <c r="J1745" t="s">
        <v>367</v>
      </c>
      <c r="K1745" s="3">
        <v>100110534188</v>
      </c>
      <c r="L1745" s="10">
        <v>40398</v>
      </c>
      <c r="M1745">
        <v>5407.31</v>
      </c>
      <c r="N1745" s="11">
        <v>24</v>
      </c>
      <c r="O1745" s="12">
        <v>226.67</v>
      </c>
      <c r="P1745" s="12">
        <v>28.16</v>
      </c>
      <c r="Q1745" s="13">
        <v>1068.48</v>
      </c>
      <c r="R1745" s="36" t="s">
        <v>1748</v>
      </c>
      <c r="S1745" s="7">
        <f t="shared" si="147"/>
        <v>1</v>
      </c>
      <c r="T1745" s="15" t="str">
        <f>VLOOKUP(R1745,产品分类!$C$2:$D$1278,2,0)</f>
        <v>数码电子</v>
      </c>
    </row>
    <row r="1746" spans="1:20">
      <c r="A1746" s="8">
        <f>DATE(2012,12,31)-680</f>
        <v>40594</v>
      </c>
      <c r="B1746" s="8">
        <f>DATE(2012,12,31)-680</f>
        <v>40594</v>
      </c>
      <c r="C1746" s="9" t="s">
        <v>1749</v>
      </c>
      <c r="D1746">
        <v>10021394984</v>
      </c>
      <c r="E1746" t="s">
        <v>47</v>
      </c>
      <c r="F1746" t="s">
        <v>61</v>
      </c>
      <c r="G1746" t="s">
        <v>62</v>
      </c>
      <c r="H1746" t="s">
        <v>1369</v>
      </c>
      <c r="I1746" t="s">
        <v>1370</v>
      </c>
      <c r="J1746" t="s">
        <v>367</v>
      </c>
      <c r="K1746" s="3">
        <v>10014323116</v>
      </c>
      <c r="L1746" s="10">
        <v>40595</v>
      </c>
      <c r="M1746">
        <v>3081.33</v>
      </c>
      <c r="N1746" s="11">
        <v>31</v>
      </c>
      <c r="O1746" s="12">
        <v>100.98</v>
      </c>
      <c r="P1746" s="12">
        <v>57.38</v>
      </c>
      <c r="Q1746" s="13">
        <v>-1341.11</v>
      </c>
      <c r="R1746" s="36" t="s">
        <v>661</v>
      </c>
      <c r="S1746" s="7">
        <f t="shared" si="147"/>
        <v>1</v>
      </c>
      <c r="T1746" s="15" t="str">
        <f>VLOOKUP(R1746,产品分类!$C$2:$D$1278,2,0)</f>
        <v>办公用品</v>
      </c>
    </row>
    <row r="1747" spans="1:20">
      <c r="A1747" s="8">
        <f>DATE(2012,12,31)-680</f>
        <v>40594</v>
      </c>
      <c r="B1747" s="8">
        <f>DATE(2012,12,31)-680</f>
        <v>40594</v>
      </c>
      <c r="C1747" s="9" t="s">
        <v>1749</v>
      </c>
      <c r="D1747">
        <v>10021422525</v>
      </c>
      <c r="E1747" t="s">
        <v>47</v>
      </c>
      <c r="F1747" t="s">
        <v>61</v>
      </c>
      <c r="G1747" t="s">
        <v>62</v>
      </c>
      <c r="H1747" t="s">
        <v>1369</v>
      </c>
      <c r="I1747" t="s">
        <v>1370</v>
      </c>
      <c r="J1747" t="s">
        <v>367</v>
      </c>
      <c r="K1747" s="3">
        <v>100920868061</v>
      </c>
      <c r="L1747" s="10">
        <v>40595</v>
      </c>
      <c r="M1747">
        <v>1692.56</v>
      </c>
      <c r="N1747" s="11">
        <v>42</v>
      </c>
      <c r="O1747" s="12">
        <v>40.98</v>
      </c>
      <c r="P1747" s="12">
        <v>7.2</v>
      </c>
      <c r="Q1747" s="13">
        <v>275.5</v>
      </c>
      <c r="R1747" s="36" t="s">
        <v>1750</v>
      </c>
      <c r="S1747" s="7">
        <f t="shared" si="147"/>
        <v>1</v>
      </c>
      <c r="T1747" s="15" t="str">
        <f>VLOOKUP(R1747,产品分类!$C$2:$D$1278,2,0)</f>
        <v>办公用品</v>
      </c>
    </row>
    <row r="1748" spans="1:20">
      <c r="A1748" s="8">
        <f>DATE(2012,12,31)-963</f>
        <v>40311</v>
      </c>
      <c r="B1748" s="8">
        <f>DATE(2012,12,31)-963</f>
        <v>40311</v>
      </c>
      <c r="C1748" s="9" t="s">
        <v>1050</v>
      </c>
      <c r="D1748">
        <v>10021423795</v>
      </c>
      <c r="E1748" t="s">
        <v>47</v>
      </c>
      <c r="F1748" t="s">
        <v>61</v>
      </c>
      <c r="G1748" t="s">
        <v>62</v>
      </c>
      <c r="H1748" t="s">
        <v>1369</v>
      </c>
      <c r="I1748" t="s">
        <v>1370</v>
      </c>
      <c r="J1748" t="s">
        <v>367</v>
      </c>
      <c r="K1748" s="3">
        <v>100128295518</v>
      </c>
      <c r="L1748" s="10">
        <v>40314</v>
      </c>
      <c r="M1748">
        <v>1702.499</v>
      </c>
      <c r="N1748" s="11">
        <v>16</v>
      </c>
      <c r="O1748" s="12">
        <v>125.99</v>
      </c>
      <c r="P1748" s="12">
        <v>5.99</v>
      </c>
      <c r="Q1748" s="13">
        <v>133.452</v>
      </c>
      <c r="R1748" s="36" t="s">
        <v>1052</v>
      </c>
      <c r="S1748" s="7">
        <f t="shared" si="147"/>
        <v>3</v>
      </c>
      <c r="T1748" s="15" t="str">
        <f>VLOOKUP(R1748,产品分类!$C$2:$D$1278,2,0)</f>
        <v>家具产品</v>
      </c>
    </row>
    <row r="1749" spans="1:20">
      <c r="A1749" s="8">
        <f>DATE(2012,12,31)-1317</f>
        <v>39957</v>
      </c>
      <c r="B1749" s="8">
        <f>DATE(2012,12,31)-1317</f>
        <v>39957</v>
      </c>
      <c r="C1749" s="9" t="s">
        <v>1751</v>
      </c>
      <c r="D1749">
        <v>10021415178</v>
      </c>
      <c r="E1749" t="s">
        <v>47</v>
      </c>
      <c r="F1749" t="s">
        <v>61</v>
      </c>
      <c r="G1749" t="s">
        <v>62</v>
      </c>
      <c r="H1749" t="s">
        <v>1369</v>
      </c>
      <c r="I1749" t="s">
        <v>1370</v>
      </c>
      <c r="J1749" t="s">
        <v>367</v>
      </c>
      <c r="K1749" s="3">
        <v>100810499962</v>
      </c>
      <c r="L1749" s="10">
        <v>39962</v>
      </c>
      <c r="M1749">
        <v>2360.43</v>
      </c>
      <c r="N1749" s="11">
        <v>31</v>
      </c>
      <c r="O1749" s="12">
        <v>80.97</v>
      </c>
      <c r="P1749" s="12">
        <v>33.6</v>
      </c>
      <c r="Q1749" s="13">
        <v>66.22</v>
      </c>
      <c r="R1749" s="36" t="s">
        <v>1183</v>
      </c>
      <c r="S1749" s="7">
        <f t="shared" si="147"/>
        <v>5</v>
      </c>
      <c r="T1749" s="15" t="str">
        <f>VLOOKUP(R1749,产品分类!$C$2:$D$1278,2,0)</f>
        <v>办公用品</v>
      </c>
    </row>
    <row r="1750" spans="1:20">
      <c r="A1750" s="16">
        <f>DATE(2012,12,31)-1317</f>
        <v>39957</v>
      </c>
      <c r="B1750" s="16">
        <f>DATE(2012,12,31)-1317</f>
        <v>39957</v>
      </c>
      <c r="C1750" s="9" t="s">
        <v>1751</v>
      </c>
      <c r="D1750">
        <v>10021417685</v>
      </c>
      <c r="E1750" t="s">
        <v>47</v>
      </c>
      <c r="F1750" t="s">
        <v>253</v>
      </c>
      <c r="G1750" t="s">
        <v>254</v>
      </c>
      <c r="H1750" t="s">
        <v>255</v>
      </c>
      <c r="I1750" t="s">
        <v>256</v>
      </c>
      <c r="J1750" t="s">
        <v>367</v>
      </c>
      <c r="K1750" s="3">
        <v>100417222213</v>
      </c>
      <c r="L1750" s="10">
        <v>39961</v>
      </c>
      <c r="M1750">
        <v>154.6</v>
      </c>
      <c r="N1750" s="17">
        <v>22</v>
      </c>
      <c r="O1750" s="5">
        <v>6.48</v>
      </c>
      <c r="P1750" s="5">
        <v>5.11</v>
      </c>
      <c r="Q1750" s="6">
        <v>-23.53</v>
      </c>
      <c r="R1750" s="37" t="s">
        <v>1752</v>
      </c>
      <c r="S1750" s="7">
        <f t="shared" si="147"/>
        <v>4</v>
      </c>
      <c r="T1750" s="15" t="str">
        <f>VLOOKUP(R1750,产品分类!$C$2:$D$1278,2,0)</f>
        <v>办公用品</v>
      </c>
    </row>
    <row r="1751" spans="1:20">
      <c r="A1751" s="8">
        <f>DATE(2012,12,31)-1399</f>
        <v>39875</v>
      </c>
      <c r="B1751" s="8">
        <f>DATE(2012,12,31)-1399</f>
        <v>39875</v>
      </c>
      <c r="C1751" s="9" t="s">
        <v>467</v>
      </c>
      <c r="D1751">
        <v>10021418322</v>
      </c>
      <c r="E1751" t="s">
        <v>47</v>
      </c>
      <c r="F1751" t="s">
        <v>61</v>
      </c>
      <c r="G1751" t="s">
        <v>62</v>
      </c>
      <c r="H1751" t="s">
        <v>1369</v>
      </c>
      <c r="I1751" t="s">
        <v>1370</v>
      </c>
      <c r="J1751" t="s">
        <v>367</v>
      </c>
      <c r="K1751" s="3">
        <v>100820971542</v>
      </c>
      <c r="L1751" s="10">
        <v>39882</v>
      </c>
      <c r="M1751">
        <v>74.3</v>
      </c>
      <c r="N1751" s="11">
        <v>34</v>
      </c>
      <c r="O1751" s="12">
        <v>2.08</v>
      </c>
      <c r="P1751" s="12">
        <v>5.33</v>
      </c>
      <c r="Q1751" s="13">
        <v>-129.01</v>
      </c>
      <c r="R1751" s="36" t="s">
        <v>901</v>
      </c>
      <c r="S1751" s="7">
        <f t="shared" si="147"/>
        <v>7</v>
      </c>
      <c r="T1751" s="15" t="str">
        <f>VLOOKUP(R1751,产品分类!$C$2:$D$1278,2,0)</f>
        <v>家具产品</v>
      </c>
    </row>
    <row r="1752" spans="1:20">
      <c r="A1752" s="8">
        <f>DATE(2012,12,31)-203</f>
        <v>41071</v>
      </c>
      <c r="B1752" s="8">
        <f>DATE(2012,12,31)-203</f>
        <v>41071</v>
      </c>
      <c r="C1752" s="9" t="s">
        <v>1753</v>
      </c>
      <c r="D1752">
        <v>10021340111</v>
      </c>
      <c r="E1752" t="s">
        <v>47</v>
      </c>
      <c r="F1752" t="s">
        <v>253</v>
      </c>
      <c r="G1752" t="s">
        <v>254</v>
      </c>
      <c r="H1752" t="s">
        <v>255</v>
      </c>
      <c r="I1752" t="s">
        <v>256</v>
      </c>
      <c r="J1752" t="s">
        <v>367</v>
      </c>
      <c r="K1752" s="3">
        <v>100422932264</v>
      </c>
      <c r="L1752" s="10">
        <v>41078</v>
      </c>
      <c r="M1752">
        <v>5023.2535</v>
      </c>
      <c r="N1752" s="11">
        <v>46</v>
      </c>
      <c r="O1752" s="12">
        <v>125.99</v>
      </c>
      <c r="P1752" s="12">
        <v>5.26</v>
      </c>
      <c r="Q1752" s="13">
        <v>1665.225</v>
      </c>
      <c r="R1752" s="36" t="s">
        <v>1754</v>
      </c>
      <c r="S1752" s="7">
        <f t="shared" si="147"/>
        <v>7</v>
      </c>
      <c r="T1752" s="15" t="str">
        <f>VLOOKUP(R1752,产品分类!$C$2:$D$1278,2,0)</f>
        <v>数码电子</v>
      </c>
    </row>
    <row r="1753" spans="1:20">
      <c r="A1753" s="8">
        <f>DATE(2012,12,31)-564</f>
        <v>40710</v>
      </c>
      <c r="B1753" s="8">
        <f>DATE(2012,12,31)-564</f>
        <v>40710</v>
      </c>
      <c r="C1753" s="9" t="s">
        <v>1399</v>
      </c>
      <c r="D1753">
        <v>10021335664</v>
      </c>
      <c r="E1753" t="s">
        <v>47</v>
      </c>
      <c r="F1753" t="s">
        <v>72</v>
      </c>
      <c r="G1753" t="s">
        <v>73</v>
      </c>
      <c r="H1753" t="s">
        <v>1572</v>
      </c>
      <c r="I1753" t="s">
        <v>1573</v>
      </c>
      <c r="J1753" t="s">
        <v>367</v>
      </c>
      <c r="K1753" s="3">
        <v>100115596257</v>
      </c>
      <c r="L1753" s="10">
        <v>40710</v>
      </c>
      <c r="M1753">
        <v>70.33</v>
      </c>
      <c r="N1753" s="11">
        <v>5</v>
      </c>
      <c r="O1753" s="12">
        <v>15.04</v>
      </c>
      <c r="P1753" s="12">
        <v>1.97</v>
      </c>
      <c r="Q1753" s="13">
        <v>1.07</v>
      </c>
      <c r="R1753" s="36" t="s">
        <v>1755</v>
      </c>
      <c r="S1753" s="7">
        <f t="shared" si="147"/>
        <v>0</v>
      </c>
      <c r="T1753" s="15" t="str">
        <f>VLOOKUP(R1753,产品分类!$C$2:$D$1278,2,0)</f>
        <v>办公用品</v>
      </c>
    </row>
    <row r="1754" spans="1:20">
      <c r="A1754" s="16">
        <f>DATE(2012,12,31)-1083</f>
        <v>40191</v>
      </c>
      <c r="B1754" s="16">
        <f>DATE(2012,12,31)-1083</f>
        <v>40191</v>
      </c>
      <c r="C1754" s="9" t="s">
        <v>520</v>
      </c>
      <c r="D1754">
        <v>10021351532</v>
      </c>
      <c r="E1754" t="s">
        <v>47</v>
      </c>
      <c r="F1754" t="s">
        <v>78</v>
      </c>
      <c r="G1754" t="s">
        <v>79</v>
      </c>
      <c r="H1754" t="s">
        <v>1654</v>
      </c>
      <c r="I1754" t="s">
        <v>1655</v>
      </c>
      <c r="J1754" t="s">
        <v>367</v>
      </c>
      <c r="K1754" s="3">
        <v>100132488357</v>
      </c>
      <c r="L1754" s="10">
        <v>40193</v>
      </c>
      <c r="M1754">
        <v>140.72</v>
      </c>
      <c r="N1754" s="17">
        <v>43</v>
      </c>
      <c r="O1754" s="5">
        <v>3.28</v>
      </c>
      <c r="P1754" s="5">
        <v>3.97</v>
      </c>
      <c r="Q1754" s="6">
        <v>-115.53</v>
      </c>
      <c r="R1754" s="37" t="s">
        <v>1756</v>
      </c>
      <c r="S1754" s="7">
        <f t="shared" si="147"/>
        <v>2</v>
      </c>
      <c r="T1754" s="15" t="str">
        <f>VLOOKUP(R1754,产品分类!$C$2:$D$1278,2,0)</f>
        <v>办公用品</v>
      </c>
    </row>
    <row r="1755" spans="1:20">
      <c r="A1755" s="8">
        <f>DATE(2012,12,31)-1083</f>
        <v>40191</v>
      </c>
      <c r="B1755" s="8">
        <f>DATE(2012,12,31)-1083</f>
        <v>40191</v>
      </c>
      <c r="C1755" s="9" t="s">
        <v>520</v>
      </c>
      <c r="D1755">
        <v>10021263863</v>
      </c>
      <c r="E1755" t="s">
        <v>47</v>
      </c>
      <c r="F1755" t="s">
        <v>137</v>
      </c>
      <c r="G1755" t="s">
        <v>138</v>
      </c>
      <c r="H1755" t="s">
        <v>139</v>
      </c>
      <c r="I1755" t="s">
        <v>140</v>
      </c>
      <c r="J1755" t="s">
        <v>367</v>
      </c>
      <c r="K1755" s="3">
        <v>100930848331</v>
      </c>
      <c r="L1755" s="10">
        <v>40193</v>
      </c>
      <c r="M1755">
        <v>8038.08</v>
      </c>
      <c r="N1755" s="11">
        <v>50</v>
      </c>
      <c r="O1755" s="12">
        <v>172.99</v>
      </c>
      <c r="P1755" s="12">
        <v>19.99</v>
      </c>
      <c r="Q1755" s="13">
        <v>2821.405</v>
      </c>
      <c r="R1755" s="36" t="s">
        <v>1337</v>
      </c>
      <c r="S1755" s="7">
        <f t="shared" si="147"/>
        <v>2</v>
      </c>
      <c r="T1755" s="15" t="str">
        <f>VLOOKUP(R1755,产品分类!$C$2:$D$1278,2,0)</f>
        <v>办公用品</v>
      </c>
    </row>
    <row r="1756" spans="1:20">
      <c r="A1756" s="8">
        <f>DATE(2012,12,31)-1168</f>
        <v>40106</v>
      </c>
      <c r="B1756" s="8">
        <f>DATE(2012,12,31)-1168</f>
        <v>40106</v>
      </c>
      <c r="C1756" s="9" t="s">
        <v>1487</v>
      </c>
      <c r="D1756">
        <v>10021258990</v>
      </c>
      <c r="E1756" t="s">
        <v>47</v>
      </c>
      <c r="F1756" t="s">
        <v>102</v>
      </c>
      <c r="G1756" t="s">
        <v>103</v>
      </c>
      <c r="H1756" t="s">
        <v>1217</v>
      </c>
      <c r="I1756" t="s">
        <v>1218</v>
      </c>
      <c r="J1756" t="s">
        <v>367</v>
      </c>
      <c r="K1756" s="3">
        <v>100827467112</v>
      </c>
      <c r="L1756" s="10">
        <v>40108</v>
      </c>
      <c r="M1756">
        <v>1768.969</v>
      </c>
      <c r="N1756" s="11">
        <v>31</v>
      </c>
      <c r="O1756" s="12">
        <v>65.99</v>
      </c>
      <c r="P1756" s="12">
        <v>5.99</v>
      </c>
      <c r="Q1756" s="13">
        <v>341.1</v>
      </c>
      <c r="R1756" s="36" t="s">
        <v>1660</v>
      </c>
      <c r="S1756" s="7">
        <f t="shared" si="147"/>
        <v>2</v>
      </c>
      <c r="T1756" s="15" t="str">
        <f>VLOOKUP(R1756,产品分类!$C$2:$D$1278,2,0)</f>
        <v>办公用品</v>
      </c>
    </row>
    <row r="1757" spans="1:20">
      <c r="A1757" s="8">
        <f>DATE(2012,12,31)-443</f>
        <v>40831</v>
      </c>
      <c r="B1757" s="8">
        <f>DATE(2012,12,31)-443</f>
        <v>40831</v>
      </c>
      <c r="C1757" s="9" t="s">
        <v>1757</v>
      </c>
      <c r="D1757">
        <v>10021420698</v>
      </c>
      <c r="E1757" t="s">
        <v>47</v>
      </c>
      <c r="F1757" t="s">
        <v>171</v>
      </c>
      <c r="G1757" t="s">
        <v>172</v>
      </c>
      <c r="H1757" t="s">
        <v>1712</v>
      </c>
      <c r="I1757" t="s">
        <v>1713</v>
      </c>
      <c r="J1757" t="s">
        <v>367</v>
      </c>
      <c r="K1757" s="3">
        <v>100125164327</v>
      </c>
      <c r="L1757" s="10">
        <v>40833</v>
      </c>
      <c r="M1757">
        <v>189.99</v>
      </c>
      <c r="N1757" s="11">
        <v>13</v>
      </c>
      <c r="O1757" s="12">
        <v>12.97</v>
      </c>
      <c r="P1757" s="12">
        <v>1.49</v>
      </c>
      <c r="Q1757" s="13">
        <v>72.8195</v>
      </c>
      <c r="R1757" s="36" t="s">
        <v>917</v>
      </c>
      <c r="S1757" s="7">
        <f t="shared" si="147"/>
        <v>2</v>
      </c>
      <c r="T1757" s="15" t="str">
        <f>VLOOKUP(R1757,产品分类!$C$2:$D$1278,2,0)</f>
        <v>家具产品</v>
      </c>
    </row>
    <row r="1758" spans="1:20">
      <c r="A1758" s="8">
        <f>DATE(2012,12,31)-741</f>
        <v>40533</v>
      </c>
      <c r="B1758" s="8">
        <f>DATE(2012,12,31)-741</f>
        <v>40533</v>
      </c>
      <c r="C1758" s="9" t="s">
        <v>1480</v>
      </c>
      <c r="D1758">
        <v>10021479784</v>
      </c>
      <c r="E1758" t="s">
        <v>47</v>
      </c>
      <c r="F1758" t="s">
        <v>152</v>
      </c>
      <c r="G1758" t="s">
        <v>153</v>
      </c>
      <c r="H1758" t="s">
        <v>1640</v>
      </c>
      <c r="I1758" t="s">
        <v>1641</v>
      </c>
      <c r="J1758" t="s">
        <v>367</v>
      </c>
      <c r="K1758" s="3">
        <v>100417886514</v>
      </c>
      <c r="L1758" s="10">
        <v>40533</v>
      </c>
      <c r="M1758">
        <v>2360.98</v>
      </c>
      <c r="N1758" s="11">
        <v>29</v>
      </c>
      <c r="O1758" s="12">
        <v>78.65</v>
      </c>
      <c r="P1758" s="12">
        <v>13.99</v>
      </c>
      <c r="Q1758" s="13">
        <v>611.93</v>
      </c>
      <c r="R1758" s="36" t="s">
        <v>1758</v>
      </c>
      <c r="S1758" s="7">
        <f t="shared" si="147"/>
        <v>0</v>
      </c>
      <c r="T1758" s="15" t="str">
        <f>VLOOKUP(R1758,产品分类!$C$2:$D$1278,2,0)</f>
        <v>办公用品</v>
      </c>
    </row>
    <row r="1759" spans="1:20">
      <c r="A1759" s="8">
        <f>DATE(2012,12,31)-741</f>
        <v>40533</v>
      </c>
      <c r="B1759" s="8">
        <f>DATE(2012,12,31)-741</f>
        <v>40533</v>
      </c>
      <c r="C1759" s="9" t="s">
        <v>1480</v>
      </c>
      <c r="D1759">
        <v>10021292431</v>
      </c>
      <c r="E1759" t="s">
        <v>47</v>
      </c>
      <c r="F1759" t="s">
        <v>48</v>
      </c>
      <c r="G1759" t="s">
        <v>49</v>
      </c>
      <c r="H1759" t="s">
        <v>1433</v>
      </c>
      <c r="I1759" t="s">
        <v>1434</v>
      </c>
      <c r="J1759" t="s">
        <v>367</v>
      </c>
      <c r="K1759" s="3">
        <v>100830742022</v>
      </c>
      <c r="L1759" s="10">
        <v>40538</v>
      </c>
      <c r="M1759">
        <v>182.2</v>
      </c>
      <c r="N1759" s="11">
        <v>49</v>
      </c>
      <c r="O1759" s="12">
        <v>3.75</v>
      </c>
      <c r="P1759" s="12">
        <v>0.5</v>
      </c>
      <c r="Q1759" s="13">
        <v>82.21</v>
      </c>
      <c r="R1759" s="36" t="s">
        <v>1759</v>
      </c>
      <c r="S1759" s="7">
        <f t="shared" si="147"/>
        <v>5</v>
      </c>
      <c r="T1759" s="15" t="str">
        <f>VLOOKUP(R1759,产品分类!$C$2:$D$1278,2,0)</f>
        <v>家具产品</v>
      </c>
    </row>
    <row r="1760" spans="1:20">
      <c r="A1760" s="16">
        <f t="shared" ref="A1760:B1762" si="150">DATE(2012,12,31)-996</f>
        <v>40278</v>
      </c>
      <c r="B1760" s="16">
        <f t="shared" si="150"/>
        <v>40278</v>
      </c>
      <c r="C1760" s="9" t="s">
        <v>813</v>
      </c>
      <c r="D1760">
        <v>10021398279</v>
      </c>
      <c r="E1760" t="s">
        <v>47</v>
      </c>
      <c r="F1760" t="s">
        <v>114</v>
      </c>
      <c r="G1760" t="s">
        <v>115</v>
      </c>
      <c r="H1760" t="s">
        <v>1691</v>
      </c>
      <c r="I1760" t="s">
        <v>1692</v>
      </c>
      <c r="J1760" t="s">
        <v>367</v>
      </c>
      <c r="K1760" s="3">
        <v>100132767357</v>
      </c>
      <c r="L1760" s="10">
        <v>40281</v>
      </c>
      <c r="M1760">
        <v>15.64</v>
      </c>
      <c r="N1760" s="17">
        <v>3</v>
      </c>
      <c r="O1760" s="5">
        <v>3.36</v>
      </c>
      <c r="P1760" s="5">
        <v>6.27</v>
      </c>
      <c r="Q1760" s="6">
        <v>-16.008</v>
      </c>
      <c r="R1760" s="37" t="s">
        <v>690</v>
      </c>
      <c r="S1760" s="7">
        <f t="shared" si="147"/>
        <v>3</v>
      </c>
      <c r="T1760" s="15" t="str">
        <f>VLOOKUP(R1760,产品分类!$C$2:$D$1278,2,0)</f>
        <v>办公用品</v>
      </c>
    </row>
    <row r="1761" spans="1:20">
      <c r="A1761" s="16">
        <f t="shared" si="150"/>
        <v>40278</v>
      </c>
      <c r="B1761" s="16">
        <f t="shared" si="150"/>
        <v>40278</v>
      </c>
      <c r="C1761" s="9" t="s">
        <v>813</v>
      </c>
      <c r="D1761">
        <v>10021278108</v>
      </c>
      <c r="E1761" t="s">
        <v>47</v>
      </c>
      <c r="F1761" t="s">
        <v>122</v>
      </c>
      <c r="G1761" t="s">
        <v>123</v>
      </c>
      <c r="H1761" t="s">
        <v>124</v>
      </c>
      <c r="I1761" t="s">
        <v>125</v>
      </c>
      <c r="J1761" t="s">
        <v>367</v>
      </c>
      <c r="K1761" s="3">
        <v>100917193171</v>
      </c>
      <c r="L1761" s="10">
        <v>40279</v>
      </c>
      <c r="M1761">
        <v>1751.08</v>
      </c>
      <c r="N1761" s="17">
        <v>28</v>
      </c>
      <c r="O1761" s="5">
        <v>59.78</v>
      </c>
      <c r="P1761" s="5">
        <v>10.29</v>
      </c>
      <c r="Q1761" s="6">
        <v>587.01</v>
      </c>
      <c r="R1761" s="37" t="s">
        <v>1405</v>
      </c>
      <c r="S1761" s="7">
        <f t="shared" si="147"/>
        <v>1</v>
      </c>
      <c r="T1761" s="15" t="str">
        <f>VLOOKUP(R1761,产品分类!$C$2:$D$1278,2,0)</f>
        <v>办公用品</v>
      </c>
    </row>
    <row r="1762" spans="1:20">
      <c r="A1762" s="8">
        <f t="shared" si="150"/>
        <v>40278</v>
      </c>
      <c r="B1762" s="8">
        <f t="shared" si="150"/>
        <v>40278</v>
      </c>
      <c r="C1762" s="9" t="s">
        <v>813</v>
      </c>
      <c r="D1762">
        <v>10021290488</v>
      </c>
      <c r="E1762" t="s">
        <v>47</v>
      </c>
      <c r="F1762" t="s">
        <v>55</v>
      </c>
      <c r="G1762" t="s">
        <v>56</v>
      </c>
      <c r="H1762" t="s">
        <v>1658</v>
      </c>
      <c r="I1762" t="s">
        <v>1659</v>
      </c>
      <c r="J1762" t="s">
        <v>367</v>
      </c>
      <c r="K1762" s="3">
        <v>100410814844</v>
      </c>
      <c r="L1762" s="10">
        <v>40279</v>
      </c>
      <c r="M1762">
        <v>225.37</v>
      </c>
      <c r="N1762" s="11">
        <v>18</v>
      </c>
      <c r="O1762" s="12">
        <v>12.22</v>
      </c>
      <c r="P1762" s="12">
        <v>2.85</v>
      </c>
      <c r="Q1762" s="13">
        <v>77.53</v>
      </c>
      <c r="R1762" s="36" t="s">
        <v>1125</v>
      </c>
      <c r="S1762" s="7">
        <f t="shared" si="147"/>
        <v>1</v>
      </c>
      <c r="T1762" s="15" t="str">
        <f>VLOOKUP(R1762,产品分类!$C$2:$D$1278,2,0)</f>
        <v>家具产品</v>
      </c>
    </row>
    <row r="1763" spans="1:20">
      <c r="A1763" s="8">
        <f t="shared" ref="A1763:B1765" si="151">DATE(2012,12,31)-678</f>
        <v>40596</v>
      </c>
      <c r="B1763" s="8">
        <f t="shared" si="151"/>
        <v>40596</v>
      </c>
      <c r="C1763" s="9" t="s">
        <v>809</v>
      </c>
      <c r="D1763">
        <v>10021384933</v>
      </c>
      <c r="E1763" t="s">
        <v>47</v>
      </c>
      <c r="F1763" t="s">
        <v>91</v>
      </c>
      <c r="G1763" t="s">
        <v>92</v>
      </c>
      <c r="H1763" t="s">
        <v>1412</v>
      </c>
      <c r="I1763" t="s">
        <v>1413</v>
      </c>
      <c r="J1763" t="s">
        <v>367</v>
      </c>
      <c r="K1763" s="3">
        <v>100115231927</v>
      </c>
      <c r="L1763" s="10">
        <v>40602</v>
      </c>
      <c r="M1763">
        <v>107.12</v>
      </c>
      <c r="N1763" s="11">
        <v>2</v>
      </c>
      <c r="O1763" s="12">
        <v>55.98</v>
      </c>
      <c r="P1763" s="12">
        <v>4.86</v>
      </c>
      <c r="Q1763" s="13">
        <v>-54.87</v>
      </c>
      <c r="R1763" s="36" t="s">
        <v>621</v>
      </c>
      <c r="S1763" s="7">
        <f t="shared" si="147"/>
        <v>6</v>
      </c>
      <c r="T1763" s="15" t="str">
        <f>VLOOKUP(R1763,产品分类!$C$2:$D$1278,2,0)</f>
        <v>数码电子</v>
      </c>
    </row>
    <row r="1764" spans="1:20">
      <c r="A1764" s="8">
        <f t="shared" si="151"/>
        <v>40596</v>
      </c>
      <c r="B1764" s="8">
        <f t="shared" si="151"/>
        <v>40596</v>
      </c>
      <c r="C1764" s="9" t="s">
        <v>809</v>
      </c>
      <c r="D1764">
        <v>10021438031</v>
      </c>
      <c r="E1764" t="s">
        <v>47</v>
      </c>
      <c r="F1764" t="s">
        <v>122</v>
      </c>
      <c r="G1764" t="s">
        <v>123</v>
      </c>
      <c r="H1764" t="s">
        <v>124</v>
      </c>
      <c r="I1764" t="s">
        <v>125</v>
      </c>
      <c r="J1764" t="s">
        <v>367</v>
      </c>
      <c r="K1764" s="3">
        <v>100415794824</v>
      </c>
      <c r="L1764" s="10">
        <v>40600</v>
      </c>
      <c r="M1764">
        <v>676.24</v>
      </c>
      <c r="N1764" s="11">
        <v>25</v>
      </c>
      <c r="O1764" s="12">
        <v>26.38</v>
      </c>
      <c r="P1764" s="12">
        <v>5.86</v>
      </c>
      <c r="Q1764" s="13">
        <v>219.78</v>
      </c>
      <c r="R1764" s="36" t="s">
        <v>1760</v>
      </c>
      <c r="S1764" s="7">
        <f t="shared" si="147"/>
        <v>4</v>
      </c>
      <c r="T1764" s="15" t="str">
        <f>VLOOKUP(R1764,产品分类!$C$2:$D$1278,2,0)</f>
        <v>办公用品</v>
      </c>
    </row>
    <row r="1765" spans="1:20">
      <c r="A1765" s="8">
        <f t="shared" si="151"/>
        <v>40596</v>
      </c>
      <c r="B1765" s="8">
        <f t="shared" si="151"/>
        <v>40596</v>
      </c>
      <c r="C1765" s="9" t="s">
        <v>809</v>
      </c>
      <c r="D1765">
        <v>10021404753</v>
      </c>
      <c r="E1765" t="s">
        <v>47</v>
      </c>
      <c r="F1765" t="s">
        <v>132</v>
      </c>
      <c r="G1765" t="s">
        <v>133</v>
      </c>
      <c r="H1765" t="s">
        <v>134</v>
      </c>
      <c r="I1765" t="s">
        <v>133</v>
      </c>
      <c r="J1765" t="s">
        <v>367</v>
      </c>
      <c r="K1765" s="3">
        <v>100131576116</v>
      </c>
      <c r="L1765" s="10">
        <v>40600</v>
      </c>
      <c r="M1765">
        <v>3668.6</v>
      </c>
      <c r="N1765" s="11">
        <v>24</v>
      </c>
      <c r="O1765" s="12">
        <v>155.06</v>
      </c>
      <c r="P1765" s="12">
        <v>7.07</v>
      </c>
      <c r="Q1765" s="13">
        <v>993.15</v>
      </c>
      <c r="R1765" s="36" t="s">
        <v>1160</v>
      </c>
      <c r="S1765" s="7">
        <f t="shared" si="147"/>
        <v>4</v>
      </c>
      <c r="T1765" s="15" t="str">
        <f>VLOOKUP(R1765,产品分类!$C$2:$D$1278,2,0)</f>
        <v>数码电子</v>
      </c>
    </row>
    <row r="1766" spans="1:20">
      <c r="A1766" s="8">
        <f>DATE(2012,12,31)-1344</f>
        <v>39930</v>
      </c>
      <c r="B1766" s="8">
        <f>DATE(2012,12,31)-1344</f>
        <v>39930</v>
      </c>
      <c r="C1766" s="9" t="s">
        <v>826</v>
      </c>
      <c r="D1766">
        <v>10021411549</v>
      </c>
      <c r="E1766" t="s">
        <v>47</v>
      </c>
      <c r="F1766" t="s">
        <v>97</v>
      </c>
      <c r="G1766" t="s">
        <v>98</v>
      </c>
      <c r="H1766" t="s">
        <v>99</v>
      </c>
      <c r="I1766" t="s">
        <v>98</v>
      </c>
      <c r="J1766" t="s">
        <v>367</v>
      </c>
      <c r="K1766" s="3">
        <v>100132935936</v>
      </c>
      <c r="L1766" s="10">
        <v>39932</v>
      </c>
      <c r="M1766">
        <v>564.85</v>
      </c>
      <c r="N1766" s="11">
        <v>10</v>
      </c>
      <c r="O1766" s="12">
        <v>58.1</v>
      </c>
      <c r="P1766" s="12">
        <v>1.49</v>
      </c>
      <c r="Q1766" s="13">
        <v>181.0245</v>
      </c>
      <c r="R1766" s="36" t="s">
        <v>1157</v>
      </c>
      <c r="S1766" s="7">
        <f t="shared" si="147"/>
        <v>2</v>
      </c>
      <c r="T1766" s="15" t="str">
        <f>VLOOKUP(R1766,产品分类!$C$2:$D$1278,2,0)</f>
        <v>办公用品</v>
      </c>
    </row>
    <row r="1767" spans="1:20">
      <c r="A1767" s="8">
        <f>DATE(2012,12,31)-1344</f>
        <v>39930</v>
      </c>
      <c r="B1767" s="8">
        <f>DATE(2012,12,31)-1344</f>
        <v>39930</v>
      </c>
      <c r="C1767" s="9" t="s">
        <v>826</v>
      </c>
      <c r="D1767">
        <v>10021401993</v>
      </c>
      <c r="E1767" t="s">
        <v>47</v>
      </c>
      <c r="F1767" t="s">
        <v>61</v>
      </c>
      <c r="G1767" t="s">
        <v>62</v>
      </c>
      <c r="H1767" t="s">
        <v>1369</v>
      </c>
      <c r="I1767" t="s">
        <v>1370</v>
      </c>
      <c r="J1767" t="s">
        <v>367</v>
      </c>
      <c r="K1767" s="3">
        <v>100427572313</v>
      </c>
      <c r="L1767" s="10">
        <v>39932</v>
      </c>
      <c r="M1767">
        <v>572.33</v>
      </c>
      <c r="N1767" s="11">
        <v>14</v>
      </c>
      <c r="O1767" s="12">
        <v>39.98</v>
      </c>
      <c r="P1767" s="12">
        <v>7.12</v>
      </c>
      <c r="Q1767" s="13">
        <v>-62.28</v>
      </c>
      <c r="R1767" s="36" t="s">
        <v>1547</v>
      </c>
      <c r="S1767" s="7">
        <f t="shared" si="147"/>
        <v>2</v>
      </c>
      <c r="T1767" s="15" t="str">
        <f>VLOOKUP(R1767,产品分类!$C$2:$D$1278,2,0)</f>
        <v>办公用品</v>
      </c>
    </row>
    <row r="1768" spans="1:20">
      <c r="A1768" s="8">
        <f>DATE(2012,12,31)-1018</f>
        <v>40256</v>
      </c>
      <c r="B1768" s="8">
        <f>DATE(2012,12,31)-1018</f>
        <v>40256</v>
      </c>
      <c r="C1768" s="9" t="s">
        <v>879</v>
      </c>
      <c r="D1768">
        <v>10021457765</v>
      </c>
      <c r="E1768" t="s">
        <v>47</v>
      </c>
      <c r="F1768" t="s">
        <v>66</v>
      </c>
      <c r="G1768" t="s">
        <v>67</v>
      </c>
      <c r="H1768" t="s">
        <v>1435</v>
      </c>
      <c r="I1768" t="s">
        <v>1436</v>
      </c>
      <c r="J1768" t="s">
        <v>367</v>
      </c>
      <c r="K1768" s="3">
        <v>100132151918</v>
      </c>
      <c r="L1768" s="10">
        <v>40258</v>
      </c>
      <c r="M1768">
        <v>345.69</v>
      </c>
      <c r="N1768" s="11">
        <v>22</v>
      </c>
      <c r="O1768" s="12">
        <v>15.04</v>
      </c>
      <c r="P1768" s="12">
        <v>1.97</v>
      </c>
      <c r="Q1768" s="13">
        <v>143.23</v>
      </c>
      <c r="R1768" s="36" t="s">
        <v>1755</v>
      </c>
      <c r="S1768" s="7">
        <f t="shared" si="147"/>
        <v>2</v>
      </c>
      <c r="T1768" s="15" t="str">
        <f>VLOOKUP(R1768,产品分类!$C$2:$D$1278,2,0)</f>
        <v>办公用品</v>
      </c>
    </row>
    <row r="1769" spans="1:20">
      <c r="A1769" s="8">
        <f>DATE(2012,12,31)-1446</f>
        <v>39828</v>
      </c>
      <c r="B1769" s="8">
        <f>DATE(2012,12,31)-1446</f>
        <v>39828</v>
      </c>
      <c r="C1769" s="9" t="s">
        <v>1761</v>
      </c>
      <c r="D1769">
        <v>10021401744</v>
      </c>
      <c r="E1769" t="s">
        <v>47</v>
      </c>
      <c r="F1769" t="s">
        <v>78</v>
      </c>
      <c r="G1769" t="s">
        <v>79</v>
      </c>
      <c r="H1769" t="s">
        <v>1654</v>
      </c>
      <c r="I1769" t="s">
        <v>1655</v>
      </c>
      <c r="J1769" t="s">
        <v>367</v>
      </c>
      <c r="K1769" s="3">
        <v>100127576788</v>
      </c>
      <c r="L1769" s="10">
        <v>39829</v>
      </c>
      <c r="M1769">
        <v>201.06</v>
      </c>
      <c r="N1769" s="11">
        <v>25</v>
      </c>
      <c r="O1769" s="12">
        <v>8.09</v>
      </c>
      <c r="P1769" s="12">
        <v>7.96</v>
      </c>
      <c r="Q1769" s="13">
        <v>-80.86</v>
      </c>
      <c r="R1769" s="36" t="s">
        <v>1209</v>
      </c>
      <c r="S1769" s="7">
        <f t="shared" si="147"/>
        <v>1</v>
      </c>
      <c r="T1769" s="15" t="str">
        <f>VLOOKUP(R1769,产品分类!$C$2:$D$1278,2,0)</f>
        <v>数码电子</v>
      </c>
    </row>
    <row r="1770" spans="1:20">
      <c r="A1770" s="8">
        <f>DATE(2012,12,31)-1056</f>
        <v>40218</v>
      </c>
      <c r="B1770" s="8">
        <f>DATE(2012,12,31)-1056</f>
        <v>40218</v>
      </c>
      <c r="C1770" s="9" t="s">
        <v>275</v>
      </c>
      <c r="D1770">
        <v>10021310572</v>
      </c>
      <c r="E1770" t="s">
        <v>47</v>
      </c>
      <c r="F1770" t="s">
        <v>152</v>
      </c>
      <c r="G1770" t="s">
        <v>153</v>
      </c>
      <c r="H1770" t="s">
        <v>1640</v>
      </c>
      <c r="I1770" t="s">
        <v>1641</v>
      </c>
      <c r="J1770" t="s">
        <v>367</v>
      </c>
      <c r="K1770" s="3">
        <v>100322010979</v>
      </c>
      <c r="L1770" s="10">
        <v>40218</v>
      </c>
      <c r="M1770">
        <v>21506.77</v>
      </c>
      <c r="N1770" s="11">
        <v>44</v>
      </c>
      <c r="O1770" s="12">
        <v>499.99</v>
      </c>
      <c r="P1770" s="12">
        <v>24.49</v>
      </c>
      <c r="Q1770" s="13">
        <v>1260.51</v>
      </c>
      <c r="R1770" s="36" t="s">
        <v>1171</v>
      </c>
      <c r="S1770" s="7">
        <f t="shared" si="147"/>
        <v>0</v>
      </c>
      <c r="T1770" s="15" t="str">
        <f>VLOOKUP(R1770,产品分类!$C$2:$D$1278,2,0)</f>
        <v>办公用品</v>
      </c>
    </row>
    <row r="1771" spans="1:20">
      <c r="A1771" s="8">
        <f>DATE(2012,12,31)-1056</f>
        <v>40218</v>
      </c>
      <c r="B1771" s="8">
        <f>DATE(2012,12,31)-1056</f>
        <v>40218</v>
      </c>
      <c r="C1771" s="9" t="s">
        <v>275</v>
      </c>
      <c r="D1771">
        <v>10021444506</v>
      </c>
      <c r="E1771" t="s">
        <v>47</v>
      </c>
      <c r="F1771" t="s">
        <v>66</v>
      </c>
      <c r="G1771" t="s">
        <v>67</v>
      </c>
      <c r="H1771" t="s">
        <v>1435</v>
      </c>
      <c r="I1771" t="s">
        <v>1436</v>
      </c>
      <c r="J1771" t="s">
        <v>367</v>
      </c>
      <c r="K1771" s="3">
        <v>10099635151</v>
      </c>
      <c r="L1771" s="10">
        <v>40220</v>
      </c>
      <c r="M1771">
        <v>669.02</v>
      </c>
      <c r="N1771" s="11">
        <v>28</v>
      </c>
      <c r="O1771" s="12">
        <v>20.98</v>
      </c>
      <c r="P1771" s="12">
        <v>53.03</v>
      </c>
      <c r="Q1771" s="13">
        <v>-1274.02</v>
      </c>
      <c r="R1771" s="36" t="s">
        <v>195</v>
      </c>
      <c r="S1771" s="7">
        <f t="shared" si="147"/>
        <v>2</v>
      </c>
      <c r="T1771" s="15" t="str">
        <f>VLOOKUP(R1771,产品分类!$C$2:$D$1278,2,0)</f>
        <v>家具产品</v>
      </c>
    </row>
    <row r="1772" spans="1:20">
      <c r="A1772" s="8">
        <f>DATE(2012,12,31)-1137</f>
        <v>40137</v>
      </c>
      <c r="B1772" s="8">
        <f>DATE(2012,12,31)-1137</f>
        <v>40137</v>
      </c>
      <c r="C1772" s="9" t="s">
        <v>1749</v>
      </c>
      <c r="D1772">
        <v>10021299093</v>
      </c>
      <c r="E1772" t="s">
        <v>47</v>
      </c>
      <c r="F1772" t="s">
        <v>66</v>
      </c>
      <c r="G1772" t="s">
        <v>67</v>
      </c>
      <c r="H1772" t="s">
        <v>1435</v>
      </c>
      <c r="I1772" t="s">
        <v>1436</v>
      </c>
      <c r="J1772" t="s">
        <v>367</v>
      </c>
      <c r="K1772" s="3">
        <v>100327445729</v>
      </c>
      <c r="L1772" s="10">
        <v>40138</v>
      </c>
      <c r="M1772">
        <v>2494.69</v>
      </c>
      <c r="N1772" s="11">
        <v>46</v>
      </c>
      <c r="O1772" s="12">
        <v>58.14</v>
      </c>
      <c r="P1772" s="12">
        <v>36.61</v>
      </c>
      <c r="Q1772" s="13">
        <v>-937.06</v>
      </c>
      <c r="R1772" s="36" t="s">
        <v>1368</v>
      </c>
      <c r="S1772" s="7">
        <f t="shared" si="147"/>
        <v>1</v>
      </c>
      <c r="T1772" s="15" t="str">
        <f>VLOOKUP(R1772,产品分类!$C$2:$D$1278,2,0)</f>
        <v>数码电子</v>
      </c>
    </row>
    <row r="1773" spans="1:20">
      <c r="A1773" s="8">
        <f>DATE(2012,12,31)-947</f>
        <v>40327</v>
      </c>
      <c r="B1773" s="8">
        <f>DATE(2012,12,31)-947</f>
        <v>40327</v>
      </c>
      <c r="C1773" s="9" t="s">
        <v>1505</v>
      </c>
      <c r="D1773">
        <v>10021249616</v>
      </c>
      <c r="E1773" t="s">
        <v>47</v>
      </c>
      <c r="F1773" t="s">
        <v>152</v>
      </c>
      <c r="G1773" t="s">
        <v>153</v>
      </c>
      <c r="H1773" t="s">
        <v>1640</v>
      </c>
      <c r="I1773" t="s">
        <v>1641</v>
      </c>
      <c r="J1773" t="s">
        <v>367</v>
      </c>
      <c r="K1773" s="3">
        <v>10099958171</v>
      </c>
      <c r="L1773" s="10">
        <v>40329</v>
      </c>
      <c r="M1773">
        <v>2213.92</v>
      </c>
      <c r="N1773" s="11">
        <v>20</v>
      </c>
      <c r="O1773" s="12">
        <v>105.98</v>
      </c>
      <c r="P1773" s="12">
        <v>13.99</v>
      </c>
      <c r="Q1773" s="13">
        <v>768.34</v>
      </c>
      <c r="R1773" s="36" t="s">
        <v>1205</v>
      </c>
      <c r="S1773" s="7">
        <f t="shared" si="147"/>
        <v>2</v>
      </c>
      <c r="T1773" s="15" t="str">
        <f>VLOOKUP(R1773,产品分类!$C$2:$D$1278,2,0)</f>
        <v>办公用品</v>
      </c>
    </row>
    <row r="1774" spans="1:20">
      <c r="A1774" s="8">
        <f>DATE(2012,12,31)-1089</f>
        <v>40185</v>
      </c>
      <c r="B1774" s="8">
        <f>DATE(2012,12,31)-1089</f>
        <v>40185</v>
      </c>
      <c r="C1774" s="9" t="s">
        <v>1595</v>
      </c>
      <c r="D1774">
        <v>10021267017</v>
      </c>
      <c r="E1774" t="s">
        <v>47</v>
      </c>
      <c r="F1774" t="s">
        <v>152</v>
      </c>
      <c r="G1774" t="s">
        <v>153</v>
      </c>
      <c r="H1774" t="s">
        <v>1640</v>
      </c>
      <c r="I1774" t="s">
        <v>1641</v>
      </c>
      <c r="J1774" t="s">
        <v>367</v>
      </c>
      <c r="K1774" s="3">
        <v>100932069551</v>
      </c>
      <c r="L1774" s="10">
        <v>40190</v>
      </c>
      <c r="M1774">
        <v>159.41</v>
      </c>
      <c r="N1774" s="11">
        <v>44</v>
      </c>
      <c r="O1774" s="12">
        <v>3.28</v>
      </c>
      <c r="P1774" s="12">
        <v>0.98</v>
      </c>
      <c r="Q1774" s="13">
        <v>34.68</v>
      </c>
      <c r="R1774" s="36" t="s">
        <v>1762</v>
      </c>
      <c r="S1774" s="7">
        <f t="shared" si="147"/>
        <v>5</v>
      </c>
      <c r="T1774" s="15" t="str">
        <f>VLOOKUP(R1774,产品分类!$C$2:$D$1278,2,0)</f>
        <v>数码电子</v>
      </c>
    </row>
    <row r="1775" spans="1:20">
      <c r="A1775" s="8">
        <f>DATE(2012,12,31)-867</f>
        <v>40407</v>
      </c>
      <c r="B1775" s="8">
        <f>DATE(2012,12,31)-867</f>
        <v>40407</v>
      </c>
      <c r="C1775" s="9" t="s">
        <v>1071</v>
      </c>
      <c r="D1775">
        <v>10021388404</v>
      </c>
      <c r="E1775" t="s">
        <v>47</v>
      </c>
      <c r="F1775" t="s">
        <v>152</v>
      </c>
      <c r="G1775" t="s">
        <v>153</v>
      </c>
      <c r="H1775" t="s">
        <v>1640</v>
      </c>
      <c r="I1775" t="s">
        <v>1641</v>
      </c>
      <c r="J1775" t="s">
        <v>367</v>
      </c>
      <c r="K1775" s="3">
        <v>100428381864</v>
      </c>
      <c r="L1775" s="10">
        <v>40407</v>
      </c>
      <c r="M1775">
        <v>2116.62</v>
      </c>
      <c r="N1775" s="11">
        <v>37</v>
      </c>
      <c r="O1775" s="12">
        <v>55.98</v>
      </c>
      <c r="P1775" s="12">
        <v>13.88</v>
      </c>
      <c r="Q1775" s="13">
        <v>745.45</v>
      </c>
      <c r="R1775" s="36" t="s">
        <v>1180</v>
      </c>
      <c r="S1775" s="7">
        <f t="shared" si="147"/>
        <v>0</v>
      </c>
      <c r="T1775" s="15" t="str">
        <f>VLOOKUP(R1775,产品分类!$C$2:$D$1278,2,0)</f>
        <v>办公用品</v>
      </c>
    </row>
    <row r="1776" spans="1:20">
      <c r="A1776" s="16">
        <f>DATE(2012,12,31)-316</f>
        <v>40958</v>
      </c>
      <c r="B1776" s="16">
        <f>DATE(2012,12,31)-316</f>
        <v>40958</v>
      </c>
      <c r="C1776" s="9" t="s">
        <v>439</v>
      </c>
      <c r="D1776">
        <v>10021364110</v>
      </c>
      <c r="E1776" t="s">
        <v>47</v>
      </c>
      <c r="F1776" t="s">
        <v>48</v>
      </c>
      <c r="G1776" t="s">
        <v>49</v>
      </c>
      <c r="H1776" t="s">
        <v>1433</v>
      </c>
      <c r="I1776" t="s">
        <v>1434</v>
      </c>
      <c r="J1776" t="s">
        <v>367</v>
      </c>
      <c r="K1776" s="3">
        <v>100110280036</v>
      </c>
      <c r="L1776" s="10">
        <v>40959</v>
      </c>
      <c r="M1776">
        <v>1486.72</v>
      </c>
      <c r="N1776" s="17">
        <v>32</v>
      </c>
      <c r="O1776" s="5">
        <v>43.98</v>
      </c>
      <c r="P1776" s="5">
        <v>8.99</v>
      </c>
      <c r="Q1776" s="6">
        <v>294.81</v>
      </c>
      <c r="R1776" s="37" t="s">
        <v>189</v>
      </c>
      <c r="S1776" s="7">
        <f t="shared" si="147"/>
        <v>1</v>
      </c>
      <c r="T1776" s="15" t="str">
        <f>VLOOKUP(R1776,产品分类!$C$2:$D$1278,2,0)</f>
        <v>数码电子</v>
      </c>
    </row>
    <row r="1777" spans="1:20">
      <c r="A1777" s="16">
        <f>DATE(2012,12,31)-316</f>
        <v>40958</v>
      </c>
      <c r="B1777" s="16">
        <f>DATE(2012,12,31)-316</f>
        <v>40958</v>
      </c>
      <c r="C1777" s="9" t="s">
        <v>439</v>
      </c>
      <c r="D1777">
        <v>10021363590</v>
      </c>
      <c r="E1777" t="s">
        <v>47</v>
      </c>
      <c r="F1777" t="s">
        <v>72</v>
      </c>
      <c r="G1777" t="s">
        <v>73</v>
      </c>
      <c r="H1777" t="s">
        <v>1572</v>
      </c>
      <c r="I1777" t="s">
        <v>1573</v>
      </c>
      <c r="J1777" t="s">
        <v>367</v>
      </c>
      <c r="K1777" s="3">
        <v>10033373419</v>
      </c>
      <c r="L1777" s="10">
        <v>40959</v>
      </c>
      <c r="M1777">
        <v>558.04</v>
      </c>
      <c r="N1777" s="17">
        <v>45</v>
      </c>
      <c r="O1777" s="5">
        <v>12.98</v>
      </c>
      <c r="P1777" s="5">
        <v>3.14</v>
      </c>
      <c r="Q1777" s="6">
        <v>40.32</v>
      </c>
      <c r="R1777" s="37" t="s">
        <v>161</v>
      </c>
      <c r="S1777" s="7">
        <f t="shared" si="147"/>
        <v>1</v>
      </c>
      <c r="T1777" s="15" t="str">
        <f>VLOOKUP(R1777,产品分类!$C$2:$D$1278,2,0)</f>
        <v>办公用品</v>
      </c>
    </row>
    <row r="1778" spans="1:20">
      <c r="A1778" s="8">
        <f>DATE(2012,12,31)-1029</f>
        <v>40245</v>
      </c>
      <c r="B1778" s="8">
        <f>DATE(2012,12,31)-1029</f>
        <v>40245</v>
      </c>
      <c r="C1778" s="9" t="s">
        <v>227</v>
      </c>
      <c r="D1778">
        <v>10021417312</v>
      </c>
      <c r="E1778" t="s">
        <v>47</v>
      </c>
      <c r="F1778" t="s">
        <v>72</v>
      </c>
      <c r="G1778" t="s">
        <v>73</v>
      </c>
      <c r="H1778" t="s">
        <v>1572</v>
      </c>
      <c r="I1778" t="s">
        <v>1573</v>
      </c>
      <c r="J1778" t="s">
        <v>367</v>
      </c>
      <c r="K1778" s="3">
        <v>100916489561</v>
      </c>
      <c r="L1778" s="10">
        <v>40252</v>
      </c>
      <c r="M1778">
        <v>25.52</v>
      </c>
      <c r="N1778" s="11">
        <v>2</v>
      </c>
      <c r="O1778" s="12">
        <v>9.65</v>
      </c>
      <c r="P1778" s="12">
        <v>6.22</v>
      </c>
      <c r="Q1778" s="13">
        <v>21.77</v>
      </c>
      <c r="R1778" s="36" t="s">
        <v>524</v>
      </c>
      <c r="S1778" s="7">
        <f t="shared" si="147"/>
        <v>7</v>
      </c>
      <c r="T1778" s="15" t="str">
        <f>VLOOKUP(R1778,产品分类!$C$2:$D$1278,2,0)</f>
        <v>数码电子</v>
      </c>
    </row>
    <row r="1779" spans="1:20">
      <c r="A1779" s="8">
        <f>DATE(2012,12,31)-922</f>
        <v>40352</v>
      </c>
      <c r="B1779" s="8">
        <f>DATE(2012,12,31)-922</f>
        <v>40352</v>
      </c>
      <c r="C1779" s="9" t="s">
        <v>1696</v>
      </c>
      <c r="D1779">
        <v>10021451542</v>
      </c>
      <c r="E1779" t="s">
        <v>47</v>
      </c>
      <c r="F1779" t="s">
        <v>72</v>
      </c>
      <c r="G1779" t="s">
        <v>73</v>
      </c>
      <c r="H1779" t="s">
        <v>1572</v>
      </c>
      <c r="I1779" t="s">
        <v>1573</v>
      </c>
      <c r="J1779" t="s">
        <v>367</v>
      </c>
      <c r="K1779" s="3">
        <v>100930436121</v>
      </c>
      <c r="L1779" s="10">
        <v>40354</v>
      </c>
      <c r="M1779">
        <v>677.518</v>
      </c>
      <c r="N1779" s="11">
        <v>39</v>
      </c>
      <c r="O1779" s="12">
        <v>20.99</v>
      </c>
      <c r="P1779" s="12">
        <v>0.99</v>
      </c>
      <c r="Q1779" s="13">
        <v>168.219</v>
      </c>
      <c r="R1779" s="36" t="s">
        <v>1707</v>
      </c>
      <c r="S1779" s="7">
        <f t="shared" si="147"/>
        <v>2</v>
      </c>
      <c r="T1779" s="15" t="str">
        <f>VLOOKUP(R1779,产品分类!$C$2:$D$1278,2,0)</f>
        <v>办公用品</v>
      </c>
    </row>
    <row r="1780" spans="1:20">
      <c r="A1780" s="8">
        <f>DATE(2012,12,31)-1363</f>
        <v>39911</v>
      </c>
      <c r="B1780" s="8">
        <f>DATE(2012,12,31)-1363</f>
        <v>39911</v>
      </c>
      <c r="C1780" s="9" t="s">
        <v>400</v>
      </c>
      <c r="D1780">
        <v>10021259197</v>
      </c>
      <c r="E1780" t="s">
        <v>47</v>
      </c>
      <c r="F1780" t="s">
        <v>78</v>
      </c>
      <c r="G1780" t="s">
        <v>79</v>
      </c>
      <c r="H1780" t="s">
        <v>1654</v>
      </c>
      <c r="I1780" t="s">
        <v>1655</v>
      </c>
      <c r="J1780" t="s">
        <v>367</v>
      </c>
      <c r="K1780" s="3">
        <v>100919097121</v>
      </c>
      <c r="L1780" s="10">
        <v>39913</v>
      </c>
      <c r="M1780">
        <v>1562.97</v>
      </c>
      <c r="N1780" s="11">
        <v>34</v>
      </c>
      <c r="O1780" s="12">
        <v>42.98</v>
      </c>
      <c r="P1780" s="12">
        <v>4.62</v>
      </c>
      <c r="Q1780" s="13">
        <v>501.59</v>
      </c>
      <c r="R1780" s="36" t="s">
        <v>1763</v>
      </c>
      <c r="S1780" s="7">
        <f t="shared" si="147"/>
        <v>2</v>
      </c>
      <c r="T1780" s="15" t="str">
        <f>VLOOKUP(R1780,产品分类!$C$2:$D$1278,2,0)</f>
        <v>数码电子</v>
      </c>
    </row>
    <row r="1781" spans="1:20">
      <c r="A1781" s="8">
        <f>DATE(2012,12,31)-1444</f>
        <v>39830</v>
      </c>
      <c r="B1781" s="8">
        <f>DATE(2012,12,31)-1444</f>
        <v>39830</v>
      </c>
      <c r="C1781" s="9" t="s">
        <v>275</v>
      </c>
      <c r="D1781">
        <v>10021280337</v>
      </c>
      <c r="E1781" t="s">
        <v>47</v>
      </c>
      <c r="F1781" t="s">
        <v>230</v>
      </c>
      <c r="G1781" t="s">
        <v>231</v>
      </c>
      <c r="H1781" t="s">
        <v>1465</v>
      </c>
      <c r="I1781" t="s">
        <v>1466</v>
      </c>
      <c r="J1781" t="s">
        <v>367</v>
      </c>
      <c r="K1781" s="3">
        <v>100713857015</v>
      </c>
      <c r="L1781" s="10">
        <v>39830</v>
      </c>
      <c r="M1781">
        <v>1143.49</v>
      </c>
      <c r="N1781" s="11">
        <v>40</v>
      </c>
      <c r="O1781" s="12">
        <v>30.53</v>
      </c>
      <c r="P1781" s="12">
        <v>19.99</v>
      </c>
      <c r="Q1781" s="13">
        <v>-193.44</v>
      </c>
      <c r="R1781" s="36" t="s">
        <v>981</v>
      </c>
      <c r="S1781" s="7">
        <f t="shared" si="147"/>
        <v>0</v>
      </c>
      <c r="T1781" s="15" t="str">
        <f>VLOOKUP(R1781,产品分类!$C$2:$D$1278,2,0)</f>
        <v>办公用品</v>
      </c>
    </row>
    <row r="1782" spans="1:20">
      <c r="A1782" s="8">
        <f>DATE(2012,12,31)-1444</f>
        <v>39830</v>
      </c>
      <c r="B1782" s="8">
        <f>DATE(2012,12,31)-1444</f>
        <v>39830</v>
      </c>
      <c r="C1782" s="9" t="s">
        <v>275</v>
      </c>
      <c r="D1782">
        <v>10021432086</v>
      </c>
      <c r="E1782" t="s">
        <v>47</v>
      </c>
      <c r="F1782" t="s">
        <v>91</v>
      </c>
      <c r="G1782" t="s">
        <v>92</v>
      </c>
      <c r="H1782" t="s">
        <v>1412</v>
      </c>
      <c r="I1782" t="s">
        <v>1413</v>
      </c>
      <c r="J1782" t="s">
        <v>367</v>
      </c>
      <c r="K1782" s="3">
        <v>100432280663</v>
      </c>
      <c r="L1782" s="10">
        <v>39832</v>
      </c>
      <c r="M1782">
        <v>78.08</v>
      </c>
      <c r="N1782" s="11">
        <v>46</v>
      </c>
      <c r="O1782" s="12">
        <v>1.68</v>
      </c>
      <c r="P1782" s="12">
        <v>1.57</v>
      </c>
      <c r="Q1782" s="13">
        <v>-43.1</v>
      </c>
      <c r="R1782" s="36" t="s">
        <v>881</v>
      </c>
      <c r="S1782" s="7">
        <f t="shared" si="147"/>
        <v>2</v>
      </c>
      <c r="T1782" s="15" t="str">
        <f>VLOOKUP(R1782,产品分类!$C$2:$D$1278,2,0)</f>
        <v>家具产品</v>
      </c>
    </row>
    <row r="1783" spans="1:20">
      <c r="A1783" s="16">
        <f t="shared" ref="A1783:B1786" si="152">DATE(2012,12,31)-720</f>
        <v>40554</v>
      </c>
      <c r="B1783" s="16">
        <f t="shared" si="152"/>
        <v>40554</v>
      </c>
      <c r="C1783" s="9" t="s">
        <v>1764</v>
      </c>
      <c r="D1783">
        <v>10021433121</v>
      </c>
      <c r="E1783" t="s">
        <v>47</v>
      </c>
      <c r="F1783" t="s">
        <v>122</v>
      </c>
      <c r="G1783" t="s">
        <v>123</v>
      </c>
      <c r="H1783" t="s">
        <v>124</v>
      </c>
      <c r="I1783" t="s">
        <v>125</v>
      </c>
      <c r="J1783" t="s">
        <v>367</v>
      </c>
      <c r="K1783" s="3">
        <v>100132599057</v>
      </c>
      <c r="L1783" s="10">
        <v>40556</v>
      </c>
      <c r="M1783">
        <v>17</v>
      </c>
      <c r="N1783" s="17">
        <v>6</v>
      </c>
      <c r="O1783" s="5">
        <v>2.78</v>
      </c>
      <c r="P1783" s="5">
        <v>1.49</v>
      </c>
      <c r="Q1783" s="6">
        <v>-4.6115</v>
      </c>
      <c r="R1783" s="37" t="s">
        <v>1765</v>
      </c>
      <c r="S1783" s="7">
        <f t="shared" si="147"/>
        <v>2</v>
      </c>
      <c r="T1783" s="15" t="str">
        <f>VLOOKUP(R1783,产品分类!$C$2:$D$1278,2,0)</f>
        <v>家具产品</v>
      </c>
    </row>
    <row r="1784" spans="1:20">
      <c r="A1784" s="8">
        <f t="shared" si="152"/>
        <v>40554</v>
      </c>
      <c r="B1784" s="8">
        <f t="shared" si="152"/>
        <v>40554</v>
      </c>
      <c r="C1784" s="9" t="s">
        <v>1764</v>
      </c>
      <c r="D1784">
        <v>10021432330</v>
      </c>
      <c r="E1784" t="s">
        <v>47</v>
      </c>
      <c r="F1784" t="s">
        <v>91</v>
      </c>
      <c r="G1784" t="s">
        <v>92</v>
      </c>
      <c r="H1784" t="s">
        <v>1412</v>
      </c>
      <c r="I1784" t="s">
        <v>1413</v>
      </c>
      <c r="J1784" t="s">
        <v>367</v>
      </c>
      <c r="K1784" s="3">
        <v>100432299843</v>
      </c>
      <c r="L1784" s="10">
        <v>40563</v>
      </c>
      <c r="M1784">
        <v>67.41</v>
      </c>
      <c r="N1784" s="11">
        <v>15</v>
      </c>
      <c r="O1784" s="12">
        <v>4.14</v>
      </c>
      <c r="P1784" s="12">
        <v>6.6</v>
      </c>
      <c r="Q1784" s="13">
        <v>-49.6</v>
      </c>
      <c r="R1784" s="36" t="s">
        <v>1766</v>
      </c>
      <c r="S1784" s="7">
        <f t="shared" si="147"/>
        <v>9</v>
      </c>
      <c r="T1784" s="15" t="str">
        <f>VLOOKUP(R1784,产品分类!$C$2:$D$1278,2,0)</f>
        <v>办公用品</v>
      </c>
    </row>
    <row r="1785" spans="1:20">
      <c r="A1785" s="16">
        <f t="shared" si="152"/>
        <v>40554</v>
      </c>
      <c r="B1785" s="16">
        <f t="shared" si="152"/>
        <v>40554</v>
      </c>
      <c r="C1785" s="9" t="s">
        <v>1764</v>
      </c>
      <c r="D1785">
        <v>10021469395</v>
      </c>
      <c r="E1785" t="s">
        <v>47</v>
      </c>
      <c r="F1785" t="s">
        <v>91</v>
      </c>
      <c r="G1785" t="s">
        <v>92</v>
      </c>
      <c r="H1785" t="s">
        <v>1412</v>
      </c>
      <c r="I1785" t="s">
        <v>1413</v>
      </c>
      <c r="J1785" t="s">
        <v>367</v>
      </c>
      <c r="K1785" s="3">
        <v>100432035944</v>
      </c>
      <c r="L1785" s="10">
        <v>40559</v>
      </c>
      <c r="M1785">
        <v>130.67</v>
      </c>
      <c r="N1785" s="17">
        <v>19</v>
      </c>
      <c r="O1785" s="5">
        <v>6.48</v>
      </c>
      <c r="P1785" s="5">
        <v>7.86</v>
      </c>
      <c r="Q1785" s="6">
        <v>-77.18</v>
      </c>
      <c r="R1785" s="37" t="s">
        <v>957</v>
      </c>
      <c r="S1785" s="7">
        <f t="shared" si="147"/>
        <v>5</v>
      </c>
      <c r="T1785" s="15" t="str">
        <f>VLOOKUP(R1785,产品分类!$C$2:$D$1278,2,0)</f>
        <v>办公用品</v>
      </c>
    </row>
    <row r="1786" spans="1:20">
      <c r="A1786" s="16">
        <f t="shared" si="152"/>
        <v>40554</v>
      </c>
      <c r="B1786" s="16">
        <f t="shared" si="152"/>
        <v>40554</v>
      </c>
      <c r="C1786" s="9" t="s">
        <v>1764</v>
      </c>
      <c r="D1786">
        <v>10021248643</v>
      </c>
      <c r="E1786" t="s">
        <v>47</v>
      </c>
      <c r="F1786" t="s">
        <v>91</v>
      </c>
      <c r="G1786" t="s">
        <v>92</v>
      </c>
      <c r="H1786" t="s">
        <v>1412</v>
      </c>
      <c r="I1786" t="s">
        <v>1413</v>
      </c>
      <c r="J1786" t="s">
        <v>367</v>
      </c>
      <c r="K1786" s="3">
        <v>10083416312</v>
      </c>
      <c r="L1786" s="10">
        <v>40559</v>
      </c>
      <c r="M1786">
        <v>77.62</v>
      </c>
      <c r="N1786" s="17">
        <v>21</v>
      </c>
      <c r="O1786" s="5">
        <v>3.28</v>
      </c>
      <c r="P1786" s="5">
        <v>3.97</v>
      </c>
      <c r="Q1786" s="6">
        <v>-50.88</v>
      </c>
      <c r="R1786" s="37" t="s">
        <v>1756</v>
      </c>
      <c r="S1786" s="7">
        <f t="shared" si="147"/>
        <v>5</v>
      </c>
      <c r="T1786" s="15" t="str">
        <f>VLOOKUP(R1786,产品分类!$C$2:$D$1278,2,0)</f>
        <v>办公用品</v>
      </c>
    </row>
    <row r="1787" spans="1:20">
      <c r="A1787" s="16">
        <f>DATE(2012,12,31)-1040</f>
        <v>40234</v>
      </c>
      <c r="B1787" s="16">
        <f>DATE(2012,12,31)-1040</f>
        <v>40234</v>
      </c>
      <c r="C1787" s="9" t="s">
        <v>864</v>
      </c>
      <c r="D1787">
        <v>10021292964</v>
      </c>
      <c r="E1787" t="s">
        <v>47</v>
      </c>
      <c r="F1787" t="s">
        <v>55</v>
      </c>
      <c r="G1787" t="s">
        <v>56</v>
      </c>
      <c r="H1787" t="s">
        <v>1658</v>
      </c>
      <c r="I1787" t="s">
        <v>1659</v>
      </c>
      <c r="J1787" t="s">
        <v>367</v>
      </c>
      <c r="K1787" s="3">
        <v>10093500741</v>
      </c>
      <c r="L1787" s="10">
        <v>40236</v>
      </c>
      <c r="M1787">
        <v>383.81</v>
      </c>
      <c r="N1787" s="17">
        <v>32</v>
      </c>
      <c r="O1787" s="5">
        <v>12.21</v>
      </c>
      <c r="P1787" s="5">
        <v>4.81</v>
      </c>
      <c r="Q1787" s="6">
        <v>-21.15</v>
      </c>
      <c r="R1787" s="37" t="s">
        <v>1767</v>
      </c>
      <c r="S1787" s="7">
        <f t="shared" si="147"/>
        <v>2</v>
      </c>
      <c r="T1787" s="15" t="str">
        <f>VLOOKUP(R1787,产品分类!$C$2:$D$1278,2,0)</f>
        <v>数码电子</v>
      </c>
    </row>
    <row r="1788" spans="1:20">
      <c r="A1788" s="8">
        <f t="shared" ref="A1788:B1790" si="153">DATE(2012,12,31)-220</f>
        <v>41054</v>
      </c>
      <c r="B1788" s="8">
        <f t="shared" si="153"/>
        <v>41054</v>
      </c>
      <c r="C1788" s="9" t="s">
        <v>1768</v>
      </c>
      <c r="D1788">
        <v>10021416789</v>
      </c>
      <c r="E1788" t="s">
        <v>47</v>
      </c>
      <c r="F1788" t="s">
        <v>55</v>
      </c>
      <c r="G1788" t="s">
        <v>56</v>
      </c>
      <c r="H1788" t="s">
        <v>1658</v>
      </c>
      <c r="I1788" t="s">
        <v>1659</v>
      </c>
      <c r="J1788" t="s">
        <v>367</v>
      </c>
      <c r="K1788" s="3">
        <v>100112235908</v>
      </c>
      <c r="L1788" s="10">
        <v>41057</v>
      </c>
      <c r="M1788">
        <v>69.06</v>
      </c>
      <c r="N1788" s="11">
        <v>21</v>
      </c>
      <c r="O1788" s="12">
        <v>3.08</v>
      </c>
      <c r="P1788" s="12">
        <v>0.5</v>
      </c>
      <c r="Q1788" s="13">
        <v>28.47</v>
      </c>
      <c r="R1788" s="36" t="s">
        <v>994</v>
      </c>
      <c r="S1788" s="7">
        <f t="shared" si="147"/>
        <v>3</v>
      </c>
      <c r="T1788" s="15" t="str">
        <f>VLOOKUP(R1788,产品分类!$C$2:$D$1278,2,0)</f>
        <v>办公用品</v>
      </c>
    </row>
    <row r="1789" spans="1:20">
      <c r="A1789" s="8">
        <f t="shared" si="153"/>
        <v>41054</v>
      </c>
      <c r="B1789" s="8">
        <f t="shared" si="153"/>
        <v>41054</v>
      </c>
      <c r="C1789" s="9" t="s">
        <v>1768</v>
      </c>
      <c r="D1789">
        <v>10021433726</v>
      </c>
      <c r="E1789" t="s">
        <v>47</v>
      </c>
      <c r="F1789" t="s">
        <v>55</v>
      </c>
      <c r="G1789" t="s">
        <v>56</v>
      </c>
      <c r="H1789" t="s">
        <v>1658</v>
      </c>
      <c r="I1789" t="s">
        <v>1659</v>
      </c>
      <c r="J1789" t="s">
        <v>367</v>
      </c>
      <c r="K1789" s="3">
        <v>100132629396</v>
      </c>
      <c r="L1789" s="10">
        <v>41056</v>
      </c>
      <c r="M1789">
        <v>84.01</v>
      </c>
      <c r="N1789" s="11">
        <v>50</v>
      </c>
      <c r="O1789" s="12">
        <v>1.81</v>
      </c>
      <c r="P1789" s="12">
        <v>0.75</v>
      </c>
      <c r="Q1789" s="13">
        <v>-4.17</v>
      </c>
      <c r="R1789" s="36" t="s">
        <v>1253</v>
      </c>
      <c r="S1789" s="7">
        <f t="shared" si="147"/>
        <v>2</v>
      </c>
      <c r="T1789" s="15" t="str">
        <f>VLOOKUP(R1789,产品分类!$C$2:$D$1278,2,0)</f>
        <v>办公用品</v>
      </c>
    </row>
    <row r="1790" spans="1:20">
      <c r="A1790" s="8">
        <f t="shared" si="153"/>
        <v>41054</v>
      </c>
      <c r="B1790" s="8">
        <f t="shared" si="153"/>
        <v>41054</v>
      </c>
      <c r="C1790" s="9" t="s">
        <v>1768</v>
      </c>
      <c r="D1790">
        <v>10021403121</v>
      </c>
      <c r="E1790" t="s">
        <v>47</v>
      </c>
      <c r="F1790" t="s">
        <v>91</v>
      </c>
      <c r="G1790" t="s">
        <v>92</v>
      </c>
      <c r="H1790" t="s">
        <v>1412</v>
      </c>
      <c r="I1790" t="s">
        <v>1413</v>
      </c>
      <c r="J1790" t="s">
        <v>367</v>
      </c>
      <c r="K1790" s="3">
        <v>100311573049</v>
      </c>
      <c r="L1790" s="10">
        <v>41056</v>
      </c>
      <c r="M1790">
        <v>592.92</v>
      </c>
      <c r="N1790" s="11">
        <v>34</v>
      </c>
      <c r="O1790" s="12">
        <v>16.06</v>
      </c>
      <c r="P1790" s="12">
        <v>8.34</v>
      </c>
      <c r="Q1790" s="13">
        <v>-44.92</v>
      </c>
      <c r="R1790" s="36" t="s">
        <v>1769</v>
      </c>
      <c r="S1790" s="7">
        <f t="shared" si="147"/>
        <v>2</v>
      </c>
      <c r="T1790" s="15" t="str">
        <f>VLOOKUP(R1790,产品分类!$C$2:$D$1278,2,0)</f>
        <v>数码电子</v>
      </c>
    </row>
    <row r="1791" spans="1:20">
      <c r="A1791" s="8">
        <f>DATE(2012,12,31)-373</f>
        <v>40901</v>
      </c>
      <c r="B1791" s="8">
        <f>DATE(2012,12,31)-373</f>
        <v>40901</v>
      </c>
      <c r="C1791" s="9" t="s">
        <v>197</v>
      </c>
      <c r="D1791">
        <v>10021418845</v>
      </c>
      <c r="E1791" t="s">
        <v>47</v>
      </c>
      <c r="F1791" t="s">
        <v>91</v>
      </c>
      <c r="G1791" t="s">
        <v>92</v>
      </c>
      <c r="H1791" t="s">
        <v>1412</v>
      </c>
      <c r="I1791" t="s">
        <v>1413</v>
      </c>
      <c r="J1791" t="s">
        <v>367</v>
      </c>
      <c r="K1791" s="3">
        <v>100722225395</v>
      </c>
      <c r="L1791" s="10">
        <v>40902</v>
      </c>
      <c r="M1791">
        <v>761.23</v>
      </c>
      <c r="N1791" s="11">
        <v>20</v>
      </c>
      <c r="O1791" s="12">
        <v>35.89</v>
      </c>
      <c r="P1791" s="12">
        <v>14.72</v>
      </c>
      <c r="Q1791" s="13">
        <v>107.93</v>
      </c>
      <c r="R1791" s="36" t="s">
        <v>1770</v>
      </c>
      <c r="S1791" s="7">
        <f t="shared" si="147"/>
        <v>1</v>
      </c>
      <c r="T1791" s="15" t="str">
        <f>VLOOKUP(R1791,产品分类!$C$2:$D$1278,2,0)</f>
        <v>数码电子</v>
      </c>
    </row>
    <row r="1792" spans="1:20">
      <c r="A1792" s="8">
        <f>DATE(2012,12,31)-29</f>
        <v>41245</v>
      </c>
      <c r="B1792" s="8">
        <f>DATE(2012,12,31)-29</f>
        <v>41245</v>
      </c>
      <c r="C1792" s="9" t="s">
        <v>297</v>
      </c>
      <c r="D1792">
        <v>10021331702</v>
      </c>
      <c r="E1792" t="s">
        <v>47</v>
      </c>
      <c r="F1792" t="s">
        <v>91</v>
      </c>
      <c r="G1792" t="s">
        <v>92</v>
      </c>
      <c r="H1792" t="s">
        <v>1412</v>
      </c>
      <c r="I1792" t="s">
        <v>1413</v>
      </c>
      <c r="J1792" t="s">
        <v>367</v>
      </c>
      <c r="K1792" s="3">
        <v>10014891666</v>
      </c>
      <c r="L1792" s="10">
        <v>41246</v>
      </c>
      <c r="M1792">
        <v>66.19</v>
      </c>
      <c r="N1792" s="11">
        <v>22</v>
      </c>
      <c r="O1792" s="12">
        <v>2.88</v>
      </c>
      <c r="P1792" s="12">
        <v>0.99</v>
      </c>
      <c r="Q1792" s="13">
        <v>15.84</v>
      </c>
      <c r="R1792" s="36" t="s">
        <v>1207</v>
      </c>
      <c r="S1792" s="7">
        <f t="shared" si="147"/>
        <v>1</v>
      </c>
      <c r="T1792" s="15" t="str">
        <f>VLOOKUP(R1792,产品分类!$C$2:$D$1278,2,0)</f>
        <v>数码电子</v>
      </c>
    </row>
    <row r="1793" spans="1:20">
      <c r="A1793" s="8">
        <f>DATE(2012,12,31)-29</f>
        <v>41245</v>
      </c>
      <c r="B1793" s="8">
        <f>DATE(2012,12,31)-29</f>
        <v>41245</v>
      </c>
      <c r="C1793" s="9" t="s">
        <v>297</v>
      </c>
      <c r="D1793">
        <v>10021332300</v>
      </c>
      <c r="E1793" t="s">
        <v>47</v>
      </c>
      <c r="F1793" t="s">
        <v>91</v>
      </c>
      <c r="G1793" t="s">
        <v>92</v>
      </c>
      <c r="H1793" t="s">
        <v>1412</v>
      </c>
      <c r="I1793" t="s">
        <v>1413</v>
      </c>
      <c r="J1793" t="s">
        <v>367</v>
      </c>
      <c r="K1793" s="3">
        <v>10015422638</v>
      </c>
      <c r="L1793" s="10">
        <v>41245</v>
      </c>
      <c r="M1793">
        <v>1100.21</v>
      </c>
      <c r="N1793" s="11">
        <v>50</v>
      </c>
      <c r="O1793" s="12">
        <v>22.24</v>
      </c>
      <c r="P1793" s="12">
        <v>1.99</v>
      </c>
      <c r="Q1793" s="13">
        <v>433.59</v>
      </c>
      <c r="R1793" s="36" t="s">
        <v>1479</v>
      </c>
      <c r="S1793" s="7">
        <f t="shared" si="147"/>
        <v>0</v>
      </c>
      <c r="T1793" s="15" t="str">
        <f>VLOOKUP(R1793,产品分类!$C$2:$D$1278,2,0)</f>
        <v>数码电子</v>
      </c>
    </row>
    <row r="1794" spans="1:20">
      <c r="A1794" s="8">
        <f>DATE(2012,12,31)-661</f>
        <v>40613</v>
      </c>
      <c r="B1794" s="8">
        <f>DATE(2012,12,31)-661</f>
        <v>40613</v>
      </c>
      <c r="C1794" s="9" t="s">
        <v>341</v>
      </c>
      <c r="D1794">
        <v>10021415869</v>
      </c>
      <c r="E1794" t="s">
        <v>47</v>
      </c>
      <c r="F1794" t="s">
        <v>61</v>
      </c>
      <c r="G1794" t="s">
        <v>62</v>
      </c>
      <c r="H1794" t="s">
        <v>1369</v>
      </c>
      <c r="I1794" t="s">
        <v>1370</v>
      </c>
      <c r="J1794" t="s">
        <v>367</v>
      </c>
      <c r="K1794" s="3">
        <v>100811363952</v>
      </c>
      <c r="L1794" s="10">
        <v>40613</v>
      </c>
      <c r="M1794">
        <v>127.49</v>
      </c>
      <c r="N1794" s="11">
        <v>6</v>
      </c>
      <c r="O1794" s="12">
        <v>19.98</v>
      </c>
      <c r="P1794" s="12">
        <v>4</v>
      </c>
      <c r="Q1794" s="13">
        <v>-57.95</v>
      </c>
      <c r="R1794" s="36" t="s">
        <v>846</v>
      </c>
      <c r="S1794" s="7">
        <f t="shared" si="147"/>
        <v>0</v>
      </c>
      <c r="T1794" s="15" t="str">
        <f>VLOOKUP(R1794,产品分类!$C$2:$D$1278,2,0)</f>
        <v>数码电子</v>
      </c>
    </row>
    <row r="1795" spans="1:20">
      <c r="A1795" s="16">
        <f>DATE(2012,12,31)-671</f>
        <v>40603</v>
      </c>
      <c r="B1795" s="16">
        <f>DATE(2012,12,31)-671</f>
        <v>40603</v>
      </c>
      <c r="C1795" s="9" t="s">
        <v>937</v>
      </c>
      <c r="D1795">
        <v>10021421969</v>
      </c>
      <c r="E1795" t="s">
        <v>47</v>
      </c>
      <c r="F1795" t="s">
        <v>132</v>
      </c>
      <c r="G1795" t="s">
        <v>133</v>
      </c>
      <c r="H1795" t="s">
        <v>134</v>
      </c>
      <c r="I1795" t="s">
        <v>133</v>
      </c>
      <c r="J1795" t="s">
        <v>367</v>
      </c>
      <c r="K1795" s="3">
        <v>100426715874</v>
      </c>
      <c r="L1795" s="10">
        <v>40604</v>
      </c>
      <c r="M1795">
        <v>53.33</v>
      </c>
      <c r="N1795" s="17">
        <v>31</v>
      </c>
      <c r="O1795" s="5">
        <v>1.76</v>
      </c>
      <c r="P1795" s="5">
        <v>0.7</v>
      </c>
      <c r="Q1795" s="6">
        <v>-2.44</v>
      </c>
      <c r="R1795" s="37" t="s">
        <v>561</v>
      </c>
      <c r="S1795" s="7">
        <f t="shared" ref="S1795:S1858" si="154">+L1795-B1795</f>
        <v>1</v>
      </c>
      <c r="T1795" s="15" t="str">
        <f>VLOOKUP(R1795,产品分类!$C$2:$D$1278,2,0)</f>
        <v>数码电子</v>
      </c>
    </row>
    <row r="1796" spans="1:20">
      <c r="A1796" s="16">
        <f>DATE(2012,12,31)-671</f>
        <v>40603</v>
      </c>
      <c r="B1796" s="16">
        <f>DATE(2012,12,31)-671</f>
        <v>40603</v>
      </c>
      <c r="C1796" s="9" t="s">
        <v>937</v>
      </c>
      <c r="D1796">
        <v>10021299770</v>
      </c>
      <c r="E1796" t="s">
        <v>47</v>
      </c>
      <c r="F1796" t="s">
        <v>97</v>
      </c>
      <c r="G1796" t="s">
        <v>98</v>
      </c>
      <c r="H1796" t="s">
        <v>99</v>
      </c>
      <c r="I1796" t="s">
        <v>98</v>
      </c>
      <c r="J1796" t="s">
        <v>367</v>
      </c>
      <c r="K1796" s="3">
        <v>100126517478</v>
      </c>
      <c r="L1796" s="10">
        <v>40605</v>
      </c>
      <c r="M1796">
        <v>9.37</v>
      </c>
      <c r="N1796" s="17">
        <v>2</v>
      </c>
      <c r="O1796" s="5">
        <v>4.48</v>
      </c>
      <c r="P1796" s="5">
        <v>1.22</v>
      </c>
      <c r="Q1796" s="6">
        <v>-5.26</v>
      </c>
      <c r="R1796" s="37" t="s">
        <v>1771</v>
      </c>
      <c r="S1796" s="7">
        <f t="shared" si="154"/>
        <v>2</v>
      </c>
      <c r="T1796" s="15" t="str">
        <f>VLOOKUP(R1796,产品分类!$C$2:$D$1278,2,0)</f>
        <v>办公用品</v>
      </c>
    </row>
    <row r="1797" spans="1:20">
      <c r="A1797" s="8">
        <f>DATE(2012,12,31)-1436</f>
        <v>39838</v>
      </c>
      <c r="B1797" s="8">
        <f>DATE(2012,12,31)-1436</f>
        <v>39838</v>
      </c>
      <c r="C1797" s="9" t="s">
        <v>1674</v>
      </c>
      <c r="D1797">
        <v>10021368491</v>
      </c>
      <c r="E1797" t="s">
        <v>47</v>
      </c>
      <c r="F1797" t="s">
        <v>132</v>
      </c>
      <c r="G1797" t="s">
        <v>133</v>
      </c>
      <c r="H1797" t="s">
        <v>134</v>
      </c>
      <c r="I1797" t="s">
        <v>133</v>
      </c>
      <c r="J1797" t="s">
        <v>367</v>
      </c>
      <c r="K1797" s="3">
        <v>100812174852</v>
      </c>
      <c r="L1797" s="10">
        <v>39841</v>
      </c>
      <c r="M1797">
        <v>1532.482</v>
      </c>
      <c r="N1797" s="11">
        <v>15</v>
      </c>
      <c r="O1797" s="12">
        <v>125.99</v>
      </c>
      <c r="P1797" s="12">
        <v>8.99</v>
      </c>
      <c r="Q1797" s="13">
        <v>-42.999</v>
      </c>
      <c r="R1797" s="36" t="s">
        <v>1772</v>
      </c>
      <c r="S1797" s="7">
        <f t="shared" si="154"/>
        <v>3</v>
      </c>
      <c r="T1797" s="15" t="str">
        <f>VLOOKUP(R1797,产品分类!$C$2:$D$1278,2,0)</f>
        <v>家具产品</v>
      </c>
    </row>
    <row r="1798" spans="1:20">
      <c r="A1798" s="8">
        <f>DATE(2012,12,31)-454</f>
        <v>40820</v>
      </c>
      <c r="B1798" s="8">
        <f>DATE(2012,12,31)-454</f>
        <v>40820</v>
      </c>
      <c r="C1798" s="9" t="s">
        <v>1773</v>
      </c>
      <c r="D1798">
        <v>10021389598</v>
      </c>
      <c r="E1798" t="s">
        <v>47</v>
      </c>
      <c r="F1798" t="s">
        <v>132</v>
      </c>
      <c r="G1798" t="s">
        <v>133</v>
      </c>
      <c r="H1798" t="s">
        <v>134</v>
      </c>
      <c r="I1798" t="s">
        <v>133</v>
      </c>
      <c r="J1798" t="s">
        <v>367</v>
      </c>
      <c r="K1798" s="3">
        <v>100132306998</v>
      </c>
      <c r="L1798" s="10">
        <v>40822</v>
      </c>
      <c r="M1798">
        <v>459.26</v>
      </c>
      <c r="N1798" s="11">
        <v>46</v>
      </c>
      <c r="O1798" s="12">
        <v>10.23</v>
      </c>
      <c r="P1798" s="12">
        <v>4.68</v>
      </c>
      <c r="Q1798" s="13">
        <v>-54.12</v>
      </c>
      <c r="R1798" s="36" t="s">
        <v>1222</v>
      </c>
      <c r="S1798" s="7">
        <f t="shared" si="154"/>
        <v>2</v>
      </c>
      <c r="T1798" s="15" t="str">
        <f>VLOOKUP(R1798,产品分类!$C$2:$D$1278,2,0)</f>
        <v>数码电子</v>
      </c>
    </row>
    <row r="1799" spans="1:20">
      <c r="A1799" s="8">
        <f>DATE(2012,12,31)-532</f>
        <v>40742</v>
      </c>
      <c r="B1799" s="8">
        <f>DATE(2012,12,31)-532</f>
        <v>40742</v>
      </c>
      <c r="C1799" s="9" t="s">
        <v>820</v>
      </c>
      <c r="D1799">
        <v>10021352514</v>
      </c>
      <c r="E1799" t="s">
        <v>47</v>
      </c>
      <c r="F1799" t="s">
        <v>132</v>
      </c>
      <c r="G1799" t="s">
        <v>133</v>
      </c>
      <c r="H1799" t="s">
        <v>134</v>
      </c>
      <c r="I1799" t="s">
        <v>133</v>
      </c>
      <c r="J1799" t="s">
        <v>367</v>
      </c>
      <c r="K1799" s="3">
        <v>100832529982</v>
      </c>
      <c r="L1799" s="10">
        <v>40743</v>
      </c>
      <c r="M1799">
        <v>141.49</v>
      </c>
      <c r="N1799" s="11">
        <v>39</v>
      </c>
      <c r="O1799" s="12">
        <v>3.69</v>
      </c>
      <c r="P1799" s="12">
        <v>0.5</v>
      </c>
      <c r="Q1799" s="13">
        <v>59.92</v>
      </c>
      <c r="R1799" s="36" t="s">
        <v>1224</v>
      </c>
      <c r="S1799" s="7">
        <f t="shared" si="154"/>
        <v>1</v>
      </c>
      <c r="T1799" s="15" t="str">
        <f>VLOOKUP(R1799,产品分类!$C$2:$D$1278,2,0)</f>
        <v>办公用品</v>
      </c>
    </row>
    <row r="1800" spans="1:20">
      <c r="A1800" s="8">
        <f>DATE(2012,12,31)-532</f>
        <v>40742</v>
      </c>
      <c r="B1800" s="8">
        <f>DATE(2012,12,31)-532</f>
        <v>40742</v>
      </c>
      <c r="C1800" s="9" t="s">
        <v>820</v>
      </c>
      <c r="D1800">
        <v>10021260331</v>
      </c>
      <c r="E1800" t="s">
        <v>47</v>
      </c>
      <c r="F1800" t="s">
        <v>102</v>
      </c>
      <c r="G1800" t="s">
        <v>103</v>
      </c>
      <c r="H1800" t="s">
        <v>1217</v>
      </c>
      <c r="I1800" t="s">
        <v>1218</v>
      </c>
      <c r="J1800" t="s">
        <v>367</v>
      </c>
      <c r="K1800" s="3">
        <v>100728580395</v>
      </c>
      <c r="L1800" s="10">
        <v>40743</v>
      </c>
      <c r="M1800">
        <v>211.55</v>
      </c>
      <c r="N1800" s="11">
        <v>31</v>
      </c>
      <c r="O1800" s="12">
        <v>6.48</v>
      </c>
      <c r="P1800" s="12">
        <v>7.91</v>
      </c>
      <c r="Q1800" s="13">
        <v>-120.95</v>
      </c>
      <c r="R1800" s="36" t="s">
        <v>581</v>
      </c>
      <c r="S1800" s="7">
        <f t="shared" si="154"/>
        <v>1</v>
      </c>
      <c r="T1800" s="15" t="str">
        <f>VLOOKUP(R1800,产品分类!$C$2:$D$1278,2,0)</f>
        <v>办公用品</v>
      </c>
    </row>
    <row r="1801" spans="1:20">
      <c r="A1801" s="8">
        <f>DATE(2012,12,31)-973</f>
        <v>40301</v>
      </c>
      <c r="B1801" s="8">
        <f>DATE(2012,12,31)-973</f>
        <v>40301</v>
      </c>
      <c r="C1801" s="9" t="s">
        <v>1774</v>
      </c>
      <c r="D1801">
        <v>10021337290</v>
      </c>
      <c r="E1801" t="s">
        <v>47</v>
      </c>
      <c r="F1801" t="s">
        <v>102</v>
      </c>
      <c r="G1801" t="s">
        <v>103</v>
      </c>
      <c r="H1801" t="s">
        <v>1217</v>
      </c>
      <c r="I1801" t="s">
        <v>1218</v>
      </c>
      <c r="J1801" t="s">
        <v>367</v>
      </c>
      <c r="K1801" s="3">
        <v>100821507492</v>
      </c>
      <c r="L1801" s="10">
        <v>40302</v>
      </c>
      <c r="M1801">
        <v>627.12</v>
      </c>
      <c r="N1801" s="11">
        <v>50</v>
      </c>
      <c r="O1801" s="12">
        <v>12.64</v>
      </c>
      <c r="P1801" s="12">
        <v>4.98</v>
      </c>
      <c r="Q1801" s="13">
        <v>100.04</v>
      </c>
      <c r="R1801" s="36" t="s">
        <v>181</v>
      </c>
      <c r="S1801" s="7">
        <f t="shared" si="154"/>
        <v>1</v>
      </c>
      <c r="T1801" s="15" t="str">
        <f>VLOOKUP(R1801,产品分类!$C$2:$D$1278,2,0)</f>
        <v>数码电子</v>
      </c>
    </row>
    <row r="1802" spans="1:20">
      <c r="A1802" s="8">
        <f>DATE(2012,12,31)-973</f>
        <v>40301</v>
      </c>
      <c r="B1802" s="8">
        <f>DATE(2012,12,31)-973</f>
        <v>40301</v>
      </c>
      <c r="C1802" s="9" t="s">
        <v>1774</v>
      </c>
      <c r="D1802">
        <v>10021445243</v>
      </c>
      <c r="E1802" t="s">
        <v>47</v>
      </c>
      <c r="F1802" t="s">
        <v>171</v>
      </c>
      <c r="G1802" t="s">
        <v>172</v>
      </c>
      <c r="H1802" t="s">
        <v>1712</v>
      </c>
      <c r="I1802" t="s">
        <v>1713</v>
      </c>
      <c r="J1802" t="s">
        <v>367</v>
      </c>
      <c r="K1802" s="3">
        <v>100712072035</v>
      </c>
      <c r="L1802" s="10">
        <v>40303</v>
      </c>
      <c r="M1802">
        <v>4096.21</v>
      </c>
      <c r="N1802" s="11">
        <v>18</v>
      </c>
      <c r="O1802" s="12">
        <v>306.14</v>
      </c>
      <c r="P1802" s="12">
        <v>26.53</v>
      </c>
      <c r="Q1802" s="13">
        <v>308.22</v>
      </c>
      <c r="R1802" s="36" t="s">
        <v>1483</v>
      </c>
      <c r="S1802" s="7">
        <f t="shared" si="154"/>
        <v>2</v>
      </c>
      <c r="T1802" s="15" t="str">
        <f>VLOOKUP(R1802,产品分类!$C$2:$D$1278,2,0)</f>
        <v>办公用品</v>
      </c>
    </row>
    <row r="1803" spans="1:20">
      <c r="A1803" s="8">
        <f>DATE(2012,12,31)-794</f>
        <v>40480</v>
      </c>
      <c r="B1803" s="8">
        <f>DATE(2012,12,31)-794</f>
        <v>40480</v>
      </c>
      <c r="C1803" s="9" t="s">
        <v>1775</v>
      </c>
      <c r="D1803">
        <v>10021427598</v>
      </c>
      <c r="E1803" t="s">
        <v>47</v>
      </c>
      <c r="F1803" t="s">
        <v>171</v>
      </c>
      <c r="G1803" t="s">
        <v>172</v>
      </c>
      <c r="H1803" t="s">
        <v>1712</v>
      </c>
      <c r="I1803" t="s">
        <v>1713</v>
      </c>
      <c r="J1803" t="s">
        <v>367</v>
      </c>
      <c r="K1803" s="3">
        <v>100930656461</v>
      </c>
      <c r="L1803" s="10">
        <v>40482</v>
      </c>
      <c r="M1803">
        <v>302.05</v>
      </c>
      <c r="N1803" s="11">
        <v>9</v>
      </c>
      <c r="O1803" s="12">
        <v>30.98</v>
      </c>
      <c r="P1803" s="12">
        <v>6.5</v>
      </c>
      <c r="Q1803" s="13">
        <v>-58.81</v>
      </c>
      <c r="R1803" s="36" t="s">
        <v>744</v>
      </c>
      <c r="S1803" s="7">
        <f t="shared" si="154"/>
        <v>2</v>
      </c>
      <c r="T1803" s="15" t="str">
        <f>VLOOKUP(R1803,产品分类!$C$2:$D$1278,2,0)</f>
        <v>家具产品</v>
      </c>
    </row>
    <row r="1804" spans="1:20">
      <c r="A1804" s="8">
        <f>DATE(2012,12,31)-794</f>
        <v>40480</v>
      </c>
      <c r="B1804" s="8">
        <f>DATE(2012,12,31)-794</f>
        <v>40480</v>
      </c>
      <c r="C1804" s="9" t="s">
        <v>1775</v>
      </c>
      <c r="D1804">
        <v>10021467581</v>
      </c>
      <c r="E1804" t="s">
        <v>47</v>
      </c>
      <c r="F1804" t="s">
        <v>171</v>
      </c>
      <c r="G1804" t="s">
        <v>172</v>
      </c>
      <c r="H1804" t="s">
        <v>1712</v>
      </c>
      <c r="I1804" t="s">
        <v>1713</v>
      </c>
      <c r="J1804" t="s">
        <v>367</v>
      </c>
      <c r="K1804" s="3">
        <v>100428850944</v>
      </c>
      <c r="L1804" s="10">
        <v>40482</v>
      </c>
      <c r="M1804">
        <v>3645.45</v>
      </c>
      <c r="N1804" s="11">
        <v>30</v>
      </c>
      <c r="O1804" s="12">
        <v>120.98</v>
      </c>
      <c r="P1804" s="12">
        <v>56.7</v>
      </c>
      <c r="Q1804" s="13">
        <v>-765.5</v>
      </c>
      <c r="R1804" s="36" t="s">
        <v>1776</v>
      </c>
      <c r="S1804" s="7">
        <f t="shared" si="154"/>
        <v>2</v>
      </c>
      <c r="T1804" s="15" t="str">
        <f>VLOOKUP(R1804,产品分类!$C$2:$D$1278,2,0)</f>
        <v>家具产品</v>
      </c>
    </row>
    <row r="1805" spans="1:20">
      <c r="A1805" s="8">
        <f>DATE(2012,12,31)-1193</f>
        <v>40081</v>
      </c>
      <c r="B1805" s="8">
        <f>DATE(2012,12,31)-1193</f>
        <v>40081</v>
      </c>
      <c r="C1805" s="9" t="s">
        <v>1533</v>
      </c>
      <c r="D1805">
        <v>10021265926</v>
      </c>
      <c r="E1805" t="s">
        <v>47</v>
      </c>
      <c r="F1805" t="s">
        <v>177</v>
      </c>
      <c r="G1805" t="s">
        <v>178</v>
      </c>
      <c r="H1805" t="s">
        <v>1292</v>
      </c>
      <c r="I1805" t="s">
        <v>1293</v>
      </c>
      <c r="J1805" t="s">
        <v>367</v>
      </c>
      <c r="K1805" s="3">
        <v>100431562913</v>
      </c>
      <c r="L1805" s="10">
        <v>40083</v>
      </c>
      <c r="M1805">
        <v>63.427</v>
      </c>
      <c r="N1805" s="11">
        <v>2</v>
      </c>
      <c r="O1805" s="12">
        <v>35.99</v>
      </c>
      <c r="P1805" s="12">
        <v>5</v>
      </c>
      <c r="Q1805" s="13">
        <v>-191.785</v>
      </c>
      <c r="R1805" s="36" t="s">
        <v>1724</v>
      </c>
      <c r="S1805" s="7">
        <f t="shared" si="154"/>
        <v>2</v>
      </c>
      <c r="T1805" s="15" t="str">
        <f>VLOOKUP(R1805,产品分类!$C$2:$D$1278,2,0)</f>
        <v>办公用品</v>
      </c>
    </row>
    <row r="1806" spans="1:20">
      <c r="A1806" s="8">
        <f>DATE(2012,12,31)-854</f>
        <v>40420</v>
      </c>
      <c r="B1806" s="8">
        <f>DATE(2012,12,31)-854</f>
        <v>40420</v>
      </c>
      <c r="C1806" s="9" t="s">
        <v>467</v>
      </c>
      <c r="D1806">
        <v>10021351100</v>
      </c>
      <c r="E1806" t="s">
        <v>47</v>
      </c>
      <c r="F1806" t="s">
        <v>177</v>
      </c>
      <c r="G1806" t="s">
        <v>178</v>
      </c>
      <c r="H1806" t="s">
        <v>1292</v>
      </c>
      <c r="I1806" t="s">
        <v>1293</v>
      </c>
      <c r="J1806" t="s">
        <v>367</v>
      </c>
      <c r="K1806" s="3">
        <v>100132205918</v>
      </c>
      <c r="L1806" s="10">
        <v>40421</v>
      </c>
      <c r="M1806">
        <v>5297.47</v>
      </c>
      <c r="N1806" s="11">
        <v>19</v>
      </c>
      <c r="O1806" s="12">
        <v>270.98</v>
      </c>
      <c r="P1806" s="12">
        <v>50</v>
      </c>
      <c r="Q1806" s="13">
        <v>-158.93</v>
      </c>
      <c r="R1806" s="36" t="s">
        <v>1777</v>
      </c>
      <c r="S1806" s="7">
        <f t="shared" si="154"/>
        <v>1</v>
      </c>
      <c r="T1806" s="15" t="str">
        <f>VLOOKUP(R1806,产品分类!$C$2:$D$1278,2,0)</f>
        <v>办公用品</v>
      </c>
    </row>
    <row r="1807" spans="1:20">
      <c r="A1807" s="8">
        <f>DATE(2012,12,31)-854</f>
        <v>40420</v>
      </c>
      <c r="B1807" s="8">
        <f>DATE(2012,12,31)-854</f>
        <v>40420</v>
      </c>
      <c r="C1807" s="9" t="s">
        <v>467</v>
      </c>
      <c r="D1807">
        <v>10021248795</v>
      </c>
      <c r="E1807" t="s">
        <v>47</v>
      </c>
      <c r="F1807" t="s">
        <v>177</v>
      </c>
      <c r="G1807" t="s">
        <v>178</v>
      </c>
      <c r="H1807" t="s">
        <v>1292</v>
      </c>
      <c r="I1807" t="s">
        <v>1293</v>
      </c>
      <c r="J1807" t="s">
        <v>367</v>
      </c>
      <c r="K1807" s="3">
        <v>10094259551</v>
      </c>
      <c r="L1807" s="10">
        <v>40421</v>
      </c>
      <c r="M1807">
        <v>95.3</v>
      </c>
      <c r="N1807" s="11">
        <v>20</v>
      </c>
      <c r="O1807" s="12">
        <v>4.48</v>
      </c>
      <c r="P1807" s="12">
        <v>1.22</v>
      </c>
      <c r="Q1807" s="13">
        <v>29.68</v>
      </c>
      <c r="R1807" s="36" t="s">
        <v>1771</v>
      </c>
      <c r="S1807" s="7">
        <f t="shared" si="154"/>
        <v>1</v>
      </c>
      <c r="T1807" s="15" t="str">
        <f>VLOOKUP(R1807,产品分类!$C$2:$D$1278,2,0)</f>
        <v>办公用品</v>
      </c>
    </row>
    <row r="1808" spans="1:20">
      <c r="A1808" s="8">
        <f>DATE(2012,12,31)-403</f>
        <v>40871</v>
      </c>
      <c r="B1808" s="8">
        <f>DATE(2012,12,31)-403</f>
        <v>40871</v>
      </c>
      <c r="C1808" s="9" t="s">
        <v>506</v>
      </c>
      <c r="D1808">
        <v>10021395472</v>
      </c>
      <c r="E1808" t="s">
        <v>47</v>
      </c>
      <c r="F1808" t="s">
        <v>61</v>
      </c>
      <c r="G1808" t="s">
        <v>62</v>
      </c>
      <c r="H1808" t="s">
        <v>1369</v>
      </c>
      <c r="I1808" t="s">
        <v>1370</v>
      </c>
      <c r="J1808" t="s">
        <v>367</v>
      </c>
      <c r="K1808" s="3">
        <v>100911328871</v>
      </c>
      <c r="L1808" s="10">
        <v>40872</v>
      </c>
      <c r="M1808">
        <v>1147.64</v>
      </c>
      <c r="N1808" s="11">
        <v>49</v>
      </c>
      <c r="O1808" s="12">
        <v>22.98</v>
      </c>
      <c r="P1808" s="12">
        <v>4.5</v>
      </c>
      <c r="Q1808" s="13">
        <v>261.87</v>
      </c>
      <c r="R1808" s="36" t="s">
        <v>831</v>
      </c>
      <c r="S1808" s="7">
        <f t="shared" si="154"/>
        <v>1</v>
      </c>
      <c r="T1808" s="15" t="str">
        <f>VLOOKUP(R1808,产品分类!$C$2:$D$1278,2,0)</f>
        <v>家具产品</v>
      </c>
    </row>
    <row r="1809" spans="1:20">
      <c r="A1809" s="16">
        <f>DATE(2012,12,31)-251</f>
        <v>41023</v>
      </c>
      <c r="B1809" s="16">
        <f>DATE(2012,12,31)-251</f>
        <v>41023</v>
      </c>
      <c r="C1809" s="9" t="s">
        <v>1388</v>
      </c>
      <c r="D1809">
        <v>10021295096</v>
      </c>
      <c r="E1809" t="s">
        <v>47</v>
      </c>
      <c r="F1809" t="s">
        <v>61</v>
      </c>
      <c r="G1809" t="s">
        <v>62</v>
      </c>
      <c r="H1809" t="s">
        <v>47</v>
      </c>
      <c r="I1809" t="s">
        <v>1778</v>
      </c>
      <c r="J1809" t="s">
        <v>367</v>
      </c>
      <c r="K1809" s="3">
        <v>100812822122</v>
      </c>
      <c r="L1809" s="10">
        <v>41024</v>
      </c>
      <c r="M1809">
        <v>653.92</v>
      </c>
      <c r="N1809" s="17">
        <v>11</v>
      </c>
      <c r="O1809" s="5">
        <v>59.76</v>
      </c>
      <c r="P1809" s="5">
        <v>9.71</v>
      </c>
      <c r="Q1809" s="6">
        <v>52.89</v>
      </c>
      <c r="R1809" s="37" t="s">
        <v>1747</v>
      </c>
      <c r="S1809" s="7">
        <f t="shared" si="154"/>
        <v>1</v>
      </c>
      <c r="T1809" s="15" t="str">
        <f>VLOOKUP(R1809,产品分类!$C$2:$D$1278,2,0)</f>
        <v>办公用品</v>
      </c>
    </row>
    <row r="1810" spans="1:20">
      <c r="A1810" s="16">
        <f>DATE(2012,12,31)-1397</f>
        <v>39877</v>
      </c>
      <c r="B1810" s="16">
        <f>DATE(2012,12,31)-1397</f>
        <v>39877</v>
      </c>
      <c r="C1810" s="9" t="s">
        <v>430</v>
      </c>
      <c r="D1810">
        <v>10021417382</v>
      </c>
      <c r="E1810" t="s">
        <v>47</v>
      </c>
      <c r="F1810" t="s">
        <v>61</v>
      </c>
      <c r="G1810" t="s">
        <v>62</v>
      </c>
      <c r="H1810" t="s">
        <v>47</v>
      </c>
      <c r="I1810" t="s">
        <v>1778</v>
      </c>
      <c r="J1810" t="s">
        <v>367</v>
      </c>
      <c r="K1810" s="3">
        <v>100316862719</v>
      </c>
      <c r="L1810" s="10">
        <v>39878</v>
      </c>
      <c r="M1810">
        <v>440.39</v>
      </c>
      <c r="N1810" s="17">
        <v>45</v>
      </c>
      <c r="O1810" s="5">
        <v>9.78</v>
      </c>
      <c r="P1810" s="5">
        <v>1.39</v>
      </c>
      <c r="Q1810" s="6">
        <v>186.64</v>
      </c>
      <c r="R1810" s="37" t="s">
        <v>962</v>
      </c>
      <c r="S1810" s="7">
        <f t="shared" si="154"/>
        <v>1</v>
      </c>
      <c r="T1810" s="15" t="str">
        <f>VLOOKUP(R1810,产品分类!$C$2:$D$1278,2,0)</f>
        <v>家具产品</v>
      </c>
    </row>
    <row r="1811" spans="1:20">
      <c r="A1811" s="16">
        <f>DATE(2012,12,31)-1397</f>
        <v>39877</v>
      </c>
      <c r="B1811" s="16">
        <f>DATE(2012,12,31)-1397</f>
        <v>39877</v>
      </c>
      <c r="C1811" s="9" t="s">
        <v>430</v>
      </c>
      <c r="D1811">
        <v>10021301758</v>
      </c>
      <c r="E1811" t="s">
        <v>47</v>
      </c>
      <c r="F1811" t="s">
        <v>253</v>
      </c>
      <c r="G1811" t="s">
        <v>254</v>
      </c>
      <c r="H1811" t="s">
        <v>255</v>
      </c>
      <c r="I1811" t="s">
        <v>256</v>
      </c>
      <c r="J1811" t="s">
        <v>367</v>
      </c>
      <c r="K1811" s="3">
        <v>100119821928</v>
      </c>
      <c r="L1811" s="10">
        <v>39878</v>
      </c>
      <c r="M1811">
        <v>96.99</v>
      </c>
      <c r="N1811" s="17">
        <v>27</v>
      </c>
      <c r="O1811" s="5">
        <v>3.28</v>
      </c>
      <c r="P1811" s="5">
        <v>3.97</v>
      </c>
      <c r="Q1811" s="6">
        <v>-66.35</v>
      </c>
      <c r="R1811" s="37" t="s">
        <v>1396</v>
      </c>
      <c r="S1811" s="7">
        <f t="shared" si="154"/>
        <v>1</v>
      </c>
      <c r="T1811" s="15" t="str">
        <f>VLOOKUP(R1811,产品分类!$C$2:$D$1278,2,0)</f>
        <v>家具产品</v>
      </c>
    </row>
    <row r="1812" spans="1:20">
      <c r="A1812" s="8">
        <f>DATE(2012,12,31)-920</f>
        <v>40354</v>
      </c>
      <c r="B1812" s="8">
        <f>DATE(2012,12,31)-920</f>
        <v>40354</v>
      </c>
      <c r="C1812" s="9" t="s">
        <v>1149</v>
      </c>
      <c r="D1812">
        <v>10021416518</v>
      </c>
      <c r="E1812" t="s">
        <v>47</v>
      </c>
      <c r="F1812" t="s">
        <v>61</v>
      </c>
      <c r="G1812" t="s">
        <v>62</v>
      </c>
      <c r="H1812" t="s">
        <v>47</v>
      </c>
      <c r="I1812" t="s">
        <v>1778</v>
      </c>
      <c r="J1812" t="s">
        <v>367</v>
      </c>
      <c r="K1812" s="3">
        <v>10098100011</v>
      </c>
      <c r="L1812" s="10">
        <v>40355</v>
      </c>
      <c r="M1812">
        <v>44.74</v>
      </c>
      <c r="N1812" s="11">
        <v>7</v>
      </c>
      <c r="O1812" s="12">
        <v>5.74</v>
      </c>
      <c r="P1812" s="12">
        <v>5.01</v>
      </c>
      <c r="Q1812" s="13">
        <v>-20.102</v>
      </c>
      <c r="R1812" s="36" t="s">
        <v>876</v>
      </c>
      <c r="S1812" s="7">
        <f t="shared" si="154"/>
        <v>1</v>
      </c>
      <c r="T1812" s="15" t="str">
        <f>VLOOKUP(R1812,产品分类!$C$2:$D$1278,2,0)</f>
        <v>办公用品</v>
      </c>
    </row>
    <row r="1813" spans="1:20">
      <c r="A1813" s="8">
        <f>DATE(2012,12,31)-920</f>
        <v>40354</v>
      </c>
      <c r="B1813" s="8">
        <f>DATE(2012,12,31)-920</f>
        <v>40354</v>
      </c>
      <c r="C1813" s="9" t="s">
        <v>1149</v>
      </c>
      <c r="D1813">
        <v>10021335258</v>
      </c>
      <c r="E1813" t="s">
        <v>47</v>
      </c>
      <c r="F1813" t="s">
        <v>61</v>
      </c>
      <c r="G1813" t="s">
        <v>62</v>
      </c>
      <c r="H1813" t="s">
        <v>47</v>
      </c>
      <c r="I1813" t="s">
        <v>1778</v>
      </c>
      <c r="J1813" t="s">
        <v>367</v>
      </c>
      <c r="K1813" s="3">
        <v>10018729707</v>
      </c>
      <c r="L1813" s="10">
        <v>40355</v>
      </c>
      <c r="M1813">
        <v>90.78</v>
      </c>
      <c r="N1813" s="11">
        <v>21</v>
      </c>
      <c r="O1813" s="12">
        <v>4.24</v>
      </c>
      <c r="P1813" s="12">
        <v>5.41</v>
      </c>
      <c r="Q1813" s="13">
        <v>-71.8405</v>
      </c>
      <c r="R1813" s="36" t="s">
        <v>445</v>
      </c>
      <c r="S1813" s="7">
        <f t="shared" si="154"/>
        <v>1</v>
      </c>
      <c r="T1813" s="15" t="str">
        <f>VLOOKUP(R1813,产品分类!$C$2:$D$1278,2,0)</f>
        <v>数码电子</v>
      </c>
    </row>
    <row r="1814" spans="1:20">
      <c r="A1814" s="16">
        <f>DATE(2012,12,31)-1003</f>
        <v>40271</v>
      </c>
      <c r="B1814" s="16">
        <f>DATE(2012,12,31)-1003</f>
        <v>40271</v>
      </c>
      <c r="C1814" s="9" t="s">
        <v>1282</v>
      </c>
      <c r="D1814">
        <v>10021257345</v>
      </c>
      <c r="E1814" t="s">
        <v>47</v>
      </c>
      <c r="F1814" t="s">
        <v>61</v>
      </c>
      <c r="G1814" t="s">
        <v>62</v>
      </c>
      <c r="H1814" t="s">
        <v>47</v>
      </c>
      <c r="I1814" t="s">
        <v>1778</v>
      </c>
      <c r="J1814" t="s">
        <v>367</v>
      </c>
      <c r="K1814" s="3">
        <v>100326039389</v>
      </c>
      <c r="L1814" s="10">
        <v>40272</v>
      </c>
      <c r="M1814">
        <v>2712.07</v>
      </c>
      <c r="N1814" s="17">
        <v>31</v>
      </c>
      <c r="O1814" s="5">
        <v>95.43</v>
      </c>
      <c r="P1814" s="5">
        <v>19.99</v>
      </c>
      <c r="Q1814" s="6">
        <v>-435.56</v>
      </c>
      <c r="R1814" s="37" t="s">
        <v>406</v>
      </c>
      <c r="S1814" s="7">
        <f t="shared" si="154"/>
        <v>1</v>
      </c>
      <c r="T1814" s="15" t="str">
        <f>VLOOKUP(R1814,产品分类!$C$2:$D$1278,2,0)</f>
        <v>办公用品</v>
      </c>
    </row>
    <row r="1815" spans="1:20">
      <c r="A1815" s="16">
        <f>DATE(2012,12,31)-351</f>
        <v>40923</v>
      </c>
      <c r="B1815" s="16">
        <f>DATE(2012,12,31)-351</f>
        <v>40923</v>
      </c>
      <c r="C1815" s="9" t="s">
        <v>1429</v>
      </c>
      <c r="D1815">
        <v>10021395549</v>
      </c>
      <c r="E1815" t="s">
        <v>47</v>
      </c>
      <c r="F1815" t="s">
        <v>61</v>
      </c>
      <c r="G1815" t="s">
        <v>62</v>
      </c>
      <c r="H1815" t="s">
        <v>47</v>
      </c>
      <c r="I1815" t="s">
        <v>1778</v>
      </c>
      <c r="J1815" t="s">
        <v>367</v>
      </c>
      <c r="K1815" s="3">
        <v>100812188622</v>
      </c>
      <c r="L1815" s="10">
        <v>40925</v>
      </c>
      <c r="M1815">
        <v>290.68</v>
      </c>
      <c r="N1815" s="17">
        <v>42</v>
      </c>
      <c r="O1815" s="5">
        <v>6.78</v>
      </c>
      <c r="P1815" s="5">
        <v>6.18</v>
      </c>
      <c r="Q1815" s="6">
        <v>-93.5</v>
      </c>
      <c r="R1815" s="37" t="s">
        <v>535</v>
      </c>
      <c r="S1815" s="7">
        <f t="shared" si="154"/>
        <v>2</v>
      </c>
      <c r="T1815" s="15" t="str">
        <f>VLOOKUP(R1815,产品分类!$C$2:$D$1278,2,0)</f>
        <v>办公用品</v>
      </c>
    </row>
    <row r="1816" spans="1:20">
      <c r="A1816" s="8">
        <f>DATE(2012,12,31)-1363</f>
        <v>39911</v>
      </c>
      <c r="B1816" s="8">
        <f>DATE(2012,12,31)-1363</f>
        <v>39911</v>
      </c>
      <c r="C1816" s="9" t="s">
        <v>1249</v>
      </c>
      <c r="D1816">
        <v>10021441854</v>
      </c>
      <c r="E1816" t="s">
        <v>47</v>
      </c>
      <c r="F1816" t="s">
        <v>167</v>
      </c>
      <c r="G1816" t="s">
        <v>168</v>
      </c>
      <c r="H1816" t="s">
        <v>169</v>
      </c>
      <c r="I1816" t="s">
        <v>168</v>
      </c>
      <c r="J1816" t="s">
        <v>367</v>
      </c>
      <c r="K1816" s="3">
        <v>100128234326</v>
      </c>
      <c r="L1816" s="10">
        <v>39912</v>
      </c>
      <c r="M1816">
        <v>1357.53</v>
      </c>
      <c r="N1816" s="11">
        <v>39</v>
      </c>
      <c r="O1816" s="12">
        <v>35.44</v>
      </c>
      <c r="P1816" s="12">
        <v>5.09</v>
      </c>
      <c r="Q1816" s="13">
        <v>562.92</v>
      </c>
      <c r="R1816" s="36" t="s">
        <v>1365</v>
      </c>
      <c r="S1816" s="7">
        <f t="shared" si="154"/>
        <v>1</v>
      </c>
      <c r="T1816" s="15" t="str">
        <f>VLOOKUP(R1816,产品分类!$C$2:$D$1278,2,0)</f>
        <v>办公用品</v>
      </c>
    </row>
    <row r="1817" spans="1:20">
      <c r="A1817" s="8">
        <f>DATE(2012,12,31)-1258</f>
        <v>40016</v>
      </c>
      <c r="B1817" s="8">
        <f>DATE(2012,12,31)-1258</f>
        <v>40016</v>
      </c>
      <c r="C1817" s="9" t="s">
        <v>1143</v>
      </c>
      <c r="D1817">
        <v>10021358824</v>
      </c>
      <c r="E1817" t="s">
        <v>47</v>
      </c>
      <c r="F1817" t="s">
        <v>434</v>
      </c>
      <c r="G1817" t="s">
        <v>435</v>
      </c>
      <c r="H1817" t="s">
        <v>436</v>
      </c>
      <c r="I1817" t="s">
        <v>437</v>
      </c>
      <c r="J1817" t="s">
        <v>367</v>
      </c>
      <c r="K1817" s="3">
        <v>100932879561</v>
      </c>
      <c r="L1817" s="10">
        <v>40018</v>
      </c>
      <c r="M1817">
        <v>136.2</v>
      </c>
      <c r="N1817" s="11">
        <v>32</v>
      </c>
      <c r="O1817" s="12">
        <v>3.89</v>
      </c>
      <c r="P1817" s="12">
        <v>7.01</v>
      </c>
      <c r="Q1817" s="13">
        <v>-154.307</v>
      </c>
      <c r="R1817" s="36" t="s">
        <v>749</v>
      </c>
      <c r="S1817" s="7">
        <f t="shared" si="154"/>
        <v>2</v>
      </c>
      <c r="T1817" s="15" t="str">
        <f>VLOOKUP(R1817,产品分类!$C$2:$D$1278,2,0)</f>
        <v>办公用品</v>
      </c>
    </row>
    <row r="1818" spans="1:20">
      <c r="A1818" s="8">
        <f>DATE(2012,12,31)-27</f>
        <v>41247</v>
      </c>
      <c r="B1818" s="8">
        <f>DATE(2012,12,31)-27</f>
        <v>41247</v>
      </c>
      <c r="C1818" s="9" t="s">
        <v>643</v>
      </c>
      <c r="D1818">
        <v>10021489631</v>
      </c>
      <c r="E1818" t="s">
        <v>47</v>
      </c>
      <c r="F1818" t="s">
        <v>66</v>
      </c>
      <c r="G1818" t="s">
        <v>67</v>
      </c>
      <c r="H1818" t="s">
        <v>1435</v>
      </c>
      <c r="I1818" t="s">
        <v>1436</v>
      </c>
      <c r="J1818" t="s">
        <v>367</v>
      </c>
      <c r="K1818" s="3">
        <v>100133046077</v>
      </c>
      <c r="L1818" s="10">
        <v>41252</v>
      </c>
      <c r="M1818">
        <v>210.06</v>
      </c>
      <c r="N1818" s="11">
        <v>34</v>
      </c>
      <c r="O1818" s="12">
        <v>6.48</v>
      </c>
      <c r="P1818" s="12">
        <v>7.37</v>
      </c>
      <c r="Q1818" s="13">
        <v>-135</v>
      </c>
      <c r="R1818" s="36" t="s">
        <v>1045</v>
      </c>
      <c r="S1818" s="7">
        <f t="shared" si="154"/>
        <v>5</v>
      </c>
      <c r="T1818" s="15" t="str">
        <f>VLOOKUP(R1818,产品分类!$C$2:$D$1278,2,0)</f>
        <v>数码电子</v>
      </c>
    </row>
    <row r="1819" spans="1:20">
      <c r="A1819" s="8">
        <f>DATE(2012,12,31)-1349</f>
        <v>39925</v>
      </c>
      <c r="B1819" s="8">
        <f>DATE(2012,12,31)-1349</f>
        <v>39925</v>
      </c>
      <c r="C1819" s="9" t="s">
        <v>1130</v>
      </c>
      <c r="D1819">
        <v>10021357606</v>
      </c>
      <c r="E1819" t="s">
        <v>47</v>
      </c>
      <c r="F1819" t="s">
        <v>48</v>
      </c>
      <c r="G1819" t="s">
        <v>49</v>
      </c>
      <c r="H1819" t="s">
        <v>1433</v>
      </c>
      <c r="I1819" t="s">
        <v>1434</v>
      </c>
      <c r="J1819" t="s">
        <v>367</v>
      </c>
      <c r="K1819" s="3">
        <v>100932874501</v>
      </c>
      <c r="L1819" s="10">
        <v>39927</v>
      </c>
      <c r="M1819">
        <v>3387.32</v>
      </c>
      <c r="N1819" s="11">
        <v>33</v>
      </c>
      <c r="O1819" s="12">
        <v>100.98</v>
      </c>
      <c r="P1819" s="12">
        <v>7.18</v>
      </c>
      <c r="Q1819" s="13">
        <v>1413.52</v>
      </c>
      <c r="R1819" s="36" t="s">
        <v>1779</v>
      </c>
      <c r="S1819" s="7">
        <f t="shared" si="154"/>
        <v>2</v>
      </c>
      <c r="T1819" s="15" t="str">
        <f>VLOOKUP(R1819,产品分类!$C$2:$D$1278,2,0)</f>
        <v>家具产品</v>
      </c>
    </row>
    <row r="1820" spans="1:20">
      <c r="A1820" s="16">
        <f>DATE(2012,12,31)-984</f>
        <v>40290</v>
      </c>
      <c r="B1820" s="16">
        <f>DATE(2012,12,31)-984</f>
        <v>40290</v>
      </c>
      <c r="C1820" s="9" t="s">
        <v>1780</v>
      </c>
      <c r="D1820">
        <v>10021439817</v>
      </c>
      <c r="E1820" t="s">
        <v>47</v>
      </c>
      <c r="F1820" t="s">
        <v>66</v>
      </c>
      <c r="G1820" t="s">
        <v>67</v>
      </c>
      <c r="H1820" t="s">
        <v>1435</v>
      </c>
      <c r="I1820" t="s">
        <v>1436</v>
      </c>
      <c r="J1820" t="s">
        <v>367</v>
      </c>
      <c r="K1820" s="3">
        <v>100732978515</v>
      </c>
      <c r="L1820" s="10">
        <v>40292</v>
      </c>
      <c r="M1820">
        <v>187.92</v>
      </c>
      <c r="N1820" s="17">
        <v>46</v>
      </c>
      <c r="O1820" s="5">
        <v>3.25</v>
      </c>
      <c r="P1820" s="5">
        <v>49</v>
      </c>
      <c r="Q1820" s="6">
        <v>-2149.8</v>
      </c>
      <c r="R1820" s="37" t="s">
        <v>1503</v>
      </c>
      <c r="S1820" s="7">
        <f t="shared" si="154"/>
        <v>2</v>
      </c>
      <c r="T1820" s="15" t="str">
        <f>VLOOKUP(R1820,产品分类!$C$2:$D$1278,2,0)</f>
        <v>办公用品</v>
      </c>
    </row>
    <row r="1821" spans="1:20">
      <c r="A1821" s="8">
        <f>DATE(2012,12,31)-383</f>
        <v>40891</v>
      </c>
      <c r="B1821" s="8">
        <f>DATE(2012,12,31)-383</f>
        <v>40891</v>
      </c>
      <c r="C1821" s="9" t="s">
        <v>1266</v>
      </c>
      <c r="D1821">
        <v>10021482614</v>
      </c>
      <c r="E1821" t="s">
        <v>47</v>
      </c>
      <c r="F1821" t="s">
        <v>230</v>
      </c>
      <c r="G1821" t="s">
        <v>231</v>
      </c>
      <c r="H1821" t="s">
        <v>1465</v>
      </c>
      <c r="I1821" t="s">
        <v>1466</v>
      </c>
      <c r="J1821" t="s">
        <v>367</v>
      </c>
      <c r="K1821" s="3">
        <v>100933029201</v>
      </c>
      <c r="L1821" s="10">
        <v>40894</v>
      </c>
      <c r="M1821">
        <v>3577.11</v>
      </c>
      <c r="N1821" s="11">
        <v>34</v>
      </c>
      <c r="O1821" s="12">
        <v>114.98</v>
      </c>
      <c r="P1821" s="12">
        <v>58.72</v>
      </c>
      <c r="Q1821" s="13">
        <v>-1620.41</v>
      </c>
      <c r="R1821" s="36" t="s">
        <v>1575</v>
      </c>
      <c r="S1821" s="7">
        <f t="shared" si="154"/>
        <v>3</v>
      </c>
      <c r="T1821" s="15" t="str">
        <f>VLOOKUP(R1821,产品分类!$C$2:$D$1278,2,0)</f>
        <v>办公用品</v>
      </c>
    </row>
    <row r="1822" spans="1:20">
      <c r="A1822" s="8">
        <f>DATE(2012,12,31)-889</f>
        <v>40385</v>
      </c>
      <c r="B1822" s="8">
        <f>DATE(2012,12,31)-889</f>
        <v>40385</v>
      </c>
      <c r="C1822" s="9" t="s">
        <v>1781</v>
      </c>
      <c r="D1822">
        <v>10021357358</v>
      </c>
      <c r="E1822" t="s">
        <v>47</v>
      </c>
      <c r="F1822" t="s">
        <v>102</v>
      </c>
      <c r="G1822" t="s">
        <v>103</v>
      </c>
      <c r="H1822" t="s">
        <v>1217</v>
      </c>
      <c r="I1822" t="s">
        <v>1218</v>
      </c>
      <c r="J1822" t="s">
        <v>367</v>
      </c>
      <c r="K1822" s="3">
        <v>100132873566</v>
      </c>
      <c r="L1822" s="10">
        <v>40386</v>
      </c>
      <c r="M1822">
        <v>150.2</v>
      </c>
      <c r="N1822" s="11">
        <v>15</v>
      </c>
      <c r="O1822" s="12">
        <v>9.27</v>
      </c>
      <c r="P1822" s="12">
        <v>4.39</v>
      </c>
      <c r="Q1822" s="13">
        <v>12.97</v>
      </c>
      <c r="R1822" s="36" t="s">
        <v>465</v>
      </c>
      <c r="S1822" s="7">
        <f t="shared" si="154"/>
        <v>1</v>
      </c>
      <c r="T1822" s="15" t="str">
        <f>VLOOKUP(R1822,产品分类!$C$2:$D$1278,2,0)</f>
        <v>办公用品</v>
      </c>
    </row>
    <row r="1823" spans="1:20">
      <c r="A1823" s="8">
        <f>DATE(2012,12,31)-1142</f>
        <v>40132</v>
      </c>
      <c r="B1823" s="8">
        <f>DATE(2012,12,31)-1142</f>
        <v>40132</v>
      </c>
      <c r="C1823" s="9" t="s">
        <v>1782</v>
      </c>
      <c r="D1823">
        <v>10021373315</v>
      </c>
      <c r="E1823" t="s">
        <v>47</v>
      </c>
      <c r="F1823" t="s">
        <v>527</v>
      </c>
      <c r="G1823" t="s">
        <v>528</v>
      </c>
      <c r="H1823" t="s">
        <v>1676</v>
      </c>
      <c r="I1823" t="s">
        <v>1677</v>
      </c>
      <c r="J1823" t="s">
        <v>367</v>
      </c>
      <c r="K1823" s="3">
        <v>100432891953</v>
      </c>
      <c r="L1823" s="10">
        <v>40133</v>
      </c>
      <c r="M1823">
        <v>81.43</v>
      </c>
      <c r="N1823" s="11">
        <v>12</v>
      </c>
      <c r="O1823" s="12">
        <v>6.48</v>
      </c>
      <c r="P1823" s="12">
        <v>7.03</v>
      </c>
      <c r="Q1823" s="13">
        <v>-44.66</v>
      </c>
      <c r="R1823" s="36" t="s">
        <v>1421</v>
      </c>
      <c r="S1823" s="7">
        <f t="shared" si="154"/>
        <v>1</v>
      </c>
      <c r="T1823" s="15" t="str">
        <f>VLOOKUP(R1823,产品分类!$C$2:$D$1278,2,0)</f>
        <v>办公用品</v>
      </c>
    </row>
    <row r="1824" spans="1:20">
      <c r="A1824" s="8">
        <f>DATE(2012,12,31)-1142</f>
        <v>40132</v>
      </c>
      <c r="B1824" s="8">
        <f>DATE(2012,12,31)-1142</f>
        <v>40132</v>
      </c>
      <c r="C1824" s="9" t="s">
        <v>1782</v>
      </c>
      <c r="D1824">
        <v>10021409999</v>
      </c>
      <c r="E1824" t="s">
        <v>47</v>
      </c>
      <c r="F1824" t="s">
        <v>122</v>
      </c>
      <c r="G1824" t="s">
        <v>123</v>
      </c>
      <c r="H1824" t="s">
        <v>124</v>
      </c>
      <c r="I1824" t="s">
        <v>125</v>
      </c>
      <c r="J1824" t="s">
        <v>367</v>
      </c>
      <c r="K1824" s="3">
        <v>100432951334</v>
      </c>
      <c r="L1824" s="10">
        <v>40133</v>
      </c>
      <c r="M1824">
        <v>883.15</v>
      </c>
      <c r="N1824" s="11">
        <v>39</v>
      </c>
      <c r="O1824" s="12">
        <v>20.34</v>
      </c>
      <c r="P1824" s="12">
        <v>35</v>
      </c>
      <c r="Q1824" s="13">
        <v>-1148.19</v>
      </c>
      <c r="R1824" s="36" t="s">
        <v>1783</v>
      </c>
      <c r="S1824" s="7">
        <f t="shared" si="154"/>
        <v>1</v>
      </c>
      <c r="T1824" s="15" t="str">
        <f>VLOOKUP(R1824,产品分类!$C$2:$D$1278,2,0)</f>
        <v>办公用品</v>
      </c>
    </row>
    <row r="1825" spans="1:20">
      <c r="A1825" s="8">
        <f>DATE(2012,12,31)-866</f>
        <v>40408</v>
      </c>
      <c r="B1825" s="8">
        <f>DATE(2012,12,31)-866</f>
        <v>40408</v>
      </c>
      <c r="C1825" s="9" t="s">
        <v>1500</v>
      </c>
      <c r="D1825">
        <v>10021374737</v>
      </c>
      <c r="E1825" t="s">
        <v>47</v>
      </c>
      <c r="F1825" t="s">
        <v>91</v>
      </c>
      <c r="G1825" t="s">
        <v>92</v>
      </c>
      <c r="H1825" t="s">
        <v>1412</v>
      </c>
      <c r="I1825" t="s">
        <v>1413</v>
      </c>
      <c r="J1825" t="s">
        <v>367</v>
      </c>
      <c r="K1825" s="3">
        <v>100132897506</v>
      </c>
      <c r="L1825" s="10">
        <v>40409</v>
      </c>
      <c r="M1825">
        <v>283.57</v>
      </c>
      <c r="N1825" s="11">
        <v>7</v>
      </c>
      <c r="O1825" s="12">
        <v>37.94</v>
      </c>
      <c r="P1825" s="12">
        <v>5.08</v>
      </c>
      <c r="Q1825" s="13">
        <v>71.21</v>
      </c>
      <c r="R1825" s="36" t="s">
        <v>947</v>
      </c>
      <c r="S1825" s="7">
        <f t="shared" si="154"/>
        <v>1</v>
      </c>
      <c r="T1825" s="15" t="str">
        <f>VLOOKUP(R1825,产品分类!$C$2:$D$1278,2,0)</f>
        <v>办公用品</v>
      </c>
    </row>
    <row r="1826" spans="1:20">
      <c r="A1826" s="16">
        <f>DATE(2012,12,31)-1113</f>
        <v>40161</v>
      </c>
      <c r="B1826" s="16">
        <f>DATE(2012,12,31)-1113</f>
        <v>40161</v>
      </c>
      <c r="C1826" s="9" t="s">
        <v>1517</v>
      </c>
      <c r="D1826">
        <v>10021437839</v>
      </c>
      <c r="E1826" t="s">
        <v>47</v>
      </c>
      <c r="F1826" t="s">
        <v>91</v>
      </c>
      <c r="G1826" t="s">
        <v>92</v>
      </c>
      <c r="H1826" t="s">
        <v>1412</v>
      </c>
      <c r="I1826" t="s">
        <v>1413</v>
      </c>
      <c r="J1826" t="s">
        <v>367</v>
      </c>
      <c r="K1826" s="3">
        <v>100332970649</v>
      </c>
      <c r="L1826" s="10">
        <v>40168</v>
      </c>
      <c r="M1826">
        <v>590.43</v>
      </c>
      <c r="N1826" s="17">
        <v>46</v>
      </c>
      <c r="O1826" s="5">
        <v>12.95</v>
      </c>
      <c r="P1826" s="5">
        <v>4.98</v>
      </c>
      <c r="Q1826" s="6">
        <v>82.5945</v>
      </c>
      <c r="R1826" s="37" t="s">
        <v>312</v>
      </c>
      <c r="S1826" s="7">
        <f t="shared" si="154"/>
        <v>7</v>
      </c>
      <c r="T1826" s="15" t="str">
        <f>VLOOKUP(R1826,产品分类!$C$2:$D$1278,2,0)</f>
        <v>数码电子</v>
      </c>
    </row>
    <row r="1827" spans="1:20">
      <c r="A1827" s="16">
        <f>DATE(2012,12,31)-1113</f>
        <v>40161</v>
      </c>
      <c r="B1827" s="16">
        <f>DATE(2012,12,31)-1113</f>
        <v>40161</v>
      </c>
      <c r="C1827" s="9" t="s">
        <v>1517</v>
      </c>
      <c r="D1827">
        <v>10021437906</v>
      </c>
      <c r="E1827" t="s">
        <v>47</v>
      </c>
      <c r="F1827" t="s">
        <v>177</v>
      </c>
      <c r="G1827" t="s">
        <v>178</v>
      </c>
      <c r="H1827" t="s">
        <v>1292</v>
      </c>
      <c r="I1827" t="s">
        <v>1293</v>
      </c>
      <c r="J1827" t="s">
        <v>367</v>
      </c>
      <c r="K1827" s="3">
        <v>100932522511</v>
      </c>
      <c r="L1827" s="10">
        <v>40161</v>
      </c>
      <c r="M1827">
        <v>216.33</v>
      </c>
      <c r="N1827" s="17">
        <v>8</v>
      </c>
      <c r="O1827" s="5">
        <v>24.92</v>
      </c>
      <c r="P1827" s="5">
        <v>12.98</v>
      </c>
      <c r="Q1827" s="6">
        <v>-17.365</v>
      </c>
      <c r="R1827" s="37" t="s">
        <v>187</v>
      </c>
      <c r="S1827" s="7">
        <f t="shared" si="154"/>
        <v>0</v>
      </c>
      <c r="T1827" s="15" t="str">
        <f>VLOOKUP(R1827,产品分类!$C$2:$D$1278,2,0)</f>
        <v>数码电子</v>
      </c>
    </row>
    <row r="1828" spans="1:20">
      <c r="A1828" s="8">
        <f>DATE(2012,12,31)-1030</f>
        <v>40244</v>
      </c>
      <c r="B1828" s="8">
        <f>DATE(2012,12,31)-1030</f>
        <v>40244</v>
      </c>
      <c r="C1828" s="9" t="s">
        <v>1060</v>
      </c>
      <c r="D1828">
        <v>10021265881</v>
      </c>
      <c r="E1828" t="s">
        <v>47</v>
      </c>
      <c r="F1828" t="s">
        <v>66</v>
      </c>
      <c r="G1828" t="s">
        <v>67</v>
      </c>
      <c r="H1828" t="s">
        <v>1435</v>
      </c>
      <c r="I1828" t="s">
        <v>1436</v>
      </c>
      <c r="J1828" t="s">
        <v>367</v>
      </c>
      <c r="K1828" s="3">
        <v>100331559629</v>
      </c>
      <c r="L1828" s="10">
        <v>40245</v>
      </c>
      <c r="M1828">
        <v>1211</v>
      </c>
      <c r="N1828" s="11">
        <v>36</v>
      </c>
      <c r="O1828" s="12">
        <v>30.98</v>
      </c>
      <c r="P1828" s="12">
        <v>6.5</v>
      </c>
      <c r="Q1828" s="13">
        <v>-27.99</v>
      </c>
      <c r="R1828" s="36" t="s">
        <v>1418</v>
      </c>
      <c r="S1828" s="7">
        <f t="shared" si="154"/>
        <v>1</v>
      </c>
      <c r="T1828" s="15" t="str">
        <f>VLOOKUP(R1828,产品分类!$C$2:$D$1278,2,0)</f>
        <v>家具产品</v>
      </c>
    </row>
    <row r="1829" spans="1:20">
      <c r="A1829" s="8">
        <f>DATE(2012,12,31)-1030</f>
        <v>40244</v>
      </c>
      <c r="B1829" s="8">
        <f>DATE(2012,12,31)-1030</f>
        <v>40244</v>
      </c>
      <c r="C1829" s="9" t="s">
        <v>1060</v>
      </c>
      <c r="D1829">
        <v>10021346722</v>
      </c>
      <c r="E1829" t="s">
        <v>47</v>
      </c>
      <c r="F1829" t="s">
        <v>61</v>
      </c>
      <c r="G1829" t="s">
        <v>62</v>
      </c>
      <c r="H1829" t="s">
        <v>47</v>
      </c>
      <c r="I1829" t="s">
        <v>1778</v>
      </c>
      <c r="J1829" t="s">
        <v>367</v>
      </c>
      <c r="K1829" s="3">
        <v>100830928512</v>
      </c>
      <c r="L1829" s="10">
        <v>40247</v>
      </c>
      <c r="M1829">
        <v>4924.135</v>
      </c>
      <c r="N1829" s="11">
        <v>28</v>
      </c>
      <c r="O1829" s="12">
        <v>205.99</v>
      </c>
      <c r="P1829" s="12">
        <v>8.99</v>
      </c>
      <c r="Q1829" s="13">
        <v>1049.535</v>
      </c>
      <c r="R1829" s="36" t="s">
        <v>799</v>
      </c>
      <c r="S1829" s="7">
        <f t="shared" si="154"/>
        <v>3</v>
      </c>
      <c r="T1829" s="15" t="str">
        <f>VLOOKUP(R1829,产品分类!$C$2:$D$1278,2,0)</f>
        <v>家具产品</v>
      </c>
    </row>
    <row r="1830" spans="1:20">
      <c r="A1830" s="8">
        <f>DATE(2012,12,31)-749</f>
        <v>40525</v>
      </c>
      <c r="B1830" s="8">
        <f>DATE(2012,12,31)-749</f>
        <v>40525</v>
      </c>
      <c r="C1830" s="9" t="s">
        <v>1784</v>
      </c>
      <c r="D1830">
        <v>10021264231</v>
      </c>
      <c r="E1830" t="s">
        <v>47</v>
      </c>
      <c r="F1830" t="s">
        <v>97</v>
      </c>
      <c r="G1830" t="s">
        <v>98</v>
      </c>
      <c r="H1830" t="s">
        <v>99</v>
      </c>
      <c r="I1830" t="s">
        <v>98</v>
      </c>
      <c r="J1830" t="s">
        <v>367</v>
      </c>
      <c r="K1830" s="3">
        <v>100329882209</v>
      </c>
      <c r="L1830" s="10">
        <v>40527</v>
      </c>
      <c r="M1830">
        <v>990.73</v>
      </c>
      <c r="N1830" s="11">
        <v>30</v>
      </c>
      <c r="O1830" s="12">
        <v>30.73</v>
      </c>
      <c r="P1830" s="12">
        <v>4</v>
      </c>
      <c r="Q1830" s="13">
        <v>56.39</v>
      </c>
      <c r="R1830" s="36" t="s">
        <v>1016</v>
      </c>
      <c r="S1830" s="7">
        <f t="shared" si="154"/>
        <v>2</v>
      </c>
      <c r="T1830" s="15" t="str">
        <f>VLOOKUP(R1830,产品分类!$C$2:$D$1278,2,0)</f>
        <v>办公用品</v>
      </c>
    </row>
    <row r="1831" spans="1:20">
      <c r="A1831" s="8">
        <f t="shared" ref="A1831:B1833" si="155">DATE(2012,12,31)-439</f>
        <v>40835</v>
      </c>
      <c r="B1831" s="8">
        <f t="shared" si="155"/>
        <v>40835</v>
      </c>
      <c r="C1831" s="9" t="s">
        <v>823</v>
      </c>
      <c r="D1831">
        <v>10021265621</v>
      </c>
      <c r="E1831" t="s">
        <v>47</v>
      </c>
      <c r="F1831" t="s">
        <v>208</v>
      </c>
      <c r="G1831" t="s">
        <v>209</v>
      </c>
      <c r="H1831" t="s">
        <v>1492</v>
      </c>
      <c r="I1831" t="s">
        <v>1493</v>
      </c>
      <c r="J1831" t="s">
        <v>367</v>
      </c>
      <c r="K1831" s="3">
        <v>100731523745</v>
      </c>
      <c r="L1831" s="10">
        <v>40836</v>
      </c>
      <c r="M1831">
        <v>24233.54</v>
      </c>
      <c r="N1831" s="11">
        <v>43</v>
      </c>
      <c r="O1831" s="12">
        <v>599.99</v>
      </c>
      <c r="P1831" s="12">
        <v>24.49</v>
      </c>
      <c r="Q1831" s="13">
        <v>6492.667</v>
      </c>
      <c r="R1831" s="36" t="s">
        <v>1785</v>
      </c>
      <c r="S1831" s="7">
        <f t="shared" si="154"/>
        <v>1</v>
      </c>
      <c r="T1831" s="15" t="str">
        <f>VLOOKUP(R1831,产品分类!$C$2:$D$1278,2,0)</f>
        <v>数码电子</v>
      </c>
    </row>
    <row r="1832" spans="1:20">
      <c r="A1832" s="8">
        <f t="shared" si="155"/>
        <v>40835</v>
      </c>
      <c r="B1832" s="8">
        <f t="shared" si="155"/>
        <v>40835</v>
      </c>
      <c r="C1832" s="9" t="s">
        <v>823</v>
      </c>
      <c r="D1832">
        <v>10021346289</v>
      </c>
      <c r="E1832" t="s">
        <v>47</v>
      </c>
      <c r="F1832" t="s">
        <v>61</v>
      </c>
      <c r="G1832" t="s">
        <v>62</v>
      </c>
      <c r="H1832" t="s">
        <v>47</v>
      </c>
      <c r="I1832" t="s">
        <v>1778</v>
      </c>
      <c r="J1832" t="s">
        <v>367</v>
      </c>
      <c r="K1832" s="3">
        <v>100430574074</v>
      </c>
      <c r="L1832" s="10">
        <v>40837</v>
      </c>
      <c r="M1832">
        <v>6325.65</v>
      </c>
      <c r="N1832" s="11">
        <v>45</v>
      </c>
      <c r="O1832" s="12">
        <v>135.99</v>
      </c>
      <c r="P1832" s="12">
        <v>28.63</v>
      </c>
      <c r="Q1832" s="13">
        <v>114.46</v>
      </c>
      <c r="R1832" s="36" t="s">
        <v>1371</v>
      </c>
      <c r="S1832" s="7">
        <f t="shared" si="154"/>
        <v>2</v>
      </c>
      <c r="T1832" s="15" t="str">
        <f>VLOOKUP(R1832,产品分类!$C$2:$D$1278,2,0)</f>
        <v>数码电子</v>
      </c>
    </row>
    <row r="1833" spans="1:20">
      <c r="A1833" s="8">
        <f t="shared" si="155"/>
        <v>40835</v>
      </c>
      <c r="B1833" s="8">
        <f t="shared" si="155"/>
        <v>40835</v>
      </c>
      <c r="C1833" s="9" t="s">
        <v>823</v>
      </c>
      <c r="D1833">
        <v>10021357230</v>
      </c>
      <c r="E1833" t="s">
        <v>47</v>
      </c>
      <c r="F1833" t="s">
        <v>72</v>
      </c>
      <c r="G1833" t="s">
        <v>73</v>
      </c>
      <c r="H1833" t="s">
        <v>1572</v>
      </c>
      <c r="I1833" t="s">
        <v>1573</v>
      </c>
      <c r="J1833" t="s">
        <v>367</v>
      </c>
      <c r="K1833" s="3">
        <v>100930958051</v>
      </c>
      <c r="L1833" s="10">
        <v>40837</v>
      </c>
      <c r="M1833">
        <v>380.62</v>
      </c>
      <c r="N1833" s="11">
        <v>2</v>
      </c>
      <c r="O1833" s="12">
        <v>179.29</v>
      </c>
      <c r="P1833" s="12">
        <v>29.21</v>
      </c>
      <c r="Q1833" s="13">
        <v>-301.73</v>
      </c>
      <c r="R1833" s="36" t="s">
        <v>629</v>
      </c>
      <c r="S1833" s="7">
        <f t="shared" si="154"/>
        <v>2</v>
      </c>
      <c r="T1833" s="15" t="str">
        <f>VLOOKUP(R1833,产品分类!$C$2:$D$1278,2,0)</f>
        <v>办公用品</v>
      </c>
    </row>
    <row r="1834" spans="1:20">
      <c r="A1834" s="8">
        <f>DATE(2012,12,31)-884</f>
        <v>40390</v>
      </c>
      <c r="B1834" s="8">
        <f>DATE(2012,12,31)-884</f>
        <v>40390</v>
      </c>
      <c r="C1834" s="9" t="s">
        <v>270</v>
      </c>
      <c r="D1834">
        <v>10021402495</v>
      </c>
      <c r="E1834" t="s">
        <v>47</v>
      </c>
      <c r="F1834" t="s">
        <v>91</v>
      </c>
      <c r="G1834" t="s">
        <v>92</v>
      </c>
      <c r="H1834" t="s">
        <v>1412</v>
      </c>
      <c r="I1834" t="s">
        <v>1413</v>
      </c>
      <c r="J1834" t="s">
        <v>367</v>
      </c>
      <c r="K1834" s="3">
        <v>100324095019</v>
      </c>
      <c r="L1834" s="10">
        <v>40393</v>
      </c>
      <c r="M1834">
        <v>951.31</v>
      </c>
      <c r="N1834" s="11">
        <v>13</v>
      </c>
      <c r="O1834" s="12">
        <v>68.81</v>
      </c>
      <c r="P1834" s="12">
        <v>60</v>
      </c>
      <c r="Q1834" s="13">
        <v>-333.07</v>
      </c>
      <c r="R1834" s="36" t="s">
        <v>390</v>
      </c>
      <c r="S1834" s="7">
        <f t="shared" si="154"/>
        <v>3</v>
      </c>
      <c r="T1834" s="15" t="str">
        <f>VLOOKUP(R1834,产品分类!$C$2:$D$1278,2,0)</f>
        <v>办公用品</v>
      </c>
    </row>
    <row r="1835" spans="1:20">
      <c r="A1835" s="8">
        <f>DATE(2012,12,31)-453</f>
        <v>40821</v>
      </c>
      <c r="B1835" s="8">
        <f>DATE(2012,12,31)-453</f>
        <v>40821</v>
      </c>
      <c r="C1835" s="9" t="s">
        <v>1786</v>
      </c>
      <c r="D1835">
        <v>10021326757</v>
      </c>
      <c r="E1835" t="s">
        <v>47</v>
      </c>
      <c r="F1835" t="s">
        <v>122</v>
      </c>
      <c r="G1835" t="s">
        <v>123</v>
      </c>
      <c r="H1835" t="s">
        <v>124</v>
      </c>
      <c r="I1835" t="s">
        <v>125</v>
      </c>
      <c r="J1835" t="s">
        <v>367</v>
      </c>
      <c r="K1835" s="3">
        <v>100329480179</v>
      </c>
      <c r="L1835" s="10">
        <v>40826</v>
      </c>
      <c r="M1835">
        <v>502.01</v>
      </c>
      <c r="N1835" s="11">
        <v>12</v>
      </c>
      <c r="O1835" s="12">
        <v>39.98</v>
      </c>
      <c r="P1835" s="12">
        <v>9.2</v>
      </c>
      <c r="Q1835" s="13">
        <v>159.73</v>
      </c>
      <c r="R1835" s="36" t="s">
        <v>1787</v>
      </c>
      <c r="S1835" s="7">
        <f t="shared" si="154"/>
        <v>5</v>
      </c>
      <c r="T1835" s="15" t="str">
        <f>VLOOKUP(R1835,产品分类!$C$2:$D$1278,2,0)</f>
        <v>办公用品</v>
      </c>
    </row>
    <row r="1836" spans="1:20">
      <c r="A1836" s="8">
        <f>DATE(2012,12,31)-324</f>
        <v>40950</v>
      </c>
      <c r="B1836" s="8">
        <f>DATE(2012,12,31)-324</f>
        <v>40950</v>
      </c>
      <c r="C1836" s="9" t="s">
        <v>553</v>
      </c>
      <c r="D1836">
        <v>10021328839</v>
      </c>
      <c r="E1836" t="s">
        <v>47</v>
      </c>
      <c r="F1836" t="s">
        <v>127</v>
      </c>
      <c r="G1836" t="s">
        <v>128</v>
      </c>
      <c r="H1836" t="s">
        <v>1366</v>
      </c>
      <c r="I1836" t="s">
        <v>1367</v>
      </c>
      <c r="J1836" t="s">
        <v>367</v>
      </c>
      <c r="K1836" s="3">
        <v>100432796373</v>
      </c>
      <c r="L1836" s="10">
        <v>40951</v>
      </c>
      <c r="M1836">
        <v>38.93</v>
      </c>
      <c r="N1836" s="11">
        <v>2</v>
      </c>
      <c r="O1836" s="12">
        <v>20.99</v>
      </c>
      <c r="P1836" s="12">
        <v>4.81</v>
      </c>
      <c r="Q1836" s="13">
        <v>-102.432</v>
      </c>
      <c r="R1836" s="36" t="s">
        <v>692</v>
      </c>
      <c r="S1836" s="7">
        <f t="shared" si="154"/>
        <v>1</v>
      </c>
      <c r="T1836" s="15" t="str">
        <f>VLOOKUP(R1836,产品分类!$C$2:$D$1278,2,0)</f>
        <v>办公用品</v>
      </c>
    </row>
    <row r="1837" spans="1:20">
      <c r="A1837" s="8">
        <f>DATE(2012,12,31)-41</f>
        <v>41233</v>
      </c>
      <c r="B1837" s="8">
        <f>DATE(2012,12,31)-41</f>
        <v>41233</v>
      </c>
      <c r="C1837" s="9" t="s">
        <v>1091</v>
      </c>
      <c r="D1837">
        <v>10021443196</v>
      </c>
      <c r="E1837" t="s">
        <v>47</v>
      </c>
      <c r="F1837" t="s">
        <v>97</v>
      </c>
      <c r="G1837" t="s">
        <v>98</v>
      </c>
      <c r="H1837" t="s">
        <v>99</v>
      </c>
      <c r="I1837" t="s">
        <v>98</v>
      </c>
      <c r="J1837" t="s">
        <v>367</v>
      </c>
      <c r="K1837" s="3">
        <v>100932784141</v>
      </c>
      <c r="L1837" s="10">
        <v>41235</v>
      </c>
      <c r="M1837">
        <v>187.16</v>
      </c>
      <c r="N1837" s="11">
        <v>26</v>
      </c>
      <c r="O1837" s="12">
        <v>6.75</v>
      </c>
      <c r="P1837" s="12">
        <v>2.99</v>
      </c>
      <c r="Q1837" s="13">
        <v>29.325</v>
      </c>
      <c r="R1837" s="36" t="s">
        <v>1532</v>
      </c>
      <c r="S1837" s="7">
        <f t="shared" si="154"/>
        <v>2</v>
      </c>
      <c r="T1837" s="15" t="str">
        <f>VLOOKUP(R1837,产品分类!$C$2:$D$1278,2,0)</f>
        <v>办公用品</v>
      </c>
    </row>
    <row r="1838" spans="1:20">
      <c r="A1838" s="8">
        <f>DATE(2012,12,31)-1325</f>
        <v>39949</v>
      </c>
      <c r="B1838" s="8">
        <f>DATE(2012,12,31)-1325</f>
        <v>39949</v>
      </c>
      <c r="C1838" s="9" t="s">
        <v>987</v>
      </c>
      <c r="D1838">
        <v>10021411583</v>
      </c>
      <c r="E1838" t="s">
        <v>47</v>
      </c>
      <c r="F1838" t="s">
        <v>102</v>
      </c>
      <c r="G1838" t="s">
        <v>103</v>
      </c>
      <c r="H1838" t="s">
        <v>1217</v>
      </c>
      <c r="I1838" t="s">
        <v>1218</v>
      </c>
      <c r="J1838" t="s">
        <v>367</v>
      </c>
      <c r="K1838" s="3">
        <v>100432021354</v>
      </c>
      <c r="L1838" s="10">
        <v>39950</v>
      </c>
      <c r="M1838">
        <v>513.08</v>
      </c>
      <c r="N1838" s="11">
        <v>18</v>
      </c>
      <c r="O1838" s="12">
        <v>28.53</v>
      </c>
      <c r="P1838" s="12">
        <v>1.49</v>
      </c>
      <c r="Q1838" s="13">
        <v>198.9425</v>
      </c>
      <c r="R1838" s="36" t="s">
        <v>1651</v>
      </c>
      <c r="S1838" s="7">
        <f t="shared" si="154"/>
        <v>1</v>
      </c>
      <c r="T1838" s="15" t="str">
        <f>VLOOKUP(R1838,产品分类!$C$2:$D$1278,2,0)</f>
        <v>数码电子</v>
      </c>
    </row>
    <row r="1839" spans="1:20">
      <c r="A1839" s="8">
        <f>DATE(2012,12,31)-1325</f>
        <v>39949</v>
      </c>
      <c r="B1839" s="8">
        <f>DATE(2012,12,31)-1325</f>
        <v>39949</v>
      </c>
      <c r="C1839" s="9" t="s">
        <v>987</v>
      </c>
      <c r="D1839">
        <v>10021385613</v>
      </c>
      <c r="E1839" t="s">
        <v>47</v>
      </c>
      <c r="F1839" t="s">
        <v>171</v>
      </c>
      <c r="G1839" t="s">
        <v>172</v>
      </c>
      <c r="H1839" t="s">
        <v>1712</v>
      </c>
      <c r="I1839" t="s">
        <v>1713</v>
      </c>
      <c r="J1839" t="s">
        <v>367</v>
      </c>
      <c r="K1839" s="3">
        <v>100128562926</v>
      </c>
      <c r="L1839" s="10">
        <v>39951</v>
      </c>
      <c r="M1839">
        <v>98.8</v>
      </c>
      <c r="N1839" s="11">
        <v>16</v>
      </c>
      <c r="O1839" s="12">
        <v>5.98</v>
      </c>
      <c r="P1839" s="12">
        <v>7.15</v>
      </c>
      <c r="Q1839" s="13">
        <v>-62</v>
      </c>
      <c r="R1839" s="36" t="s">
        <v>640</v>
      </c>
      <c r="S1839" s="7">
        <f t="shared" si="154"/>
        <v>2</v>
      </c>
      <c r="T1839" s="15" t="str">
        <f>VLOOKUP(R1839,产品分类!$C$2:$D$1278,2,0)</f>
        <v>办公用品</v>
      </c>
    </row>
    <row r="1840" spans="1:20">
      <c r="A1840" s="8">
        <f>DATE(2012,12,31)-1380</f>
        <v>39894</v>
      </c>
      <c r="B1840" s="8">
        <f>DATE(2012,12,31)-1380</f>
        <v>39894</v>
      </c>
      <c r="C1840" s="9" t="s">
        <v>332</v>
      </c>
      <c r="D1840">
        <v>10021478644</v>
      </c>
      <c r="E1840" t="s">
        <v>47</v>
      </c>
      <c r="F1840" t="s">
        <v>167</v>
      </c>
      <c r="G1840" t="s">
        <v>168</v>
      </c>
      <c r="H1840" t="s">
        <v>169</v>
      </c>
      <c r="I1840" t="s">
        <v>168</v>
      </c>
      <c r="J1840" t="s">
        <v>367</v>
      </c>
      <c r="K1840" s="3">
        <v>1009143741</v>
      </c>
      <c r="L1840" s="10">
        <v>39897</v>
      </c>
      <c r="M1840">
        <v>7312.86</v>
      </c>
      <c r="N1840" s="11">
        <v>44</v>
      </c>
      <c r="O1840" s="12">
        <v>160.98</v>
      </c>
      <c r="P1840" s="12">
        <v>30</v>
      </c>
      <c r="Q1840" s="13">
        <v>1279.37</v>
      </c>
      <c r="R1840" s="36" t="s">
        <v>764</v>
      </c>
      <c r="S1840" s="7">
        <f t="shared" si="154"/>
        <v>3</v>
      </c>
      <c r="T1840" s="15" t="str">
        <f>VLOOKUP(R1840,产品分类!$C$2:$D$1278,2,0)</f>
        <v>家具产品</v>
      </c>
    </row>
    <row r="1841" spans="1:20">
      <c r="A1841" s="8">
        <f>DATE(2012,12,31)-1380</f>
        <v>39894</v>
      </c>
      <c r="B1841" s="8">
        <f>DATE(2012,12,31)-1380</f>
        <v>39894</v>
      </c>
      <c r="C1841" s="9" t="s">
        <v>332</v>
      </c>
      <c r="D1841">
        <v>10021278438</v>
      </c>
      <c r="E1841" t="s">
        <v>47</v>
      </c>
      <c r="F1841" t="s">
        <v>61</v>
      </c>
      <c r="G1841" t="s">
        <v>62</v>
      </c>
      <c r="H1841" t="s">
        <v>47</v>
      </c>
      <c r="I1841" t="s">
        <v>1778</v>
      </c>
      <c r="J1841" t="s">
        <v>367</v>
      </c>
      <c r="K1841" s="3">
        <v>10011651368</v>
      </c>
      <c r="L1841" s="10">
        <v>39896</v>
      </c>
      <c r="M1841">
        <v>605.16</v>
      </c>
      <c r="N1841" s="11">
        <v>39</v>
      </c>
      <c r="O1841" s="12">
        <v>15.98</v>
      </c>
      <c r="P1841" s="12">
        <v>4</v>
      </c>
      <c r="Q1841" s="13">
        <v>154.65</v>
      </c>
      <c r="R1841" s="36" t="s">
        <v>371</v>
      </c>
      <c r="S1841" s="7">
        <f t="shared" si="154"/>
        <v>2</v>
      </c>
      <c r="T1841" s="15" t="str">
        <f>VLOOKUP(R1841,产品分类!$C$2:$D$1278,2,0)</f>
        <v>办公用品</v>
      </c>
    </row>
    <row r="1842" spans="1:20">
      <c r="A1842" s="8">
        <f>DATE(2012,12,31)-1207</f>
        <v>40067</v>
      </c>
      <c r="B1842" s="8">
        <f>DATE(2012,12,31)-1207</f>
        <v>40067</v>
      </c>
      <c r="C1842" s="9" t="s">
        <v>653</v>
      </c>
      <c r="D1842">
        <v>10021513861</v>
      </c>
      <c r="E1842" t="s">
        <v>47</v>
      </c>
      <c r="F1842" t="s">
        <v>61</v>
      </c>
      <c r="G1842" t="s">
        <v>62</v>
      </c>
      <c r="H1842" t="s">
        <v>47</v>
      </c>
      <c r="I1842" t="s">
        <v>1778</v>
      </c>
      <c r="J1842" t="s">
        <v>367</v>
      </c>
      <c r="K1842" s="3">
        <v>100931525851</v>
      </c>
      <c r="L1842" s="10">
        <v>40068</v>
      </c>
      <c r="M1842">
        <v>460.68</v>
      </c>
      <c r="N1842" s="11">
        <v>40</v>
      </c>
      <c r="O1842" s="12">
        <v>10.9</v>
      </c>
      <c r="P1842" s="12">
        <v>7.46</v>
      </c>
      <c r="Q1842" s="13">
        <v>-116.76</v>
      </c>
      <c r="R1842" s="36" t="s">
        <v>985</v>
      </c>
      <c r="S1842" s="7">
        <f t="shared" si="154"/>
        <v>1</v>
      </c>
      <c r="T1842" s="15" t="str">
        <f>VLOOKUP(R1842,产品分类!$C$2:$D$1278,2,0)</f>
        <v>数码电子</v>
      </c>
    </row>
    <row r="1843" spans="1:20">
      <c r="A1843" s="8">
        <f>DATE(2012,12,31)-1207</f>
        <v>40067</v>
      </c>
      <c r="B1843" s="8">
        <f>DATE(2012,12,31)-1207</f>
        <v>40067</v>
      </c>
      <c r="C1843" s="9" t="s">
        <v>653</v>
      </c>
      <c r="D1843">
        <v>10021373434</v>
      </c>
      <c r="E1843" t="s">
        <v>47</v>
      </c>
      <c r="F1843" t="s">
        <v>61</v>
      </c>
      <c r="G1843" t="s">
        <v>62</v>
      </c>
      <c r="H1843" t="s">
        <v>47</v>
      </c>
      <c r="I1843" t="s">
        <v>1778</v>
      </c>
      <c r="J1843" t="s">
        <v>367</v>
      </c>
      <c r="K1843" s="3">
        <v>10017398797</v>
      </c>
      <c r="L1843" s="10">
        <v>40068</v>
      </c>
      <c r="M1843">
        <v>318.7585</v>
      </c>
      <c r="N1843" s="11">
        <v>49</v>
      </c>
      <c r="O1843" s="12">
        <v>7.99</v>
      </c>
      <c r="P1843" s="12">
        <v>5.03</v>
      </c>
      <c r="Q1843" s="13">
        <v>-160.952</v>
      </c>
      <c r="R1843" s="36" t="s">
        <v>71</v>
      </c>
      <c r="S1843" s="7">
        <f t="shared" si="154"/>
        <v>1</v>
      </c>
      <c r="T1843" s="15" t="str">
        <f>VLOOKUP(R1843,产品分类!$C$2:$D$1278,2,0)</f>
        <v>办公用品</v>
      </c>
    </row>
    <row r="1844" spans="1:20">
      <c r="A1844" s="8">
        <f>DATE(2012,12,31)-236</f>
        <v>41038</v>
      </c>
      <c r="B1844" s="8">
        <f>DATE(2012,12,31)-236</f>
        <v>41038</v>
      </c>
      <c r="C1844" s="9" t="s">
        <v>571</v>
      </c>
      <c r="D1844">
        <v>10021374221</v>
      </c>
      <c r="E1844" t="s">
        <v>47</v>
      </c>
      <c r="F1844" t="s">
        <v>61</v>
      </c>
      <c r="G1844" t="s">
        <v>62</v>
      </c>
      <c r="H1844" t="s">
        <v>47</v>
      </c>
      <c r="I1844" t="s">
        <v>1778</v>
      </c>
      <c r="J1844" t="s">
        <v>367</v>
      </c>
      <c r="K1844" s="3">
        <v>100926594581</v>
      </c>
      <c r="L1844" s="10">
        <v>41043</v>
      </c>
      <c r="M1844">
        <v>763.85</v>
      </c>
      <c r="N1844" s="11">
        <v>22</v>
      </c>
      <c r="O1844" s="12">
        <v>34.98</v>
      </c>
      <c r="P1844" s="12">
        <v>7.53</v>
      </c>
      <c r="Q1844" s="13">
        <v>-126.6</v>
      </c>
      <c r="R1844" s="36" t="s">
        <v>1788</v>
      </c>
      <c r="S1844" s="7">
        <f t="shared" si="154"/>
        <v>5</v>
      </c>
      <c r="T1844" s="15" t="str">
        <f>VLOOKUP(R1844,产品分类!$C$2:$D$1278,2,0)</f>
        <v>办公用品</v>
      </c>
    </row>
    <row r="1845" spans="1:20">
      <c r="A1845" s="8">
        <f>DATE(2012,12,31)-236</f>
        <v>41038</v>
      </c>
      <c r="B1845" s="8">
        <f>DATE(2012,12,31)-236</f>
        <v>41038</v>
      </c>
      <c r="C1845" s="9" t="s">
        <v>571</v>
      </c>
      <c r="D1845">
        <v>10021374734</v>
      </c>
      <c r="E1845" t="s">
        <v>47</v>
      </c>
      <c r="F1845" t="s">
        <v>83</v>
      </c>
      <c r="G1845" t="s">
        <v>84</v>
      </c>
      <c r="H1845" t="s">
        <v>1259</v>
      </c>
      <c r="I1845" t="s">
        <v>1260</v>
      </c>
      <c r="J1845" t="s">
        <v>367</v>
      </c>
      <c r="K1845" s="3">
        <v>100714001095</v>
      </c>
      <c r="L1845" s="10">
        <v>41042</v>
      </c>
      <c r="M1845">
        <v>12.59</v>
      </c>
      <c r="N1845" s="11">
        <v>2</v>
      </c>
      <c r="O1845" s="12">
        <v>6.3</v>
      </c>
      <c r="P1845" s="12">
        <v>0.5</v>
      </c>
      <c r="Q1845" s="13">
        <v>-5.92</v>
      </c>
      <c r="R1845" s="36" t="s">
        <v>961</v>
      </c>
      <c r="S1845" s="7">
        <f t="shared" si="154"/>
        <v>4</v>
      </c>
      <c r="T1845" s="15" t="str">
        <f>VLOOKUP(R1845,产品分类!$C$2:$D$1278,2,0)</f>
        <v>办公用品</v>
      </c>
    </row>
    <row r="1846" spans="1:20">
      <c r="A1846" s="8">
        <f>DATE(2012,12,31)-141</f>
        <v>41133</v>
      </c>
      <c r="B1846" s="8">
        <f>DATE(2012,12,31)-141</f>
        <v>41133</v>
      </c>
      <c r="C1846" s="9" t="s">
        <v>937</v>
      </c>
      <c r="D1846">
        <v>10021324084</v>
      </c>
      <c r="E1846" t="s">
        <v>47</v>
      </c>
      <c r="F1846" t="s">
        <v>66</v>
      </c>
      <c r="G1846" t="s">
        <v>67</v>
      </c>
      <c r="H1846" t="s">
        <v>1435</v>
      </c>
      <c r="I1846" t="s">
        <v>1436</v>
      </c>
      <c r="J1846" t="s">
        <v>367</v>
      </c>
      <c r="K1846" s="3">
        <v>100132841138</v>
      </c>
      <c r="L1846" s="10">
        <v>41134</v>
      </c>
      <c r="M1846">
        <v>9062.44</v>
      </c>
      <c r="N1846" s="11">
        <v>22</v>
      </c>
      <c r="O1846" s="12">
        <v>420.98</v>
      </c>
      <c r="P1846" s="12">
        <v>19.99</v>
      </c>
      <c r="Q1846" s="13">
        <v>3858.2775</v>
      </c>
      <c r="R1846" s="36" t="s">
        <v>498</v>
      </c>
      <c r="S1846" s="7">
        <f t="shared" si="154"/>
        <v>1</v>
      </c>
      <c r="T1846" s="15" t="str">
        <f>VLOOKUP(R1846,产品分类!$C$2:$D$1278,2,0)</f>
        <v>家具产品</v>
      </c>
    </row>
    <row r="1847" spans="1:20">
      <c r="A1847" s="8">
        <f>DATE(2012,12,31)-141</f>
        <v>41133</v>
      </c>
      <c r="B1847" s="8">
        <f>DATE(2012,12,31)-141</f>
        <v>41133</v>
      </c>
      <c r="C1847" s="9" t="s">
        <v>937</v>
      </c>
      <c r="D1847">
        <v>10021360772</v>
      </c>
      <c r="E1847" t="s">
        <v>47</v>
      </c>
      <c r="F1847" t="s">
        <v>122</v>
      </c>
      <c r="G1847" t="s">
        <v>123</v>
      </c>
      <c r="H1847" t="s">
        <v>124</v>
      </c>
      <c r="I1847" t="s">
        <v>125</v>
      </c>
      <c r="J1847" t="s">
        <v>367</v>
      </c>
      <c r="K1847" s="3">
        <v>100731974105</v>
      </c>
      <c r="L1847" s="10">
        <v>41134</v>
      </c>
      <c r="M1847">
        <v>1662.57</v>
      </c>
      <c r="N1847" s="11">
        <v>49</v>
      </c>
      <c r="O1847" s="12">
        <v>37.7</v>
      </c>
      <c r="P1847" s="12">
        <v>2.99</v>
      </c>
      <c r="Q1847" s="13">
        <v>674.9935</v>
      </c>
      <c r="R1847" s="36" t="s">
        <v>418</v>
      </c>
      <c r="S1847" s="7">
        <f t="shared" si="154"/>
        <v>1</v>
      </c>
      <c r="T1847" s="15" t="str">
        <f>VLOOKUP(R1847,产品分类!$C$2:$D$1278,2,0)</f>
        <v>数码电子</v>
      </c>
    </row>
    <row r="1848" spans="1:20">
      <c r="A1848" s="8">
        <f t="shared" ref="A1848:B1851" si="156">DATE(2012,12,31)-1264</f>
        <v>40010</v>
      </c>
      <c r="B1848" s="8">
        <f t="shared" si="156"/>
        <v>40010</v>
      </c>
      <c r="C1848" s="9" t="s">
        <v>1176</v>
      </c>
      <c r="D1848">
        <v>10021442896</v>
      </c>
      <c r="E1848" t="s">
        <v>47</v>
      </c>
      <c r="F1848" t="s">
        <v>171</v>
      </c>
      <c r="G1848" t="s">
        <v>172</v>
      </c>
      <c r="H1848" t="s">
        <v>1712</v>
      </c>
      <c r="I1848" t="s">
        <v>1713</v>
      </c>
      <c r="J1848" t="s">
        <v>367</v>
      </c>
      <c r="K1848" s="3">
        <v>100427027813</v>
      </c>
      <c r="L1848" s="10">
        <v>40011</v>
      </c>
      <c r="M1848">
        <v>1020.61</v>
      </c>
      <c r="N1848" s="11">
        <v>47</v>
      </c>
      <c r="O1848" s="12">
        <v>21.66</v>
      </c>
      <c r="P1848" s="12">
        <v>13.99</v>
      </c>
      <c r="Q1848" s="13">
        <v>-209.61</v>
      </c>
      <c r="R1848" s="36" t="s">
        <v>1789</v>
      </c>
      <c r="S1848" s="7">
        <f t="shared" si="154"/>
        <v>1</v>
      </c>
      <c r="T1848" s="15" t="str">
        <f>VLOOKUP(R1848,产品分类!$C$2:$D$1278,2,0)</f>
        <v>数码电子</v>
      </c>
    </row>
    <row r="1849" spans="1:20">
      <c r="A1849" s="8">
        <f t="shared" si="156"/>
        <v>40010</v>
      </c>
      <c r="B1849" s="8">
        <f t="shared" si="156"/>
        <v>40010</v>
      </c>
      <c r="C1849" s="9" t="s">
        <v>1176</v>
      </c>
      <c r="D1849">
        <v>10021278708</v>
      </c>
      <c r="E1849" t="s">
        <v>47</v>
      </c>
      <c r="F1849" t="s">
        <v>171</v>
      </c>
      <c r="G1849" t="s">
        <v>172</v>
      </c>
      <c r="H1849" t="s">
        <v>1712</v>
      </c>
      <c r="I1849" t="s">
        <v>1713</v>
      </c>
      <c r="J1849" t="s">
        <v>367</v>
      </c>
      <c r="K1849" s="3">
        <v>100127554296</v>
      </c>
      <c r="L1849" s="10">
        <v>40012</v>
      </c>
      <c r="M1849">
        <v>243.51</v>
      </c>
      <c r="N1849" s="11">
        <v>18</v>
      </c>
      <c r="O1849" s="12">
        <v>12.99</v>
      </c>
      <c r="P1849" s="12">
        <v>14.37</v>
      </c>
      <c r="Q1849" s="13">
        <v>-159.86</v>
      </c>
      <c r="R1849" s="36" t="s">
        <v>1790</v>
      </c>
      <c r="S1849" s="7">
        <f t="shared" si="154"/>
        <v>2</v>
      </c>
      <c r="T1849" s="15" t="str">
        <f>VLOOKUP(R1849,产品分类!$C$2:$D$1278,2,0)</f>
        <v>办公用品</v>
      </c>
    </row>
    <row r="1850" spans="1:20">
      <c r="A1850" s="8">
        <f t="shared" si="156"/>
        <v>40010</v>
      </c>
      <c r="B1850" s="8">
        <f t="shared" si="156"/>
        <v>40010</v>
      </c>
      <c r="C1850" s="9" t="s">
        <v>1176</v>
      </c>
      <c r="D1850">
        <v>10021257724</v>
      </c>
      <c r="E1850" t="s">
        <v>47</v>
      </c>
      <c r="F1850" t="s">
        <v>152</v>
      </c>
      <c r="G1850" t="s">
        <v>153</v>
      </c>
      <c r="H1850" t="s">
        <v>1640</v>
      </c>
      <c r="I1850" t="s">
        <v>1641</v>
      </c>
      <c r="J1850" t="s">
        <v>367</v>
      </c>
      <c r="K1850" s="3">
        <v>100326664079</v>
      </c>
      <c r="L1850" s="10">
        <v>40012</v>
      </c>
      <c r="M1850">
        <v>755.6</v>
      </c>
      <c r="N1850" s="11">
        <v>22</v>
      </c>
      <c r="O1850" s="12">
        <v>35.44</v>
      </c>
      <c r="P1850" s="12">
        <v>7.5</v>
      </c>
      <c r="Q1850" s="13">
        <v>223.44</v>
      </c>
      <c r="R1850" s="36" t="s">
        <v>1791</v>
      </c>
      <c r="S1850" s="7">
        <f t="shared" si="154"/>
        <v>2</v>
      </c>
      <c r="T1850" s="15" t="str">
        <f>VLOOKUP(R1850,产品分类!$C$2:$D$1278,2,0)</f>
        <v>家具产品</v>
      </c>
    </row>
    <row r="1851" spans="1:20">
      <c r="A1851" s="8">
        <f t="shared" si="156"/>
        <v>40010</v>
      </c>
      <c r="B1851" s="8">
        <f t="shared" si="156"/>
        <v>40010</v>
      </c>
      <c r="C1851" s="9" t="s">
        <v>1176</v>
      </c>
      <c r="D1851">
        <v>10021414821</v>
      </c>
      <c r="E1851" t="s">
        <v>47</v>
      </c>
      <c r="F1851" t="s">
        <v>152</v>
      </c>
      <c r="G1851" t="s">
        <v>153</v>
      </c>
      <c r="H1851" t="s">
        <v>1640</v>
      </c>
      <c r="I1851" t="s">
        <v>1641</v>
      </c>
      <c r="J1851" t="s">
        <v>367</v>
      </c>
      <c r="K1851" s="3">
        <v>10079595705</v>
      </c>
      <c r="L1851" s="10">
        <v>40013</v>
      </c>
      <c r="M1851">
        <v>592.73</v>
      </c>
      <c r="N1851" s="11">
        <v>45</v>
      </c>
      <c r="O1851" s="12">
        <v>12.98</v>
      </c>
      <c r="P1851" s="12">
        <v>3.14</v>
      </c>
      <c r="Q1851" s="13">
        <v>75.01</v>
      </c>
      <c r="R1851" s="36" t="s">
        <v>161</v>
      </c>
      <c r="S1851" s="7">
        <f t="shared" si="154"/>
        <v>3</v>
      </c>
      <c r="T1851" s="15" t="str">
        <f>VLOOKUP(R1851,产品分类!$C$2:$D$1278,2,0)</f>
        <v>办公用品</v>
      </c>
    </row>
    <row r="1852" spans="1:20">
      <c r="A1852" s="8">
        <f>DATE(2012,12,31)-1328</f>
        <v>39946</v>
      </c>
      <c r="B1852" s="8">
        <f>DATE(2012,12,31)-1328</f>
        <v>39946</v>
      </c>
      <c r="C1852" s="9" t="s">
        <v>1054</v>
      </c>
      <c r="D1852">
        <v>10021293176</v>
      </c>
      <c r="E1852" t="s">
        <v>47</v>
      </c>
      <c r="F1852" t="s">
        <v>152</v>
      </c>
      <c r="G1852" t="s">
        <v>153</v>
      </c>
      <c r="H1852" t="s">
        <v>1640</v>
      </c>
      <c r="I1852" t="s">
        <v>1641</v>
      </c>
      <c r="J1852" t="s">
        <v>367</v>
      </c>
      <c r="K1852" s="3">
        <v>10085021002</v>
      </c>
      <c r="L1852" s="10">
        <v>39948</v>
      </c>
      <c r="M1852">
        <v>89.4</v>
      </c>
      <c r="N1852" s="11">
        <v>34</v>
      </c>
      <c r="O1852" s="12">
        <v>2.62</v>
      </c>
      <c r="P1852" s="12">
        <v>0.8</v>
      </c>
      <c r="Q1852" s="13">
        <v>22.22</v>
      </c>
      <c r="R1852" s="36" t="s">
        <v>960</v>
      </c>
      <c r="S1852" s="7">
        <f t="shared" si="154"/>
        <v>2</v>
      </c>
      <c r="T1852" s="15" t="str">
        <f>VLOOKUP(R1852,产品分类!$C$2:$D$1278,2,0)</f>
        <v>家具产品</v>
      </c>
    </row>
    <row r="1853" spans="1:20">
      <c r="A1853" s="8">
        <f>DATE(2012,12,31)-120</f>
        <v>41154</v>
      </c>
      <c r="B1853" s="8">
        <f>DATE(2012,12,31)-120</f>
        <v>41154</v>
      </c>
      <c r="C1853" s="9" t="s">
        <v>1678</v>
      </c>
      <c r="D1853">
        <v>10021349660</v>
      </c>
      <c r="E1853" t="s">
        <v>47</v>
      </c>
      <c r="F1853" t="s">
        <v>152</v>
      </c>
      <c r="G1853" t="s">
        <v>153</v>
      </c>
      <c r="H1853" t="s">
        <v>1640</v>
      </c>
      <c r="I1853" t="s">
        <v>1641</v>
      </c>
      <c r="J1853" t="s">
        <v>367</v>
      </c>
      <c r="K1853" s="3">
        <v>100731885555</v>
      </c>
      <c r="L1853" s="10">
        <v>41155</v>
      </c>
      <c r="M1853">
        <v>116.82</v>
      </c>
      <c r="N1853" s="11">
        <v>24</v>
      </c>
      <c r="O1853" s="12">
        <v>4.77</v>
      </c>
      <c r="P1853" s="12">
        <v>2.39</v>
      </c>
      <c r="Q1853" s="13">
        <v>-42.05</v>
      </c>
      <c r="R1853" s="36" t="s">
        <v>1398</v>
      </c>
      <c r="S1853" s="7">
        <f t="shared" si="154"/>
        <v>1</v>
      </c>
      <c r="T1853" s="15" t="str">
        <f>VLOOKUP(R1853,产品分类!$C$2:$D$1278,2,0)</f>
        <v>办公用品</v>
      </c>
    </row>
    <row r="1854" spans="1:20">
      <c r="A1854" s="16">
        <f>DATE(2012,12,31)-120</f>
        <v>41154</v>
      </c>
      <c r="B1854" s="16">
        <f>DATE(2012,12,31)-120</f>
        <v>41154</v>
      </c>
      <c r="C1854" s="9" t="s">
        <v>1678</v>
      </c>
      <c r="D1854">
        <v>10021494831</v>
      </c>
      <c r="E1854" t="s">
        <v>47</v>
      </c>
      <c r="F1854" t="s">
        <v>152</v>
      </c>
      <c r="G1854" t="s">
        <v>153</v>
      </c>
      <c r="H1854" t="s">
        <v>1640</v>
      </c>
      <c r="I1854" t="s">
        <v>1641</v>
      </c>
      <c r="J1854" t="s">
        <v>367</v>
      </c>
      <c r="K1854" s="3">
        <v>100910289001</v>
      </c>
      <c r="L1854" s="10">
        <v>41154</v>
      </c>
      <c r="M1854">
        <v>483.64</v>
      </c>
      <c r="N1854" s="17">
        <v>45</v>
      </c>
      <c r="O1854" s="5">
        <v>10.98</v>
      </c>
      <c r="P1854" s="5">
        <v>3.37</v>
      </c>
      <c r="Q1854" s="6">
        <v>28.39</v>
      </c>
      <c r="R1854" s="37" t="s">
        <v>1792</v>
      </c>
      <c r="S1854" s="7">
        <f t="shared" si="154"/>
        <v>0</v>
      </c>
      <c r="T1854" s="15" t="str">
        <f>VLOOKUP(R1854,产品分类!$C$2:$D$1278,2,0)</f>
        <v>办公用品</v>
      </c>
    </row>
    <row r="1855" spans="1:20">
      <c r="A1855" s="8">
        <f>DATE(2012,12,31)-46</f>
        <v>41228</v>
      </c>
      <c r="B1855" s="8">
        <f>DATE(2012,12,31)-46</f>
        <v>41228</v>
      </c>
      <c r="C1855" s="9" t="s">
        <v>1592</v>
      </c>
      <c r="D1855">
        <v>10021337605</v>
      </c>
      <c r="E1855" t="s">
        <v>47</v>
      </c>
      <c r="F1855" t="s">
        <v>152</v>
      </c>
      <c r="G1855" t="s">
        <v>153</v>
      </c>
      <c r="H1855" t="s">
        <v>1640</v>
      </c>
      <c r="I1855" t="s">
        <v>1641</v>
      </c>
      <c r="J1855" t="s">
        <v>367</v>
      </c>
      <c r="K1855" s="3">
        <v>100422457433</v>
      </c>
      <c r="L1855" s="10">
        <v>41233</v>
      </c>
      <c r="M1855">
        <v>268.34</v>
      </c>
      <c r="N1855" s="11">
        <v>44</v>
      </c>
      <c r="O1855" s="12">
        <v>6.48</v>
      </c>
      <c r="P1855" s="12">
        <v>8.88</v>
      </c>
      <c r="Q1855" s="13">
        <v>-240.83</v>
      </c>
      <c r="R1855" s="36" t="s">
        <v>793</v>
      </c>
      <c r="S1855" s="7">
        <f t="shared" si="154"/>
        <v>5</v>
      </c>
      <c r="T1855" s="15" t="str">
        <f>VLOOKUP(R1855,产品分类!$C$2:$D$1278,2,0)</f>
        <v>数码电子</v>
      </c>
    </row>
    <row r="1856" spans="1:20">
      <c r="A1856" s="8">
        <f>DATE(2012,12,31)-983</f>
        <v>40291</v>
      </c>
      <c r="B1856" s="8">
        <f>DATE(2012,12,31)-983</f>
        <v>40291</v>
      </c>
      <c r="C1856" s="9" t="s">
        <v>678</v>
      </c>
      <c r="D1856">
        <v>10021287105</v>
      </c>
      <c r="E1856" t="s">
        <v>47</v>
      </c>
      <c r="F1856" t="s">
        <v>152</v>
      </c>
      <c r="G1856" t="s">
        <v>153</v>
      </c>
      <c r="H1856" t="s">
        <v>1640</v>
      </c>
      <c r="I1856" t="s">
        <v>1641</v>
      </c>
      <c r="J1856" t="s">
        <v>367</v>
      </c>
      <c r="K1856" s="3">
        <v>100731347985</v>
      </c>
      <c r="L1856" s="10">
        <v>40292</v>
      </c>
      <c r="M1856">
        <v>104.89</v>
      </c>
      <c r="N1856" s="11">
        <v>24</v>
      </c>
      <c r="O1856" s="12">
        <v>3.8</v>
      </c>
      <c r="P1856" s="12">
        <v>1.49</v>
      </c>
      <c r="Q1856" s="13">
        <v>22.8395</v>
      </c>
      <c r="R1856" s="36" t="s">
        <v>648</v>
      </c>
      <c r="S1856" s="7">
        <f t="shared" si="154"/>
        <v>1</v>
      </c>
      <c r="T1856" s="15" t="str">
        <f>VLOOKUP(R1856,产品分类!$C$2:$D$1278,2,0)</f>
        <v>家具产品</v>
      </c>
    </row>
    <row r="1857" spans="1:20">
      <c r="A1857" s="16">
        <f>DATE(2012,12,31)-785</f>
        <v>40489</v>
      </c>
      <c r="B1857" s="16">
        <f>DATE(2012,12,31)-785</f>
        <v>40489</v>
      </c>
      <c r="C1857" s="9" t="s">
        <v>386</v>
      </c>
      <c r="D1857">
        <v>10021363788</v>
      </c>
      <c r="E1857" t="s">
        <v>47</v>
      </c>
      <c r="F1857" t="s">
        <v>48</v>
      </c>
      <c r="G1857" t="s">
        <v>49</v>
      </c>
      <c r="H1857" t="s">
        <v>1433</v>
      </c>
      <c r="I1857" t="s">
        <v>1434</v>
      </c>
      <c r="J1857" t="s">
        <v>367</v>
      </c>
      <c r="K1857" s="3">
        <v>10016926827</v>
      </c>
      <c r="L1857" s="10">
        <v>40490</v>
      </c>
      <c r="M1857">
        <v>4890.58</v>
      </c>
      <c r="N1857" s="17">
        <v>35</v>
      </c>
      <c r="O1857" s="5">
        <v>140.85</v>
      </c>
      <c r="P1857" s="5">
        <v>19.99</v>
      </c>
      <c r="Q1857" s="6">
        <v>310.51</v>
      </c>
      <c r="R1857" s="37" t="s">
        <v>672</v>
      </c>
      <c r="S1857" s="7">
        <f t="shared" si="154"/>
        <v>1</v>
      </c>
      <c r="T1857" s="15" t="str">
        <f>VLOOKUP(R1857,产品分类!$C$2:$D$1278,2,0)</f>
        <v>办公用品</v>
      </c>
    </row>
    <row r="1858" spans="1:20">
      <c r="A1858" s="8">
        <f>DATE(2012,12,31)-970</f>
        <v>40304</v>
      </c>
      <c r="B1858" s="8">
        <f>DATE(2012,12,31)-970</f>
        <v>40304</v>
      </c>
      <c r="C1858" s="9" t="s">
        <v>433</v>
      </c>
      <c r="D1858">
        <v>10021386983</v>
      </c>
      <c r="E1858" t="s">
        <v>47</v>
      </c>
      <c r="F1858" t="s">
        <v>66</v>
      </c>
      <c r="G1858" t="s">
        <v>67</v>
      </c>
      <c r="H1858" t="s">
        <v>1435</v>
      </c>
      <c r="I1858" t="s">
        <v>1436</v>
      </c>
      <c r="J1858" t="s">
        <v>367</v>
      </c>
      <c r="K1858" s="3">
        <v>100114588617</v>
      </c>
      <c r="L1858" s="10">
        <v>40305</v>
      </c>
      <c r="M1858">
        <v>3331.81</v>
      </c>
      <c r="N1858" s="11">
        <v>20</v>
      </c>
      <c r="O1858" s="12">
        <v>179.99</v>
      </c>
      <c r="P1858" s="12">
        <v>19.99</v>
      </c>
      <c r="Q1858" s="13">
        <v>484.15</v>
      </c>
      <c r="R1858" s="36" t="s">
        <v>804</v>
      </c>
      <c r="S1858" s="7">
        <f t="shared" si="154"/>
        <v>1</v>
      </c>
      <c r="T1858" s="15" t="str">
        <f>VLOOKUP(R1858,产品分类!$C$2:$D$1278,2,0)</f>
        <v>家具产品</v>
      </c>
    </row>
    <row r="1859" spans="1:20">
      <c r="A1859" s="8">
        <f>DATE(2012,12,31)-1197</f>
        <v>40077</v>
      </c>
      <c r="B1859" s="8">
        <f>DATE(2012,12,31)-1197</f>
        <v>40077</v>
      </c>
      <c r="C1859" s="9" t="s">
        <v>592</v>
      </c>
      <c r="D1859">
        <v>10021337347</v>
      </c>
      <c r="E1859" t="s">
        <v>47</v>
      </c>
      <c r="F1859" t="s">
        <v>152</v>
      </c>
      <c r="G1859" t="s">
        <v>153</v>
      </c>
      <c r="H1859" t="s">
        <v>1640</v>
      </c>
      <c r="I1859" t="s">
        <v>1641</v>
      </c>
      <c r="J1859" t="s">
        <v>367</v>
      </c>
      <c r="K1859" s="3">
        <v>100421753714</v>
      </c>
      <c r="L1859" s="10">
        <v>40082</v>
      </c>
      <c r="M1859">
        <v>96.04</v>
      </c>
      <c r="N1859" s="11">
        <v>16</v>
      </c>
      <c r="O1859" s="12">
        <v>5.74</v>
      </c>
      <c r="P1859" s="12">
        <v>5.3</v>
      </c>
      <c r="Q1859" s="13">
        <v>-50.75</v>
      </c>
      <c r="R1859" s="36" t="s">
        <v>1793</v>
      </c>
      <c r="S1859" s="7">
        <f t="shared" ref="S1859:S1922" si="157">+L1859-B1859</f>
        <v>5</v>
      </c>
      <c r="T1859" s="15" t="str">
        <f>VLOOKUP(R1859,产品分类!$C$2:$D$1278,2,0)</f>
        <v>办公用品</v>
      </c>
    </row>
    <row r="1860" spans="1:20">
      <c r="A1860" s="8">
        <f>DATE(2012,12,31)-1265</f>
        <v>40009</v>
      </c>
      <c r="B1860" s="8">
        <f>DATE(2012,12,31)-1265</f>
        <v>40009</v>
      </c>
      <c r="C1860" s="9" t="s">
        <v>1066</v>
      </c>
      <c r="D1860">
        <v>10021370488</v>
      </c>
      <c r="E1860" t="s">
        <v>47</v>
      </c>
      <c r="F1860" t="s">
        <v>152</v>
      </c>
      <c r="G1860" t="s">
        <v>153</v>
      </c>
      <c r="H1860" t="s">
        <v>1640</v>
      </c>
      <c r="I1860" t="s">
        <v>1641</v>
      </c>
      <c r="J1860" t="s">
        <v>367</v>
      </c>
      <c r="K1860" s="3">
        <v>100910326521</v>
      </c>
      <c r="L1860" s="10">
        <v>40009</v>
      </c>
      <c r="M1860">
        <v>66.12</v>
      </c>
      <c r="N1860" s="11">
        <v>24</v>
      </c>
      <c r="O1860" s="12">
        <v>2.88</v>
      </c>
      <c r="P1860" s="12">
        <v>0.7</v>
      </c>
      <c r="Q1860" s="13">
        <v>4.85</v>
      </c>
      <c r="R1860" s="36" t="s">
        <v>1070</v>
      </c>
      <c r="S1860" s="7">
        <f t="shared" si="157"/>
        <v>0</v>
      </c>
      <c r="T1860" s="15" t="str">
        <f>VLOOKUP(R1860,产品分类!$C$2:$D$1278,2,0)</f>
        <v>办公用品</v>
      </c>
    </row>
    <row r="1861" spans="1:20">
      <c r="A1861" s="8">
        <f>DATE(2012,12,31)-502</f>
        <v>40772</v>
      </c>
      <c r="B1861" s="8">
        <f>DATE(2012,12,31)-502</f>
        <v>40772</v>
      </c>
      <c r="C1861" s="9" t="s">
        <v>639</v>
      </c>
      <c r="D1861">
        <v>10021510076</v>
      </c>
      <c r="E1861" t="s">
        <v>47</v>
      </c>
      <c r="F1861" t="s">
        <v>66</v>
      </c>
      <c r="G1861" t="s">
        <v>67</v>
      </c>
      <c r="H1861" t="s">
        <v>1435</v>
      </c>
      <c r="I1861" t="s">
        <v>1436</v>
      </c>
      <c r="J1861" t="s">
        <v>367</v>
      </c>
      <c r="K1861" s="3">
        <v>100932667781</v>
      </c>
      <c r="L1861" s="10">
        <v>40772</v>
      </c>
      <c r="M1861">
        <v>10714.78</v>
      </c>
      <c r="N1861" s="11">
        <v>41</v>
      </c>
      <c r="O1861" s="12">
        <v>259.71</v>
      </c>
      <c r="P1861" s="12">
        <v>66.67</v>
      </c>
      <c r="Q1861" s="13">
        <v>-627.641157</v>
      </c>
      <c r="R1861" s="36" t="s">
        <v>1360</v>
      </c>
      <c r="S1861" s="7">
        <f t="shared" si="157"/>
        <v>0</v>
      </c>
      <c r="T1861" s="15" t="str">
        <f>VLOOKUP(R1861,产品分类!$C$2:$D$1278,2,0)</f>
        <v>办公用品</v>
      </c>
    </row>
    <row r="1862" spans="1:20">
      <c r="A1862" s="8">
        <f>DATE(2012,12,31)-199</f>
        <v>41075</v>
      </c>
      <c r="B1862" s="8">
        <f>DATE(2012,12,31)-199</f>
        <v>41075</v>
      </c>
      <c r="C1862" s="9" t="s">
        <v>313</v>
      </c>
      <c r="D1862">
        <v>10021414464</v>
      </c>
      <c r="E1862" t="s">
        <v>47</v>
      </c>
      <c r="F1862" t="s">
        <v>152</v>
      </c>
      <c r="G1862" t="s">
        <v>153</v>
      </c>
      <c r="H1862" t="s">
        <v>1640</v>
      </c>
      <c r="I1862" t="s">
        <v>1641</v>
      </c>
      <c r="J1862" t="s">
        <v>367</v>
      </c>
      <c r="K1862" s="3">
        <v>10041248474</v>
      </c>
      <c r="L1862" s="10">
        <v>41077</v>
      </c>
      <c r="M1862">
        <v>750.03</v>
      </c>
      <c r="N1862" s="11">
        <v>35</v>
      </c>
      <c r="O1862" s="12">
        <v>20.34</v>
      </c>
      <c r="P1862" s="12">
        <v>35</v>
      </c>
      <c r="Q1862" s="13">
        <v>-1072.97</v>
      </c>
      <c r="R1862" s="36" t="s">
        <v>1783</v>
      </c>
      <c r="S1862" s="7">
        <f t="shared" si="157"/>
        <v>2</v>
      </c>
      <c r="T1862" s="15" t="str">
        <f>VLOOKUP(R1862,产品分类!$C$2:$D$1278,2,0)</f>
        <v>办公用品</v>
      </c>
    </row>
    <row r="1863" spans="1:20">
      <c r="A1863" s="8">
        <f>DATE(2012,12,31)-1416</f>
        <v>39858</v>
      </c>
      <c r="B1863" s="8">
        <f>DATE(2012,12,31)-1416</f>
        <v>39858</v>
      </c>
      <c r="C1863" s="9" t="s">
        <v>551</v>
      </c>
      <c r="D1863">
        <v>10021342514</v>
      </c>
      <c r="E1863" t="s">
        <v>47</v>
      </c>
      <c r="F1863" t="s">
        <v>152</v>
      </c>
      <c r="G1863" t="s">
        <v>153</v>
      </c>
      <c r="H1863" t="s">
        <v>1640</v>
      </c>
      <c r="I1863" t="s">
        <v>1641</v>
      </c>
      <c r="J1863" t="s">
        <v>367</v>
      </c>
      <c r="K1863" s="3">
        <v>100428134714</v>
      </c>
      <c r="L1863" s="10">
        <v>39860</v>
      </c>
      <c r="M1863">
        <v>256.77</v>
      </c>
      <c r="N1863" s="11">
        <v>4</v>
      </c>
      <c r="O1863" s="12">
        <v>60.65</v>
      </c>
      <c r="P1863" s="12">
        <v>12.23</v>
      </c>
      <c r="Q1863" s="13">
        <v>173.89</v>
      </c>
      <c r="R1863" s="36" t="s">
        <v>1387</v>
      </c>
      <c r="S1863" s="7">
        <f t="shared" si="157"/>
        <v>2</v>
      </c>
      <c r="T1863" s="15" t="str">
        <f>VLOOKUP(R1863,产品分类!$C$2:$D$1278,2,0)</f>
        <v>家具产品</v>
      </c>
    </row>
    <row r="1864" spans="1:20">
      <c r="A1864" s="8">
        <f>DATE(2012,12,31)-939</f>
        <v>40335</v>
      </c>
      <c r="B1864" s="8">
        <f>DATE(2012,12,31)-939</f>
        <v>40335</v>
      </c>
      <c r="C1864" s="9" t="s">
        <v>945</v>
      </c>
      <c r="D1864">
        <v>10021339368</v>
      </c>
      <c r="E1864" t="s">
        <v>47</v>
      </c>
      <c r="F1864" t="s">
        <v>152</v>
      </c>
      <c r="G1864" t="s">
        <v>153</v>
      </c>
      <c r="H1864" t="s">
        <v>1640</v>
      </c>
      <c r="I1864" t="s">
        <v>1641</v>
      </c>
      <c r="J1864" t="s">
        <v>367</v>
      </c>
      <c r="K1864" s="3">
        <v>100425052763</v>
      </c>
      <c r="L1864" s="10">
        <v>40337</v>
      </c>
      <c r="M1864">
        <v>33.64</v>
      </c>
      <c r="N1864" s="11">
        <v>4</v>
      </c>
      <c r="O1864" s="12">
        <v>8.12</v>
      </c>
      <c r="P1864" s="12">
        <v>2.83</v>
      </c>
      <c r="Q1864" s="13">
        <v>-35.17</v>
      </c>
      <c r="R1864" s="36" t="s">
        <v>923</v>
      </c>
      <c r="S1864" s="7">
        <f t="shared" si="157"/>
        <v>2</v>
      </c>
      <c r="T1864" s="15" t="str">
        <f>VLOOKUP(R1864,产品分类!$C$2:$D$1278,2,0)</f>
        <v>办公用品</v>
      </c>
    </row>
    <row r="1865" spans="1:20">
      <c r="A1865" s="8">
        <f>DATE(2012,12,31)-939</f>
        <v>40335</v>
      </c>
      <c r="B1865" s="8">
        <f>DATE(2012,12,31)-939</f>
        <v>40335</v>
      </c>
      <c r="C1865" s="9" t="s">
        <v>945</v>
      </c>
      <c r="D1865">
        <v>10021333334</v>
      </c>
      <c r="E1865" t="s">
        <v>47</v>
      </c>
      <c r="F1865" t="s">
        <v>152</v>
      </c>
      <c r="G1865" t="s">
        <v>153</v>
      </c>
      <c r="H1865" t="s">
        <v>1640</v>
      </c>
      <c r="I1865" t="s">
        <v>1641</v>
      </c>
      <c r="J1865" t="s">
        <v>367</v>
      </c>
      <c r="K1865" s="3">
        <v>100710124525</v>
      </c>
      <c r="L1865" s="10">
        <v>40336</v>
      </c>
      <c r="M1865">
        <v>701.94</v>
      </c>
      <c r="N1865" s="11">
        <v>29</v>
      </c>
      <c r="O1865" s="12">
        <v>23.99</v>
      </c>
      <c r="P1865" s="12">
        <v>6.3</v>
      </c>
      <c r="Q1865" s="13">
        <v>158.91</v>
      </c>
      <c r="R1865" s="36" t="s">
        <v>1267</v>
      </c>
      <c r="S1865" s="7">
        <f t="shared" si="157"/>
        <v>1</v>
      </c>
      <c r="T1865" s="15" t="str">
        <f>VLOOKUP(R1865,产品分类!$C$2:$D$1278,2,0)</f>
        <v>数码电子</v>
      </c>
    </row>
    <row r="1866" spans="1:20">
      <c r="A1866" s="16">
        <f>DATE(2012,12,31)-1067</f>
        <v>40207</v>
      </c>
      <c r="B1866" s="16">
        <f>DATE(2012,12,31)-1067</f>
        <v>40207</v>
      </c>
      <c r="C1866" s="9" t="s">
        <v>1794</v>
      </c>
      <c r="D1866">
        <v>10021498557</v>
      </c>
      <c r="E1866" t="s">
        <v>47</v>
      </c>
      <c r="F1866" t="s">
        <v>72</v>
      </c>
      <c r="G1866" t="s">
        <v>73</v>
      </c>
      <c r="H1866" t="s">
        <v>1572</v>
      </c>
      <c r="I1866" t="s">
        <v>1573</v>
      </c>
      <c r="J1866" t="s">
        <v>367</v>
      </c>
      <c r="K1866" s="3">
        <v>100322704519</v>
      </c>
      <c r="L1866" s="10">
        <v>40209</v>
      </c>
      <c r="M1866">
        <v>150.28</v>
      </c>
      <c r="N1866" s="17">
        <v>29</v>
      </c>
      <c r="O1866" s="5">
        <v>4.98</v>
      </c>
      <c r="P1866" s="5">
        <v>4.7</v>
      </c>
      <c r="Q1866" s="6">
        <v>-50.86</v>
      </c>
      <c r="R1866" s="37" t="s">
        <v>1648</v>
      </c>
      <c r="S1866" s="7">
        <f t="shared" si="157"/>
        <v>2</v>
      </c>
      <c r="T1866" s="15" t="str">
        <f>VLOOKUP(R1866,产品分类!$C$2:$D$1278,2,0)</f>
        <v>办公用品</v>
      </c>
    </row>
    <row r="1867" spans="1:20">
      <c r="A1867" s="8">
        <f>DATE(2012,12,31)-810</f>
        <v>40464</v>
      </c>
      <c r="B1867" s="8">
        <f>DATE(2012,12,31)-810</f>
        <v>40464</v>
      </c>
      <c r="C1867" s="9" t="s">
        <v>1795</v>
      </c>
      <c r="D1867">
        <v>10021503843</v>
      </c>
      <c r="E1867" t="s">
        <v>47</v>
      </c>
      <c r="F1867" t="s">
        <v>72</v>
      </c>
      <c r="G1867" t="s">
        <v>73</v>
      </c>
      <c r="H1867" t="s">
        <v>1572</v>
      </c>
      <c r="I1867" t="s">
        <v>1573</v>
      </c>
      <c r="J1867" t="s">
        <v>367</v>
      </c>
      <c r="K1867" s="3">
        <v>100829976142</v>
      </c>
      <c r="L1867" s="10">
        <v>40466</v>
      </c>
      <c r="M1867">
        <v>971.82</v>
      </c>
      <c r="N1867" s="11">
        <v>22</v>
      </c>
      <c r="O1867" s="12">
        <v>43.98</v>
      </c>
      <c r="P1867" s="12">
        <v>1.99</v>
      </c>
      <c r="Q1867" s="13">
        <v>326.39</v>
      </c>
      <c r="R1867" s="36" t="s">
        <v>1796</v>
      </c>
      <c r="S1867" s="7">
        <f t="shared" si="157"/>
        <v>2</v>
      </c>
      <c r="T1867" s="15" t="str">
        <f>VLOOKUP(R1867,产品分类!$C$2:$D$1278,2,0)</f>
        <v>家具产品</v>
      </c>
    </row>
    <row r="1868" spans="1:20">
      <c r="A1868" s="8">
        <f>DATE(2012,12,31)-361</f>
        <v>40913</v>
      </c>
      <c r="B1868" s="8">
        <f>DATE(2012,12,31)-361</f>
        <v>40913</v>
      </c>
      <c r="C1868" s="9" t="s">
        <v>635</v>
      </c>
      <c r="D1868">
        <v>10021251735</v>
      </c>
      <c r="E1868" t="s">
        <v>47</v>
      </c>
      <c r="F1868" t="s">
        <v>72</v>
      </c>
      <c r="G1868" t="s">
        <v>73</v>
      </c>
      <c r="H1868" t="s">
        <v>1572</v>
      </c>
      <c r="I1868" t="s">
        <v>1573</v>
      </c>
      <c r="J1868" t="s">
        <v>367</v>
      </c>
      <c r="K1868" s="3">
        <v>100111321868</v>
      </c>
      <c r="L1868" s="10">
        <v>40916</v>
      </c>
      <c r="M1868">
        <v>154.44</v>
      </c>
      <c r="N1868" s="11">
        <v>33</v>
      </c>
      <c r="O1868" s="12">
        <v>4.76</v>
      </c>
      <c r="P1868" s="12">
        <v>0.88</v>
      </c>
      <c r="Q1868" s="13">
        <v>54.62</v>
      </c>
      <c r="R1868" s="36" t="s">
        <v>636</v>
      </c>
      <c r="S1868" s="7">
        <f t="shared" si="157"/>
        <v>3</v>
      </c>
      <c r="T1868" s="15" t="str">
        <f>VLOOKUP(R1868,产品分类!$C$2:$D$1278,2,0)</f>
        <v>数码电子</v>
      </c>
    </row>
    <row r="1869" spans="1:20">
      <c r="A1869" s="8">
        <f>DATE(2012,12,31)-1088</f>
        <v>40186</v>
      </c>
      <c r="B1869" s="8">
        <f>DATE(2012,12,31)-1088</f>
        <v>40186</v>
      </c>
      <c r="C1869" s="9" t="s">
        <v>1797</v>
      </c>
      <c r="D1869">
        <v>10021341886</v>
      </c>
      <c r="E1869" t="s">
        <v>47</v>
      </c>
      <c r="F1869" t="s">
        <v>78</v>
      </c>
      <c r="G1869" t="s">
        <v>79</v>
      </c>
      <c r="H1869" t="s">
        <v>1654</v>
      </c>
      <c r="I1869" t="s">
        <v>1655</v>
      </c>
      <c r="J1869" t="s">
        <v>367</v>
      </c>
      <c r="K1869" s="3">
        <v>100327570289</v>
      </c>
      <c r="L1869" s="10">
        <v>40188</v>
      </c>
      <c r="M1869">
        <v>436.4835</v>
      </c>
      <c r="N1869" s="11">
        <v>24</v>
      </c>
      <c r="O1869" s="12">
        <v>20.99</v>
      </c>
      <c r="P1869" s="12">
        <v>4.81</v>
      </c>
      <c r="Q1869" s="13">
        <v>0.846000000000001</v>
      </c>
      <c r="R1869" s="36" t="s">
        <v>692</v>
      </c>
      <c r="S1869" s="7">
        <f t="shared" si="157"/>
        <v>2</v>
      </c>
      <c r="T1869" s="15" t="str">
        <f>VLOOKUP(R1869,产品分类!$C$2:$D$1278,2,0)</f>
        <v>办公用品</v>
      </c>
    </row>
    <row r="1870" spans="1:20">
      <c r="A1870" s="8">
        <f>DATE(2012,12,31)-432</f>
        <v>40842</v>
      </c>
      <c r="B1870" s="8">
        <f>DATE(2012,12,31)-432</f>
        <v>40842</v>
      </c>
      <c r="C1870" s="9" t="s">
        <v>477</v>
      </c>
      <c r="D1870">
        <v>10021386713</v>
      </c>
      <c r="E1870" t="s">
        <v>47</v>
      </c>
      <c r="F1870" t="s">
        <v>230</v>
      </c>
      <c r="G1870" t="s">
        <v>231</v>
      </c>
      <c r="H1870" t="s">
        <v>1465</v>
      </c>
      <c r="I1870" t="s">
        <v>1466</v>
      </c>
      <c r="J1870" t="s">
        <v>367</v>
      </c>
      <c r="K1870" s="3">
        <v>100112998056</v>
      </c>
      <c r="L1870" s="10">
        <v>40843</v>
      </c>
      <c r="M1870">
        <v>106.03</v>
      </c>
      <c r="N1870" s="11">
        <v>26</v>
      </c>
      <c r="O1870" s="12">
        <v>4.13</v>
      </c>
      <c r="P1870" s="12">
        <v>0.5</v>
      </c>
      <c r="Q1870" s="13">
        <v>42.89</v>
      </c>
      <c r="R1870" s="36" t="s">
        <v>691</v>
      </c>
      <c r="S1870" s="7">
        <f t="shared" si="157"/>
        <v>1</v>
      </c>
      <c r="T1870" s="15" t="str">
        <f>VLOOKUP(R1870,产品分类!$C$2:$D$1278,2,0)</f>
        <v>办公用品</v>
      </c>
    </row>
    <row r="1871" spans="1:20">
      <c r="A1871" s="8">
        <f t="shared" ref="A1871:B1873" si="158">DATE(2012,12,31)-807</f>
        <v>40467</v>
      </c>
      <c r="B1871" s="8">
        <f t="shared" si="158"/>
        <v>40467</v>
      </c>
      <c r="C1871" s="9" t="s">
        <v>492</v>
      </c>
      <c r="D1871">
        <v>10021419562</v>
      </c>
      <c r="E1871" t="s">
        <v>47</v>
      </c>
      <c r="F1871" t="s">
        <v>230</v>
      </c>
      <c r="G1871" t="s">
        <v>231</v>
      </c>
      <c r="H1871" t="s">
        <v>1465</v>
      </c>
      <c r="I1871" t="s">
        <v>1466</v>
      </c>
      <c r="J1871" t="s">
        <v>367</v>
      </c>
      <c r="K1871" s="3">
        <v>100123620548</v>
      </c>
      <c r="L1871" s="10">
        <v>40468</v>
      </c>
      <c r="M1871">
        <v>173.33</v>
      </c>
      <c r="N1871" s="11">
        <v>3</v>
      </c>
      <c r="O1871" s="12">
        <v>52.99</v>
      </c>
      <c r="P1871" s="12">
        <v>19.99</v>
      </c>
      <c r="Q1871" s="13">
        <v>-121.39</v>
      </c>
      <c r="R1871" s="36" t="s">
        <v>1683</v>
      </c>
      <c r="S1871" s="7">
        <f t="shared" si="157"/>
        <v>1</v>
      </c>
      <c r="T1871" s="15" t="str">
        <f>VLOOKUP(R1871,产品分类!$C$2:$D$1278,2,0)</f>
        <v>办公用品</v>
      </c>
    </row>
    <row r="1872" spans="1:20">
      <c r="A1872" s="8">
        <f t="shared" si="158"/>
        <v>40467</v>
      </c>
      <c r="B1872" s="8">
        <f t="shared" si="158"/>
        <v>40467</v>
      </c>
      <c r="C1872" s="9" t="s">
        <v>492</v>
      </c>
      <c r="D1872">
        <v>10021334102</v>
      </c>
      <c r="E1872" t="s">
        <v>47</v>
      </c>
      <c r="F1872" t="s">
        <v>230</v>
      </c>
      <c r="G1872" t="s">
        <v>231</v>
      </c>
      <c r="H1872" t="s">
        <v>1798</v>
      </c>
      <c r="I1872" t="s">
        <v>1799</v>
      </c>
      <c r="J1872" t="s">
        <v>367</v>
      </c>
      <c r="K1872" s="3">
        <v>10017141746</v>
      </c>
      <c r="L1872" s="10">
        <v>40467</v>
      </c>
      <c r="M1872">
        <v>972.35</v>
      </c>
      <c r="N1872" s="11">
        <v>31</v>
      </c>
      <c r="O1872" s="12">
        <v>30.73</v>
      </c>
      <c r="P1872" s="12">
        <v>4</v>
      </c>
      <c r="Q1872" s="13">
        <v>10.96</v>
      </c>
      <c r="R1872" s="36" t="s">
        <v>1016</v>
      </c>
      <c r="S1872" s="7">
        <f t="shared" si="157"/>
        <v>0</v>
      </c>
      <c r="T1872" s="15" t="str">
        <f>VLOOKUP(R1872,产品分类!$C$2:$D$1278,2,0)</f>
        <v>办公用品</v>
      </c>
    </row>
    <row r="1873" spans="1:20">
      <c r="A1873" s="16">
        <f t="shared" si="158"/>
        <v>40467</v>
      </c>
      <c r="B1873" s="16">
        <f t="shared" si="158"/>
        <v>40467</v>
      </c>
      <c r="C1873" s="9" t="s">
        <v>492</v>
      </c>
      <c r="D1873">
        <v>10021427510</v>
      </c>
      <c r="E1873" t="s">
        <v>47</v>
      </c>
      <c r="F1873" t="s">
        <v>473</v>
      </c>
      <c r="G1873" t="s">
        <v>474</v>
      </c>
      <c r="H1873" t="s">
        <v>475</v>
      </c>
      <c r="I1873" t="s">
        <v>476</v>
      </c>
      <c r="J1873" t="s">
        <v>367</v>
      </c>
      <c r="K1873" s="3">
        <v>100322529929</v>
      </c>
      <c r="L1873" s="10">
        <v>40469</v>
      </c>
      <c r="M1873">
        <v>231.29</v>
      </c>
      <c r="N1873" s="17">
        <v>47</v>
      </c>
      <c r="O1873" s="5">
        <v>4.91</v>
      </c>
      <c r="P1873" s="5">
        <v>5.68</v>
      </c>
      <c r="Q1873" s="6">
        <v>-147.8555</v>
      </c>
      <c r="R1873" s="37" t="s">
        <v>1350</v>
      </c>
      <c r="S1873" s="7">
        <f t="shared" si="157"/>
        <v>2</v>
      </c>
      <c r="T1873" s="15" t="str">
        <f>VLOOKUP(R1873,产品分类!$C$2:$D$1278,2,0)</f>
        <v>办公用品</v>
      </c>
    </row>
    <row r="1874" spans="1:20">
      <c r="A1874" s="8">
        <f>DATE(2012,12,31)-1123</f>
        <v>40151</v>
      </c>
      <c r="B1874" s="8">
        <f>DATE(2012,12,31)-1123</f>
        <v>40151</v>
      </c>
      <c r="C1874" s="9" t="s">
        <v>1269</v>
      </c>
      <c r="D1874">
        <v>10021468928</v>
      </c>
      <c r="E1874" t="s">
        <v>47</v>
      </c>
      <c r="F1874" t="s">
        <v>114</v>
      </c>
      <c r="G1874" t="s">
        <v>115</v>
      </c>
      <c r="H1874" t="s">
        <v>1691</v>
      </c>
      <c r="I1874" t="s">
        <v>1692</v>
      </c>
      <c r="J1874" t="s">
        <v>367</v>
      </c>
      <c r="K1874" s="3">
        <v>100431652094</v>
      </c>
      <c r="L1874" s="10">
        <v>40153</v>
      </c>
      <c r="M1874">
        <v>292.96</v>
      </c>
      <c r="N1874" s="11">
        <v>3</v>
      </c>
      <c r="O1874" s="12">
        <v>99.99</v>
      </c>
      <c r="P1874" s="12">
        <v>19.99</v>
      </c>
      <c r="Q1874" s="13">
        <v>-322.95</v>
      </c>
      <c r="R1874" s="36" t="s">
        <v>532</v>
      </c>
      <c r="S1874" s="7">
        <f t="shared" si="157"/>
        <v>2</v>
      </c>
      <c r="T1874" s="15" t="str">
        <f>VLOOKUP(R1874,产品分类!$C$2:$D$1278,2,0)</f>
        <v>办公用品</v>
      </c>
    </row>
    <row r="1875" spans="1:20">
      <c r="A1875" s="8">
        <f>DATE(2012,12,31)-1123</f>
        <v>40151</v>
      </c>
      <c r="B1875" s="8">
        <f>DATE(2012,12,31)-1123</f>
        <v>40151</v>
      </c>
      <c r="C1875" s="9" t="s">
        <v>1269</v>
      </c>
      <c r="D1875">
        <v>10021350440</v>
      </c>
      <c r="E1875" t="s">
        <v>47</v>
      </c>
      <c r="F1875" t="s">
        <v>434</v>
      </c>
      <c r="G1875" t="s">
        <v>435</v>
      </c>
      <c r="H1875" t="s">
        <v>436</v>
      </c>
      <c r="I1875" t="s">
        <v>437</v>
      </c>
      <c r="J1875" t="s">
        <v>367</v>
      </c>
      <c r="K1875" s="3">
        <v>100332151729</v>
      </c>
      <c r="L1875" s="10">
        <v>40152</v>
      </c>
      <c r="M1875">
        <v>2206.991</v>
      </c>
      <c r="N1875" s="11">
        <v>13</v>
      </c>
      <c r="O1875" s="12">
        <v>205.99</v>
      </c>
      <c r="P1875" s="12">
        <v>5.26</v>
      </c>
      <c r="Q1875" s="13">
        <v>-1.62800000000002</v>
      </c>
      <c r="R1875" s="36" t="s">
        <v>688</v>
      </c>
      <c r="S1875" s="7">
        <f t="shared" si="157"/>
        <v>1</v>
      </c>
      <c r="T1875" s="15" t="str">
        <f>VLOOKUP(R1875,产品分类!$C$2:$D$1278,2,0)</f>
        <v>办公用品</v>
      </c>
    </row>
    <row r="1876" spans="1:20">
      <c r="A1876" s="8">
        <f>DATE(2012,12,31)-2</f>
        <v>41272</v>
      </c>
      <c r="B1876" s="8">
        <f>DATE(2012,12,31)-2</f>
        <v>41272</v>
      </c>
      <c r="C1876" s="9" t="s">
        <v>1106</v>
      </c>
      <c r="D1876">
        <v>10021281074</v>
      </c>
      <c r="E1876" t="s">
        <v>47</v>
      </c>
      <c r="F1876" t="s">
        <v>91</v>
      </c>
      <c r="G1876" t="s">
        <v>92</v>
      </c>
      <c r="H1876" t="s">
        <v>1412</v>
      </c>
      <c r="I1876" t="s">
        <v>1413</v>
      </c>
      <c r="J1876" t="s">
        <v>367</v>
      </c>
      <c r="K1876" s="3">
        <v>100319784029</v>
      </c>
      <c r="L1876" s="10">
        <v>41273</v>
      </c>
      <c r="M1876">
        <v>176.1</v>
      </c>
      <c r="N1876" s="11">
        <v>27</v>
      </c>
      <c r="O1876" s="12">
        <v>6.78</v>
      </c>
      <c r="P1876" s="12">
        <v>6.18</v>
      </c>
      <c r="Q1876" s="13">
        <v>-75.71</v>
      </c>
      <c r="R1876" s="36" t="s">
        <v>535</v>
      </c>
      <c r="S1876" s="7">
        <f t="shared" si="157"/>
        <v>1</v>
      </c>
      <c r="T1876" s="15" t="str">
        <f>VLOOKUP(R1876,产品分类!$C$2:$D$1278,2,0)</f>
        <v>办公用品</v>
      </c>
    </row>
    <row r="1877" spans="1:20">
      <c r="A1877" s="8">
        <f>DATE(2012,12,31)-1231</f>
        <v>40043</v>
      </c>
      <c r="B1877" s="8">
        <f>DATE(2012,12,31)-1231</f>
        <v>40043</v>
      </c>
      <c r="C1877" s="9" t="s">
        <v>526</v>
      </c>
      <c r="D1877">
        <v>10021494364</v>
      </c>
      <c r="E1877" t="s">
        <v>47</v>
      </c>
      <c r="F1877" t="s">
        <v>83</v>
      </c>
      <c r="G1877" t="s">
        <v>84</v>
      </c>
      <c r="H1877" t="s">
        <v>1259</v>
      </c>
      <c r="I1877" t="s">
        <v>1260</v>
      </c>
      <c r="J1877" t="s">
        <v>367</v>
      </c>
      <c r="K1877" s="3">
        <v>10044757043</v>
      </c>
      <c r="L1877" s="10">
        <v>40045</v>
      </c>
      <c r="M1877">
        <v>123.15</v>
      </c>
      <c r="N1877" s="11">
        <v>23</v>
      </c>
      <c r="O1877" s="12">
        <v>5.18</v>
      </c>
      <c r="P1877" s="12">
        <v>2.04</v>
      </c>
      <c r="Q1877" s="13">
        <v>22.98</v>
      </c>
      <c r="R1877" s="36" t="s">
        <v>1522</v>
      </c>
      <c r="S1877" s="7">
        <f t="shared" si="157"/>
        <v>2</v>
      </c>
      <c r="T1877" s="15" t="str">
        <f>VLOOKUP(R1877,产品分类!$C$2:$D$1278,2,0)</f>
        <v>办公用品</v>
      </c>
    </row>
    <row r="1878" spans="1:20">
      <c r="A1878" s="16">
        <f>DATE(2012,12,31)-946</f>
        <v>40328</v>
      </c>
      <c r="B1878" s="16">
        <f>DATE(2012,12,31)-946</f>
        <v>40328</v>
      </c>
      <c r="C1878" s="9" t="s">
        <v>457</v>
      </c>
      <c r="D1878">
        <v>10021365878</v>
      </c>
      <c r="E1878" t="s">
        <v>47</v>
      </c>
      <c r="F1878" t="s">
        <v>122</v>
      </c>
      <c r="G1878" t="s">
        <v>123</v>
      </c>
      <c r="H1878" t="s">
        <v>124</v>
      </c>
      <c r="I1878" t="s">
        <v>125</v>
      </c>
      <c r="J1878" t="s">
        <v>367</v>
      </c>
      <c r="K1878" s="3">
        <v>100924095461</v>
      </c>
      <c r="L1878" s="10">
        <v>40330</v>
      </c>
      <c r="M1878">
        <v>316.61</v>
      </c>
      <c r="N1878" s="17">
        <v>41</v>
      </c>
      <c r="O1878" s="5">
        <v>7.4</v>
      </c>
      <c r="P1878" s="5">
        <v>1.71</v>
      </c>
      <c r="Q1878" s="6">
        <v>110.34</v>
      </c>
      <c r="R1878" s="37" t="s">
        <v>1645</v>
      </c>
      <c r="S1878" s="7">
        <f t="shared" si="157"/>
        <v>2</v>
      </c>
      <c r="T1878" s="15" t="str">
        <f>VLOOKUP(R1878,产品分类!$C$2:$D$1278,2,0)</f>
        <v>办公用品</v>
      </c>
    </row>
    <row r="1879" spans="1:20">
      <c r="A1879" s="8">
        <f t="shared" ref="A1879:B1883" si="159">DATE(2012,12,31)-953</f>
        <v>40321</v>
      </c>
      <c r="B1879" s="8">
        <f t="shared" si="159"/>
        <v>40321</v>
      </c>
      <c r="C1879" s="9" t="s">
        <v>1132</v>
      </c>
      <c r="D1879">
        <v>10021446209</v>
      </c>
      <c r="E1879" t="s">
        <v>47</v>
      </c>
      <c r="F1879" t="s">
        <v>55</v>
      </c>
      <c r="G1879" t="s">
        <v>56</v>
      </c>
      <c r="H1879" t="s">
        <v>1658</v>
      </c>
      <c r="I1879" t="s">
        <v>1659</v>
      </c>
      <c r="J1879" t="s">
        <v>367</v>
      </c>
      <c r="K1879" s="3">
        <v>100917085451</v>
      </c>
      <c r="L1879" s="10">
        <v>40323</v>
      </c>
      <c r="M1879">
        <v>121</v>
      </c>
      <c r="N1879" s="11">
        <v>33</v>
      </c>
      <c r="O1879" s="12">
        <v>3.75</v>
      </c>
      <c r="P1879" s="12">
        <v>0.5</v>
      </c>
      <c r="Q1879" s="13">
        <v>51.21</v>
      </c>
      <c r="R1879" s="36" t="s">
        <v>1027</v>
      </c>
      <c r="S1879" s="7">
        <f t="shared" si="157"/>
        <v>2</v>
      </c>
      <c r="T1879" s="15" t="str">
        <f>VLOOKUP(R1879,产品分类!$C$2:$D$1278,2,0)</f>
        <v>数码电子</v>
      </c>
    </row>
    <row r="1880" spans="1:20">
      <c r="A1880" s="8">
        <f t="shared" si="159"/>
        <v>40321</v>
      </c>
      <c r="B1880" s="8">
        <f t="shared" si="159"/>
        <v>40321</v>
      </c>
      <c r="C1880" s="9" t="s">
        <v>1132</v>
      </c>
      <c r="D1880">
        <v>10021387798</v>
      </c>
      <c r="E1880" t="s">
        <v>47</v>
      </c>
      <c r="F1880" t="s">
        <v>122</v>
      </c>
      <c r="G1880" t="s">
        <v>123</v>
      </c>
      <c r="H1880" t="s">
        <v>124</v>
      </c>
      <c r="I1880" t="s">
        <v>125</v>
      </c>
      <c r="J1880" t="s">
        <v>367</v>
      </c>
      <c r="K1880" s="3">
        <v>10014008206</v>
      </c>
      <c r="L1880" s="10">
        <v>40323</v>
      </c>
      <c r="M1880">
        <v>1484.185</v>
      </c>
      <c r="N1880" s="11">
        <v>27</v>
      </c>
      <c r="O1880" s="12">
        <v>65.99</v>
      </c>
      <c r="P1880" s="12">
        <v>4.99</v>
      </c>
      <c r="Q1880" s="13">
        <v>239.247</v>
      </c>
      <c r="R1880" s="36" t="s">
        <v>1800</v>
      </c>
      <c r="S1880" s="7">
        <f t="shared" si="157"/>
        <v>2</v>
      </c>
      <c r="T1880" s="15" t="str">
        <f>VLOOKUP(R1880,产品分类!$C$2:$D$1278,2,0)</f>
        <v>办公用品</v>
      </c>
    </row>
    <row r="1881" spans="1:20">
      <c r="A1881" s="8">
        <f t="shared" si="159"/>
        <v>40321</v>
      </c>
      <c r="B1881" s="8">
        <f t="shared" si="159"/>
        <v>40321</v>
      </c>
      <c r="C1881" s="9" t="s">
        <v>1132</v>
      </c>
      <c r="D1881">
        <v>10021416667</v>
      </c>
      <c r="E1881" t="s">
        <v>47</v>
      </c>
      <c r="F1881" t="s">
        <v>122</v>
      </c>
      <c r="G1881" t="s">
        <v>123</v>
      </c>
      <c r="H1881" t="s">
        <v>124</v>
      </c>
      <c r="I1881" t="s">
        <v>125</v>
      </c>
      <c r="J1881" t="s">
        <v>367</v>
      </c>
      <c r="K1881" s="3">
        <v>100111687728</v>
      </c>
      <c r="L1881" s="10">
        <v>40321</v>
      </c>
      <c r="M1881">
        <v>259.59</v>
      </c>
      <c r="N1881" s="11">
        <v>31</v>
      </c>
      <c r="O1881" s="12">
        <v>8.5</v>
      </c>
      <c r="P1881" s="12">
        <v>1.99</v>
      </c>
      <c r="Q1881" s="13">
        <v>34.79</v>
      </c>
      <c r="R1881" s="36" t="s">
        <v>973</v>
      </c>
      <c r="S1881" s="7">
        <f t="shared" si="157"/>
        <v>0</v>
      </c>
      <c r="T1881" s="15" t="str">
        <f>VLOOKUP(R1881,产品分类!$C$2:$D$1278,2,0)</f>
        <v>办公用品</v>
      </c>
    </row>
    <row r="1882" spans="1:20">
      <c r="A1882" s="8">
        <f t="shared" si="159"/>
        <v>40321</v>
      </c>
      <c r="B1882" s="8">
        <f t="shared" si="159"/>
        <v>40321</v>
      </c>
      <c r="C1882" s="9" t="s">
        <v>1132</v>
      </c>
      <c r="D1882">
        <v>10021414998</v>
      </c>
      <c r="E1882" t="s">
        <v>47</v>
      </c>
      <c r="F1882" t="s">
        <v>132</v>
      </c>
      <c r="G1882" t="s">
        <v>133</v>
      </c>
      <c r="H1882" t="s">
        <v>134</v>
      </c>
      <c r="I1882" t="s">
        <v>133</v>
      </c>
      <c r="J1882" t="s">
        <v>367</v>
      </c>
      <c r="K1882" s="3">
        <v>10019883886</v>
      </c>
      <c r="L1882" s="10">
        <v>40321</v>
      </c>
      <c r="M1882">
        <v>34.93</v>
      </c>
      <c r="N1882" s="11">
        <v>16</v>
      </c>
      <c r="O1882" s="12">
        <v>2.18</v>
      </c>
      <c r="P1882" s="12">
        <v>0.78</v>
      </c>
      <c r="Q1882" s="13">
        <v>-0.0500000000000007</v>
      </c>
      <c r="R1882" s="36" t="s">
        <v>1801</v>
      </c>
      <c r="S1882" s="7">
        <f t="shared" si="157"/>
        <v>0</v>
      </c>
      <c r="T1882" s="15" t="str">
        <f>VLOOKUP(R1882,产品分类!$C$2:$D$1278,2,0)</f>
        <v>办公用品</v>
      </c>
    </row>
    <row r="1883" spans="1:20">
      <c r="A1883" s="8">
        <f t="shared" si="159"/>
        <v>40321</v>
      </c>
      <c r="B1883" s="8">
        <f t="shared" si="159"/>
        <v>40321</v>
      </c>
      <c r="C1883" s="9" t="s">
        <v>1132</v>
      </c>
      <c r="D1883">
        <v>10021294208</v>
      </c>
      <c r="E1883" t="s">
        <v>47</v>
      </c>
      <c r="F1883" t="s">
        <v>132</v>
      </c>
      <c r="G1883" t="s">
        <v>133</v>
      </c>
      <c r="H1883" t="s">
        <v>134</v>
      </c>
      <c r="I1883" t="s">
        <v>133</v>
      </c>
      <c r="J1883" t="s">
        <v>367</v>
      </c>
      <c r="K1883" s="3">
        <v>100911430281</v>
      </c>
      <c r="L1883" s="10">
        <v>40321</v>
      </c>
      <c r="M1883">
        <v>431.06</v>
      </c>
      <c r="N1883" s="11">
        <v>33</v>
      </c>
      <c r="O1883" s="12">
        <v>12.28</v>
      </c>
      <c r="P1883" s="12">
        <v>6.13</v>
      </c>
      <c r="Q1883" s="13">
        <v>-26.78</v>
      </c>
      <c r="R1883" s="36" t="s">
        <v>1802</v>
      </c>
      <c r="S1883" s="7">
        <f t="shared" si="157"/>
        <v>0</v>
      </c>
      <c r="T1883" s="15" t="str">
        <f>VLOOKUP(R1883,产品分类!$C$2:$D$1278,2,0)</f>
        <v>办公用品</v>
      </c>
    </row>
    <row r="1884" spans="1:20">
      <c r="A1884" s="8">
        <f>DATE(2012,12,31)-1394</f>
        <v>39880</v>
      </c>
      <c r="B1884" s="8">
        <f>DATE(2012,12,31)-1394</f>
        <v>39880</v>
      </c>
      <c r="C1884" s="9" t="s">
        <v>1803</v>
      </c>
      <c r="D1884">
        <v>10021261992</v>
      </c>
      <c r="E1884" t="s">
        <v>47</v>
      </c>
      <c r="F1884" t="s">
        <v>97</v>
      </c>
      <c r="G1884" t="s">
        <v>98</v>
      </c>
      <c r="H1884" t="s">
        <v>99</v>
      </c>
      <c r="I1884" t="s">
        <v>98</v>
      </c>
      <c r="J1884" t="s">
        <v>367</v>
      </c>
      <c r="K1884" s="3">
        <v>100829763652</v>
      </c>
      <c r="L1884" s="10">
        <v>39887</v>
      </c>
      <c r="M1884">
        <v>3571.84</v>
      </c>
      <c r="N1884" s="11">
        <v>11</v>
      </c>
      <c r="O1884" s="12">
        <v>300.98</v>
      </c>
      <c r="P1884" s="12">
        <v>64.73</v>
      </c>
      <c r="Q1884" s="13">
        <v>403.81</v>
      </c>
      <c r="R1884" s="36" t="s">
        <v>1063</v>
      </c>
      <c r="S1884" s="7">
        <f t="shared" si="157"/>
        <v>7</v>
      </c>
      <c r="T1884" s="15" t="str">
        <f>VLOOKUP(R1884,产品分类!$C$2:$D$1278,2,0)</f>
        <v>办公用品</v>
      </c>
    </row>
    <row r="1885" spans="1:20">
      <c r="A1885" s="8">
        <f>DATE(2012,12,31)-1394</f>
        <v>39880</v>
      </c>
      <c r="B1885" s="8">
        <f>DATE(2012,12,31)-1394</f>
        <v>39880</v>
      </c>
      <c r="C1885" s="9" t="s">
        <v>1803</v>
      </c>
      <c r="D1885">
        <v>10021431328</v>
      </c>
      <c r="E1885" t="s">
        <v>47</v>
      </c>
      <c r="F1885" t="s">
        <v>132</v>
      </c>
      <c r="G1885" t="s">
        <v>133</v>
      </c>
      <c r="H1885" t="s">
        <v>134</v>
      </c>
      <c r="I1885" t="s">
        <v>133</v>
      </c>
      <c r="J1885" t="s">
        <v>367</v>
      </c>
      <c r="K1885" s="3">
        <v>100432226654</v>
      </c>
      <c r="L1885" s="10">
        <v>39880</v>
      </c>
      <c r="M1885">
        <v>310.44</v>
      </c>
      <c r="N1885" s="11">
        <v>33</v>
      </c>
      <c r="O1885" s="12">
        <v>8.74</v>
      </c>
      <c r="P1885" s="12">
        <v>8.29</v>
      </c>
      <c r="Q1885" s="13">
        <v>-90.21</v>
      </c>
      <c r="R1885" s="36" t="s">
        <v>618</v>
      </c>
      <c r="S1885" s="7">
        <f t="shared" si="157"/>
        <v>0</v>
      </c>
      <c r="T1885" s="15" t="str">
        <f>VLOOKUP(R1885,产品分类!$C$2:$D$1278,2,0)</f>
        <v>办公用品</v>
      </c>
    </row>
    <row r="1886" spans="1:20">
      <c r="A1886" s="16">
        <f>DATE(2012,12,31)-145</f>
        <v>41129</v>
      </c>
      <c r="B1886" s="16">
        <f>DATE(2012,12,31)-145</f>
        <v>41129</v>
      </c>
      <c r="C1886" s="9" t="s">
        <v>619</v>
      </c>
      <c r="D1886">
        <v>10021249498</v>
      </c>
      <c r="E1886" t="s">
        <v>47</v>
      </c>
      <c r="F1886" t="s">
        <v>132</v>
      </c>
      <c r="G1886" t="s">
        <v>133</v>
      </c>
      <c r="H1886" t="s">
        <v>134</v>
      </c>
      <c r="I1886" t="s">
        <v>133</v>
      </c>
      <c r="J1886" t="s">
        <v>367</v>
      </c>
      <c r="K1886" s="3">
        <v>10049645204</v>
      </c>
      <c r="L1886" s="10">
        <v>41129</v>
      </c>
      <c r="M1886">
        <v>27.83</v>
      </c>
      <c r="N1886" s="17">
        <v>2</v>
      </c>
      <c r="O1886" s="5">
        <v>9.71</v>
      </c>
      <c r="P1886" s="5">
        <v>9.45</v>
      </c>
      <c r="Q1886" s="6">
        <v>-22.14</v>
      </c>
      <c r="R1886" s="37" t="s">
        <v>135</v>
      </c>
      <c r="S1886" s="7">
        <f t="shared" si="157"/>
        <v>0</v>
      </c>
      <c r="T1886" s="15" t="str">
        <f>VLOOKUP(R1886,产品分类!$C$2:$D$1278,2,0)</f>
        <v>办公用品</v>
      </c>
    </row>
    <row r="1887" spans="1:20">
      <c r="A1887" s="8">
        <f>DATE(2012,12,31)-631</f>
        <v>40643</v>
      </c>
      <c r="B1887" s="8">
        <f>DATE(2012,12,31)-631</f>
        <v>40643</v>
      </c>
      <c r="C1887" s="9" t="s">
        <v>1019</v>
      </c>
      <c r="D1887">
        <v>10021503419</v>
      </c>
      <c r="E1887" t="s">
        <v>47</v>
      </c>
      <c r="F1887" t="s">
        <v>102</v>
      </c>
      <c r="G1887" t="s">
        <v>103</v>
      </c>
      <c r="H1887" t="s">
        <v>1217</v>
      </c>
      <c r="I1887" t="s">
        <v>1218</v>
      </c>
      <c r="J1887" t="s">
        <v>367</v>
      </c>
      <c r="K1887" s="3">
        <v>100729640135</v>
      </c>
      <c r="L1887" s="10">
        <v>40645</v>
      </c>
      <c r="M1887">
        <v>563.18</v>
      </c>
      <c r="N1887" s="11">
        <v>13</v>
      </c>
      <c r="O1887" s="12">
        <v>40.98</v>
      </c>
      <c r="P1887" s="12">
        <v>7.2</v>
      </c>
      <c r="Q1887" s="13">
        <v>67.98</v>
      </c>
      <c r="R1887" s="36" t="s">
        <v>1750</v>
      </c>
      <c r="S1887" s="7">
        <f t="shared" si="157"/>
        <v>2</v>
      </c>
      <c r="T1887" s="15" t="str">
        <f>VLOOKUP(R1887,产品分类!$C$2:$D$1278,2,0)</f>
        <v>办公用品</v>
      </c>
    </row>
    <row r="1888" spans="1:20">
      <c r="A1888" s="8">
        <f>DATE(2012,12,31)-631</f>
        <v>40643</v>
      </c>
      <c r="B1888" s="8">
        <f>DATE(2012,12,31)-631</f>
        <v>40643</v>
      </c>
      <c r="C1888" s="9" t="s">
        <v>1019</v>
      </c>
      <c r="D1888">
        <v>10021248904</v>
      </c>
      <c r="E1888" t="s">
        <v>47</v>
      </c>
      <c r="F1888" t="s">
        <v>304</v>
      </c>
      <c r="G1888" t="s">
        <v>305</v>
      </c>
      <c r="H1888" t="s">
        <v>1550</v>
      </c>
      <c r="I1888" t="s">
        <v>1551</v>
      </c>
      <c r="J1888" t="s">
        <v>367</v>
      </c>
      <c r="K1888" s="3">
        <v>10094775431</v>
      </c>
      <c r="L1888" s="10">
        <v>40644</v>
      </c>
      <c r="M1888">
        <v>47.45</v>
      </c>
      <c r="N1888" s="11">
        <v>16</v>
      </c>
      <c r="O1888" s="12">
        <v>2.88</v>
      </c>
      <c r="P1888" s="12">
        <v>1.49</v>
      </c>
      <c r="Q1888" s="13">
        <v>1.071</v>
      </c>
      <c r="R1888" s="36" t="s">
        <v>847</v>
      </c>
      <c r="S1888" s="7">
        <f t="shared" si="157"/>
        <v>1</v>
      </c>
      <c r="T1888" s="15" t="str">
        <f>VLOOKUP(R1888,产品分类!$C$2:$D$1278,2,0)</f>
        <v>数码电子</v>
      </c>
    </row>
    <row r="1889" spans="1:20">
      <c r="A1889" s="8">
        <f>DATE(2012,12,31)-29</f>
        <v>41245</v>
      </c>
      <c r="B1889" s="8">
        <f>DATE(2012,12,31)-29</f>
        <v>41245</v>
      </c>
      <c r="C1889" s="9" t="s">
        <v>506</v>
      </c>
      <c r="D1889">
        <v>10021387050</v>
      </c>
      <c r="E1889" t="s">
        <v>47</v>
      </c>
      <c r="F1889" t="s">
        <v>102</v>
      </c>
      <c r="G1889" t="s">
        <v>103</v>
      </c>
      <c r="H1889" t="s">
        <v>1217</v>
      </c>
      <c r="I1889" t="s">
        <v>1218</v>
      </c>
      <c r="J1889" t="s">
        <v>367</v>
      </c>
      <c r="K1889" s="3">
        <v>100415221504</v>
      </c>
      <c r="L1889" s="10">
        <v>41246</v>
      </c>
      <c r="M1889">
        <v>16.97</v>
      </c>
      <c r="N1889" s="11">
        <v>2</v>
      </c>
      <c r="O1889" s="12">
        <v>8.34</v>
      </c>
      <c r="P1889" s="12">
        <v>0.96</v>
      </c>
      <c r="Q1889" s="13">
        <v>-8.8</v>
      </c>
      <c r="R1889" s="36" t="s">
        <v>935</v>
      </c>
      <c r="S1889" s="7">
        <f t="shared" si="157"/>
        <v>1</v>
      </c>
      <c r="T1889" s="15" t="str">
        <f>VLOOKUP(R1889,产品分类!$C$2:$D$1278,2,0)</f>
        <v>办公用品</v>
      </c>
    </row>
    <row r="1890" spans="1:20">
      <c r="A1890" s="8">
        <f>DATE(2012,12,31)-29</f>
        <v>41245</v>
      </c>
      <c r="B1890" s="8">
        <f>DATE(2012,12,31)-29</f>
        <v>41245</v>
      </c>
      <c r="C1890" s="9" t="s">
        <v>506</v>
      </c>
      <c r="D1890">
        <v>10021256232</v>
      </c>
      <c r="E1890" t="s">
        <v>47</v>
      </c>
      <c r="F1890" t="s">
        <v>208</v>
      </c>
      <c r="G1890" t="s">
        <v>209</v>
      </c>
      <c r="H1890" t="s">
        <v>1492</v>
      </c>
      <c r="I1890" t="s">
        <v>1493</v>
      </c>
      <c r="J1890" t="s">
        <v>367</v>
      </c>
      <c r="K1890" s="3">
        <v>100421022463</v>
      </c>
      <c r="L1890" s="10">
        <v>41245</v>
      </c>
      <c r="M1890">
        <v>4077.756</v>
      </c>
      <c r="N1890" s="11">
        <v>42</v>
      </c>
      <c r="O1890" s="12">
        <v>110.99</v>
      </c>
      <c r="P1890" s="12">
        <v>8.99</v>
      </c>
      <c r="Q1890" s="13">
        <v>1086.957</v>
      </c>
      <c r="R1890" s="36" t="s">
        <v>852</v>
      </c>
      <c r="S1890" s="7">
        <f t="shared" si="157"/>
        <v>0</v>
      </c>
      <c r="T1890" s="15" t="str">
        <f>VLOOKUP(R1890,产品分类!$C$2:$D$1278,2,0)</f>
        <v>家具产品</v>
      </c>
    </row>
    <row r="1891" spans="1:20">
      <c r="A1891" s="8">
        <f>DATE(2012,12,31)-228</f>
        <v>41046</v>
      </c>
      <c r="B1891" s="8">
        <f>DATE(2012,12,31)-228</f>
        <v>41046</v>
      </c>
      <c r="C1891" s="9" t="s">
        <v>1804</v>
      </c>
      <c r="D1891">
        <v>10021386912</v>
      </c>
      <c r="E1891" t="s">
        <v>47</v>
      </c>
      <c r="F1891" t="s">
        <v>91</v>
      </c>
      <c r="G1891" t="s">
        <v>92</v>
      </c>
      <c r="H1891" t="s">
        <v>1412</v>
      </c>
      <c r="I1891" t="s">
        <v>1413</v>
      </c>
      <c r="J1891" t="s">
        <v>367</v>
      </c>
      <c r="K1891" s="3">
        <v>100813906542</v>
      </c>
      <c r="L1891" s="10">
        <v>41047</v>
      </c>
      <c r="M1891">
        <v>40.11</v>
      </c>
      <c r="N1891" s="11">
        <v>7</v>
      </c>
      <c r="O1891" s="12">
        <v>5.02</v>
      </c>
      <c r="P1891" s="12">
        <v>5.14</v>
      </c>
      <c r="Q1891" s="13">
        <v>-43.71</v>
      </c>
      <c r="R1891" s="36" t="s">
        <v>597</v>
      </c>
      <c r="S1891" s="7">
        <f t="shared" si="157"/>
        <v>1</v>
      </c>
      <c r="T1891" s="15" t="str">
        <f>VLOOKUP(R1891,产品分类!$C$2:$D$1278,2,0)</f>
        <v>办公用品</v>
      </c>
    </row>
    <row r="1892" spans="1:20">
      <c r="A1892" s="8">
        <f>DATE(2012,12,31)-124</f>
        <v>41150</v>
      </c>
      <c r="B1892" s="8">
        <f>DATE(2012,12,31)-124</f>
        <v>41150</v>
      </c>
      <c r="C1892" s="9" t="s">
        <v>1233</v>
      </c>
      <c r="D1892">
        <v>10021249177</v>
      </c>
      <c r="E1892" t="s">
        <v>47</v>
      </c>
      <c r="F1892" t="s">
        <v>527</v>
      </c>
      <c r="G1892" t="s">
        <v>528</v>
      </c>
      <c r="H1892" t="s">
        <v>1676</v>
      </c>
      <c r="I1892" t="s">
        <v>1677</v>
      </c>
      <c r="J1892" t="s">
        <v>367</v>
      </c>
      <c r="K1892" s="3">
        <v>10013055566</v>
      </c>
      <c r="L1892" s="10">
        <v>41153</v>
      </c>
      <c r="M1892">
        <v>106.1</v>
      </c>
      <c r="N1892" s="11">
        <v>15</v>
      </c>
      <c r="O1892" s="12">
        <v>6.48</v>
      </c>
      <c r="P1892" s="12">
        <v>8.19</v>
      </c>
      <c r="Q1892" s="13">
        <v>-65.67</v>
      </c>
      <c r="R1892" s="36" t="s">
        <v>120</v>
      </c>
      <c r="S1892" s="7">
        <f t="shared" si="157"/>
        <v>3</v>
      </c>
      <c r="T1892" s="15" t="str">
        <f>VLOOKUP(R1892,产品分类!$C$2:$D$1278,2,0)</f>
        <v>家具产品</v>
      </c>
    </row>
    <row r="1893" spans="1:20">
      <c r="A1893" s="8">
        <f>DATE(2012,12,31)-137</f>
        <v>41137</v>
      </c>
      <c r="B1893" s="8">
        <f>DATE(2012,12,31)-137</f>
        <v>41137</v>
      </c>
      <c r="C1893" s="9" t="s">
        <v>551</v>
      </c>
      <c r="D1893">
        <v>10021459454</v>
      </c>
      <c r="E1893" t="s">
        <v>47</v>
      </c>
      <c r="F1893" t="s">
        <v>527</v>
      </c>
      <c r="G1893" t="s">
        <v>528</v>
      </c>
      <c r="H1893" t="s">
        <v>1676</v>
      </c>
      <c r="I1893" t="s">
        <v>1677</v>
      </c>
      <c r="J1893" t="s">
        <v>367</v>
      </c>
      <c r="K1893" s="3">
        <v>10031124219</v>
      </c>
      <c r="L1893" s="10">
        <v>41141</v>
      </c>
      <c r="M1893">
        <v>822.91</v>
      </c>
      <c r="N1893" s="11">
        <v>17</v>
      </c>
      <c r="O1893" s="12">
        <v>49.43</v>
      </c>
      <c r="P1893" s="12">
        <v>19.99</v>
      </c>
      <c r="Q1893" s="13">
        <v>-94.76</v>
      </c>
      <c r="R1893" s="36" t="s">
        <v>1805</v>
      </c>
      <c r="S1893" s="7">
        <f t="shared" si="157"/>
        <v>4</v>
      </c>
      <c r="T1893" s="15" t="str">
        <f>VLOOKUP(R1893,产品分类!$C$2:$D$1278,2,0)</f>
        <v>家具产品</v>
      </c>
    </row>
    <row r="1894" spans="1:20">
      <c r="A1894" s="8">
        <f>DATE(2012,12,31)-1448</f>
        <v>39826</v>
      </c>
      <c r="B1894" s="8">
        <f>DATE(2012,12,31)-1448</f>
        <v>39826</v>
      </c>
      <c r="C1894" s="9" t="s">
        <v>1560</v>
      </c>
      <c r="D1894">
        <v>10021388543</v>
      </c>
      <c r="E1894" t="s">
        <v>47</v>
      </c>
      <c r="F1894" t="s">
        <v>171</v>
      </c>
      <c r="G1894" t="s">
        <v>172</v>
      </c>
      <c r="H1894" t="s">
        <v>1712</v>
      </c>
      <c r="I1894" t="s">
        <v>1713</v>
      </c>
      <c r="J1894" t="s">
        <v>367</v>
      </c>
      <c r="K1894" s="3">
        <v>100929304381</v>
      </c>
      <c r="L1894" s="10">
        <v>39831</v>
      </c>
      <c r="M1894">
        <v>445.34</v>
      </c>
      <c r="N1894" s="11">
        <v>3</v>
      </c>
      <c r="O1894" s="12">
        <v>145.45</v>
      </c>
      <c r="P1894" s="12">
        <v>17.85</v>
      </c>
      <c r="Q1894" s="13">
        <v>-377.9019</v>
      </c>
      <c r="R1894" s="36" t="s">
        <v>322</v>
      </c>
      <c r="S1894" s="7">
        <f t="shared" si="157"/>
        <v>5</v>
      </c>
      <c r="T1894" s="15" t="str">
        <f>VLOOKUP(R1894,产品分类!$C$2:$D$1278,2,0)</f>
        <v>家具产品</v>
      </c>
    </row>
    <row r="1895" spans="1:20">
      <c r="A1895" s="8">
        <f>DATE(2012,12,31)-1448</f>
        <v>39826</v>
      </c>
      <c r="B1895" s="8">
        <f>DATE(2012,12,31)-1448</f>
        <v>39826</v>
      </c>
      <c r="C1895" s="9" t="s">
        <v>1560</v>
      </c>
      <c r="D1895">
        <v>10021450465</v>
      </c>
      <c r="E1895" t="s">
        <v>47</v>
      </c>
      <c r="F1895" t="s">
        <v>171</v>
      </c>
      <c r="G1895" t="s">
        <v>172</v>
      </c>
      <c r="H1895" t="s">
        <v>1712</v>
      </c>
      <c r="I1895" t="s">
        <v>1713</v>
      </c>
      <c r="J1895" t="s">
        <v>367</v>
      </c>
      <c r="K1895" s="3">
        <v>100929300331</v>
      </c>
      <c r="L1895" s="10">
        <v>39826</v>
      </c>
      <c r="M1895">
        <v>660.99</v>
      </c>
      <c r="N1895" s="11">
        <v>13</v>
      </c>
      <c r="O1895" s="12">
        <v>48.04</v>
      </c>
      <c r="P1895" s="12">
        <v>5.09</v>
      </c>
      <c r="Q1895" s="13">
        <v>267.67</v>
      </c>
      <c r="R1895" s="36" t="s">
        <v>1333</v>
      </c>
      <c r="S1895" s="7">
        <f t="shared" si="157"/>
        <v>0</v>
      </c>
      <c r="T1895" s="15" t="str">
        <f>VLOOKUP(R1895,产品分类!$C$2:$D$1278,2,0)</f>
        <v>办公用品</v>
      </c>
    </row>
    <row r="1896" spans="1:20">
      <c r="A1896" s="8">
        <f>DATE(2012,12,31)-1428</f>
        <v>39846</v>
      </c>
      <c r="B1896" s="8">
        <f>DATE(2012,12,31)-1428</f>
        <v>39846</v>
      </c>
      <c r="C1896" s="9" t="s">
        <v>989</v>
      </c>
      <c r="D1896">
        <v>10021509669</v>
      </c>
      <c r="E1896" t="s">
        <v>47</v>
      </c>
      <c r="F1896" t="s">
        <v>527</v>
      </c>
      <c r="G1896" t="s">
        <v>528</v>
      </c>
      <c r="H1896" t="s">
        <v>1676</v>
      </c>
      <c r="I1896" t="s">
        <v>1677</v>
      </c>
      <c r="J1896" t="s">
        <v>367</v>
      </c>
      <c r="K1896" s="3">
        <v>100332384389</v>
      </c>
      <c r="L1896" s="10">
        <v>39848</v>
      </c>
      <c r="M1896">
        <v>3152.75</v>
      </c>
      <c r="N1896" s="11">
        <v>38</v>
      </c>
      <c r="O1896" s="12">
        <v>83.1</v>
      </c>
      <c r="P1896" s="12">
        <v>6.13</v>
      </c>
      <c r="Q1896" s="13">
        <v>1166.4</v>
      </c>
      <c r="R1896" s="36" t="s">
        <v>1148</v>
      </c>
      <c r="S1896" s="7">
        <f t="shared" si="157"/>
        <v>2</v>
      </c>
      <c r="T1896" s="15" t="str">
        <f>VLOOKUP(R1896,产品分类!$C$2:$D$1278,2,0)</f>
        <v>家具产品</v>
      </c>
    </row>
    <row r="1897" spans="1:20">
      <c r="A1897" s="8">
        <f>DATE(2012,12,31)-1428</f>
        <v>39846</v>
      </c>
      <c r="B1897" s="8">
        <f>DATE(2012,12,31)-1428</f>
        <v>39846</v>
      </c>
      <c r="C1897" s="9" t="s">
        <v>989</v>
      </c>
      <c r="D1897">
        <v>10021511986</v>
      </c>
      <c r="E1897" t="s">
        <v>47</v>
      </c>
      <c r="F1897" t="s">
        <v>527</v>
      </c>
      <c r="G1897" t="s">
        <v>528</v>
      </c>
      <c r="H1897" t="s">
        <v>1676</v>
      </c>
      <c r="I1897" t="s">
        <v>1677</v>
      </c>
      <c r="J1897" t="s">
        <v>367</v>
      </c>
      <c r="K1897" s="3">
        <v>100432749023</v>
      </c>
      <c r="L1897" s="10">
        <v>39849</v>
      </c>
      <c r="M1897">
        <v>3609.88</v>
      </c>
      <c r="N1897" s="11">
        <v>42</v>
      </c>
      <c r="O1897" s="12">
        <v>90.98</v>
      </c>
      <c r="P1897" s="12">
        <v>56.2</v>
      </c>
      <c r="Q1897" s="13">
        <v>-1396.22</v>
      </c>
      <c r="R1897" s="36" t="s">
        <v>1089</v>
      </c>
      <c r="S1897" s="7">
        <f t="shared" si="157"/>
        <v>3</v>
      </c>
      <c r="T1897" s="15" t="str">
        <f>VLOOKUP(R1897,产品分类!$C$2:$D$1278,2,0)</f>
        <v>办公用品</v>
      </c>
    </row>
    <row r="1898" spans="1:20">
      <c r="A1898" s="8">
        <f>DATE(2012,12,31)-1345</f>
        <v>39929</v>
      </c>
      <c r="B1898" s="8">
        <f>DATE(2012,12,31)-1345</f>
        <v>39929</v>
      </c>
      <c r="C1898" s="9" t="s">
        <v>388</v>
      </c>
      <c r="D1898">
        <v>10021444214</v>
      </c>
      <c r="E1898" t="s">
        <v>47</v>
      </c>
      <c r="F1898" t="s">
        <v>171</v>
      </c>
      <c r="G1898" t="s">
        <v>172</v>
      </c>
      <c r="H1898" t="s">
        <v>1712</v>
      </c>
      <c r="I1898" t="s">
        <v>1713</v>
      </c>
      <c r="J1898" t="s">
        <v>367</v>
      </c>
      <c r="K1898" s="3">
        <v>10016112956</v>
      </c>
      <c r="L1898" s="10">
        <v>39931</v>
      </c>
      <c r="M1898">
        <v>109.86</v>
      </c>
      <c r="N1898" s="11">
        <v>34</v>
      </c>
      <c r="O1898" s="12">
        <v>3.38</v>
      </c>
      <c r="P1898" s="12">
        <v>0.85</v>
      </c>
      <c r="Q1898" s="13">
        <v>19.04</v>
      </c>
      <c r="R1898" s="36" t="s">
        <v>1709</v>
      </c>
      <c r="S1898" s="7">
        <f t="shared" si="157"/>
        <v>2</v>
      </c>
      <c r="T1898" s="15" t="str">
        <f>VLOOKUP(R1898,产品分类!$C$2:$D$1278,2,0)</f>
        <v>办公用品</v>
      </c>
    </row>
    <row r="1899" spans="1:20">
      <c r="A1899" s="8">
        <f t="shared" ref="A1899:B1901" si="160">DATE(2012,12,31)-774</f>
        <v>40500</v>
      </c>
      <c r="B1899" s="8">
        <f t="shared" si="160"/>
        <v>40500</v>
      </c>
      <c r="C1899" s="9" t="s">
        <v>1528</v>
      </c>
      <c r="D1899">
        <v>10021265216</v>
      </c>
      <c r="E1899" t="s">
        <v>47</v>
      </c>
      <c r="F1899" t="s">
        <v>171</v>
      </c>
      <c r="G1899" t="s">
        <v>172</v>
      </c>
      <c r="H1899" t="s">
        <v>1712</v>
      </c>
      <c r="I1899" t="s">
        <v>1713</v>
      </c>
      <c r="J1899" t="s">
        <v>367</v>
      </c>
      <c r="K1899" s="3">
        <v>100825709142</v>
      </c>
      <c r="L1899" s="10">
        <v>40501</v>
      </c>
      <c r="M1899">
        <v>440.6</v>
      </c>
      <c r="N1899" s="11">
        <v>12</v>
      </c>
      <c r="O1899" s="12">
        <v>39.48</v>
      </c>
      <c r="P1899" s="12">
        <v>1.99</v>
      </c>
      <c r="Q1899" s="13">
        <v>2.97000000000001</v>
      </c>
      <c r="R1899" s="36" t="s">
        <v>235</v>
      </c>
      <c r="S1899" s="7">
        <f t="shared" si="157"/>
        <v>1</v>
      </c>
      <c r="T1899" s="15" t="str">
        <f>VLOOKUP(R1899,产品分类!$C$2:$D$1278,2,0)</f>
        <v>办公用品</v>
      </c>
    </row>
    <row r="1900" spans="1:20">
      <c r="A1900" s="8">
        <f t="shared" si="160"/>
        <v>40500</v>
      </c>
      <c r="B1900" s="8">
        <f t="shared" si="160"/>
        <v>40500</v>
      </c>
      <c r="C1900" s="9" t="s">
        <v>1528</v>
      </c>
      <c r="D1900">
        <v>10021494002</v>
      </c>
      <c r="E1900" t="s">
        <v>47</v>
      </c>
      <c r="F1900" t="s">
        <v>183</v>
      </c>
      <c r="G1900" t="s">
        <v>184</v>
      </c>
      <c r="H1900" t="s">
        <v>1716</v>
      </c>
      <c r="I1900" t="s">
        <v>1717</v>
      </c>
      <c r="J1900" t="s">
        <v>367</v>
      </c>
      <c r="K1900" s="3">
        <v>10019550597</v>
      </c>
      <c r="L1900" s="10">
        <v>40501</v>
      </c>
      <c r="M1900">
        <v>109.9</v>
      </c>
      <c r="N1900" s="11">
        <v>37</v>
      </c>
      <c r="O1900" s="12">
        <v>2.61</v>
      </c>
      <c r="P1900" s="12">
        <v>0.5</v>
      </c>
      <c r="Q1900" s="13">
        <v>48.52</v>
      </c>
      <c r="R1900" s="36" t="s">
        <v>624</v>
      </c>
      <c r="S1900" s="7">
        <f t="shared" si="157"/>
        <v>1</v>
      </c>
      <c r="T1900" s="15" t="str">
        <f>VLOOKUP(R1900,产品分类!$C$2:$D$1278,2,0)</f>
        <v>数码电子</v>
      </c>
    </row>
    <row r="1901" spans="1:20">
      <c r="A1901" s="8">
        <f t="shared" si="160"/>
        <v>40500</v>
      </c>
      <c r="B1901" s="8">
        <f t="shared" si="160"/>
        <v>40500</v>
      </c>
      <c r="C1901" s="9" t="s">
        <v>1528</v>
      </c>
      <c r="D1901">
        <v>10021430484</v>
      </c>
      <c r="E1901" t="s">
        <v>47</v>
      </c>
      <c r="F1901" t="s">
        <v>177</v>
      </c>
      <c r="G1901" t="s">
        <v>178</v>
      </c>
      <c r="H1901" t="s">
        <v>1292</v>
      </c>
      <c r="I1901" t="s">
        <v>1293</v>
      </c>
      <c r="J1901" t="s">
        <v>367</v>
      </c>
      <c r="K1901" s="3">
        <v>100114859517</v>
      </c>
      <c r="L1901" s="10">
        <v>40502</v>
      </c>
      <c r="M1901">
        <v>315.29</v>
      </c>
      <c r="N1901" s="11">
        <v>13</v>
      </c>
      <c r="O1901" s="12">
        <v>20.34</v>
      </c>
      <c r="P1901" s="12">
        <v>35</v>
      </c>
      <c r="Q1901" s="13">
        <v>-361.82</v>
      </c>
      <c r="R1901" s="36" t="s">
        <v>1783</v>
      </c>
      <c r="S1901" s="7">
        <f t="shared" si="157"/>
        <v>2</v>
      </c>
      <c r="T1901" s="15" t="str">
        <f>VLOOKUP(R1901,产品分类!$C$2:$D$1278,2,0)</f>
        <v>办公用品</v>
      </c>
    </row>
    <row r="1902" spans="1:20">
      <c r="A1902" s="8">
        <f>DATE(2012,12,31)-1392</f>
        <v>39882</v>
      </c>
      <c r="B1902" s="8">
        <f>DATE(2012,12,31)-1392</f>
        <v>39882</v>
      </c>
      <c r="C1902" s="9" t="s">
        <v>766</v>
      </c>
      <c r="D1902">
        <v>10021252605</v>
      </c>
      <c r="E1902" t="s">
        <v>47</v>
      </c>
      <c r="F1902" t="s">
        <v>127</v>
      </c>
      <c r="G1902" t="s">
        <v>128</v>
      </c>
      <c r="H1902" t="s">
        <v>1366</v>
      </c>
      <c r="I1902" t="s">
        <v>1367</v>
      </c>
      <c r="J1902" t="s">
        <v>367</v>
      </c>
      <c r="K1902" s="3">
        <v>100712294435</v>
      </c>
      <c r="L1902" s="10">
        <v>39884</v>
      </c>
      <c r="M1902">
        <v>608.93</v>
      </c>
      <c r="N1902" s="11">
        <v>6</v>
      </c>
      <c r="O1902" s="12">
        <v>99.99</v>
      </c>
      <c r="P1902" s="12">
        <v>19.99</v>
      </c>
      <c r="Q1902" s="13">
        <v>-193.9578</v>
      </c>
      <c r="R1902" s="36" t="s">
        <v>1379</v>
      </c>
      <c r="S1902" s="7">
        <f t="shared" si="157"/>
        <v>2</v>
      </c>
      <c r="T1902" s="15" t="str">
        <f>VLOOKUP(R1902,产品分类!$C$2:$D$1278,2,0)</f>
        <v>家具产品</v>
      </c>
    </row>
    <row r="1903" spans="1:20">
      <c r="A1903" s="8">
        <f>DATE(2012,12,31)-272</f>
        <v>41002</v>
      </c>
      <c r="B1903" s="8">
        <f>DATE(2012,12,31)-272</f>
        <v>41002</v>
      </c>
      <c r="C1903" s="9" t="s">
        <v>598</v>
      </c>
      <c r="D1903">
        <v>10021419014</v>
      </c>
      <c r="E1903" t="s">
        <v>47</v>
      </c>
      <c r="F1903" t="s">
        <v>342</v>
      </c>
      <c r="G1903" t="s">
        <v>343</v>
      </c>
      <c r="H1903" t="s">
        <v>1806</v>
      </c>
      <c r="I1903" t="s">
        <v>1807</v>
      </c>
      <c r="J1903" t="s">
        <v>367</v>
      </c>
      <c r="K1903" s="3">
        <v>100722778095</v>
      </c>
      <c r="L1903" s="10">
        <v>41003</v>
      </c>
      <c r="M1903">
        <v>2703.37</v>
      </c>
      <c r="N1903" s="11">
        <v>18</v>
      </c>
      <c r="O1903" s="12">
        <v>150.98</v>
      </c>
      <c r="P1903" s="12">
        <v>57.2</v>
      </c>
      <c r="Q1903" s="13">
        <v>-231.6</v>
      </c>
      <c r="R1903" s="36" t="s">
        <v>1808</v>
      </c>
      <c r="S1903" s="7">
        <f t="shared" si="157"/>
        <v>1</v>
      </c>
      <c r="T1903" s="15" t="str">
        <f>VLOOKUP(R1903,产品分类!$C$2:$D$1278,2,0)</f>
        <v>办公用品</v>
      </c>
    </row>
    <row r="1904" spans="1:20">
      <c r="A1904" s="8">
        <f>DATE(2012,12,31)-272</f>
        <v>41002</v>
      </c>
      <c r="B1904" s="8">
        <f>DATE(2012,12,31)-272</f>
        <v>41002</v>
      </c>
      <c r="C1904" s="9" t="s">
        <v>598</v>
      </c>
      <c r="D1904">
        <v>10021258699</v>
      </c>
      <c r="E1904" t="s">
        <v>47</v>
      </c>
      <c r="F1904" t="s">
        <v>61</v>
      </c>
      <c r="G1904" t="s">
        <v>62</v>
      </c>
      <c r="H1904" t="s">
        <v>47</v>
      </c>
      <c r="I1904" t="s">
        <v>1778</v>
      </c>
      <c r="J1904" t="s">
        <v>367</v>
      </c>
      <c r="K1904" s="3">
        <v>100427303564</v>
      </c>
      <c r="L1904" s="10">
        <v>41003</v>
      </c>
      <c r="M1904">
        <v>1538.17</v>
      </c>
      <c r="N1904" s="11">
        <v>39</v>
      </c>
      <c r="O1904" s="12">
        <v>38.94</v>
      </c>
      <c r="P1904" s="12">
        <v>35</v>
      </c>
      <c r="Q1904" s="13">
        <v>-1119.64</v>
      </c>
      <c r="R1904" s="36" t="s">
        <v>53</v>
      </c>
      <c r="S1904" s="7">
        <f t="shared" si="157"/>
        <v>1</v>
      </c>
      <c r="T1904" s="15" t="str">
        <f>VLOOKUP(R1904,产品分类!$C$2:$D$1278,2,0)</f>
        <v>数码电子</v>
      </c>
    </row>
    <row r="1905" spans="1:20">
      <c r="A1905" s="8">
        <f>DATE(2012,12,31)-623</f>
        <v>40651</v>
      </c>
      <c r="B1905" s="8">
        <f>DATE(2012,12,31)-623</f>
        <v>40651</v>
      </c>
      <c r="C1905" s="9" t="s">
        <v>803</v>
      </c>
      <c r="D1905">
        <v>10021483641</v>
      </c>
      <c r="E1905" t="s">
        <v>47</v>
      </c>
      <c r="F1905" t="s">
        <v>61</v>
      </c>
      <c r="G1905" t="s">
        <v>62</v>
      </c>
      <c r="H1905" t="s">
        <v>47</v>
      </c>
      <c r="I1905" t="s">
        <v>1778</v>
      </c>
      <c r="J1905" t="s">
        <v>367</v>
      </c>
      <c r="K1905" s="3">
        <v>100125711987</v>
      </c>
      <c r="L1905" s="10">
        <v>40651</v>
      </c>
      <c r="M1905">
        <v>1824.13</v>
      </c>
      <c r="N1905" s="11">
        <v>46</v>
      </c>
      <c r="O1905" s="12">
        <v>39.98</v>
      </c>
      <c r="P1905" s="12">
        <v>7.12</v>
      </c>
      <c r="Q1905" s="13">
        <v>104.51</v>
      </c>
      <c r="R1905" s="36" t="s">
        <v>1547</v>
      </c>
      <c r="S1905" s="7">
        <f t="shared" si="157"/>
        <v>0</v>
      </c>
      <c r="T1905" s="15" t="str">
        <f>VLOOKUP(R1905,产品分类!$C$2:$D$1278,2,0)</f>
        <v>办公用品</v>
      </c>
    </row>
    <row r="1906" spans="1:20">
      <c r="A1906" s="8">
        <f>DATE(2012,12,31)-623</f>
        <v>40651</v>
      </c>
      <c r="B1906" s="8">
        <f>DATE(2012,12,31)-623</f>
        <v>40651</v>
      </c>
      <c r="C1906" s="9" t="s">
        <v>803</v>
      </c>
      <c r="D1906">
        <v>10021420816</v>
      </c>
      <c r="E1906" t="s">
        <v>47</v>
      </c>
      <c r="F1906" t="s">
        <v>61</v>
      </c>
      <c r="G1906" t="s">
        <v>62</v>
      </c>
      <c r="H1906" t="s">
        <v>47</v>
      </c>
      <c r="I1906" t="s">
        <v>1778</v>
      </c>
      <c r="J1906" t="s">
        <v>367</v>
      </c>
      <c r="K1906" s="3">
        <v>100125210857</v>
      </c>
      <c r="L1906" s="10">
        <v>40652</v>
      </c>
      <c r="M1906">
        <v>151.38</v>
      </c>
      <c r="N1906" s="11">
        <v>27</v>
      </c>
      <c r="O1906" s="12">
        <v>5.58</v>
      </c>
      <c r="P1906" s="12">
        <v>5.3</v>
      </c>
      <c r="Q1906" s="13">
        <v>-55.61</v>
      </c>
      <c r="R1906" s="36" t="s">
        <v>892</v>
      </c>
      <c r="S1906" s="7">
        <f t="shared" si="157"/>
        <v>1</v>
      </c>
      <c r="T1906" s="15" t="str">
        <f>VLOOKUP(R1906,产品分类!$C$2:$D$1278,2,0)</f>
        <v>家具产品</v>
      </c>
    </row>
    <row r="1907" spans="1:20">
      <c r="A1907" s="8">
        <f>DATE(2012,12,31)-1340</f>
        <v>39934</v>
      </c>
      <c r="B1907" s="8">
        <f>DATE(2012,12,31)-1340</f>
        <v>39934</v>
      </c>
      <c r="C1907" s="9" t="s">
        <v>1118</v>
      </c>
      <c r="D1907">
        <v>10021505850</v>
      </c>
      <c r="E1907" t="s">
        <v>47</v>
      </c>
      <c r="F1907" t="s">
        <v>61</v>
      </c>
      <c r="G1907" t="s">
        <v>62</v>
      </c>
      <c r="H1907" t="s">
        <v>47</v>
      </c>
      <c r="I1907" t="s">
        <v>1778</v>
      </c>
      <c r="J1907" t="s">
        <v>367</v>
      </c>
      <c r="K1907" s="3">
        <v>100131139076</v>
      </c>
      <c r="L1907" s="10">
        <v>39935</v>
      </c>
      <c r="M1907">
        <v>149</v>
      </c>
      <c r="N1907" s="11">
        <v>28</v>
      </c>
      <c r="O1907" s="12">
        <v>4.98</v>
      </c>
      <c r="P1907" s="12">
        <v>7.44</v>
      </c>
      <c r="Q1907" s="13">
        <v>-119.48</v>
      </c>
      <c r="R1907" s="36" t="s">
        <v>287</v>
      </c>
      <c r="S1907" s="7">
        <f t="shared" si="157"/>
        <v>1</v>
      </c>
      <c r="T1907" s="15" t="str">
        <f>VLOOKUP(R1907,产品分类!$C$2:$D$1278,2,0)</f>
        <v>办公用品</v>
      </c>
    </row>
    <row r="1908" spans="1:20">
      <c r="A1908" s="8">
        <f>DATE(2012,12,31)-1340</f>
        <v>39934</v>
      </c>
      <c r="B1908" s="8">
        <f>DATE(2012,12,31)-1340</f>
        <v>39934</v>
      </c>
      <c r="C1908" s="9" t="s">
        <v>1118</v>
      </c>
      <c r="D1908">
        <v>10021507209</v>
      </c>
      <c r="E1908" t="s">
        <v>47</v>
      </c>
      <c r="F1908" t="s">
        <v>61</v>
      </c>
      <c r="G1908" t="s">
        <v>62</v>
      </c>
      <c r="H1908" t="s">
        <v>47</v>
      </c>
      <c r="I1908" t="s">
        <v>1778</v>
      </c>
      <c r="J1908" t="s">
        <v>367</v>
      </c>
      <c r="K1908" s="3">
        <v>100812709812</v>
      </c>
      <c r="L1908" s="10">
        <v>39936</v>
      </c>
      <c r="M1908">
        <v>334.29</v>
      </c>
      <c r="N1908" s="11">
        <v>49</v>
      </c>
      <c r="O1908" s="12">
        <v>6.48</v>
      </c>
      <c r="P1908" s="12">
        <v>7.37</v>
      </c>
      <c r="Q1908" s="13">
        <v>-157.28</v>
      </c>
      <c r="R1908" s="36" t="s">
        <v>1045</v>
      </c>
      <c r="S1908" s="7">
        <f t="shared" si="157"/>
        <v>2</v>
      </c>
      <c r="T1908" s="15" t="str">
        <f>VLOOKUP(R1908,产品分类!$C$2:$D$1278,2,0)</f>
        <v>数码电子</v>
      </c>
    </row>
    <row r="1909" spans="1:20">
      <c r="A1909" s="8">
        <f>DATE(2012,12,31)-1439</f>
        <v>39835</v>
      </c>
      <c r="B1909" s="8">
        <f>DATE(2012,12,31)-1439</f>
        <v>39835</v>
      </c>
      <c r="C1909" s="9" t="s">
        <v>462</v>
      </c>
      <c r="D1909">
        <v>10021343919</v>
      </c>
      <c r="E1909" t="s">
        <v>47</v>
      </c>
      <c r="F1909" t="s">
        <v>61</v>
      </c>
      <c r="G1909" t="s">
        <v>62</v>
      </c>
      <c r="H1909" t="s">
        <v>47</v>
      </c>
      <c r="I1909" t="s">
        <v>1778</v>
      </c>
      <c r="J1909" t="s">
        <v>367</v>
      </c>
      <c r="K1909" s="3">
        <v>100429207433</v>
      </c>
      <c r="L1909" s="10">
        <v>39839</v>
      </c>
      <c r="M1909">
        <v>28180.08</v>
      </c>
      <c r="N1909" s="11">
        <v>32</v>
      </c>
      <c r="O1909" s="12">
        <v>880.98</v>
      </c>
      <c r="P1909" s="12">
        <v>44.55</v>
      </c>
      <c r="Q1909" s="13">
        <v>7513.88</v>
      </c>
      <c r="R1909" s="36" t="s">
        <v>706</v>
      </c>
      <c r="S1909" s="7">
        <f t="shared" si="157"/>
        <v>4</v>
      </c>
      <c r="T1909" s="15" t="str">
        <f>VLOOKUP(R1909,产品分类!$C$2:$D$1278,2,0)</f>
        <v>办公用品</v>
      </c>
    </row>
    <row r="1910" spans="1:20">
      <c r="A1910" s="8">
        <f>DATE(2012,12,31)-458</f>
        <v>40816</v>
      </c>
      <c r="B1910" s="8">
        <f>DATE(2012,12,31)-458</f>
        <v>40816</v>
      </c>
      <c r="C1910" s="9" t="s">
        <v>853</v>
      </c>
      <c r="D1910">
        <v>10021252841</v>
      </c>
      <c r="E1910" t="s">
        <v>47</v>
      </c>
      <c r="F1910" t="s">
        <v>61</v>
      </c>
      <c r="G1910" t="s">
        <v>62</v>
      </c>
      <c r="H1910" t="s">
        <v>47</v>
      </c>
      <c r="I1910" t="s">
        <v>1778</v>
      </c>
      <c r="J1910" t="s">
        <v>367</v>
      </c>
      <c r="K1910" s="3">
        <v>100115428208</v>
      </c>
      <c r="L1910" s="10">
        <v>40818</v>
      </c>
      <c r="M1910">
        <v>682.77</v>
      </c>
      <c r="N1910" s="11">
        <v>49</v>
      </c>
      <c r="O1910" s="12">
        <v>14.48</v>
      </c>
      <c r="P1910" s="12">
        <v>1.99</v>
      </c>
      <c r="Q1910" s="13">
        <v>165.2</v>
      </c>
      <c r="R1910" s="36" t="s">
        <v>696</v>
      </c>
      <c r="S1910" s="7">
        <f t="shared" si="157"/>
        <v>2</v>
      </c>
      <c r="T1910" s="15" t="str">
        <f>VLOOKUP(R1910,产品分类!$C$2:$D$1278,2,0)</f>
        <v>办公用品</v>
      </c>
    </row>
    <row r="1911" spans="1:20">
      <c r="A1911" s="8">
        <f>DATE(2012,12,31)-311</f>
        <v>40963</v>
      </c>
      <c r="B1911" s="8">
        <f>DATE(2012,12,31)-311</f>
        <v>40963</v>
      </c>
      <c r="C1911" s="9" t="s">
        <v>1234</v>
      </c>
      <c r="D1911">
        <v>10021301639</v>
      </c>
      <c r="E1911" t="s">
        <v>47</v>
      </c>
      <c r="F1911" t="s">
        <v>83</v>
      </c>
      <c r="G1911" t="s">
        <v>84</v>
      </c>
      <c r="H1911" t="s">
        <v>1259</v>
      </c>
      <c r="I1911" t="s">
        <v>1260</v>
      </c>
      <c r="J1911" t="s">
        <v>367</v>
      </c>
      <c r="K1911" s="3">
        <v>10041912674</v>
      </c>
      <c r="L1911" s="10">
        <v>40965</v>
      </c>
      <c r="M1911">
        <v>282.61</v>
      </c>
      <c r="N1911" s="11">
        <v>42</v>
      </c>
      <c r="O1911" s="12">
        <v>6.24</v>
      </c>
      <c r="P1911" s="12">
        <v>5.22</v>
      </c>
      <c r="Q1911" s="13">
        <v>-106.36</v>
      </c>
      <c r="R1911" s="36" t="s">
        <v>368</v>
      </c>
      <c r="S1911" s="7">
        <f t="shared" si="157"/>
        <v>2</v>
      </c>
      <c r="T1911" s="15" t="str">
        <f>VLOOKUP(R1911,产品分类!$C$2:$D$1278,2,0)</f>
        <v>办公用品</v>
      </c>
    </row>
    <row r="1912" spans="1:20">
      <c r="A1912" s="16">
        <f>DATE(2012,12,31)-222</f>
        <v>41052</v>
      </c>
      <c r="B1912" s="16">
        <f>DATE(2012,12,31)-222</f>
        <v>41052</v>
      </c>
      <c r="C1912" s="9" t="s">
        <v>264</v>
      </c>
      <c r="D1912">
        <v>10021333873</v>
      </c>
      <c r="E1912" t="s">
        <v>47</v>
      </c>
      <c r="F1912" t="s">
        <v>61</v>
      </c>
      <c r="G1912" t="s">
        <v>62</v>
      </c>
      <c r="H1912" t="s">
        <v>47</v>
      </c>
      <c r="I1912" t="s">
        <v>1778</v>
      </c>
      <c r="J1912" t="s">
        <v>367</v>
      </c>
      <c r="K1912" s="3">
        <v>100714454985</v>
      </c>
      <c r="L1912" s="10">
        <v>41055</v>
      </c>
      <c r="M1912">
        <v>116.37</v>
      </c>
      <c r="N1912" s="17">
        <v>27</v>
      </c>
      <c r="O1912" s="5">
        <v>3.69</v>
      </c>
      <c r="P1912" s="5">
        <v>0.5</v>
      </c>
      <c r="Q1912" s="6">
        <v>57.63</v>
      </c>
      <c r="R1912" s="37" t="s">
        <v>241</v>
      </c>
      <c r="S1912" s="7">
        <f t="shared" si="157"/>
        <v>3</v>
      </c>
      <c r="T1912" s="15" t="str">
        <f>VLOOKUP(R1912,产品分类!$C$2:$D$1278,2,0)</f>
        <v>数码电子</v>
      </c>
    </row>
    <row r="1913" spans="1:20">
      <c r="A1913" s="8">
        <f>DATE(2012,12,31)-478</f>
        <v>40796</v>
      </c>
      <c r="B1913" s="8">
        <f>DATE(2012,12,31)-478</f>
        <v>40796</v>
      </c>
      <c r="C1913" s="9" t="s">
        <v>653</v>
      </c>
      <c r="D1913">
        <v>10021422059</v>
      </c>
      <c r="E1913" t="s">
        <v>47</v>
      </c>
      <c r="F1913" t="s">
        <v>61</v>
      </c>
      <c r="G1913" t="s">
        <v>62</v>
      </c>
      <c r="H1913" t="s">
        <v>47</v>
      </c>
      <c r="I1913" t="s">
        <v>1778</v>
      </c>
      <c r="J1913" t="s">
        <v>367</v>
      </c>
      <c r="K1913" s="3">
        <v>100326800509</v>
      </c>
      <c r="L1913" s="10">
        <v>40800</v>
      </c>
      <c r="M1913">
        <v>209</v>
      </c>
      <c r="N1913" s="11">
        <v>6</v>
      </c>
      <c r="O1913" s="12">
        <v>35.44</v>
      </c>
      <c r="P1913" s="12">
        <v>7.5</v>
      </c>
      <c r="Q1913" s="13">
        <v>12.32</v>
      </c>
      <c r="R1913" s="36" t="s">
        <v>1791</v>
      </c>
      <c r="S1913" s="7">
        <f t="shared" si="157"/>
        <v>4</v>
      </c>
      <c r="T1913" s="15" t="str">
        <f>VLOOKUP(R1913,产品分类!$C$2:$D$1278,2,0)</f>
        <v>家具产品</v>
      </c>
    </row>
    <row r="1914" spans="1:20">
      <c r="A1914" s="8">
        <f>DATE(2012,12,31)-1460</f>
        <v>39814</v>
      </c>
      <c r="B1914" s="8">
        <f>DATE(2012,12,31)-1460</f>
        <v>39814</v>
      </c>
      <c r="C1914" s="9" t="s">
        <v>805</v>
      </c>
      <c r="D1914">
        <v>10021350632</v>
      </c>
      <c r="E1914" t="s">
        <v>47</v>
      </c>
      <c r="F1914" t="s">
        <v>253</v>
      </c>
      <c r="G1914" t="s">
        <v>254</v>
      </c>
      <c r="H1914" t="s">
        <v>255</v>
      </c>
      <c r="I1914" t="s">
        <v>256</v>
      </c>
      <c r="J1914" t="s">
        <v>367</v>
      </c>
      <c r="K1914" s="3">
        <v>100932167001</v>
      </c>
      <c r="L1914" s="10">
        <v>39816</v>
      </c>
      <c r="M1914">
        <v>872.48</v>
      </c>
      <c r="N1914" s="11">
        <v>9</v>
      </c>
      <c r="O1914" s="12">
        <v>95.99</v>
      </c>
      <c r="P1914" s="12">
        <v>35</v>
      </c>
      <c r="Q1914" s="13">
        <v>-342.91</v>
      </c>
      <c r="R1914" s="36" t="s">
        <v>144</v>
      </c>
      <c r="S1914" s="7">
        <f t="shared" si="157"/>
        <v>2</v>
      </c>
      <c r="T1914" s="15" t="str">
        <f>VLOOKUP(R1914,产品分类!$C$2:$D$1278,2,0)</f>
        <v>办公用品</v>
      </c>
    </row>
    <row r="1915" spans="1:20">
      <c r="A1915" s="8">
        <f>DATE(2012,12,31)-602</f>
        <v>40672</v>
      </c>
      <c r="B1915" s="8">
        <f>DATE(2012,12,31)-602</f>
        <v>40672</v>
      </c>
      <c r="C1915" s="9" t="s">
        <v>1216</v>
      </c>
      <c r="D1915">
        <v>10021348595</v>
      </c>
      <c r="E1915" t="s">
        <v>47</v>
      </c>
      <c r="F1915" t="s">
        <v>61</v>
      </c>
      <c r="G1915" t="s">
        <v>62</v>
      </c>
      <c r="H1915" t="s">
        <v>47</v>
      </c>
      <c r="I1915" t="s">
        <v>1778</v>
      </c>
      <c r="J1915" t="s">
        <v>367</v>
      </c>
      <c r="K1915" s="3">
        <v>100431591164</v>
      </c>
      <c r="L1915" s="10">
        <v>40674</v>
      </c>
      <c r="M1915">
        <v>3617.64</v>
      </c>
      <c r="N1915" s="11">
        <v>26</v>
      </c>
      <c r="O1915" s="12">
        <v>146.34</v>
      </c>
      <c r="P1915" s="12">
        <v>43.75</v>
      </c>
      <c r="Q1915" s="13">
        <v>-354.1252</v>
      </c>
      <c r="R1915" s="36" t="s">
        <v>998</v>
      </c>
      <c r="S1915" s="7">
        <f t="shared" si="157"/>
        <v>2</v>
      </c>
      <c r="T1915" s="15" t="str">
        <f>VLOOKUP(R1915,产品分类!$C$2:$D$1278,2,0)</f>
        <v>办公用品</v>
      </c>
    </row>
    <row r="1916" spans="1:20">
      <c r="A1916" s="16">
        <f>DATE(2012,12,31)-967</f>
        <v>40307</v>
      </c>
      <c r="B1916" s="16">
        <f>DATE(2012,12,31)-967</f>
        <v>40307</v>
      </c>
      <c r="C1916" s="9" t="s">
        <v>868</v>
      </c>
      <c r="D1916">
        <v>10021506966</v>
      </c>
      <c r="E1916" t="s">
        <v>47</v>
      </c>
      <c r="F1916" t="s">
        <v>61</v>
      </c>
      <c r="G1916" t="s">
        <v>62</v>
      </c>
      <c r="H1916" t="s">
        <v>47</v>
      </c>
      <c r="I1916" t="s">
        <v>1778</v>
      </c>
      <c r="J1916" t="s">
        <v>367</v>
      </c>
      <c r="K1916" s="3">
        <v>100331731519</v>
      </c>
      <c r="L1916" s="10">
        <v>40310</v>
      </c>
      <c r="M1916">
        <v>44.08</v>
      </c>
      <c r="N1916" s="17">
        <v>10</v>
      </c>
      <c r="O1916" s="5">
        <v>4.48</v>
      </c>
      <c r="P1916" s="5">
        <v>1.22</v>
      </c>
      <c r="Q1916" s="6">
        <v>6.79</v>
      </c>
      <c r="R1916" s="37" t="s">
        <v>1771</v>
      </c>
      <c r="S1916" s="7">
        <f t="shared" si="157"/>
        <v>3</v>
      </c>
      <c r="T1916" s="15" t="str">
        <f>VLOOKUP(R1916,产品分类!$C$2:$D$1278,2,0)</f>
        <v>办公用品</v>
      </c>
    </row>
    <row r="1917" spans="1:20">
      <c r="A1917" s="8">
        <f>DATE(2012,12,31)-1320</f>
        <v>39954</v>
      </c>
      <c r="B1917" s="8">
        <f>DATE(2012,12,31)-1320</f>
        <v>39954</v>
      </c>
      <c r="C1917" s="9" t="s">
        <v>820</v>
      </c>
      <c r="D1917">
        <v>10021426460</v>
      </c>
      <c r="E1917" t="s">
        <v>47</v>
      </c>
      <c r="F1917" t="s">
        <v>61</v>
      </c>
      <c r="G1917" t="s">
        <v>62</v>
      </c>
      <c r="H1917" t="s">
        <v>47</v>
      </c>
      <c r="I1917" t="s">
        <v>1778</v>
      </c>
      <c r="J1917" t="s">
        <v>367</v>
      </c>
      <c r="K1917" s="3">
        <v>10097938021</v>
      </c>
      <c r="L1917" s="10">
        <v>39956</v>
      </c>
      <c r="M1917">
        <v>281.71</v>
      </c>
      <c r="N1917" s="11">
        <v>36</v>
      </c>
      <c r="O1917" s="12">
        <v>7.64</v>
      </c>
      <c r="P1917" s="12">
        <v>1.39</v>
      </c>
      <c r="Q1917" s="13">
        <v>117.38</v>
      </c>
      <c r="R1917" s="36" t="s">
        <v>1338</v>
      </c>
      <c r="S1917" s="7">
        <f t="shared" si="157"/>
        <v>2</v>
      </c>
      <c r="T1917" s="15" t="str">
        <f>VLOOKUP(R1917,产品分类!$C$2:$D$1278,2,0)</f>
        <v>办公用品</v>
      </c>
    </row>
    <row r="1918" spans="1:20">
      <c r="A1918" s="16">
        <f>DATE(2012,12,31)-1171</f>
        <v>40103</v>
      </c>
      <c r="B1918" s="16">
        <f>DATE(2012,12,31)-1171</f>
        <v>40103</v>
      </c>
      <c r="C1918" s="9" t="s">
        <v>1809</v>
      </c>
      <c r="D1918">
        <v>10021365441</v>
      </c>
      <c r="E1918" t="s">
        <v>47</v>
      </c>
      <c r="F1918" t="s">
        <v>61</v>
      </c>
      <c r="G1918" t="s">
        <v>62</v>
      </c>
      <c r="H1918" t="s">
        <v>47</v>
      </c>
      <c r="I1918" t="s">
        <v>1778</v>
      </c>
      <c r="J1918" t="s">
        <v>367</v>
      </c>
      <c r="K1918" s="3">
        <v>10076330215</v>
      </c>
      <c r="L1918" s="10">
        <v>40107</v>
      </c>
      <c r="M1918">
        <v>2421.44</v>
      </c>
      <c r="N1918" s="17">
        <v>32</v>
      </c>
      <c r="O1918" s="5">
        <v>78.8</v>
      </c>
      <c r="P1918" s="5">
        <v>35</v>
      </c>
      <c r="Q1918" s="6">
        <v>-949.09</v>
      </c>
      <c r="R1918" s="37" t="s">
        <v>1810</v>
      </c>
      <c r="S1918" s="7">
        <f t="shared" si="157"/>
        <v>4</v>
      </c>
      <c r="T1918" s="15" t="str">
        <f>VLOOKUP(R1918,产品分类!$C$2:$D$1278,2,0)</f>
        <v>办公用品</v>
      </c>
    </row>
    <row r="1919" spans="1:20">
      <c r="A1919" s="8">
        <f t="shared" ref="A1919:B1921" si="161">DATE(2012,12,31)-924</f>
        <v>40350</v>
      </c>
      <c r="B1919" s="8">
        <f t="shared" si="161"/>
        <v>40350</v>
      </c>
      <c r="C1919" s="9" t="s">
        <v>1811</v>
      </c>
      <c r="D1919">
        <v>10021434313</v>
      </c>
      <c r="E1919" t="s">
        <v>47</v>
      </c>
      <c r="F1919" t="s">
        <v>61</v>
      </c>
      <c r="G1919" t="s">
        <v>62</v>
      </c>
      <c r="H1919" t="s">
        <v>47</v>
      </c>
      <c r="I1919" t="s">
        <v>1778</v>
      </c>
      <c r="J1919" t="s">
        <v>367</v>
      </c>
      <c r="K1919" s="3">
        <v>100932657421</v>
      </c>
      <c r="L1919" s="10">
        <v>40353</v>
      </c>
      <c r="M1919">
        <v>55</v>
      </c>
      <c r="N1919" s="11">
        <v>8</v>
      </c>
      <c r="O1919" s="12">
        <v>6.28</v>
      </c>
      <c r="P1919" s="12">
        <v>5.36</v>
      </c>
      <c r="Q1919" s="13">
        <v>-23.621</v>
      </c>
      <c r="R1919" s="36" t="s">
        <v>552</v>
      </c>
      <c r="S1919" s="7">
        <f t="shared" si="157"/>
        <v>3</v>
      </c>
      <c r="T1919" s="15" t="str">
        <f>VLOOKUP(R1919,产品分类!$C$2:$D$1278,2,0)</f>
        <v>家具产品</v>
      </c>
    </row>
    <row r="1920" spans="1:20">
      <c r="A1920" s="8">
        <f t="shared" si="161"/>
        <v>40350</v>
      </c>
      <c r="B1920" s="8">
        <f t="shared" si="161"/>
        <v>40350</v>
      </c>
      <c r="C1920" s="9" t="s">
        <v>1811</v>
      </c>
      <c r="D1920">
        <v>10021503231</v>
      </c>
      <c r="E1920" t="s">
        <v>47</v>
      </c>
      <c r="F1920" t="s">
        <v>48</v>
      </c>
      <c r="G1920" t="s">
        <v>49</v>
      </c>
      <c r="H1920" t="s">
        <v>1812</v>
      </c>
      <c r="I1920" t="s">
        <v>1813</v>
      </c>
      <c r="J1920" t="s">
        <v>367</v>
      </c>
      <c r="K1920" s="3">
        <v>100426145903</v>
      </c>
      <c r="L1920" s="10">
        <v>40352</v>
      </c>
      <c r="M1920">
        <v>51.66</v>
      </c>
      <c r="N1920" s="11">
        <v>7</v>
      </c>
      <c r="O1920" s="12">
        <v>7.64</v>
      </c>
      <c r="P1920" s="12">
        <v>1.39</v>
      </c>
      <c r="Q1920" s="13">
        <v>7.4</v>
      </c>
      <c r="R1920" s="36" t="s">
        <v>1814</v>
      </c>
      <c r="S1920" s="7">
        <f t="shared" si="157"/>
        <v>2</v>
      </c>
      <c r="T1920" s="15" t="str">
        <f>VLOOKUP(R1920,产品分类!$C$2:$D$1278,2,0)</f>
        <v>办公用品</v>
      </c>
    </row>
    <row r="1921" spans="1:20">
      <c r="A1921" s="8">
        <f t="shared" si="161"/>
        <v>40350</v>
      </c>
      <c r="B1921" s="8">
        <f t="shared" si="161"/>
        <v>40350</v>
      </c>
      <c r="C1921" s="9" t="s">
        <v>1811</v>
      </c>
      <c r="D1921">
        <v>10021272125</v>
      </c>
      <c r="E1921" t="s">
        <v>47</v>
      </c>
      <c r="F1921" t="s">
        <v>66</v>
      </c>
      <c r="G1921" t="s">
        <v>67</v>
      </c>
      <c r="H1921" t="s">
        <v>1435</v>
      </c>
      <c r="I1921" t="s">
        <v>1436</v>
      </c>
      <c r="J1921" t="s">
        <v>367</v>
      </c>
      <c r="K1921" s="3">
        <v>100730602685</v>
      </c>
      <c r="L1921" s="10">
        <v>40352</v>
      </c>
      <c r="M1921">
        <v>107.73</v>
      </c>
      <c r="N1921" s="11">
        <v>37</v>
      </c>
      <c r="O1921" s="12">
        <v>3.15</v>
      </c>
      <c r="P1921" s="12">
        <v>0.5</v>
      </c>
      <c r="Q1921" s="13">
        <v>39.81</v>
      </c>
      <c r="R1921" s="36" t="s">
        <v>1815</v>
      </c>
      <c r="S1921" s="7">
        <f t="shared" si="157"/>
        <v>2</v>
      </c>
      <c r="T1921" s="15" t="str">
        <f>VLOOKUP(R1921,产品分类!$C$2:$D$1278,2,0)</f>
        <v>办公用品</v>
      </c>
    </row>
    <row r="1922" spans="1:20">
      <c r="A1922" s="16">
        <f>DATE(2012,12,31)-537</f>
        <v>40737</v>
      </c>
      <c r="B1922" s="16">
        <f>DATE(2012,12,31)-537</f>
        <v>40737</v>
      </c>
      <c r="C1922" s="9" t="s">
        <v>286</v>
      </c>
      <c r="D1922">
        <v>10021329948</v>
      </c>
      <c r="E1922" t="s">
        <v>47</v>
      </c>
      <c r="F1922" t="s">
        <v>66</v>
      </c>
      <c r="G1922" t="s">
        <v>67</v>
      </c>
      <c r="H1922" t="s">
        <v>1435</v>
      </c>
      <c r="I1922" t="s">
        <v>1436</v>
      </c>
      <c r="J1922" t="s">
        <v>367</v>
      </c>
      <c r="K1922" s="3">
        <v>100932471021</v>
      </c>
      <c r="L1922" s="10">
        <v>40738</v>
      </c>
      <c r="M1922">
        <v>123.93</v>
      </c>
      <c r="N1922" s="17">
        <v>31</v>
      </c>
      <c r="O1922" s="5">
        <v>4.28</v>
      </c>
      <c r="P1922" s="5">
        <v>0.94</v>
      </c>
      <c r="Q1922" s="6">
        <v>11.93</v>
      </c>
      <c r="R1922" s="37" t="s">
        <v>637</v>
      </c>
      <c r="S1922" s="7">
        <f t="shared" si="157"/>
        <v>1</v>
      </c>
      <c r="T1922" s="15" t="str">
        <f>VLOOKUP(R1922,产品分类!$C$2:$D$1278,2,0)</f>
        <v>数码电子</v>
      </c>
    </row>
    <row r="1923" spans="1:20">
      <c r="A1923" s="8">
        <f>DATE(2012,12,31)-1366</f>
        <v>39908</v>
      </c>
      <c r="B1923" s="8">
        <f>DATE(2012,12,31)-1366</f>
        <v>39908</v>
      </c>
      <c r="C1923" s="9" t="s">
        <v>1816</v>
      </c>
      <c r="D1923">
        <v>10021306148</v>
      </c>
      <c r="E1923" t="s">
        <v>47</v>
      </c>
      <c r="F1923" t="s">
        <v>72</v>
      </c>
      <c r="G1923" t="s">
        <v>73</v>
      </c>
      <c r="H1923" t="s">
        <v>1572</v>
      </c>
      <c r="I1923" t="s">
        <v>1573</v>
      </c>
      <c r="J1923" t="s">
        <v>367</v>
      </c>
      <c r="K1923" s="3">
        <v>100132556748</v>
      </c>
      <c r="L1923" s="10">
        <v>39910</v>
      </c>
      <c r="M1923">
        <v>1553.38</v>
      </c>
      <c r="N1923" s="11">
        <v>45</v>
      </c>
      <c r="O1923" s="12">
        <v>36.55</v>
      </c>
      <c r="P1923" s="12">
        <v>13.89</v>
      </c>
      <c r="Q1923" s="13">
        <v>180.88</v>
      </c>
      <c r="R1923" s="36" t="s">
        <v>159</v>
      </c>
      <c r="S1923" s="7">
        <f t="shared" ref="S1923:S1986" si="162">+L1923-B1923</f>
        <v>2</v>
      </c>
      <c r="T1923" s="15" t="str">
        <f>VLOOKUP(R1923,产品分类!$C$2:$D$1278,2,0)</f>
        <v>数码电子</v>
      </c>
    </row>
    <row r="1924" spans="1:20">
      <c r="A1924" s="16">
        <f t="shared" ref="A1924:B1927" si="163">DATE(2012,12,31)-858</f>
        <v>40416</v>
      </c>
      <c r="B1924" s="16">
        <f t="shared" si="163"/>
        <v>40416</v>
      </c>
      <c r="C1924" s="9" t="s">
        <v>538</v>
      </c>
      <c r="D1924">
        <v>10021491661</v>
      </c>
      <c r="E1924" t="s">
        <v>47</v>
      </c>
      <c r="F1924" t="s">
        <v>230</v>
      </c>
      <c r="G1924" t="s">
        <v>231</v>
      </c>
      <c r="H1924" t="s">
        <v>1798</v>
      </c>
      <c r="I1924" t="s">
        <v>1799</v>
      </c>
      <c r="J1924" t="s">
        <v>367</v>
      </c>
      <c r="K1924" s="3">
        <v>100712976915</v>
      </c>
      <c r="L1924" s="10">
        <v>40418</v>
      </c>
      <c r="M1924">
        <v>597.66</v>
      </c>
      <c r="N1924" s="17">
        <v>29</v>
      </c>
      <c r="O1924" s="5">
        <v>21.66</v>
      </c>
      <c r="P1924" s="5">
        <v>13.99</v>
      </c>
      <c r="Q1924" s="6">
        <v>-178</v>
      </c>
      <c r="R1924" s="37" t="s">
        <v>1789</v>
      </c>
      <c r="S1924" s="7">
        <f t="shared" si="162"/>
        <v>2</v>
      </c>
      <c r="T1924" s="15" t="str">
        <f>VLOOKUP(R1924,产品分类!$C$2:$D$1278,2,0)</f>
        <v>数码电子</v>
      </c>
    </row>
    <row r="1925" spans="1:20">
      <c r="A1925" s="8">
        <f t="shared" si="163"/>
        <v>40416</v>
      </c>
      <c r="B1925" s="8">
        <f t="shared" si="163"/>
        <v>40416</v>
      </c>
      <c r="C1925" s="9" t="s">
        <v>538</v>
      </c>
      <c r="D1925">
        <v>10021307347</v>
      </c>
      <c r="E1925" t="s">
        <v>47</v>
      </c>
      <c r="F1925" t="s">
        <v>91</v>
      </c>
      <c r="G1925" t="s">
        <v>92</v>
      </c>
      <c r="H1925" t="s">
        <v>1412</v>
      </c>
      <c r="I1925" t="s">
        <v>1413</v>
      </c>
      <c r="J1925" t="s">
        <v>367</v>
      </c>
      <c r="K1925" s="3">
        <v>100113403946</v>
      </c>
      <c r="L1925" s="10">
        <v>40418</v>
      </c>
      <c r="M1925">
        <v>1403.741</v>
      </c>
      <c r="N1925" s="11">
        <v>45</v>
      </c>
      <c r="O1925" s="12">
        <v>35.99</v>
      </c>
      <c r="P1925" s="12">
        <v>3.3</v>
      </c>
      <c r="Q1925" s="13">
        <v>622.251</v>
      </c>
      <c r="R1925" s="36" t="s">
        <v>1817</v>
      </c>
      <c r="S1925" s="7">
        <f t="shared" si="162"/>
        <v>2</v>
      </c>
      <c r="T1925" s="15" t="str">
        <f>VLOOKUP(R1925,产品分类!$C$2:$D$1278,2,0)</f>
        <v>数码电子</v>
      </c>
    </row>
    <row r="1926" spans="1:20">
      <c r="A1926" s="8">
        <f t="shared" si="163"/>
        <v>40416</v>
      </c>
      <c r="B1926" s="8">
        <f t="shared" si="163"/>
        <v>40416</v>
      </c>
      <c r="C1926" s="9" t="s">
        <v>538</v>
      </c>
      <c r="D1926">
        <v>10021479666</v>
      </c>
      <c r="E1926" t="s">
        <v>47</v>
      </c>
      <c r="F1926" t="s">
        <v>83</v>
      </c>
      <c r="G1926" t="s">
        <v>84</v>
      </c>
      <c r="H1926" t="s">
        <v>1259</v>
      </c>
      <c r="I1926" t="s">
        <v>1260</v>
      </c>
      <c r="J1926" t="s">
        <v>367</v>
      </c>
      <c r="K1926" s="3">
        <v>10034218979</v>
      </c>
      <c r="L1926" s="10">
        <v>40417</v>
      </c>
      <c r="M1926">
        <v>1246.3635</v>
      </c>
      <c r="N1926" s="11">
        <v>10</v>
      </c>
      <c r="O1926" s="12">
        <v>155.99</v>
      </c>
      <c r="P1926" s="12">
        <v>8.99</v>
      </c>
      <c r="Q1926" s="13">
        <v>-339.108</v>
      </c>
      <c r="R1926" s="36" t="s">
        <v>469</v>
      </c>
      <c r="S1926" s="7">
        <f t="shared" si="162"/>
        <v>1</v>
      </c>
      <c r="T1926" s="15" t="str">
        <f>VLOOKUP(R1926,产品分类!$C$2:$D$1278,2,0)</f>
        <v>办公用品</v>
      </c>
    </row>
    <row r="1927" spans="1:20">
      <c r="A1927" s="8">
        <f t="shared" si="163"/>
        <v>40416</v>
      </c>
      <c r="B1927" s="8">
        <f t="shared" si="163"/>
        <v>40416</v>
      </c>
      <c r="C1927" s="9" t="s">
        <v>538</v>
      </c>
      <c r="D1927">
        <v>10021276958</v>
      </c>
      <c r="E1927" t="s">
        <v>47</v>
      </c>
      <c r="F1927" t="s">
        <v>91</v>
      </c>
      <c r="G1927" t="s">
        <v>92</v>
      </c>
      <c r="H1927" t="s">
        <v>1412</v>
      </c>
      <c r="I1927" t="s">
        <v>1413</v>
      </c>
      <c r="J1927" t="s">
        <v>367</v>
      </c>
      <c r="K1927" s="3">
        <v>100131476586</v>
      </c>
      <c r="L1927" s="10">
        <v>40418</v>
      </c>
      <c r="M1927">
        <v>2050.712</v>
      </c>
      <c r="N1927" s="11">
        <v>12</v>
      </c>
      <c r="O1927" s="12">
        <v>218.75</v>
      </c>
      <c r="P1927" s="12">
        <v>69.64</v>
      </c>
      <c r="Q1927" s="13">
        <v>-381.04</v>
      </c>
      <c r="R1927" s="36" t="s">
        <v>456</v>
      </c>
      <c r="S1927" s="7">
        <f t="shared" si="162"/>
        <v>2</v>
      </c>
      <c r="T1927" s="15" t="str">
        <f>VLOOKUP(R1927,产品分类!$C$2:$D$1278,2,0)</f>
        <v>办公用品</v>
      </c>
    </row>
    <row r="1928" spans="1:20">
      <c r="A1928" s="8">
        <f t="shared" ref="A1928:B1930" si="164">DATE(2012,12,31)-631</f>
        <v>40643</v>
      </c>
      <c r="B1928" s="8">
        <f t="shared" si="164"/>
        <v>40643</v>
      </c>
      <c r="C1928" s="9" t="s">
        <v>46</v>
      </c>
      <c r="D1928">
        <v>10021402436</v>
      </c>
      <c r="E1928" t="s">
        <v>47</v>
      </c>
      <c r="F1928" t="s">
        <v>102</v>
      </c>
      <c r="G1928" t="s">
        <v>103</v>
      </c>
      <c r="H1928" t="s">
        <v>1217</v>
      </c>
      <c r="I1928" t="s">
        <v>1218</v>
      </c>
      <c r="J1928" t="s">
        <v>367</v>
      </c>
      <c r="K1928" s="3">
        <v>100110912926</v>
      </c>
      <c r="L1928" s="10">
        <v>40646</v>
      </c>
      <c r="M1928">
        <v>501.32</v>
      </c>
      <c r="N1928" s="11">
        <v>30</v>
      </c>
      <c r="O1928" s="12">
        <v>15.99</v>
      </c>
      <c r="P1928" s="12">
        <v>13.18</v>
      </c>
      <c r="Q1928" s="13">
        <v>-119.0825</v>
      </c>
      <c r="R1928" s="36" t="s">
        <v>511</v>
      </c>
      <c r="S1928" s="7">
        <f t="shared" si="162"/>
        <v>3</v>
      </c>
      <c r="T1928" s="15" t="str">
        <f>VLOOKUP(R1928,产品分类!$C$2:$D$1278,2,0)</f>
        <v>数码电子</v>
      </c>
    </row>
    <row r="1929" spans="1:20">
      <c r="A1929" s="8">
        <f t="shared" si="164"/>
        <v>40643</v>
      </c>
      <c r="B1929" s="8">
        <f t="shared" si="164"/>
        <v>40643</v>
      </c>
      <c r="C1929" s="9" t="s">
        <v>46</v>
      </c>
      <c r="D1929">
        <v>10021399330</v>
      </c>
      <c r="E1929" t="s">
        <v>47</v>
      </c>
      <c r="F1929" t="s">
        <v>177</v>
      </c>
      <c r="G1929" t="s">
        <v>178</v>
      </c>
      <c r="H1929" t="s">
        <v>1292</v>
      </c>
      <c r="I1929" t="s">
        <v>1293</v>
      </c>
      <c r="J1929" t="s">
        <v>367</v>
      </c>
      <c r="K1929" s="3">
        <v>100731738305</v>
      </c>
      <c r="L1929" s="10">
        <v>40646</v>
      </c>
      <c r="M1929">
        <v>275.16</v>
      </c>
      <c r="N1929" s="11">
        <v>23</v>
      </c>
      <c r="O1929" s="12">
        <v>11.34</v>
      </c>
      <c r="P1929" s="12">
        <v>5.01</v>
      </c>
      <c r="Q1929" s="13">
        <v>43.35</v>
      </c>
      <c r="R1929" s="36" t="s">
        <v>1504</v>
      </c>
      <c r="S1929" s="7">
        <f t="shared" si="162"/>
        <v>3</v>
      </c>
      <c r="T1929" s="15" t="str">
        <f>VLOOKUP(R1929,产品分类!$C$2:$D$1278,2,0)</f>
        <v>家具产品</v>
      </c>
    </row>
    <row r="1930" spans="1:20">
      <c r="A1930" s="8">
        <f t="shared" si="164"/>
        <v>40643</v>
      </c>
      <c r="B1930" s="8">
        <f t="shared" si="164"/>
        <v>40643</v>
      </c>
      <c r="C1930" s="9" t="s">
        <v>46</v>
      </c>
      <c r="D1930">
        <v>10021277921</v>
      </c>
      <c r="E1930" t="s">
        <v>47</v>
      </c>
      <c r="F1930" t="s">
        <v>72</v>
      </c>
      <c r="G1930" t="s">
        <v>73</v>
      </c>
      <c r="H1930" t="s">
        <v>1572</v>
      </c>
      <c r="I1930" t="s">
        <v>1573</v>
      </c>
      <c r="J1930" t="s">
        <v>367</v>
      </c>
      <c r="K1930" s="3">
        <v>10072698195</v>
      </c>
      <c r="L1930" s="10">
        <v>40644</v>
      </c>
      <c r="M1930">
        <v>1302.99</v>
      </c>
      <c r="N1930" s="11">
        <v>37</v>
      </c>
      <c r="O1930" s="12">
        <v>35.44</v>
      </c>
      <c r="P1930" s="12">
        <v>5.09</v>
      </c>
      <c r="Q1930" s="13">
        <v>545.49</v>
      </c>
      <c r="R1930" s="36" t="s">
        <v>1365</v>
      </c>
      <c r="S1930" s="7">
        <f t="shared" si="162"/>
        <v>1</v>
      </c>
      <c r="T1930" s="15" t="str">
        <f>VLOOKUP(R1930,产品分类!$C$2:$D$1278,2,0)</f>
        <v>办公用品</v>
      </c>
    </row>
    <row r="1931" spans="1:20">
      <c r="A1931" s="8">
        <f>DATE(2012,12,31)-761</f>
        <v>40513</v>
      </c>
      <c r="B1931" s="8">
        <f>DATE(2012,12,31)-761</f>
        <v>40513</v>
      </c>
      <c r="C1931" s="9" t="s">
        <v>336</v>
      </c>
      <c r="D1931">
        <v>10021394163</v>
      </c>
      <c r="E1931" t="s">
        <v>47</v>
      </c>
      <c r="F1931" t="s">
        <v>97</v>
      </c>
      <c r="G1931" t="s">
        <v>98</v>
      </c>
      <c r="H1931" t="s">
        <v>99</v>
      </c>
      <c r="I1931" t="s">
        <v>98</v>
      </c>
      <c r="J1931" t="s">
        <v>367</v>
      </c>
      <c r="K1931" s="3">
        <v>100422552923</v>
      </c>
      <c r="L1931" s="10">
        <v>40515</v>
      </c>
      <c r="M1931">
        <v>118.06</v>
      </c>
      <c r="N1931" s="11">
        <v>5</v>
      </c>
      <c r="O1931" s="12">
        <v>22.23</v>
      </c>
      <c r="P1931" s="12">
        <v>5.08</v>
      </c>
      <c r="Q1931" s="13">
        <v>2.63</v>
      </c>
      <c r="R1931" s="36" t="s">
        <v>1193</v>
      </c>
      <c r="S1931" s="7">
        <f t="shared" si="162"/>
        <v>2</v>
      </c>
      <c r="T1931" s="15" t="str">
        <f>VLOOKUP(R1931,产品分类!$C$2:$D$1278,2,0)</f>
        <v>办公用品</v>
      </c>
    </row>
    <row r="1932" spans="1:20">
      <c r="A1932" s="8">
        <f>DATE(2012,12,31)-1100</f>
        <v>40174</v>
      </c>
      <c r="B1932" s="8">
        <f>DATE(2012,12,31)-1100</f>
        <v>40174</v>
      </c>
      <c r="C1932" s="9" t="s">
        <v>875</v>
      </c>
      <c r="D1932">
        <v>10021462721</v>
      </c>
      <c r="E1932" t="s">
        <v>47</v>
      </c>
      <c r="F1932" t="s">
        <v>152</v>
      </c>
      <c r="G1932" t="s">
        <v>153</v>
      </c>
      <c r="H1932" t="s">
        <v>1640</v>
      </c>
      <c r="I1932" t="s">
        <v>1641</v>
      </c>
      <c r="J1932" t="s">
        <v>367</v>
      </c>
      <c r="K1932" s="3">
        <v>100422299024</v>
      </c>
      <c r="L1932" s="10">
        <v>40181</v>
      </c>
      <c r="M1932">
        <v>55.27</v>
      </c>
      <c r="N1932" s="11">
        <v>19</v>
      </c>
      <c r="O1932" s="12">
        <v>2.89</v>
      </c>
      <c r="P1932" s="12">
        <v>0.5</v>
      </c>
      <c r="Q1932" s="13">
        <v>19.12</v>
      </c>
      <c r="R1932" s="36" t="s">
        <v>118</v>
      </c>
      <c r="S1932" s="7">
        <f t="shared" si="162"/>
        <v>7</v>
      </c>
      <c r="T1932" s="15" t="str">
        <f>VLOOKUP(R1932,产品分类!$C$2:$D$1278,2,0)</f>
        <v>办公用品</v>
      </c>
    </row>
    <row r="1933" spans="1:20">
      <c r="A1933" s="8">
        <f>DATE(2012,12,31)-1381</f>
        <v>39893</v>
      </c>
      <c r="B1933" s="8">
        <f>DATE(2012,12,31)-1381</f>
        <v>39893</v>
      </c>
      <c r="C1933" s="9" t="s">
        <v>1502</v>
      </c>
      <c r="D1933">
        <v>10021494665</v>
      </c>
      <c r="E1933" t="s">
        <v>47</v>
      </c>
      <c r="F1933" t="s">
        <v>66</v>
      </c>
      <c r="G1933" t="s">
        <v>67</v>
      </c>
      <c r="H1933" t="s">
        <v>1435</v>
      </c>
      <c r="I1933" t="s">
        <v>1436</v>
      </c>
      <c r="J1933" t="s">
        <v>367</v>
      </c>
      <c r="K1933" s="3">
        <v>10079831775</v>
      </c>
      <c r="L1933" s="10">
        <v>39894</v>
      </c>
      <c r="M1933">
        <v>186.79</v>
      </c>
      <c r="N1933" s="11">
        <v>30</v>
      </c>
      <c r="O1933" s="12">
        <v>6.48</v>
      </c>
      <c r="P1933" s="12">
        <v>6.35</v>
      </c>
      <c r="Q1933" s="13">
        <v>-88.6</v>
      </c>
      <c r="R1933" s="36" t="s">
        <v>1175</v>
      </c>
      <c r="S1933" s="7">
        <f t="shared" si="162"/>
        <v>1</v>
      </c>
      <c r="T1933" s="15" t="str">
        <f>VLOOKUP(R1933,产品分类!$C$2:$D$1278,2,0)</f>
        <v>家具产品</v>
      </c>
    </row>
    <row r="1934" spans="1:20">
      <c r="A1934" s="8">
        <f>DATE(2012,12,31)-1106</f>
        <v>40168</v>
      </c>
      <c r="B1934" s="8">
        <f>DATE(2012,12,31)-1106</f>
        <v>40168</v>
      </c>
      <c r="C1934" s="9" t="s">
        <v>1482</v>
      </c>
      <c r="D1934">
        <v>10021499239</v>
      </c>
      <c r="E1934" t="s">
        <v>47</v>
      </c>
      <c r="F1934" t="s">
        <v>48</v>
      </c>
      <c r="G1934" t="s">
        <v>49</v>
      </c>
      <c r="H1934" t="s">
        <v>1812</v>
      </c>
      <c r="I1934" t="s">
        <v>1813</v>
      </c>
      <c r="J1934" t="s">
        <v>367</v>
      </c>
      <c r="K1934" s="3">
        <v>100113919737</v>
      </c>
      <c r="L1934" s="10">
        <v>40171</v>
      </c>
      <c r="M1934">
        <v>2609.53</v>
      </c>
      <c r="N1934" s="11">
        <v>27</v>
      </c>
      <c r="O1934" s="12">
        <v>90.48</v>
      </c>
      <c r="P1934" s="12">
        <v>19.99</v>
      </c>
      <c r="Q1934" s="13">
        <v>911.66</v>
      </c>
      <c r="R1934" s="36" t="s">
        <v>1008</v>
      </c>
      <c r="S1934" s="7">
        <f t="shared" si="162"/>
        <v>3</v>
      </c>
      <c r="T1934" s="15" t="str">
        <f>VLOOKUP(R1934,产品分类!$C$2:$D$1278,2,0)</f>
        <v>办公用品</v>
      </c>
    </row>
    <row r="1935" spans="1:20">
      <c r="A1935" s="8">
        <f>DATE(2012,12,31)-873</f>
        <v>40401</v>
      </c>
      <c r="B1935" s="8">
        <f>DATE(2012,12,31)-873</f>
        <v>40401</v>
      </c>
      <c r="C1935" s="9" t="s">
        <v>1818</v>
      </c>
      <c r="D1935">
        <v>10021248839</v>
      </c>
      <c r="E1935" t="s">
        <v>47</v>
      </c>
      <c r="F1935" t="s">
        <v>48</v>
      </c>
      <c r="G1935" t="s">
        <v>49</v>
      </c>
      <c r="H1935" t="s">
        <v>1812</v>
      </c>
      <c r="I1935" t="s">
        <v>1813</v>
      </c>
      <c r="J1935" t="s">
        <v>367</v>
      </c>
      <c r="K1935" s="3">
        <v>10084423052</v>
      </c>
      <c r="L1935" s="10">
        <v>40401</v>
      </c>
      <c r="M1935">
        <v>37.3</v>
      </c>
      <c r="N1935" s="11">
        <v>7</v>
      </c>
      <c r="O1935" s="12">
        <v>4.84</v>
      </c>
      <c r="P1935" s="12">
        <v>0.71</v>
      </c>
      <c r="Q1935" s="13">
        <v>5.03</v>
      </c>
      <c r="R1935" s="36" t="s">
        <v>946</v>
      </c>
      <c r="S1935" s="7">
        <f t="shared" si="162"/>
        <v>0</v>
      </c>
      <c r="T1935" s="15" t="str">
        <f>VLOOKUP(R1935,产品分类!$C$2:$D$1278,2,0)</f>
        <v>数码电子</v>
      </c>
    </row>
    <row r="1936" spans="1:20">
      <c r="A1936" s="8">
        <f>DATE(2012,12,31)-484</f>
        <v>40790</v>
      </c>
      <c r="B1936" s="8">
        <f>DATE(2012,12,31)-484</f>
        <v>40790</v>
      </c>
      <c r="C1936" s="9" t="s">
        <v>1819</v>
      </c>
      <c r="D1936">
        <v>10021255025</v>
      </c>
      <c r="E1936" t="s">
        <v>47</v>
      </c>
      <c r="F1936" t="s">
        <v>66</v>
      </c>
      <c r="G1936" t="s">
        <v>67</v>
      </c>
      <c r="H1936" t="s">
        <v>1435</v>
      </c>
      <c r="I1936" t="s">
        <v>1436</v>
      </c>
      <c r="J1936" t="s">
        <v>367</v>
      </c>
      <c r="K1936" s="3">
        <v>100123618848</v>
      </c>
      <c r="L1936" s="10">
        <v>40791</v>
      </c>
      <c r="M1936">
        <v>12979.1</v>
      </c>
      <c r="N1936" s="11">
        <v>49</v>
      </c>
      <c r="O1936" s="12">
        <v>258.98</v>
      </c>
      <c r="P1936" s="12">
        <v>54.31</v>
      </c>
      <c r="Q1936" s="13">
        <v>2820.44</v>
      </c>
      <c r="R1936" s="36" t="s">
        <v>1820</v>
      </c>
      <c r="S1936" s="7">
        <f t="shared" si="162"/>
        <v>1</v>
      </c>
      <c r="T1936" s="15" t="str">
        <f>VLOOKUP(R1936,产品分类!$C$2:$D$1278,2,0)</f>
        <v>数码电子</v>
      </c>
    </row>
    <row r="1937" spans="1:20">
      <c r="A1937" s="8">
        <f>DATE(2012,12,31)-248</f>
        <v>41026</v>
      </c>
      <c r="B1937" s="8">
        <f>DATE(2012,12,31)-248</f>
        <v>41026</v>
      </c>
      <c r="C1937" s="9" t="s">
        <v>1821</v>
      </c>
      <c r="D1937">
        <v>10021349155</v>
      </c>
      <c r="E1937" t="s">
        <v>47</v>
      </c>
      <c r="F1937" t="s">
        <v>152</v>
      </c>
      <c r="G1937" t="s">
        <v>153</v>
      </c>
      <c r="H1937" t="s">
        <v>1640</v>
      </c>
      <c r="I1937" t="s">
        <v>1641</v>
      </c>
      <c r="J1937" t="s">
        <v>367</v>
      </c>
      <c r="K1937" s="3">
        <v>100131833426</v>
      </c>
      <c r="L1937" s="10">
        <v>41027</v>
      </c>
      <c r="M1937">
        <v>1446.97</v>
      </c>
      <c r="N1937" s="11">
        <v>47</v>
      </c>
      <c r="O1937" s="12">
        <v>29.89</v>
      </c>
      <c r="P1937" s="12">
        <v>1.99</v>
      </c>
      <c r="Q1937" s="13">
        <v>531.47</v>
      </c>
      <c r="R1937" s="36" t="s">
        <v>866</v>
      </c>
      <c r="S1937" s="7">
        <f t="shared" si="162"/>
        <v>1</v>
      </c>
      <c r="T1937" s="15" t="str">
        <f>VLOOKUP(R1937,产品分类!$C$2:$D$1278,2,0)</f>
        <v>办公用品</v>
      </c>
    </row>
    <row r="1938" spans="1:20">
      <c r="A1938" s="8">
        <f>DATE(2012,12,31)-265</f>
        <v>41009</v>
      </c>
      <c r="B1938" s="8">
        <f>DATE(2012,12,31)-265</f>
        <v>41009</v>
      </c>
      <c r="C1938" s="9" t="s">
        <v>1450</v>
      </c>
      <c r="D1938">
        <v>10021249668</v>
      </c>
      <c r="E1938" t="s">
        <v>47</v>
      </c>
      <c r="F1938" t="s">
        <v>66</v>
      </c>
      <c r="G1938" t="s">
        <v>67</v>
      </c>
      <c r="H1938" t="s">
        <v>1435</v>
      </c>
      <c r="I1938" t="s">
        <v>1436</v>
      </c>
      <c r="J1938" t="s">
        <v>367</v>
      </c>
      <c r="K1938" s="3">
        <v>10019993037</v>
      </c>
      <c r="L1938" s="10">
        <v>41010</v>
      </c>
      <c r="M1938">
        <v>89.18</v>
      </c>
      <c r="N1938" s="11">
        <v>31</v>
      </c>
      <c r="O1938" s="12">
        <v>2.94</v>
      </c>
      <c r="P1938" s="12">
        <v>0.81</v>
      </c>
      <c r="Q1938" s="13">
        <v>21.73</v>
      </c>
      <c r="R1938" s="36" t="s">
        <v>1671</v>
      </c>
      <c r="S1938" s="7">
        <f t="shared" si="162"/>
        <v>1</v>
      </c>
      <c r="T1938" s="15" t="str">
        <f>VLOOKUP(R1938,产品分类!$C$2:$D$1278,2,0)</f>
        <v>办公用品</v>
      </c>
    </row>
    <row r="1939" spans="1:20">
      <c r="A1939" s="8">
        <f>DATE(2012,12,31)-265</f>
        <v>41009</v>
      </c>
      <c r="B1939" s="8">
        <f>DATE(2012,12,31)-265</f>
        <v>41009</v>
      </c>
      <c r="C1939" s="9" t="s">
        <v>1450</v>
      </c>
      <c r="D1939">
        <v>10021338268</v>
      </c>
      <c r="E1939" t="s">
        <v>47</v>
      </c>
      <c r="F1939" t="s">
        <v>152</v>
      </c>
      <c r="G1939" t="s">
        <v>153</v>
      </c>
      <c r="H1939" t="s">
        <v>1640</v>
      </c>
      <c r="I1939" t="s">
        <v>1641</v>
      </c>
      <c r="J1939" t="s">
        <v>367</v>
      </c>
      <c r="K1939" s="3">
        <v>100123739006</v>
      </c>
      <c r="L1939" s="10">
        <v>41010</v>
      </c>
      <c r="M1939">
        <v>1540.285</v>
      </c>
      <c r="N1939" s="11">
        <v>50</v>
      </c>
      <c r="O1939" s="12">
        <v>35.99</v>
      </c>
      <c r="P1939" s="12">
        <v>1.25</v>
      </c>
      <c r="Q1939" s="13">
        <v>829.647</v>
      </c>
      <c r="R1939" s="36" t="s">
        <v>1822</v>
      </c>
      <c r="S1939" s="7">
        <f t="shared" si="162"/>
        <v>1</v>
      </c>
      <c r="T1939" s="15" t="str">
        <f>VLOOKUP(R1939,产品分类!$C$2:$D$1278,2,0)</f>
        <v>家具产品</v>
      </c>
    </row>
    <row r="1940" spans="1:20">
      <c r="A1940" s="8">
        <f>DATE(2012,12,31)-772</f>
        <v>40502</v>
      </c>
      <c r="B1940" s="8">
        <f>DATE(2012,12,31)-772</f>
        <v>40502</v>
      </c>
      <c r="C1940" s="9" t="s">
        <v>1380</v>
      </c>
      <c r="D1940">
        <v>10021334190</v>
      </c>
      <c r="E1940" t="s">
        <v>47</v>
      </c>
      <c r="F1940" t="s">
        <v>152</v>
      </c>
      <c r="G1940" t="s">
        <v>153</v>
      </c>
      <c r="H1940" t="s">
        <v>1640</v>
      </c>
      <c r="I1940" t="s">
        <v>1641</v>
      </c>
      <c r="J1940" t="s">
        <v>367</v>
      </c>
      <c r="K1940" s="3">
        <v>10017587337</v>
      </c>
      <c r="L1940" s="10">
        <v>40502</v>
      </c>
      <c r="M1940">
        <v>614.34</v>
      </c>
      <c r="N1940" s="11">
        <v>44</v>
      </c>
      <c r="O1940" s="12">
        <v>14.03</v>
      </c>
      <c r="P1940" s="12">
        <v>9.37</v>
      </c>
      <c r="Q1940" s="13">
        <v>-171.7</v>
      </c>
      <c r="R1940" s="36" t="s">
        <v>1014</v>
      </c>
      <c r="S1940" s="7">
        <f t="shared" si="162"/>
        <v>0</v>
      </c>
      <c r="T1940" s="15" t="str">
        <f>VLOOKUP(R1940,产品分类!$C$2:$D$1278,2,0)</f>
        <v>数码电子</v>
      </c>
    </row>
    <row r="1941" spans="1:20">
      <c r="A1941" s="16">
        <f>DATE(2012,12,31)-1179</f>
        <v>40095</v>
      </c>
      <c r="B1941" s="16">
        <f>DATE(2012,12,31)-1179</f>
        <v>40095</v>
      </c>
      <c r="C1941" s="9" t="s">
        <v>1823</v>
      </c>
      <c r="D1941">
        <v>10021251142</v>
      </c>
      <c r="E1941" t="s">
        <v>47</v>
      </c>
      <c r="F1941" t="s">
        <v>152</v>
      </c>
      <c r="G1941" t="s">
        <v>153</v>
      </c>
      <c r="H1941" t="s">
        <v>1640</v>
      </c>
      <c r="I1941" t="s">
        <v>1641</v>
      </c>
      <c r="J1941" t="s">
        <v>367</v>
      </c>
      <c r="K1941" s="3">
        <v>10044911933</v>
      </c>
      <c r="L1941" s="10">
        <v>40097</v>
      </c>
      <c r="M1941">
        <v>901.32</v>
      </c>
      <c r="N1941" s="17">
        <v>25</v>
      </c>
      <c r="O1941" s="5">
        <v>37.94</v>
      </c>
      <c r="P1941" s="5">
        <v>5.08</v>
      </c>
      <c r="Q1941" s="6">
        <v>338.01</v>
      </c>
      <c r="R1941" s="37" t="s">
        <v>947</v>
      </c>
      <c r="S1941" s="7">
        <f t="shared" si="162"/>
        <v>2</v>
      </c>
      <c r="T1941" s="15" t="str">
        <f>VLOOKUP(R1941,产品分类!$C$2:$D$1278,2,0)</f>
        <v>办公用品</v>
      </c>
    </row>
    <row r="1942" spans="1:20">
      <c r="A1942" s="16">
        <f>DATE(2012,12,31)-1179</f>
        <v>40095</v>
      </c>
      <c r="B1942" s="16">
        <f>DATE(2012,12,31)-1179</f>
        <v>40095</v>
      </c>
      <c r="C1942" s="9" t="s">
        <v>1823</v>
      </c>
      <c r="D1942">
        <v>10021504006</v>
      </c>
      <c r="E1942" t="s">
        <v>47</v>
      </c>
      <c r="F1942" t="s">
        <v>66</v>
      </c>
      <c r="G1942" t="s">
        <v>67</v>
      </c>
      <c r="H1942" t="s">
        <v>1435</v>
      </c>
      <c r="I1942" t="s">
        <v>1436</v>
      </c>
      <c r="J1942" t="s">
        <v>367</v>
      </c>
      <c r="K1942" s="3">
        <v>100730016235</v>
      </c>
      <c r="L1942" s="10">
        <v>40096</v>
      </c>
      <c r="M1942">
        <v>207.21</v>
      </c>
      <c r="N1942" s="17">
        <v>24</v>
      </c>
      <c r="O1942" s="5">
        <v>8.57</v>
      </c>
      <c r="P1942" s="5">
        <v>6.14</v>
      </c>
      <c r="Q1942" s="6">
        <v>-78.64</v>
      </c>
      <c r="R1942" s="37" t="s">
        <v>1824</v>
      </c>
      <c r="S1942" s="7">
        <f t="shared" si="162"/>
        <v>1</v>
      </c>
      <c r="T1942" s="15" t="str">
        <f>VLOOKUP(R1942,产品分类!$C$2:$D$1278,2,0)</f>
        <v>家具产品</v>
      </c>
    </row>
    <row r="1943" spans="1:20">
      <c r="A1943" s="8">
        <f t="shared" ref="A1943:B1946" si="165">DATE(2012,12,31)-176</f>
        <v>41098</v>
      </c>
      <c r="B1943" s="8">
        <f t="shared" si="165"/>
        <v>41098</v>
      </c>
      <c r="C1943" s="9" t="s">
        <v>421</v>
      </c>
      <c r="D1943">
        <v>10021433143</v>
      </c>
      <c r="E1943" t="s">
        <v>47</v>
      </c>
      <c r="F1943" t="s">
        <v>72</v>
      </c>
      <c r="G1943" t="s">
        <v>73</v>
      </c>
      <c r="H1943" t="s">
        <v>1572</v>
      </c>
      <c r="I1943" t="s">
        <v>1573</v>
      </c>
      <c r="J1943" t="s">
        <v>367</v>
      </c>
      <c r="K1943" s="3">
        <v>100132599958</v>
      </c>
      <c r="L1943" s="10">
        <v>41100</v>
      </c>
      <c r="M1943">
        <v>4332.3</v>
      </c>
      <c r="N1943" s="11">
        <v>28</v>
      </c>
      <c r="O1943" s="12">
        <v>200.97</v>
      </c>
      <c r="P1943" s="12">
        <v>15.59</v>
      </c>
      <c r="Q1943" s="13">
        <v>2066.12</v>
      </c>
      <c r="R1943" s="36" t="s">
        <v>1825</v>
      </c>
      <c r="S1943" s="7">
        <f t="shared" si="162"/>
        <v>2</v>
      </c>
      <c r="T1943" s="15" t="str">
        <f>VLOOKUP(R1943,产品分类!$C$2:$D$1278,2,0)</f>
        <v>家具产品</v>
      </c>
    </row>
    <row r="1944" spans="1:20">
      <c r="A1944" s="8">
        <f t="shared" si="165"/>
        <v>41098</v>
      </c>
      <c r="B1944" s="8">
        <f t="shared" si="165"/>
        <v>41098</v>
      </c>
      <c r="C1944" s="9" t="s">
        <v>421</v>
      </c>
      <c r="D1944">
        <v>10021284841</v>
      </c>
      <c r="E1944" t="s">
        <v>47</v>
      </c>
      <c r="F1944" t="s">
        <v>78</v>
      </c>
      <c r="G1944" t="s">
        <v>79</v>
      </c>
      <c r="H1944" t="s">
        <v>1654</v>
      </c>
      <c r="I1944" t="s">
        <v>1655</v>
      </c>
      <c r="J1944" t="s">
        <v>367</v>
      </c>
      <c r="K1944" s="3">
        <v>100329078789</v>
      </c>
      <c r="L1944" s="10">
        <v>41100</v>
      </c>
      <c r="M1944">
        <v>220.09</v>
      </c>
      <c r="N1944" s="11">
        <v>39</v>
      </c>
      <c r="O1944" s="12">
        <v>4.48</v>
      </c>
      <c r="P1944" s="12">
        <v>49</v>
      </c>
      <c r="Q1944" s="13">
        <v>-1795.74</v>
      </c>
      <c r="R1944" s="36" t="s">
        <v>337</v>
      </c>
      <c r="S1944" s="7">
        <f t="shared" si="162"/>
        <v>2</v>
      </c>
      <c r="T1944" s="15" t="str">
        <f>VLOOKUP(R1944,产品分类!$C$2:$D$1278,2,0)</f>
        <v>数码电子</v>
      </c>
    </row>
    <row r="1945" spans="1:20">
      <c r="A1945" s="8">
        <f t="shared" si="165"/>
        <v>41098</v>
      </c>
      <c r="B1945" s="8">
        <f t="shared" si="165"/>
        <v>41098</v>
      </c>
      <c r="C1945" s="9" t="s">
        <v>421</v>
      </c>
      <c r="D1945">
        <v>10021509675</v>
      </c>
      <c r="E1945" t="s">
        <v>47</v>
      </c>
      <c r="F1945" t="s">
        <v>78</v>
      </c>
      <c r="G1945" t="s">
        <v>79</v>
      </c>
      <c r="H1945" t="s">
        <v>1654</v>
      </c>
      <c r="I1945" t="s">
        <v>1655</v>
      </c>
      <c r="J1945" t="s">
        <v>367</v>
      </c>
      <c r="K1945" s="3">
        <v>100832384532</v>
      </c>
      <c r="L1945" s="10">
        <v>41099</v>
      </c>
      <c r="M1945">
        <v>1220.23</v>
      </c>
      <c r="N1945" s="11">
        <v>49</v>
      </c>
      <c r="O1945" s="12">
        <v>22.84</v>
      </c>
      <c r="P1945" s="12">
        <v>11.54</v>
      </c>
      <c r="Q1945" s="13">
        <v>172.62</v>
      </c>
      <c r="R1945" s="36" t="s">
        <v>218</v>
      </c>
      <c r="S1945" s="7">
        <f t="shared" si="162"/>
        <v>1</v>
      </c>
      <c r="T1945" s="15" t="str">
        <f>VLOOKUP(R1945,产品分类!$C$2:$D$1278,2,0)</f>
        <v>数码电子</v>
      </c>
    </row>
    <row r="1946" spans="1:20">
      <c r="A1946" s="8">
        <f t="shared" si="165"/>
        <v>41098</v>
      </c>
      <c r="B1946" s="8">
        <f t="shared" si="165"/>
        <v>41098</v>
      </c>
      <c r="C1946" s="9" t="s">
        <v>421</v>
      </c>
      <c r="D1946">
        <v>10021476116</v>
      </c>
      <c r="E1946" t="s">
        <v>47</v>
      </c>
      <c r="F1946" t="s">
        <v>72</v>
      </c>
      <c r="G1946" t="s">
        <v>73</v>
      </c>
      <c r="H1946" t="s">
        <v>1572</v>
      </c>
      <c r="I1946" t="s">
        <v>1573</v>
      </c>
      <c r="J1946" t="s">
        <v>367</v>
      </c>
      <c r="K1946" s="3">
        <v>100115187387</v>
      </c>
      <c r="L1946" s="10">
        <v>41100</v>
      </c>
      <c r="M1946">
        <v>6152.8</v>
      </c>
      <c r="N1946" s="11">
        <v>27</v>
      </c>
      <c r="O1946" s="12">
        <v>225.02</v>
      </c>
      <c r="P1946" s="12">
        <v>28.66</v>
      </c>
      <c r="Q1946" s="13">
        <v>554.55</v>
      </c>
      <c r="R1946" s="36" t="s">
        <v>760</v>
      </c>
      <c r="S1946" s="7">
        <f t="shared" si="162"/>
        <v>2</v>
      </c>
      <c r="T1946" s="15" t="str">
        <f>VLOOKUP(R1946,产品分类!$C$2:$D$1278,2,0)</f>
        <v>办公用品</v>
      </c>
    </row>
    <row r="1947" spans="1:20">
      <c r="A1947" s="16">
        <f>DATE(2012,12,31)-1223</f>
        <v>40051</v>
      </c>
      <c r="B1947" s="16">
        <f>DATE(2012,12,31)-1223</f>
        <v>40051</v>
      </c>
      <c r="C1947" s="9" t="s">
        <v>1826</v>
      </c>
      <c r="D1947">
        <v>10021432478</v>
      </c>
      <c r="E1947" t="s">
        <v>47</v>
      </c>
      <c r="F1947" t="s">
        <v>230</v>
      </c>
      <c r="G1947" t="s">
        <v>231</v>
      </c>
      <c r="H1947" t="s">
        <v>1798</v>
      </c>
      <c r="I1947" t="s">
        <v>1799</v>
      </c>
      <c r="J1947" t="s">
        <v>367</v>
      </c>
      <c r="K1947" s="3">
        <v>100720024165</v>
      </c>
      <c r="L1947" s="10">
        <v>40058</v>
      </c>
      <c r="M1947">
        <v>188.05</v>
      </c>
      <c r="N1947" s="17">
        <v>26</v>
      </c>
      <c r="O1947" s="5">
        <v>6.48</v>
      </c>
      <c r="P1947" s="5">
        <v>5.16</v>
      </c>
      <c r="Q1947" s="6">
        <v>-21.41</v>
      </c>
      <c r="R1947" s="37" t="s">
        <v>1827</v>
      </c>
      <c r="S1947" s="7">
        <f t="shared" si="162"/>
        <v>7</v>
      </c>
      <c r="T1947" s="15" t="str">
        <f>VLOOKUP(R1947,产品分类!$C$2:$D$1278,2,0)</f>
        <v>数码电子</v>
      </c>
    </row>
    <row r="1948" spans="1:20">
      <c r="A1948" s="16">
        <f>DATE(2012,12,31)-580</f>
        <v>40694</v>
      </c>
      <c r="B1948" s="16">
        <f>DATE(2012,12,31)-580</f>
        <v>40694</v>
      </c>
      <c r="C1948" s="9" t="s">
        <v>1621</v>
      </c>
      <c r="D1948">
        <v>10021257628</v>
      </c>
      <c r="E1948" t="s">
        <v>47</v>
      </c>
      <c r="F1948" t="s">
        <v>230</v>
      </c>
      <c r="G1948" t="s">
        <v>231</v>
      </c>
      <c r="H1948" t="s">
        <v>1798</v>
      </c>
      <c r="I1948" t="s">
        <v>1799</v>
      </c>
      <c r="J1948" t="s">
        <v>367</v>
      </c>
      <c r="K1948" s="3">
        <v>100926598001</v>
      </c>
      <c r="L1948" s="10">
        <v>40696</v>
      </c>
      <c r="M1948">
        <v>381.24</v>
      </c>
      <c r="N1948" s="17">
        <v>32</v>
      </c>
      <c r="O1948" s="5">
        <v>11.34</v>
      </c>
      <c r="P1948" s="5">
        <v>5.01</v>
      </c>
      <c r="Q1948" s="6">
        <v>67.6</v>
      </c>
      <c r="R1948" s="37" t="s">
        <v>1504</v>
      </c>
      <c r="S1948" s="7">
        <f t="shared" si="162"/>
        <v>2</v>
      </c>
      <c r="T1948" s="15" t="str">
        <f>VLOOKUP(R1948,产品分类!$C$2:$D$1278,2,0)</f>
        <v>家具产品</v>
      </c>
    </row>
    <row r="1949" spans="1:20">
      <c r="A1949" s="8">
        <f>DATE(2012,12,31)-1073</f>
        <v>40201</v>
      </c>
      <c r="B1949" s="8">
        <f>DATE(2012,12,31)-1073</f>
        <v>40201</v>
      </c>
      <c r="C1949" s="9" t="s">
        <v>1828</v>
      </c>
      <c r="D1949">
        <v>10021499419</v>
      </c>
      <c r="E1949" t="s">
        <v>47</v>
      </c>
      <c r="F1949" t="s">
        <v>230</v>
      </c>
      <c r="G1949" t="s">
        <v>231</v>
      </c>
      <c r="H1949" t="s">
        <v>1798</v>
      </c>
      <c r="I1949" t="s">
        <v>1799</v>
      </c>
      <c r="J1949" t="s">
        <v>367</v>
      </c>
      <c r="K1949" s="3">
        <v>100824348342</v>
      </c>
      <c r="L1949" s="10">
        <v>40210</v>
      </c>
      <c r="M1949">
        <v>808.673</v>
      </c>
      <c r="N1949" s="11">
        <v>11</v>
      </c>
      <c r="O1949" s="12">
        <v>85.99</v>
      </c>
      <c r="P1949" s="12">
        <v>0.99</v>
      </c>
      <c r="Q1949" s="13">
        <v>-10.67</v>
      </c>
      <c r="R1949" s="36" t="s">
        <v>1684</v>
      </c>
      <c r="S1949" s="7">
        <f t="shared" si="162"/>
        <v>9</v>
      </c>
      <c r="T1949" s="15" t="str">
        <f>VLOOKUP(R1949,产品分类!$C$2:$D$1278,2,0)</f>
        <v>办公用品</v>
      </c>
    </row>
    <row r="1950" spans="1:20">
      <c r="A1950" s="8">
        <f>DATE(2012,12,31)-1367</f>
        <v>39907</v>
      </c>
      <c r="B1950" s="8">
        <f>DATE(2012,12,31)-1367</f>
        <v>39907</v>
      </c>
      <c r="C1950" s="9" t="s">
        <v>1362</v>
      </c>
      <c r="D1950">
        <v>10021287371</v>
      </c>
      <c r="E1950" t="s">
        <v>47</v>
      </c>
      <c r="F1950" t="s">
        <v>114</v>
      </c>
      <c r="G1950" t="s">
        <v>115</v>
      </c>
      <c r="H1950" t="s">
        <v>1829</v>
      </c>
      <c r="I1950" t="s">
        <v>1830</v>
      </c>
      <c r="J1950" t="s">
        <v>367</v>
      </c>
      <c r="K1950" s="3">
        <v>100731754325</v>
      </c>
      <c r="L1950" s="10">
        <v>39909</v>
      </c>
      <c r="M1950">
        <v>228.46</v>
      </c>
      <c r="N1950" s="11">
        <v>47</v>
      </c>
      <c r="O1950" s="12">
        <v>4.91</v>
      </c>
      <c r="P1950" s="12">
        <v>0.5</v>
      </c>
      <c r="Q1950" s="13">
        <v>112.06</v>
      </c>
      <c r="R1950" s="36" t="s">
        <v>427</v>
      </c>
      <c r="S1950" s="7">
        <f t="shared" si="162"/>
        <v>2</v>
      </c>
      <c r="T1950" s="15" t="str">
        <f>VLOOKUP(R1950,产品分类!$C$2:$D$1278,2,0)</f>
        <v>数码电子</v>
      </c>
    </row>
    <row r="1951" spans="1:20">
      <c r="A1951" s="8">
        <f>DATE(2012,12,31)-1367</f>
        <v>39907</v>
      </c>
      <c r="B1951" s="8">
        <f>DATE(2012,12,31)-1367</f>
        <v>39907</v>
      </c>
      <c r="C1951" s="9" t="s">
        <v>1362</v>
      </c>
      <c r="D1951">
        <v>10021338508</v>
      </c>
      <c r="E1951" t="s">
        <v>47</v>
      </c>
      <c r="F1951" t="s">
        <v>55</v>
      </c>
      <c r="G1951" t="s">
        <v>56</v>
      </c>
      <c r="H1951" t="s">
        <v>1658</v>
      </c>
      <c r="I1951" t="s">
        <v>1659</v>
      </c>
      <c r="J1951" t="s">
        <v>367</v>
      </c>
      <c r="K1951" s="3">
        <v>100323951839</v>
      </c>
      <c r="L1951" s="10">
        <v>39909</v>
      </c>
      <c r="M1951">
        <v>77.61</v>
      </c>
      <c r="N1951" s="11">
        <v>19</v>
      </c>
      <c r="O1951" s="12">
        <v>4</v>
      </c>
      <c r="P1951" s="12">
        <v>1.3</v>
      </c>
      <c r="Q1951" s="13">
        <v>16.79</v>
      </c>
      <c r="R1951" s="36" t="s">
        <v>1003</v>
      </c>
      <c r="S1951" s="7">
        <f t="shared" si="162"/>
        <v>2</v>
      </c>
      <c r="T1951" s="15" t="str">
        <f>VLOOKUP(R1951,产品分类!$C$2:$D$1278,2,0)</f>
        <v>数码电子</v>
      </c>
    </row>
    <row r="1952" spans="1:20">
      <c r="A1952" s="8">
        <f>DATE(2012,12,31)-98</f>
        <v>41176</v>
      </c>
      <c r="B1952" s="8">
        <f>DATE(2012,12,31)-98</f>
        <v>41176</v>
      </c>
      <c r="C1952" s="9" t="s">
        <v>1088</v>
      </c>
      <c r="D1952">
        <v>10021451346</v>
      </c>
      <c r="E1952" t="s">
        <v>47</v>
      </c>
      <c r="F1952" t="s">
        <v>83</v>
      </c>
      <c r="G1952" t="s">
        <v>84</v>
      </c>
      <c r="H1952" t="s">
        <v>1259</v>
      </c>
      <c r="I1952" t="s">
        <v>1260</v>
      </c>
      <c r="J1952" t="s">
        <v>367</v>
      </c>
      <c r="K1952" s="3">
        <v>100930246411</v>
      </c>
      <c r="L1952" s="10">
        <v>41176</v>
      </c>
      <c r="M1952">
        <v>2052.82</v>
      </c>
      <c r="N1952" s="11">
        <v>30</v>
      </c>
      <c r="O1952" s="12">
        <v>70.71</v>
      </c>
      <c r="P1952" s="12">
        <v>37.58</v>
      </c>
      <c r="Q1952" s="13">
        <v>-870.61</v>
      </c>
      <c r="R1952" s="36" t="s">
        <v>1212</v>
      </c>
      <c r="S1952" s="7">
        <f t="shared" si="162"/>
        <v>0</v>
      </c>
      <c r="T1952" s="15" t="str">
        <f>VLOOKUP(R1952,产品分类!$C$2:$D$1278,2,0)</f>
        <v>办公用品</v>
      </c>
    </row>
    <row r="1953" spans="1:20">
      <c r="A1953" s="8">
        <f>DATE(2012,12,31)-447</f>
        <v>40827</v>
      </c>
      <c r="B1953" s="8">
        <f>DATE(2012,12,31)-447</f>
        <v>40827</v>
      </c>
      <c r="C1953" s="9" t="s">
        <v>1139</v>
      </c>
      <c r="D1953">
        <v>10021395048</v>
      </c>
      <c r="E1953" t="s">
        <v>47</v>
      </c>
      <c r="F1953" t="s">
        <v>91</v>
      </c>
      <c r="G1953" t="s">
        <v>92</v>
      </c>
      <c r="H1953" t="s">
        <v>1412</v>
      </c>
      <c r="I1953" t="s">
        <v>1413</v>
      </c>
      <c r="J1953" t="s">
        <v>367</v>
      </c>
      <c r="K1953" s="3">
        <v>10045443734</v>
      </c>
      <c r="L1953" s="10">
        <v>40830</v>
      </c>
      <c r="M1953">
        <v>1905.79</v>
      </c>
      <c r="N1953" s="11">
        <v>46</v>
      </c>
      <c r="O1953" s="12">
        <v>39.48</v>
      </c>
      <c r="P1953" s="12">
        <v>1.99</v>
      </c>
      <c r="Q1953" s="13">
        <v>675.65</v>
      </c>
      <c r="R1953" s="36" t="s">
        <v>235</v>
      </c>
      <c r="S1953" s="7">
        <f t="shared" si="162"/>
        <v>3</v>
      </c>
      <c r="T1953" s="15" t="str">
        <f>VLOOKUP(R1953,产品分类!$C$2:$D$1278,2,0)</f>
        <v>办公用品</v>
      </c>
    </row>
    <row r="1954" spans="1:20">
      <c r="A1954" s="8">
        <f t="shared" ref="A1954:B1956" si="166">DATE(2012,12,31)-152</f>
        <v>41122</v>
      </c>
      <c r="B1954" s="8">
        <f t="shared" si="166"/>
        <v>41122</v>
      </c>
      <c r="C1954" s="9" t="s">
        <v>1831</v>
      </c>
      <c r="D1954">
        <v>10021251252</v>
      </c>
      <c r="E1954" t="s">
        <v>47</v>
      </c>
      <c r="F1954" t="s">
        <v>122</v>
      </c>
      <c r="G1954" t="s">
        <v>123</v>
      </c>
      <c r="H1954" t="s">
        <v>124</v>
      </c>
      <c r="I1954" t="s">
        <v>125</v>
      </c>
      <c r="J1954" t="s">
        <v>367</v>
      </c>
      <c r="K1954" s="3">
        <v>10096945411</v>
      </c>
      <c r="L1954" s="10">
        <v>41123</v>
      </c>
      <c r="M1954">
        <v>180.27</v>
      </c>
      <c r="N1954" s="11">
        <v>34</v>
      </c>
      <c r="O1954" s="12">
        <v>4.95</v>
      </c>
      <c r="P1954" s="12">
        <v>5.32</v>
      </c>
      <c r="Q1954" s="13">
        <v>-59.71</v>
      </c>
      <c r="R1954" s="36" t="s">
        <v>1832</v>
      </c>
      <c r="S1954" s="7">
        <f t="shared" si="162"/>
        <v>1</v>
      </c>
      <c r="T1954" s="15" t="str">
        <f>VLOOKUP(R1954,产品分类!$C$2:$D$1278,2,0)</f>
        <v>办公用品</v>
      </c>
    </row>
    <row r="1955" spans="1:20">
      <c r="A1955" s="8">
        <f t="shared" si="166"/>
        <v>41122</v>
      </c>
      <c r="B1955" s="8">
        <f t="shared" si="166"/>
        <v>41122</v>
      </c>
      <c r="C1955" s="9" t="s">
        <v>1831</v>
      </c>
      <c r="D1955">
        <v>10021504396</v>
      </c>
      <c r="E1955" t="s">
        <v>47</v>
      </c>
      <c r="F1955" t="s">
        <v>91</v>
      </c>
      <c r="G1955" t="s">
        <v>92</v>
      </c>
      <c r="H1955" t="s">
        <v>1412</v>
      </c>
      <c r="I1955" t="s">
        <v>1413</v>
      </c>
      <c r="J1955" t="s">
        <v>367</v>
      </c>
      <c r="K1955" s="3">
        <v>100930350901</v>
      </c>
      <c r="L1955" s="10">
        <v>41123</v>
      </c>
      <c r="M1955">
        <v>626.96</v>
      </c>
      <c r="N1955" s="11">
        <v>39</v>
      </c>
      <c r="O1955" s="12">
        <v>14.98</v>
      </c>
      <c r="P1955" s="12">
        <v>7.69</v>
      </c>
      <c r="Q1955" s="13">
        <v>-35.92</v>
      </c>
      <c r="R1955" s="36" t="s">
        <v>1142</v>
      </c>
      <c r="S1955" s="7">
        <f t="shared" si="162"/>
        <v>1</v>
      </c>
      <c r="T1955" s="15" t="str">
        <f>VLOOKUP(R1955,产品分类!$C$2:$D$1278,2,0)</f>
        <v>办公用品</v>
      </c>
    </row>
    <row r="1956" spans="1:20">
      <c r="A1956" s="8">
        <f t="shared" si="166"/>
        <v>41122</v>
      </c>
      <c r="B1956" s="8">
        <f t="shared" si="166"/>
        <v>41122</v>
      </c>
      <c r="C1956" s="9" t="s">
        <v>1831</v>
      </c>
      <c r="D1956">
        <v>10021319738</v>
      </c>
      <c r="E1956" t="s">
        <v>47</v>
      </c>
      <c r="F1956" t="s">
        <v>122</v>
      </c>
      <c r="G1956" t="s">
        <v>123</v>
      </c>
      <c r="H1956" t="s">
        <v>124</v>
      </c>
      <c r="I1956" t="s">
        <v>125</v>
      </c>
      <c r="J1956" t="s">
        <v>367</v>
      </c>
      <c r="K1956" s="3">
        <v>100416990573</v>
      </c>
      <c r="L1956" s="10">
        <v>41123</v>
      </c>
      <c r="M1956">
        <v>236.31</v>
      </c>
      <c r="N1956" s="11">
        <v>18</v>
      </c>
      <c r="O1956" s="12">
        <v>11.97</v>
      </c>
      <c r="P1956" s="12">
        <v>4.98</v>
      </c>
      <c r="Q1956" s="13">
        <v>-2.24</v>
      </c>
      <c r="R1956" s="36" t="s">
        <v>1833</v>
      </c>
      <c r="S1956" s="7">
        <f t="shared" si="162"/>
        <v>1</v>
      </c>
      <c r="T1956" s="15" t="str">
        <f>VLOOKUP(R1956,产品分类!$C$2:$D$1278,2,0)</f>
        <v>办公用品</v>
      </c>
    </row>
    <row r="1957" spans="1:20">
      <c r="A1957" s="8">
        <f>DATE(2012,12,31)-300</f>
        <v>40974</v>
      </c>
      <c r="B1957" s="8">
        <f>DATE(2012,12,31)-300</f>
        <v>40974</v>
      </c>
      <c r="C1957" s="9" t="s">
        <v>1437</v>
      </c>
      <c r="D1957">
        <v>10021496165</v>
      </c>
      <c r="E1957" t="s">
        <v>47</v>
      </c>
      <c r="F1957" t="s">
        <v>83</v>
      </c>
      <c r="G1957" t="s">
        <v>84</v>
      </c>
      <c r="H1957" t="s">
        <v>1259</v>
      </c>
      <c r="I1957" t="s">
        <v>1260</v>
      </c>
      <c r="J1957" t="s">
        <v>367</v>
      </c>
      <c r="K1957" s="3">
        <v>10041224533</v>
      </c>
      <c r="L1957" s="10">
        <v>40976</v>
      </c>
      <c r="M1957">
        <v>170.7</v>
      </c>
      <c r="N1957" s="11">
        <v>24</v>
      </c>
      <c r="O1957" s="12">
        <v>6.48</v>
      </c>
      <c r="P1957" s="12">
        <v>2.74</v>
      </c>
      <c r="Q1957" s="13">
        <v>-37.88</v>
      </c>
      <c r="R1957" s="36" t="s">
        <v>1309</v>
      </c>
      <c r="S1957" s="7">
        <f t="shared" si="162"/>
        <v>2</v>
      </c>
      <c r="T1957" s="15" t="str">
        <f>VLOOKUP(R1957,产品分类!$C$2:$D$1278,2,0)</f>
        <v>数码电子</v>
      </c>
    </row>
    <row r="1958" spans="1:20">
      <c r="A1958" s="8">
        <f>DATE(2012,12,31)-300</f>
        <v>40974</v>
      </c>
      <c r="B1958" s="8">
        <f>DATE(2012,12,31)-300</f>
        <v>40974</v>
      </c>
      <c r="C1958" s="9" t="s">
        <v>1437</v>
      </c>
      <c r="D1958">
        <v>10021464710</v>
      </c>
      <c r="E1958" t="s">
        <v>47</v>
      </c>
      <c r="F1958" t="s">
        <v>83</v>
      </c>
      <c r="G1958" t="s">
        <v>84</v>
      </c>
      <c r="H1958" t="s">
        <v>1259</v>
      </c>
      <c r="I1958" t="s">
        <v>1260</v>
      </c>
      <c r="J1958" t="s">
        <v>367</v>
      </c>
      <c r="K1958" s="3">
        <v>100327038839</v>
      </c>
      <c r="L1958" s="10">
        <v>40975</v>
      </c>
      <c r="M1958">
        <v>1839.448</v>
      </c>
      <c r="N1958" s="11">
        <v>21</v>
      </c>
      <c r="O1958" s="12">
        <v>111.96</v>
      </c>
      <c r="P1958" s="12">
        <v>69</v>
      </c>
      <c r="Q1958" s="13">
        <v>-742.88</v>
      </c>
      <c r="R1958" s="36" t="s">
        <v>1834</v>
      </c>
      <c r="S1958" s="7">
        <f t="shared" si="162"/>
        <v>1</v>
      </c>
      <c r="T1958" s="15" t="str">
        <f>VLOOKUP(R1958,产品分类!$C$2:$D$1278,2,0)</f>
        <v>家具产品</v>
      </c>
    </row>
    <row r="1959" spans="1:20">
      <c r="A1959" s="8">
        <f>DATE(2012,12,31)-173</f>
        <v>41101</v>
      </c>
      <c r="B1959" s="8">
        <f>DATE(2012,12,31)-173</f>
        <v>41101</v>
      </c>
      <c r="C1959" s="9" t="s">
        <v>1358</v>
      </c>
      <c r="D1959">
        <v>10021499982</v>
      </c>
      <c r="E1959" t="s">
        <v>47</v>
      </c>
      <c r="F1959" t="s">
        <v>97</v>
      </c>
      <c r="G1959" t="s">
        <v>98</v>
      </c>
      <c r="H1959" t="s">
        <v>99</v>
      </c>
      <c r="I1959" t="s">
        <v>98</v>
      </c>
      <c r="J1959" t="s">
        <v>367</v>
      </c>
      <c r="K1959" s="3">
        <v>100325387799</v>
      </c>
      <c r="L1959" s="10">
        <v>41103</v>
      </c>
      <c r="M1959">
        <v>1137.62</v>
      </c>
      <c r="N1959" s="11">
        <v>9</v>
      </c>
      <c r="O1959" s="12">
        <v>124.49</v>
      </c>
      <c r="P1959" s="12">
        <v>51.94</v>
      </c>
      <c r="Q1959" s="13">
        <v>-284.68</v>
      </c>
      <c r="R1959" s="36" t="s">
        <v>237</v>
      </c>
      <c r="S1959" s="7">
        <f t="shared" si="162"/>
        <v>2</v>
      </c>
      <c r="T1959" s="15" t="str">
        <f>VLOOKUP(R1959,产品分类!$C$2:$D$1278,2,0)</f>
        <v>数码电子</v>
      </c>
    </row>
    <row r="1960" spans="1:20">
      <c r="A1960" s="8">
        <f>DATE(2012,12,31)-939</f>
        <v>40335</v>
      </c>
      <c r="B1960" s="8">
        <f>DATE(2012,12,31)-939</f>
        <v>40335</v>
      </c>
      <c r="C1960" s="9" t="s">
        <v>809</v>
      </c>
      <c r="D1960">
        <v>10021263140</v>
      </c>
      <c r="E1960" t="s">
        <v>47</v>
      </c>
      <c r="F1960" t="s">
        <v>152</v>
      </c>
      <c r="G1960" t="s">
        <v>153</v>
      </c>
      <c r="H1960" t="s">
        <v>1640</v>
      </c>
      <c r="I1960" t="s">
        <v>1641</v>
      </c>
      <c r="J1960" t="s">
        <v>367</v>
      </c>
      <c r="K1960" s="3">
        <v>100913090241</v>
      </c>
      <c r="L1960" s="10">
        <v>40335</v>
      </c>
      <c r="M1960">
        <v>160.68</v>
      </c>
      <c r="N1960" s="11">
        <v>30</v>
      </c>
      <c r="O1960" s="12">
        <v>4.98</v>
      </c>
      <c r="P1960" s="12">
        <v>0.49</v>
      </c>
      <c r="Q1960" s="13">
        <v>77.75</v>
      </c>
      <c r="R1960" s="36" t="s">
        <v>327</v>
      </c>
      <c r="S1960" s="7">
        <f t="shared" si="162"/>
        <v>0</v>
      </c>
      <c r="T1960" s="15" t="str">
        <f>VLOOKUP(R1960,产品分类!$C$2:$D$1278,2,0)</f>
        <v>家具产品</v>
      </c>
    </row>
    <row r="1961" spans="1:20">
      <c r="A1961" s="8">
        <f>DATE(2012,12,31)-665</f>
        <v>40609</v>
      </c>
      <c r="B1961" s="8">
        <f>DATE(2012,12,31)-665</f>
        <v>40609</v>
      </c>
      <c r="C1961" s="9" t="s">
        <v>873</v>
      </c>
      <c r="D1961">
        <v>10021260296</v>
      </c>
      <c r="E1961" t="s">
        <v>47</v>
      </c>
      <c r="F1961" t="s">
        <v>132</v>
      </c>
      <c r="G1961" t="s">
        <v>133</v>
      </c>
      <c r="H1961" t="s">
        <v>134</v>
      </c>
      <c r="I1961" t="s">
        <v>133</v>
      </c>
      <c r="J1961" t="s">
        <v>367</v>
      </c>
      <c r="K1961" s="3">
        <v>100128564997</v>
      </c>
      <c r="L1961" s="10">
        <v>40610</v>
      </c>
      <c r="M1961">
        <v>27.05</v>
      </c>
      <c r="N1961" s="11">
        <v>12</v>
      </c>
      <c r="O1961" s="12">
        <v>1.82</v>
      </c>
      <c r="P1961" s="12">
        <v>0.83</v>
      </c>
      <c r="Q1961" s="13">
        <v>0.999999999999999</v>
      </c>
      <c r="R1961" s="36" t="s">
        <v>1835</v>
      </c>
      <c r="S1961" s="7">
        <f t="shared" si="162"/>
        <v>1</v>
      </c>
      <c r="T1961" s="15" t="str">
        <f>VLOOKUP(R1961,产品分类!$C$2:$D$1278,2,0)</f>
        <v>家具产品</v>
      </c>
    </row>
    <row r="1962" spans="1:20">
      <c r="A1962" s="8">
        <f>DATE(2012,12,31)-1045</f>
        <v>40229</v>
      </c>
      <c r="B1962" s="8">
        <f>DATE(2012,12,31)-1045</f>
        <v>40229</v>
      </c>
      <c r="C1962" s="9" t="s">
        <v>820</v>
      </c>
      <c r="D1962">
        <v>10021258859</v>
      </c>
      <c r="E1962" t="s">
        <v>47</v>
      </c>
      <c r="F1962" t="s">
        <v>132</v>
      </c>
      <c r="G1962" t="s">
        <v>133</v>
      </c>
      <c r="H1962" t="s">
        <v>134</v>
      </c>
      <c r="I1962" t="s">
        <v>133</v>
      </c>
      <c r="J1962" t="s">
        <v>367</v>
      </c>
      <c r="K1962" s="3">
        <v>100427428764</v>
      </c>
      <c r="L1962" s="10">
        <v>40231</v>
      </c>
      <c r="M1962">
        <v>711.1</v>
      </c>
      <c r="N1962" s="11">
        <v>36</v>
      </c>
      <c r="O1962" s="12">
        <v>21.38</v>
      </c>
      <c r="P1962" s="12">
        <v>2.99</v>
      </c>
      <c r="Q1962" s="13">
        <v>241.077</v>
      </c>
      <c r="R1962" s="36" t="s">
        <v>1836</v>
      </c>
      <c r="S1962" s="7">
        <f t="shared" si="162"/>
        <v>2</v>
      </c>
      <c r="T1962" s="15" t="str">
        <f>VLOOKUP(R1962,产品分类!$C$2:$D$1278,2,0)</f>
        <v>办公用品</v>
      </c>
    </row>
    <row r="1963" spans="1:20">
      <c r="A1963" s="8">
        <f>DATE(2012,12,31)-1045</f>
        <v>40229</v>
      </c>
      <c r="B1963" s="8">
        <f>DATE(2012,12,31)-1045</f>
        <v>40229</v>
      </c>
      <c r="C1963" s="9" t="s">
        <v>820</v>
      </c>
      <c r="D1963">
        <v>10021389197</v>
      </c>
      <c r="E1963" t="s">
        <v>47</v>
      </c>
      <c r="F1963" t="s">
        <v>102</v>
      </c>
      <c r="G1963" t="s">
        <v>103</v>
      </c>
      <c r="H1963" t="s">
        <v>1217</v>
      </c>
      <c r="I1963" t="s">
        <v>1218</v>
      </c>
      <c r="J1963" t="s">
        <v>367</v>
      </c>
      <c r="K1963" s="3">
        <v>100331485919</v>
      </c>
      <c r="L1963" s="10">
        <v>40230</v>
      </c>
      <c r="M1963">
        <v>498.16</v>
      </c>
      <c r="N1963" s="11">
        <v>48</v>
      </c>
      <c r="O1963" s="12">
        <v>9.99</v>
      </c>
      <c r="P1963" s="12">
        <v>5.12</v>
      </c>
      <c r="Q1963" s="13">
        <v>40.61</v>
      </c>
      <c r="R1963" s="36" t="s">
        <v>965</v>
      </c>
      <c r="S1963" s="7">
        <f t="shared" si="162"/>
        <v>1</v>
      </c>
      <c r="T1963" s="15" t="str">
        <f>VLOOKUP(R1963,产品分类!$C$2:$D$1278,2,0)</f>
        <v>家具产品</v>
      </c>
    </row>
    <row r="1964" spans="1:20">
      <c r="A1964" s="8">
        <f t="shared" ref="A1964:B1966" si="167">DATE(2012,12,31)-959</f>
        <v>40315</v>
      </c>
      <c r="B1964" s="8">
        <f t="shared" si="167"/>
        <v>40315</v>
      </c>
      <c r="C1964" s="9" t="s">
        <v>617</v>
      </c>
      <c r="D1964">
        <v>10021264534</v>
      </c>
      <c r="E1964" t="s">
        <v>47</v>
      </c>
      <c r="F1964" t="s">
        <v>208</v>
      </c>
      <c r="G1964" t="s">
        <v>209</v>
      </c>
      <c r="H1964" t="s">
        <v>1492</v>
      </c>
      <c r="I1964" t="s">
        <v>1493</v>
      </c>
      <c r="J1964" t="s">
        <v>367</v>
      </c>
      <c r="K1964" s="3">
        <v>100931192681</v>
      </c>
      <c r="L1964" s="10">
        <v>40315</v>
      </c>
      <c r="M1964">
        <v>1837.15</v>
      </c>
      <c r="N1964" s="11">
        <v>47</v>
      </c>
      <c r="O1964" s="12">
        <v>40.97</v>
      </c>
      <c r="P1964" s="12">
        <v>8.99</v>
      </c>
      <c r="Q1964" s="13">
        <v>196.58</v>
      </c>
      <c r="R1964" s="36" t="s">
        <v>983</v>
      </c>
      <c r="S1964" s="7">
        <f t="shared" si="162"/>
        <v>0</v>
      </c>
      <c r="T1964" s="15" t="str">
        <f>VLOOKUP(R1964,产品分类!$C$2:$D$1278,2,0)</f>
        <v>办公用品</v>
      </c>
    </row>
    <row r="1965" spans="1:20">
      <c r="A1965" s="8">
        <f t="shared" si="167"/>
        <v>40315</v>
      </c>
      <c r="B1965" s="8">
        <f t="shared" si="167"/>
        <v>40315</v>
      </c>
      <c r="C1965" s="9" t="s">
        <v>617</v>
      </c>
      <c r="D1965">
        <v>10021340126</v>
      </c>
      <c r="E1965" t="s">
        <v>47</v>
      </c>
      <c r="F1965" t="s">
        <v>304</v>
      </c>
      <c r="G1965" t="s">
        <v>305</v>
      </c>
      <c r="H1965" t="s">
        <v>1550</v>
      </c>
      <c r="I1965" t="s">
        <v>1551</v>
      </c>
      <c r="J1965" t="s">
        <v>367</v>
      </c>
      <c r="K1965" s="3">
        <v>100723945395</v>
      </c>
      <c r="L1965" s="10">
        <v>40317</v>
      </c>
      <c r="M1965">
        <v>540.22</v>
      </c>
      <c r="N1965" s="11">
        <v>5</v>
      </c>
      <c r="O1965" s="12">
        <v>101.41</v>
      </c>
      <c r="P1965" s="12">
        <v>35</v>
      </c>
      <c r="Q1965" s="13">
        <v>-253.38</v>
      </c>
      <c r="R1965" s="36" t="s">
        <v>1489</v>
      </c>
      <c r="S1965" s="7">
        <f t="shared" si="162"/>
        <v>2</v>
      </c>
      <c r="T1965" s="15" t="str">
        <f>VLOOKUP(R1965,产品分类!$C$2:$D$1278,2,0)</f>
        <v>数码电子</v>
      </c>
    </row>
    <row r="1966" spans="1:20">
      <c r="A1966" s="8">
        <f t="shared" si="167"/>
        <v>40315</v>
      </c>
      <c r="B1966" s="8">
        <f t="shared" si="167"/>
        <v>40315</v>
      </c>
      <c r="C1966" s="9" t="s">
        <v>617</v>
      </c>
      <c r="D1966">
        <v>10021428191</v>
      </c>
      <c r="E1966" t="s">
        <v>47</v>
      </c>
      <c r="F1966" t="s">
        <v>304</v>
      </c>
      <c r="G1966" t="s">
        <v>305</v>
      </c>
      <c r="H1966" t="s">
        <v>1550</v>
      </c>
      <c r="I1966" t="s">
        <v>1551</v>
      </c>
      <c r="J1966" t="s">
        <v>367</v>
      </c>
      <c r="K1966" s="3">
        <v>100731037835</v>
      </c>
      <c r="L1966" s="10">
        <v>40317</v>
      </c>
      <c r="M1966">
        <v>2035.393</v>
      </c>
      <c r="N1966" s="11">
        <v>40</v>
      </c>
      <c r="O1966" s="12">
        <v>55.99</v>
      </c>
      <c r="P1966" s="12">
        <v>1.25</v>
      </c>
      <c r="Q1966" s="13">
        <v>1152.693</v>
      </c>
      <c r="R1966" s="36" t="s">
        <v>856</v>
      </c>
      <c r="S1966" s="7">
        <f t="shared" si="162"/>
        <v>2</v>
      </c>
      <c r="T1966" s="15" t="str">
        <f>VLOOKUP(R1966,产品分类!$C$2:$D$1278,2,0)</f>
        <v>数码电子</v>
      </c>
    </row>
    <row r="1967" spans="1:20">
      <c r="A1967" s="8">
        <f>DATE(2012,12,31)-1217</f>
        <v>40057</v>
      </c>
      <c r="B1967" s="8">
        <f>DATE(2012,12,31)-1217</f>
        <v>40057</v>
      </c>
      <c r="C1967" s="9" t="s">
        <v>111</v>
      </c>
      <c r="D1967">
        <v>10021251012</v>
      </c>
      <c r="E1967" t="s">
        <v>47</v>
      </c>
      <c r="F1967" t="s">
        <v>102</v>
      </c>
      <c r="G1967" t="s">
        <v>103</v>
      </c>
      <c r="H1967" t="s">
        <v>1217</v>
      </c>
      <c r="I1967" t="s">
        <v>1218</v>
      </c>
      <c r="J1967" t="s">
        <v>367</v>
      </c>
      <c r="K1967" s="3">
        <v>100416617144</v>
      </c>
      <c r="L1967" s="10">
        <v>40059</v>
      </c>
      <c r="M1967">
        <v>441.7</v>
      </c>
      <c r="N1967" s="11">
        <v>21</v>
      </c>
      <c r="O1967" s="12">
        <v>22.23</v>
      </c>
      <c r="P1967" s="12">
        <v>3.63</v>
      </c>
      <c r="Q1967" s="13">
        <v>167.18</v>
      </c>
      <c r="R1967" s="36" t="s">
        <v>1837</v>
      </c>
      <c r="S1967" s="7">
        <f t="shared" si="162"/>
        <v>2</v>
      </c>
      <c r="T1967" s="15" t="str">
        <f>VLOOKUP(R1967,产品分类!$C$2:$D$1278,2,0)</f>
        <v>数码电子</v>
      </c>
    </row>
    <row r="1968" spans="1:20">
      <c r="A1968" s="8">
        <f>DATE(2012,12,31)-817</f>
        <v>40457</v>
      </c>
      <c r="B1968" s="8">
        <f>DATE(2012,12,31)-817</f>
        <v>40457</v>
      </c>
      <c r="C1968" s="9" t="s">
        <v>361</v>
      </c>
      <c r="D1968">
        <v>10021350070</v>
      </c>
      <c r="E1968" t="s">
        <v>47</v>
      </c>
      <c r="F1968" t="s">
        <v>171</v>
      </c>
      <c r="G1968" t="s">
        <v>172</v>
      </c>
      <c r="H1968" t="s">
        <v>1712</v>
      </c>
      <c r="I1968" t="s">
        <v>1713</v>
      </c>
      <c r="J1968" t="s">
        <v>367</v>
      </c>
      <c r="K1968" s="3">
        <v>100422482534</v>
      </c>
      <c r="L1968" s="10">
        <v>40458</v>
      </c>
      <c r="M1968">
        <v>1476.12</v>
      </c>
      <c r="N1968" s="11">
        <v>31</v>
      </c>
      <c r="O1968" s="12">
        <v>44.43</v>
      </c>
      <c r="P1968" s="12">
        <v>46.59</v>
      </c>
      <c r="Q1968" s="13">
        <v>-1401.1712</v>
      </c>
      <c r="R1968" s="36" t="s">
        <v>1384</v>
      </c>
      <c r="S1968" s="7">
        <f t="shared" si="162"/>
        <v>1</v>
      </c>
      <c r="T1968" s="15" t="str">
        <f>VLOOKUP(R1968,产品分类!$C$2:$D$1278,2,0)</f>
        <v>家具产品</v>
      </c>
    </row>
    <row r="1969" spans="1:20">
      <c r="A1969" s="8">
        <f>DATE(2012,12,31)-803</f>
        <v>40471</v>
      </c>
      <c r="B1969" s="8">
        <f>DATE(2012,12,31)-803</f>
        <v>40471</v>
      </c>
      <c r="C1969" s="9" t="s">
        <v>815</v>
      </c>
      <c r="D1969">
        <v>10021498004</v>
      </c>
      <c r="E1969" t="s">
        <v>47</v>
      </c>
      <c r="F1969" t="s">
        <v>171</v>
      </c>
      <c r="G1969" t="s">
        <v>172</v>
      </c>
      <c r="H1969" t="s">
        <v>1712</v>
      </c>
      <c r="I1969" t="s">
        <v>1713</v>
      </c>
      <c r="J1969" t="s">
        <v>367</v>
      </c>
      <c r="K1969" s="3">
        <v>100921108161</v>
      </c>
      <c r="L1969" s="10">
        <v>40476</v>
      </c>
      <c r="M1969">
        <v>1764.97</v>
      </c>
      <c r="N1969" s="11">
        <v>13</v>
      </c>
      <c r="O1969" s="12">
        <v>130.98</v>
      </c>
      <c r="P1969" s="12">
        <v>54.74</v>
      </c>
      <c r="Q1969" s="13">
        <v>-383.5</v>
      </c>
      <c r="R1969" s="36" t="s">
        <v>142</v>
      </c>
      <c r="S1969" s="7">
        <f t="shared" si="162"/>
        <v>5</v>
      </c>
      <c r="T1969" s="15" t="str">
        <f>VLOOKUP(R1969,产品分类!$C$2:$D$1278,2,0)</f>
        <v>数码电子</v>
      </c>
    </row>
    <row r="1970" spans="1:20">
      <c r="A1970" s="8">
        <f>DATE(2012,12,31)-803</f>
        <v>40471</v>
      </c>
      <c r="B1970" s="8">
        <f>DATE(2012,12,31)-803</f>
        <v>40471</v>
      </c>
      <c r="C1970" s="9" t="s">
        <v>815</v>
      </c>
      <c r="D1970">
        <v>10021331044</v>
      </c>
      <c r="E1970" t="s">
        <v>47</v>
      </c>
      <c r="F1970" t="s">
        <v>527</v>
      </c>
      <c r="G1970" t="s">
        <v>528</v>
      </c>
      <c r="H1970" t="s">
        <v>1676</v>
      </c>
      <c r="I1970" t="s">
        <v>1677</v>
      </c>
      <c r="J1970" t="s">
        <v>367</v>
      </c>
      <c r="K1970" s="3">
        <v>1003528429</v>
      </c>
      <c r="L1970" s="10">
        <v>40478</v>
      </c>
      <c r="M1970">
        <v>238.34</v>
      </c>
      <c r="N1970" s="11">
        <v>50</v>
      </c>
      <c r="O1970" s="12">
        <v>4.76</v>
      </c>
      <c r="P1970" s="12">
        <v>3.01</v>
      </c>
      <c r="Q1970" s="13">
        <v>-7.36</v>
      </c>
      <c r="R1970" s="36" t="s">
        <v>1401</v>
      </c>
      <c r="S1970" s="7">
        <f t="shared" si="162"/>
        <v>7</v>
      </c>
      <c r="T1970" s="15" t="str">
        <f>VLOOKUP(R1970,产品分类!$C$2:$D$1278,2,0)</f>
        <v>办公用品</v>
      </c>
    </row>
    <row r="1971" spans="1:20">
      <c r="A1971" s="16">
        <f>DATE(2012,12,31)-1256</f>
        <v>40018</v>
      </c>
      <c r="B1971" s="16">
        <f>DATE(2012,12,31)-1256</f>
        <v>40018</v>
      </c>
      <c r="C1971" s="9" t="s">
        <v>199</v>
      </c>
      <c r="D1971">
        <v>10021343987</v>
      </c>
      <c r="E1971" t="s">
        <v>47</v>
      </c>
      <c r="F1971" t="s">
        <v>527</v>
      </c>
      <c r="G1971" t="s">
        <v>528</v>
      </c>
      <c r="H1971" t="s">
        <v>1676</v>
      </c>
      <c r="I1971" t="s">
        <v>1677</v>
      </c>
      <c r="J1971" t="s">
        <v>367</v>
      </c>
      <c r="K1971" s="3">
        <v>100829222742</v>
      </c>
      <c r="L1971" s="10">
        <v>40018</v>
      </c>
      <c r="M1971">
        <v>68.45</v>
      </c>
      <c r="N1971" s="17">
        <v>1</v>
      </c>
      <c r="O1971" s="5">
        <v>50.98</v>
      </c>
      <c r="P1971" s="5">
        <v>13.66</v>
      </c>
      <c r="Q1971" s="6">
        <v>-25.76</v>
      </c>
      <c r="R1971" s="37" t="s">
        <v>1151</v>
      </c>
      <c r="S1971" s="7">
        <f t="shared" si="162"/>
        <v>0</v>
      </c>
      <c r="T1971" s="15" t="str">
        <f>VLOOKUP(R1971,产品分类!$C$2:$D$1278,2,0)</f>
        <v>办公用品</v>
      </c>
    </row>
    <row r="1972" spans="1:20">
      <c r="A1972" s="8">
        <f>DATE(2012,12,31)-515</f>
        <v>40759</v>
      </c>
      <c r="B1972" s="8">
        <f>DATE(2012,12,31)-515</f>
        <v>40759</v>
      </c>
      <c r="C1972" s="9" t="s">
        <v>1838</v>
      </c>
      <c r="D1972">
        <v>10021332908</v>
      </c>
      <c r="E1972" t="s">
        <v>47</v>
      </c>
      <c r="F1972" t="s">
        <v>171</v>
      </c>
      <c r="G1972" t="s">
        <v>172</v>
      </c>
      <c r="H1972" t="s">
        <v>1712</v>
      </c>
      <c r="I1972" t="s">
        <v>1713</v>
      </c>
      <c r="J1972" t="s">
        <v>367</v>
      </c>
      <c r="K1972" s="3">
        <v>100112971307</v>
      </c>
      <c r="L1972" s="10">
        <v>40761</v>
      </c>
      <c r="M1972">
        <v>8218.16</v>
      </c>
      <c r="N1972" s="11">
        <v>22</v>
      </c>
      <c r="O1972" s="12">
        <v>376.13</v>
      </c>
      <c r="P1972" s="12">
        <v>85.63</v>
      </c>
      <c r="Q1972" s="13">
        <v>-774.1448</v>
      </c>
      <c r="R1972" s="36" t="s">
        <v>1213</v>
      </c>
      <c r="S1972" s="7">
        <f t="shared" si="162"/>
        <v>2</v>
      </c>
      <c r="T1972" s="15" t="str">
        <f>VLOOKUP(R1972,产品分类!$C$2:$D$1278,2,0)</f>
        <v>办公用品</v>
      </c>
    </row>
    <row r="1973" spans="1:20">
      <c r="A1973" s="8">
        <f t="shared" ref="A1973:B1975" si="168">DATE(2012,12,31)-1365</f>
        <v>39909</v>
      </c>
      <c r="B1973" s="8">
        <f t="shared" si="168"/>
        <v>39909</v>
      </c>
      <c r="C1973" s="9" t="s">
        <v>520</v>
      </c>
      <c r="D1973">
        <v>10021280591</v>
      </c>
      <c r="E1973" t="s">
        <v>47</v>
      </c>
      <c r="F1973" t="s">
        <v>177</v>
      </c>
      <c r="G1973" t="s">
        <v>178</v>
      </c>
      <c r="H1973" t="s">
        <v>1292</v>
      </c>
      <c r="I1973" t="s">
        <v>1293</v>
      </c>
      <c r="J1973" t="s">
        <v>367</v>
      </c>
      <c r="K1973" s="3">
        <v>100115485386</v>
      </c>
      <c r="L1973" s="10">
        <v>39909</v>
      </c>
      <c r="M1973">
        <v>65.16</v>
      </c>
      <c r="N1973" s="11">
        <v>29</v>
      </c>
      <c r="O1973" s="12">
        <v>2.18</v>
      </c>
      <c r="P1973" s="12">
        <v>1.38</v>
      </c>
      <c r="Q1973" s="13">
        <v>-7.04</v>
      </c>
      <c r="R1973" s="36" t="s">
        <v>1839</v>
      </c>
      <c r="S1973" s="7">
        <f t="shared" si="162"/>
        <v>0</v>
      </c>
      <c r="T1973" s="15" t="str">
        <f>VLOOKUP(R1973,产品分类!$C$2:$D$1278,2,0)</f>
        <v>办公用品</v>
      </c>
    </row>
    <row r="1974" spans="1:20">
      <c r="A1974" s="8">
        <f t="shared" si="168"/>
        <v>39909</v>
      </c>
      <c r="B1974" s="8">
        <f t="shared" si="168"/>
        <v>39909</v>
      </c>
      <c r="C1974" s="9" t="s">
        <v>520</v>
      </c>
      <c r="D1974">
        <v>10021294024</v>
      </c>
      <c r="E1974" t="s">
        <v>47</v>
      </c>
      <c r="F1974" t="s">
        <v>167</v>
      </c>
      <c r="G1974" t="s">
        <v>168</v>
      </c>
      <c r="H1974" t="s">
        <v>169</v>
      </c>
      <c r="I1974" t="s">
        <v>168</v>
      </c>
      <c r="J1974" t="s">
        <v>367</v>
      </c>
      <c r="K1974" s="3">
        <v>100710510355</v>
      </c>
      <c r="L1974" s="10">
        <v>39911</v>
      </c>
      <c r="M1974">
        <v>6532.48</v>
      </c>
      <c r="N1974" s="11">
        <v>38</v>
      </c>
      <c r="O1974" s="12">
        <v>170.98</v>
      </c>
      <c r="P1974" s="12">
        <v>35.89</v>
      </c>
      <c r="Q1974" s="13">
        <v>538.52</v>
      </c>
      <c r="R1974" s="36" t="s">
        <v>1840</v>
      </c>
      <c r="S1974" s="7">
        <f t="shared" si="162"/>
        <v>2</v>
      </c>
      <c r="T1974" s="15" t="str">
        <f>VLOOKUP(R1974,产品分类!$C$2:$D$1278,2,0)</f>
        <v>家具产品</v>
      </c>
    </row>
    <row r="1975" spans="1:20">
      <c r="A1975" s="8">
        <f t="shared" si="168"/>
        <v>39909</v>
      </c>
      <c r="B1975" s="8">
        <f t="shared" si="168"/>
        <v>39909</v>
      </c>
      <c r="C1975" s="9" t="s">
        <v>520</v>
      </c>
      <c r="D1975">
        <v>10021415085</v>
      </c>
      <c r="E1975" t="s">
        <v>47</v>
      </c>
      <c r="F1975" t="s">
        <v>177</v>
      </c>
      <c r="G1975" t="s">
        <v>178</v>
      </c>
      <c r="H1975" t="s">
        <v>1292</v>
      </c>
      <c r="I1975" t="s">
        <v>1293</v>
      </c>
      <c r="J1975" t="s">
        <v>367</v>
      </c>
      <c r="K1975" s="3">
        <v>100910284781</v>
      </c>
      <c r="L1975" s="10">
        <v>39909</v>
      </c>
      <c r="M1975">
        <v>241.9</v>
      </c>
      <c r="N1975" s="11">
        <v>41</v>
      </c>
      <c r="O1975" s="12">
        <v>5.77</v>
      </c>
      <c r="P1975" s="12">
        <v>5.92</v>
      </c>
      <c r="Q1975" s="13">
        <v>-136.7</v>
      </c>
      <c r="R1975" s="36" t="s">
        <v>1128</v>
      </c>
      <c r="S1975" s="7">
        <f t="shared" si="162"/>
        <v>0</v>
      </c>
      <c r="T1975" s="15" t="str">
        <f>VLOOKUP(R1975,产品分类!$C$2:$D$1278,2,0)</f>
        <v>办公用品</v>
      </c>
    </row>
    <row r="1976" spans="1:20">
      <c r="A1976" s="8">
        <f>DATE(2012,12,31)-1235</f>
        <v>40039</v>
      </c>
      <c r="B1976" s="8">
        <f>DATE(2012,12,31)-1235</f>
        <v>40039</v>
      </c>
      <c r="C1976" s="9" t="s">
        <v>1795</v>
      </c>
      <c r="D1976">
        <v>10021444003</v>
      </c>
      <c r="E1976" t="s">
        <v>47</v>
      </c>
      <c r="F1976" t="s">
        <v>342</v>
      </c>
      <c r="G1976" t="s">
        <v>343</v>
      </c>
      <c r="H1976" t="s">
        <v>1806</v>
      </c>
      <c r="I1976" t="s">
        <v>1807</v>
      </c>
      <c r="J1976" t="s">
        <v>367</v>
      </c>
      <c r="K1976" s="3">
        <v>10094100781</v>
      </c>
      <c r="L1976" s="10">
        <v>40041</v>
      </c>
      <c r="M1976">
        <v>158.78</v>
      </c>
      <c r="N1976" s="11">
        <v>24</v>
      </c>
      <c r="O1976" s="12">
        <v>6.28</v>
      </c>
      <c r="P1976" s="12">
        <v>5.41</v>
      </c>
      <c r="Q1976" s="13">
        <v>-38.38</v>
      </c>
      <c r="R1976" s="36" t="s">
        <v>1841</v>
      </c>
      <c r="S1976" s="7">
        <f t="shared" si="162"/>
        <v>2</v>
      </c>
      <c r="T1976" s="15" t="str">
        <f>VLOOKUP(R1976,产品分类!$C$2:$D$1278,2,0)</f>
        <v>办公用品</v>
      </c>
    </row>
    <row r="1977" spans="1:20">
      <c r="A1977" s="8">
        <f>DATE(2012,12,31)-1235</f>
        <v>40039</v>
      </c>
      <c r="B1977" s="8">
        <f>DATE(2012,12,31)-1235</f>
        <v>40039</v>
      </c>
      <c r="C1977" s="9" t="s">
        <v>1795</v>
      </c>
      <c r="D1977">
        <v>10021503435</v>
      </c>
      <c r="E1977" t="s">
        <v>47</v>
      </c>
      <c r="F1977" t="s">
        <v>342</v>
      </c>
      <c r="G1977" t="s">
        <v>343</v>
      </c>
      <c r="H1977" t="s">
        <v>1806</v>
      </c>
      <c r="I1977" t="s">
        <v>1807</v>
      </c>
      <c r="J1977" t="s">
        <v>367</v>
      </c>
      <c r="K1977" s="3">
        <v>100429647453</v>
      </c>
      <c r="L1977" s="10">
        <v>40041</v>
      </c>
      <c r="M1977">
        <v>3296.062</v>
      </c>
      <c r="N1977" s="11">
        <v>46</v>
      </c>
      <c r="O1977" s="12">
        <v>85.99</v>
      </c>
      <c r="P1977" s="12">
        <v>10.78</v>
      </c>
      <c r="Q1977" s="13">
        <v>591.912</v>
      </c>
      <c r="R1977" s="36" t="s">
        <v>1210</v>
      </c>
      <c r="S1977" s="7">
        <f t="shared" si="162"/>
        <v>2</v>
      </c>
      <c r="T1977" s="15" t="str">
        <f>VLOOKUP(R1977,产品分类!$C$2:$D$1278,2,0)</f>
        <v>家具产品</v>
      </c>
    </row>
    <row r="1978" spans="1:20">
      <c r="A1978" s="8">
        <f>DATE(2012,12,31)-449</f>
        <v>40825</v>
      </c>
      <c r="B1978" s="8">
        <f>DATE(2012,12,31)-449</f>
        <v>40825</v>
      </c>
      <c r="C1978" s="9" t="s">
        <v>1592</v>
      </c>
      <c r="D1978">
        <v>10021451785</v>
      </c>
      <c r="E1978" t="s">
        <v>47</v>
      </c>
      <c r="F1978" t="s">
        <v>61</v>
      </c>
      <c r="G1978" t="s">
        <v>62</v>
      </c>
      <c r="H1978" t="s">
        <v>47</v>
      </c>
      <c r="I1978" t="s">
        <v>1778</v>
      </c>
      <c r="J1978" t="s">
        <v>367</v>
      </c>
      <c r="K1978" s="3">
        <v>100325151349</v>
      </c>
      <c r="L1978" s="10">
        <v>40827</v>
      </c>
      <c r="M1978">
        <v>40.1</v>
      </c>
      <c r="N1978" s="11">
        <v>1</v>
      </c>
      <c r="O1978" s="12">
        <v>30.98</v>
      </c>
      <c r="P1978" s="12">
        <v>11.63</v>
      </c>
      <c r="Q1978" s="13">
        <v>-16.0655</v>
      </c>
      <c r="R1978" s="36" t="s">
        <v>1498</v>
      </c>
      <c r="S1978" s="7">
        <f t="shared" si="162"/>
        <v>2</v>
      </c>
      <c r="T1978" s="15" t="str">
        <f>VLOOKUP(R1978,产品分类!$C$2:$D$1278,2,0)</f>
        <v>家具产品</v>
      </c>
    </row>
    <row r="1979" spans="1:20">
      <c r="A1979" s="8">
        <f>DATE(2012,12,31)-449</f>
        <v>40825</v>
      </c>
      <c r="B1979" s="8">
        <f>DATE(2012,12,31)-449</f>
        <v>40825</v>
      </c>
      <c r="C1979" s="9" t="s">
        <v>1592</v>
      </c>
      <c r="D1979">
        <v>10021501178</v>
      </c>
      <c r="E1979" t="s">
        <v>47</v>
      </c>
      <c r="F1979" t="s">
        <v>61</v>
      </c>
      <c r="G1979" t="s">
        <v>62</v>
      </c>
      <c r="H1979" t="s">
        <v>47</v>
      </c>
      <c r="I1979" t="s">
        <v>1778</v>
      </c>
      <c r="J1979" t="s">
        <v>367</v>
      </c>
      <c r="K1979" s="3">
        <v>10095267281</v>
      </c>
      <c r="L1979" s="10">
        <v>40826</v>
      </c>
      <c r="M1979">
        <v>1414.05</v>
      </c>
      <c r="N1979" s="11">
        <v>42</v>
      </c>
      <c r="O1979" s="12">
        <v>34.54</v>
      </c>
      <c r="P1979" s="12">
        <v>14.72</v>
      </c>
      <c r="Q1979" s="13">
        <v>161.483</v>
      </c>
      <c r="R1979" s="36" t="s">
        <v>1376</v>
      </c>
      <c r="S1979" s="7">
        <f t="shared" si="162"/>
        <v>1</v>
      </c>
      <c r="T1979" s="15" t="str">
        <f>VLOOKUP(R1979,产品分类!$C$2:$D$1278,2,0)</f>
        <v>办公用品</v>
      </c>
    </row>
    <row r="1980" spans="1:20">
      <c r="A1980" s="16">
        <f>DATE(2012,12,31)-859</f>
        <v>40415</v>
      </c>
      <c r="B1980" s="16">
        <f>DATE(2012,12,31)-859</f>
        <v>40415</v>
      </c>
      <c r="C1980" s="9" t="s">
        <v>1221</v>
      </c>
      <c r="D1980">
        <v>10021347634</v>
      </c>
      <c r="E1980" t="s">
        <v>47</v>
      </c>
      <c r="F1980" t="s">
        <v>61</v>
      </c>
      <c r="G1980" t="s">
        <v>62</v>
      </c>
      <c r="H1980" t="s">
        <v>47</v>
      </c>
      <c r="I1980" t="s">
        <v>1778</v>
      </c>
      <c r="J1980" t="s">
        <v>367</v>
      </c>
      <c r="K1980" s="3">
        <v>100931284651</v>
      </c>
      <c r="L1980" s="10">
        <v>40417</v>
      </c>
      <c r="M1980">
        <v>5.31</v>
      </c>
      <c r="N1980" s="17">
        <v>4</v>
      </c>
      <c r="O1980" s="5">
        <v>1.14</v>
      </c>
      <c r="P1980" s="5">
        <v>0.7</v>
      </c>
      <c r="Q1980" s="6">
        <v>-1.5</v>
      </c>
      <c r="R1980" s="37" t="s">
        <v>1635</v>
      </c>
      <c r="S1980" s="7">
        <f t="shared" si="162"/>
        <v>2</v>
      </c>
      <c r="T1980" s="15" t="str">
        <f>VLOOKUP(R1980,产品分类!$C$2:$D$1278,2,0)</f>
        <v>家具产品</v>
      </c>
    </row>
    <row r="1981" spans="1:20">
      <c r="A1981" s="8">
        <f t="shared" ref="A1981:B1983" si="169">DATE(2012,12,31)-945</f>
        <v>40329</v>
      </c>
      <c r="B1981" s="8">
        <f t="shared" si="169"/>
        <v>40329</v>
      </c>
      <c r="C1981" s="9" t="s">
        <v>719</v>
      </c>
      <c r="D1981">
        <v>10021294575</v>
      </c>
      <c r="E1981" t="s">
        <v>47</v>
      </c>
      <c r="F1981" t="s">
        <v>61</v>
      </c>
      <c r="G1981" t="s">
        <v>62</v>
      </c>
      <c r="H1981" t="s">
        <v>47</v>
      </c>
      <c r="I1981" t="s">
        <v>1778</v>
      </c>
      <c r="J1981" t="s">
        <v>367</v>
      </c>
      <c r="K1981" s="3">
        <v>100114581597</v>
      </c>
      <c r="L1981" s="10">
        <v>40333</v>
      </c>
      <c r="M1981">
        <v>103.11</v>
      </c>
      <c r="N1981" s="11">
        <v>24</v>
      </c>
      <c r="O1981" s="12">
        <v>4.18</v>
      </c>
      <c r="P1981" s="12">
        <v>6.92</v>
      </c>
      <c r="Q1981" s="13">
        <v>-95.41</v>
      </c>
      <c r="R1981" s="36" t="s">
        <v>1842</v>
      </c>
      <c r="S1981" s="7">
        <f t="shared" si="162"/>
        <v>4</v>
      </c>
      <c r="T1981" s="15" t="str">
        <f>VLOOKUP(R1981,产品分类!$C$2:$D$1278,2,0)</f>
        <v>办公用品</v>
      </c>
    </row>
    <row r="1982" spans="1:20">
      <c r="A1982" s="8">
        <f t="shared" si="169"/>
        <v>40329</v>
      </c>
      <c r="B1982" s="8">
        <f t="shared" si="169"/>
        <v>40329</v>
      </c>
      <c r="C1982" s="9" t="s">
        <v>719</v>
      </c>
      <c r="D1982">
        <v>10021341592</v>
      </c>
      <c r="E1982" t="s">
        <v>47</v>
      </c>
      <c r="F1982" t="s">
        <v>61</v>
      </c>
      <c r="G1982" t="s">
        <v>62</v>
      </c>
      <c r="H1982" t="s">
        <v>47</v>
      </c>
      <c r="I1982" t="s">
        <v>1778</v>
      </c>
      <c r="J1982" t="s">
        <v>367</v>
      </c>
      <c r="K1982" s="3">
        <v>100727111765</v>
      </c>
      <c r="L1982" s="10">
        <v>40334</v>
      </c>
      <c r="M1982">
        <v>1599.071</v>
      </c>
      <c r="N1982" s="11">
        <v>35</v>
      </c>
      <c r="O1982" s="12">
        <v>55.99</v>
      </c>
      <c r="P1982" s="12">
        <v>3.3</v>
      </c>
      <c r="Q1982" s="13">
        <v>296.658</v>
      </c>
      <c r="R1982" s="36" t="s">
        <v>1274</v>
      </c>
      <c r="S1982" s="7">
        <f t="shared" si="162"/>
        <v>5</v>
      </c>
      <c r="T1982" s="15" t="str">
        <f>VLOOKUP(R1982,产品分类!$C$2:$D$1278,2,0)</f>
        <v>家具产品</v>
      </c>
    </row>
    <row r="1983" spans="1:20">
      <c r="A1983" s="8">
        <f t="shared" si="169"/>
        <v>40329</v>
      </c>
      <c r="B1983" s="8">
        <f t="shared" si="169"/>
        <v>40329</v>
      </c>
      <c r="C1983" s="9" t="s">
        <v>719</v>
      </c>
      <c r="D1983">
        <v>10021493692</v>
      </c>
      <c r="E1983" t="s">
        <v>47</v>
      </c>
      <c r="F1983" t="s">
        <v>253</v>
      </c>
      <c r="G1983" t="s">
        <v>254</v>
      </c>
      <c r="H1983" t="s">
        <v>255</v>
      </c>
      <c r="I1983" t="s">
        <v>256</v>
      </c>
      <c r="J1983" t="s">
        <v>367</v>
      </c>
      <c r="K1983" s="3">
        <v>10094214081</v>
      </c>
      <c r="L1983" s="10">
        <v>40331</v>
      </c>
      <c r="M1983">
        <v>968.235</v>
      </c>
      <c r="N1983" s="11">
        <v>31</v>
      </c>
      <c r="O1983" s="12">
        <v>35.99</v>
      </c>
      <c r="P1983" s="12">
        <v>5</v>
      </c>
      <c r="Q1983" s="13">
        <v>-158.609</v>
      </c>
      <c r="R1983" s="36" t="s">
        <v>1843</v>
      </c>
      <c r="S1983" s="7">
        <f t="shared" si="162"/>
        <v>2</v>
      </c>
      <c r="T1983" s="15" t="str">
        <f>VLOOKUP(R1983,产品分类!$C$2:$D$1278,2,0)</f>
        <v>数码电子</v>
      </c>
    </row>
    <row r="1984" spans="1:20">
      <c r="A1984" s="8">
        <f t="shared" ref="A1984:B1986" si="170">DATE(2012,12,31)-1030</f>
        <v>40244</v>
      </c>
      <c r="B1984" s="8">
        <f t="shared" si="170"/>
        <v>40244</v>
      </c>
      <c r="C1984" s="9" t="s">
        <v>1844</v>
      </c>
      <c r="D1984">
        <v>10021251296</v>
      </c>
      <c r="E1984" t="s">
        <v>47</v>
      </c>
      <c r="F1984" t="s">
        <v>61</v>
      </c>
      <c r="G1984" t="s">
        <v>62</v>
      </c>
      <c r="H1984" t="s">
        <v>47</v>
      </c>
      <c r="I1984" t="s">
        <v>1778</v>
      </c>
      <c r="J1984" t="s">
        <v>367</v>
      </c>
      <c r="K1984" s="3">
        <v>10077020335</v>
      </c>
      <c r="L1984" s="10">
        <v>40247</v>
      </c>
      <c r="M1984">
        <v>351.49</v>
      </c>
      <c r="N1984" s="11">
        <v>8</v>
      </c>
      <c r="O1984" s="12">
        <v>41.94</v>
      </c>
      <c r="P1984" s="12">
        <v>2.99</v>
      </c>
      <c r="Q1984" s="13">
        <v>107.321</v>
      </c>
      <c r="R1984" s="36" t="s">
        <v>1548</v>
      </c>
      <c r="S1984" s="7">
        <f t="shared" si="162"/>
        <v>3</v>
      </c>
      <c r="T1984" s="15" t="str">
        <f>VLOOKUP(R1984,产品分类!$C$2:$D$1278,2,0)</f>
        <v>办公用品</v>
      </c>
    </row>
    <row r="1985" spans="1:20">
      <c r="A1985" s="8">
        <f t="shared" si="170"/>
        <v>40244</v>
      </c>
      <c r="B1985" s="8">
        <f t="shared" si="170"/>
        <v>40244</v>
      </c>
      <c r="C1985" s="9" t="s">
        <v>1844</v>
      </c>
      <c r="D1985">
        <v>10021468061</v>
      </c>
      <c r="E1985" t="s">
        <v>47</v>
      </c>
      <c r="F1985" t="s">
        <v>61</v>
      </c>
      <c r="G1985" t="s">
        <v>62</v>
      </c>
      <c r="H1985" t="s">
        <v>47</v>
      </c>
      <c r="I1985" t="s">
        <v>1778</v>
      </c>
      <c r="J1985" t="s">
        <v>367</v>
      </c>
      <c r="K1985" s="3">
        <v>100931013651</v>
      </c>
      <c r="L1985" s="10">
        <v>40245</v>
      </c>
      <c r="M1985">
        <v>74.13</v>
      </c>
      <c r="N1985" s="11">
        <v>16</v>
      </c>
      <c r="O1985" s="12">
        <v>4.28</v>
      </c>
      <c r="P1985" s="12">
        <v>6.72</v>
      </c>
      <c r="Q1985" s="13">
        <v>-69.34</v>
      </c>
      <c r="R1985" s="36" t="s">
        <v>833</v>
      </c>
      <c r="S1985" s="7">
        <f t="shared" si="162"/>
        <v>1</v>
      </c>
      <c r="T1985" s="15" t="str">
        <f>VLOOKUP(R1985,产品分类!$C$2:$D$1278,2,0)</f>
        <v>家具产品</v>
      </c>
    </row>
    <row r="1986" spans="1:20">
      <c r="A1986" s="8">
        <f t="shared" si="170"/>
        <v>40244</v>
      </c>
      <c r="B1986" s="8">
        <f t="shared" si="170"/>
        <v>40244</v>
      </c>
      <c r="C1986" s="9" t="s">
        <v>1844</v>
      </c>
      <c r="D1986">
        <v>10021249998</v>
      </c>
      <c r="E1986" t="s">
        <v>47</v>
      </c>
      <c r="F1986" t="s">
        <v>61</v>
      </c>
      <c r="G1986" t="s">
        <v>62</v>
      </c>
      <c r="H1986" t="s">
        <v>47</v>
      </c>
      <c r="I1986" t="s">
        <v>1778</v>
      </c>
      <c r="J1986" t="s">
        <v>367</v>
      </c>
      <c r="K1986" s="3">
        <v>100713153755</v>
      </c>
      <c r="L1986" s="10">
        <v>40246</v>
      </c>
      <c r="M1986">
        <v>195.03</v>
      </c>
      <c r="N1986" s="11">
        <v>45</v>
      </c>
      <c r="O1986" s="12">
        <v>4.28</v>
      </c>
      <c r="P1986" s="12">
        <v>5.74</v>
      </c>
      <c r="Q1986" s="13">
        <v>-148.87</v>
      </c>
      <c r="R1986" s="36" t="s">
        <v>1845</v>
      </c>
      <c r="S1986" s="7">
        <f t="shared" si="162"/>
        <v>2</v>
      </c>
      <c r="T1986" s="15" t="str">
        <f>VLOOKUP(R1986,产品分类!$C$2:$D$1278,2,0)</f>
        <v>办公用品</v>
      </c>
    </row>
    <row r="1987" spans="1:20">
      <c r="A1987" s="8">
        <f>DATE(2012,12,31)-1390</f>
        <v>39884</v>
      </c>
      <c r="B1987" s="8">
        <f>DATE(2012,12,31)-1390</f>
        <v>39884</v>
      </c>
      <c r="C1987" s="9" t="s">
        <v>1334</v>
      </c>
      <c r="D1987">
        <v>10021337148</v>
      </c>
      <c r="E1987" t="s">
        <v>47</v>
      </c>
      <c r="F1987" t="s">
        <v>55</v>
      </c>
      <c r="G1987" t="s">
        <v>56</v>
      </c>
      <c r="H1987" t="s">
        <v>1658</v>
      </c>
      <c r="I1987" t="s">
        <v>1659</v>
      </c>
      <c r="J1987" t="s">
        <v>367</v>
      </c>
      <c r="K1987" s="3">
        <v>100721332685</v>
      </c>
      <c r="L1987" s="10">
        <v>39891</v>
      </c>
      <c r="M1987">
        <v>1233.4775</v>
      </c>
      <c r="N1987" s="11">
        <v>39</v>
      </c>
      <c r="O1987" s="12">
        <v>35.99</v>
      </c>
      <c r="P1987" s="12">
        <v>5.99</v>
      </c>
      <c r="Q1987" s="13">
        <v>453.798</v>
      </c>
      <c r="R1987" s="36" t="s">
        <v>1664</v>
      </c>
      <c r="S1987" s="7">
        <f t="shared" ref="S1987:S2050" si="171">+L1987-B1987</f>
        <v>7</v>
      </c>
      <c r="T1987" s="15" t="str">
        <f>VLOOKUP(R1987,产品分类!$C$2:$D$1278,2,0)</f>
        <v>数码电子</v>
      </c>
    </row>
    <row r="1988" spans="1:20">
      <c r="A1988" s="8">
        <f>DATE(2012,12,31)-1288</f>
        <v>39986</v>
      </c>
      <c r="B1988" s="8">
        <f>DATE(2012,12,31)-1288</f>
        <v>39986</v>
      </c>
      <c r="C1988" s="9" t="s">
        <v>1846</v>
      </c>
      <c r="D1988">
        <v>10021418451</v>
      </c>
      <c r="E1988" t="s">
        <v>47</v>
      </c>
      <c r="F1988" t="s">
        <v>61</v>
      </c>
      <c r="G1988" t="s">
        <v>62</v>
      </c>
      <c r="H1988" t="s">
        <v>47</v>
      </c>
      <c r="I1988" t="s">
        <v>1778</v>
      </c>
      <c r="J1988" t="s">
        <v>367</v>
      </c>
      <c r="K1988" s="3">
        <v>10013728677</v>
      </c>
      <c r="L1988" s="10">
        <v>39991</v>
      </c>
      <c r="M1988">
        <v>2433.55</v>
      </c>
      <c r="N1988" s="11">
        <v>23</v>
      </c>
      <c r="O1988" s="12">
        <v>125.99</v>
      </c>
      <c r="P1988" s="12">
        <v>8.08</v>
      </c>
      <c r="Q1988" s="13">
        <v>355.932</v>
      </c>
      <c r="R1988" s="36" t="s">
        <v>190</v>
      </c>
      <c r="S1988" s="7">
        <f t="shared" si="171"/>
        <v>5</v>
      </c>
      <c r="T1988" s="15" t="str">
        <f>VLOOKUP(R1988,产品分类!$C$2:$D$1278,2,0)</f>
        <v>家具产品</v>
      </c>
    </row>
    <row r="1989" spans="1:20">
      <c r="A1989" s="8">
        <f>DATE(2012,12,31)-188</f>
        <v>41086</v>
      </c>
      <c r="B1989" s="8">
        <f>DATE(2012,12,31)-188</f>
        <v>41086</v>
      </c>
      <c r="C1989" s="9" t="s">
        <v>108</v>
      </c>
      <c r="D1989">
        <v>10021450613</v>
      </c>
      <c r="E1989" t="s">
        <v>47</v>
      </c>
      <c r="F1989" t="s">
        <v>61</v>
      </c>
      <c r="G1989" t="s">
        <v>62</v>
      </c>
      <c r="H1989" t="s">
        <v>47</v>
      </c>
      <c r="I1989" t="s">
        <v>1778</v>
      </c>
      <c r="J1989" t="s">
        <v>367</v>
      </c>
      <c r="K1989" s="3">
        <v>10072508465</v>
      </c>
      <c r="L1989" s="10">
        <v>41088</v>
      </c>
      <c r="M1989">
        <v>676.79</v>
      </c>
      <c r="N1989" s="11">
        <v>19</v>
      </c>
      <c r="O1989" s="12">
        <v>33.29</v>
      </c>
      <c r="P1989" s="12">
        <v>1.99</v>
      </c>
      <c r="Q1989" s="13">
        <v>213.2</v>
      </c>
      <c r="R1989" s="36" t="s">
        <v>1847</v>
      </c>
      <c r="S1989" s="7">
        <f t="shared" si="171"/>
        <v>2</v>
      </c>
      <c r="T1989" s="15" t="str">
        <f>VLOOKUP(R1989,产品分类!$C$2:$D$1278,2,0)</f>
        <v>数码电子</v>
      </c>
    </row>
    <row r="1990" spans="1:20">
      <c r="A1990" s="8">
        <f>DATE(2012,12,31)-1418</f>
        <v>39856</v>
      </c>
      <c r="B1990" s="8">
        <f>DATE(2012,12,31)-1418</f>
        <v>39856</v>
      </c>
      <c r="C1990" s="9" t="s">
        <v>1821</v>
      </c>
      <c r="D1990">
        <v>10021415829</v>
      </c>
      <c r="E1990" t="s">
        <v>47</v>
      </c>
      <c r="F1990" t="s">
        <v>61</v>
      </c>
      <c r="G1990" t="s">
        <v>62</v>
      </c>
      <c r="H1990" t="s">
        <v>47</v>
      </c>
      <c r="I1990" t="s">
        <v>1778</v>
      </c>
      <c r="J1990" t="s">
        <v>367</v>
      </c>
      <c r="K1990" s="3">
        <v>100411125523</v>
      </c>
      <c r="L1990" s="10">
        <v>39859</v>
      </c>
      <c r="M1990">
        <v>3220.58</v>
      </c>
      <c r="N1990" s="11">
        <v>22</v>
      </c>
      <c r="O1990" s="12">
        <v>150.98</v>
      </c>
      <c r="P1990" s="12">
        <v>13.99</v>
      </c>
      <c r="Q1990" s="13">
        <v>1046.69</v>
      </c>
      <c r="R1990" s="36" t="s">
        <v>126</v>
      </c>
      <c r="S1990" s="7">
        <f t="shared" si="171"/>
        <v>3</v>
      </c>
      <c r="T1990" s="15" t="str">
        <f>VLOOKUP(R1990,产品分类!$C$2:$D$1278,2,0)</f>
        <v>家具产品</v>
      </c>
    </row>
    <row r="1991" spans="1:20">
      <c r="A1991" s="8">
        <f>DATE(2012,12,31)-1418</f>
        <v>39856</v>
      </c>
      <c r="B1991" s="8">
        <f>DATE(2012,12,31)-1418</f>
        <v>39856</v>
      </c>
      <c r="C1991" s="9" t="s">
        <v>1821</v>
      </c>
      <c r="D1991">
        <v>10021293098</v>
      </c>
      <c r="E1991" t="s">
        <v>47</v>
      </c>
      <c r="F1991" t="s">
        <v>61</v>
      </c>
      <c r="G1991" t="s">
        <v>62</v>
      </c>
      <c r="H1991" t="s">
        <v>47</v>
      </c>
      <c r="I1991" t="s">
        <v>1778</v>
      </c>
      <c r="J1991" t="s">
        <v>367</v>
      </c>
      <c r="K1991" s="3">
        <v>10084433952</v>
      </c>
      <c r="L1991" s="10">
        <v>39858</v>
      </c>
      <c r="M1991">
        <v>2367.99</v>
      </c>
      <c r="N1991" s="11">
        <v>14</v>
      </c>
      <c r="O1991" s="12">
        <v>176.19</v>
      </c>
      <c r="P1991" s="12">
        <v>11.87</v>
      </c>
      <c r="Q1991" s="13">
        <v>320.1</v>
      </c>
      <c r="R1991" s="36" t="s">
        <v>1848</v>
      </c>
      <c r="S1991" s="7">
        <f t="shared" si="171"/>
        <v>2</v>
      </c>
      <c r="T1991" s="15" t="str">
        <f>VLOOKUP(R1991,产品分类!$C$2:$D$1278,2,0)</f>
        <v>办公用品</v>
      </c>
    </row>
    <row r="1992" spans="1:20">
      <c r="A1992" s="8">
        <f>DATE(2012,12,31)-319</f>
        <v>40955</v>
      </c>
      <c r="B1992" s="8">
        <f>DATE(2012,12,31)-319</f>
        <v>40955</v>
      </c>
      <c r="C1992" s="9" t="s">
        <v>1620</v>
      </c>
      <c r="D1992">
        <v>10021332373</v>
      </c>
      <c r="E1992" t="s">
        <v>47</v>
      </c>
      <c r="F1992" t="s">
        <v>61</v>
      </c>
      <c r="G1992" t="s">
        <v>62</v>
      </c>
      <c r="H1992" t="s">
        <v>47</v>
      </c>
      <c r="I1992" t="s">
        <v>1778</v>
      </c>
      <c r="J1992" t="s">
        <v>367</v>
      </c>
      <c r="K1992" s="3">
        <v>10019636916</v>
      </c>
      <c r="L1992" s="10">
        <v>40956</v>
      </c>
      <c r="M1992">
        <v>31.18</v>
      </c>
      <c r="N1992" s="11">
        <v>4</v>
      </c>
      <c r="O1992" s="12">
        <v>6.24</v>
      </c>
      <c r="P1992" s="12">
        <v>5.22</v>
      </c>
      <c r="Q1992" s="13">
        <v>-17.16</v>
      </c>
      <c r="R1992" s="36" t="s">
        <v>368</v>
      </c>
      <c r="S1992" s="7">
        <f t="shared" si="171"/>
        <v>1</v>
      </c>
      <c r="T1992" s="15" t="str">
        <f>VLOOKUP(R1992,产品分类!$C$2:$D$1278,2,0)</f>
        <v>办公用品</v>
      </c>
    </row>
    <row r="1993" spans="1:20">
      <c r="A1993" s="8">
        <f>DATE(2012,12,31)-319</f>
        <v>40955</v>
      </c>
      <c r="B1993" s="8">
        <f>DATE(2012,12,31)-319</f>
        <v>40955</v>
      </c>
      <c r="C1993" s="9" t="s">
        <v>1620</v>
      </c>
      <c r="D1993">
        <v>10021416976</v>
      </c>
      <c r="E1993" t="s">
        <v>47</v>
      </c>
      <c r="F1993" t="s">
        <v>61</v>
      </c>
      <c r="G1993" t="s">
        <v>62</v>
      </c>
      <c r="H1993" t="s">
        <v>47</v>
      </c>
      <c r="I1993" t="s">
        <v>1778</v>
      </c>
      <c r="J1993" t="s">
        <v>367</v>
      </c>
      <c r="K1993" s="3">
        <v>100415153753</v>
      </c>
      <c r="L1993" s="10">
        <v>40957</v>
      </c>
      <c r="M1993">
        <v>21.99</v>
      </c>
      <c r="N1993" s="11">
        <v>8</v>
      </c>
      <c r="O1993" s="12">
        <v>2.61</v>
      </c>
      <c r="P1993" s="12">
        <v>0.5</v>
      </c>
      <c r="Q1993" s="13">
        <v>4.63</v>
      </c>
      <c r="R1993" s="36" t="s">
        <v>624</v>
      </c>
      <c r="S1993" s="7">
        <f t="shared" si="171"/>
        <v>2</v>
      </c>
      <c r="T1993" s="15" t="str">
        <f>VLOOKUP(R1993,产品分类!$C$2:$D$1278,2,0)</f>
        <v>数码电子</v>
      </c>
    </row>
    <row r="1994" spans="1:20">
      <c r="A1994" s="16">
        <f>DATE(2012,12,31)-171</f>
        <v>41103</v>
      </c>
      <c r="B1994" s="16">
        <f>DATE(2012,12,31)-171</f>
        <v>41103</v>
      </c>
      <c r="C1994" s="9" t="s">
        <v>433</v>
      </c>
      <c r="D1994">
        <v>10021424265</v>
      </c>
      <c r="E1994" t="s">
        <v>47</v>
      </c>
      <c r="F1994" t="s">
        <v>61</v>
      </c>
      <c r="G1994" t="s">
        <v>62</v>
      </c>
      <c r="H1994" t="s">
        <v>47</v>
      </c>
      <c r="I1994" t="s">
        <v>1778</v>
      </c>
      <c r="J1994" t="s">
        <v>367</v>
      </c>
      <c r="K1994" s="3">
        <v>100128794758</v>
      </c>
      <c r="L1994" s="10">
        <v>41104</v>
      </c>
      <c r="M1994">
        <v>2277.03</v>
      </c>
      <c r="N1994" s="17">
        <v>44</v>
      </c>
      <c r="O1994" s="5">
        <v>55.48</v>
      </c>
      <c r="P1994" s="5">
        <v>6.79</v>
      </c>
      <c r="Q1994" s="6">
        <v>964.1</v>
      </c>
      <c r="R1994" s="37" t="s">
        <v>1562</v>
      </c>
      <c r="S1994" s="7">
        <f t="shared" si="171"/>
        <v>1</v>
      </c>
      <c r="T1994" s="15" t="str">
        <f>VLOOKUP(R1994,产品分类!$C$2:$D$1278,2,0)</f>
        <v>办公用品</v>
      </c>
    </row>
    <row r="1995" spans="1:20">
      <c r="A1995" s="8">
        <f>DATE(2012,12,31)-318</f>
        <v>40956</v>
      </c>
      <c r="B1995" s="8">
        <f>DATE(2012,12,31)-318</f>
        <v>40956</v>
      </c>
      <c r="C1995" s="9" t="s">
        <v>1047</v>
      </c>
      <c r="D1995">
        <v>10021315728</v>
      </c>
      <c r="E1995" t="s">
        <v>47</v>
      </c>
      <c r="F1995" t="s">
        <v>253</v>
      </c>
      <c r="G1995" t="s">
        <v>254</v>
      </c>
      <c r="H1995" t="s">
        <v>255</v>
      </c>
      <c r="I1995" t="s">
        <v>256</v>
      </c>
      <c r="J1995" t="s">
        <v>367</v>
      </c>
      <c r="K1995" s="3">
        <v>100932824371</v>
      </c>
      <c r="L1995" s="10">
        <v>40957</v>
      </c>
      <c r="M1995">
        <v>68.88</v>
      </c>
      <c r="N1995" s="11">
        <v>24</v>
      </c>
      <c r="O1995" s="12">
        <v>2.78</v>
      </c>
      <c r="P1995" s="12">
        <v>1.49</v>
      </c>
      <c r="Q1995" s="13">
        <v>1.309</v>
      </c>
      <c r="R1995" s="36" t="s">
        <v>1765</v>
      </c>
      <c r="S1995" s="7">
        <f t="shared" si="171"/>
        <v>1</v>
      </c>
      <c r="T1995" s="15" t="str">
        <f>VLOOKUP(R1995,产品分类!$C$2:$D$1278,2,0)</f>
        <v>家具产品</v>
      </c>
    </row>
    <row r="1996" spans="1:20">
      <c r="A1996" s="8">
        <f>DATE(2012,12,31)-200</f>
        <v>41074</v>
      </c>
      <c r="B1996" s="8">
        <f>DATE(2012,12,31)-200</f>
        <v>41074</v>
      </c>
      <c r="C1996" s="9" t="s">
        <v>1831</v>
      </c>
      <c r="D1996">
        <v>10021359417</v>
      </c>
      <c r="E1996" t="s">
        <v>47</v>
      </c>
      <c r="F1996" t="s">
        <v>91</v>
      </c>
      <c r="G1996" t="s">
        <v>92</v>
      </c>
      <c r="H1996" t="s">
        <v>1412</v>
      </c>
      <c r="I1996" t="s">
        <v>1413</v>
      </c>
      <c r="J1996" t="s">
        <v>367</v>
      </c>
      <c r="K1996" s="3">
        <v>100932881891</v>
      </c>
      <c r="L1996" s="10">
        <v>41075</v>
      </c>
      <c r="M1996">
        <v>263.63</v>
      </c>
      <c r="N1996" s="11">
        <v>22</v>
      </c>
      <c r="O1996" s="12">
        <v>11.55</v>
      </c>
      <c r="P1996" s="12">
        <v>2.36</v>
      </c>
      <c r="Q1996" s="13">
        <v>48.86</v>
      </c>
      <c r="R1996" s="36" t="s">
        <v>1043</v>
      </c>
      <c r="S1996" s="7">
        <f t="shared" si="171"/>
        <v>1</v>
      </c>
      <c r="T1996" s="15" t="str">
        <f>VLOOKUP(R1996,产品分类!$C$2:$D$1278,2,0)</f>
        <v>家具产品</v>
      </c>
    </row>
    <row r="1997" spans="1:20">
      <c r="A1997" s="8">
        <f>DATE(2012,12,31)-603</f>
        <v>40671</v>
      </c>
      <c r="B1997" s="8">
        <f>DATE(2012,12,31)-603</f>
        <v>40671</v>
      </c>
      <c r="C1997" s="9" t="s">
        <v>1381</v>
      </c>
      <c r="D1997">
        <v>10021471072</v>
      </c>
      <c r="E1997" t="s">
        <v>47</v>
      </c>
      <c r="F1997" t="s">
        <v>72</v>
      </c>
      <c r="G1997" t="s">
        <v>73</v>
      </c>
      <c r="H1997" t="s">
        <v>1572</v>
      </c>
      <c r="I1997" t="s">
        <v>1573</v>
      </c>
      <c r="J1997" t="s">
        <v>367</v>
      </c>
      <c r="K1997" s="3">
        <v>100133002778</v>
      </c>
      <c r="L1997" s="10">
        <v>40673</v>
      </c>
      <c r="M1997">
        <v>1078.58</v>
      </c>
      <c r="N1997" s="11">
        <v>35</v>
      </c>
      <c r="O1997" s="12">
        <v>30.73</v>
      </c>
      <c r="P1997" s="12">
        <v>4</v>
      </c>
      <c r="Q1997" s="13">
        <v>8.99999999999998</v>
      </c>
      <c r="R1997" s="36" t="s">
        <v>1016</v>
      </c>
      <c r="S1997" s="7">
        <f t="shared" si="171"/>
        <v>2</v>
      </c>
      <c r="T1997" s="15" t="str">
        <f>VLOOKUP(R1997,产品分类!$C$2:$D$1278,2,0)</f>
        <v>办公用品</v>
      </c>
    </row>
    <row r="1998" spans="1:20">
      <c r="A1998" s="8">
        <f>DATE(2012,12,31)-1054</f>
        <v>40220</v>
      </c>
      <c r="B1998" s="8">
        <f>DATE(2012,12,31)-1054</f>
        <v>40220</v>
      </c>
      <c r="C1998" s="9" t="s">
        <v>1849</v>
      </c>
      <c r="D1998">
        <v>10021410469</v>
      </c>
      <c r="E1998" t="s">
        <v>47</v>
      </c>
      <c r="F1998" t="s">
        <v>78</v>
      </c>
      <c r="G1998" t="s">
        <v>79</v>
      </c>
      <c r="H1998" t="s">
        <v>1654</v>
      </c>
      <c r="I1998" t="s">
        <v>1655</v>
      </c>
      <c r="J1998" t="s">
        <v>367</v>
      </c>
      <c r="K1998" s="3">
        <v>100432952333</v>
      </c>
      <c r="L1998" s="10">
        <v>40221</v>
      </c>
      <c r="M1998">
        <v>454.09</v>
      </c>
      <c r="N1998" s="11">
        <v>17</v>
      </c>
      <c r="O1998" s="12">
        <v>28.15</v>
      </c>
      <c r="P1998" s="12">
        <v>6.17</v>
      </c>
      <c r="Q1998" s="13">
        <v>29.7</v>
      </c>
      <c r="R1998" s="36" t="s">
        <v>645</v>
      </c>
      <c r="S1998" s="7">
        <f t="shared" si="171"/>
        <v>1</v>
      </c>
      <c r="T1998" s="15" t="str">
        <f>VLOOKUP(R1998,产品分类!$C$2:$D$1278,2,0)</f>
        <v>数码电子</v>
      </c>
    </row>
    <row r="1999" spans="1:20">
      <c r="A1999" s="16">
        <f>DATE(2012,12,31)-503</f>
        <v>40771</v>
      </c>
      <c r="B1999" s="16">
        <f>DATE(2012,12,31)-503</f>
        <v>40771</v>
      </c>
      <c r="C1999" s="9" t="s">
        <v>1850</v>
      </c>
      <c r="D1999">
        <v>10021321261</v>
      </c>
      <c r="E1999" t="s">
        <v>47</v>
      </c>
      <c r="F1999" t="s">
        <v>127</v>
      </c>
      <c r="G1999" t="s">
        <v>128</v>
      </c>
      <c r="H1999" t="s">
        <v>1366</v>
      </c>
      <c r="I1999" t="s">
        <v>1367</v>
      </c>
      <c r="J1999" t="s">
        <v>367</v>
      </c>
      <c r="K1999" s="3">
        <v>100132830707</v>
      </c>
      <c r="L1999" s="10">
        <v>40773</v>
      </c>
      <c r="M1999">
        <v>14.75</v>
      </c>
      <c r="N1999" s="17">
        <v>4</v>
      </c>
      <c r="O1999" s="5">
        <v>3.29</v>
      </c>
      <c r="P1999" s="5">
        <v>1.35</v>
      </c>
      <c r="Q1999" s="6">
        <v>-2.49</v>
      </c>
      <c r="R1999" s="37" t="s">
        <v>908</v>
      </c>
      <c r="S1999" s="7">
        <f t="shared" si="171"/>
        <v>2</v>
      </c>
      <c r="T1999" s="15" t="str">
        <f>VLOOKUP(R1999,产品分类!$C$2:$D$1278,2,0)</f>
        <v>办公用品</v>
      </c>
    </row>
    <row r="2000" spans="1:20">
      <c r="A2000" s="8">
        <f>DATE(2012,12,31)-323</f>
        <v>40951</v>
      </c>
      <c r="B2000" s="8">
        <f>DATE(2012,12,31)-323</f>
        <v>40951</v>
      </c>
      <c r="C2000" s="9" t="s">
        <v>639</v>
      </c>
      <c r="D2000">
        <v>10021412279</v>
      </c>
      <c r="E2000" t="s">
        <v>47</v>
      </c>
      <c r="F2000" t="s">
        <v>61</v>
      </c>
      <c r="G2000" t="s">
        <v>62</v>
      </c>
      <c r="H2000" t="s">
        <v>47</v>
      </c>
      <c r="I2000" t="s">
        <v>1778</v>
      </c>
      <c r="J2000" t="s">
        <v>367</v>
      </c>
      <c r="K2000" s="3">
        <v>100732958175</v>
      </c>
      <c r="L2000" s="10">
        <v>40953</v>
      </c>
      <c r="M2000">
        <v>2409.96</v>
      </c>
      <c r="N2000" s="11">
        <v>32</v>
      </c>
      <c r="O2000" s="12">
        <v>80.98</v>
      </c>
      <c r="P2000" s="12">
        <v>4.5</v>
      </c>
      <c r="Q2000" s="13">
        <v>575.1</v>
      </c>
      <c r="R2000" s="36" t="s">
        <v>324</v>
      </c>
      <c r="S2000" s="7">
        <f t="shared" si="171"/>
        <v>2</v>
      </c>
      <c r="T2000" s="15" t="str">
        <f>VLOOKUP(R2000,产品分类!$C$2:$D$1278,2,0)</f>
        <v>办公用品</v>
      </c>
    </row>
    <row r="2001" spans="1:20">
      <c r="A2001" s="8">
        <f t="shared" ref="A2001:B2003" si="172">DATE(2012,12,31)-1455</f>
        <v>39819</v>
      </c>
      <c r="B2001" s="8">
        <f t="shared" si="172"/>
        <v>39819</v>
      </c>
      <c r="C2001" s="9" t="s">
        <v>1500</v>
      </c>
      <c r="D2001">
        <v>10021484338</v>
      </c>
      <c r="E2001" t="s">
        <v>47</v>
      </c>
      <c r="F2001" t="s">
        <v>61</v>
      </c>
      <c r="G2001" t="s">
        <v>62</v>
      </c>
      <c r="H2001" t="s">
        <v>47</v>
      </c>
      <c r="I2001" t="s">
        <v>1778</v>
      </c>
      <c r="J2001" t="s">
        <v>367</v>
      </c>
      <c r="K2001" s="3">
        <v>100433030344</v>
      </c>
      <c r="L2001" s="10">
        <v>39821</v>
      </c>
      <c r="M2001">
        <v>3674.08</v>
      </c>
      <c r="N2001" s="11">
        <v>23</v>
      </c>
      <c r="O2001" s="12">
        <v>150.98</v>
      </c>
      <c r="P2001" s="12">
        <v>30</v>
      </c>
      <c r="Q2001" s="13">
        <v>112.44</v>
      </c>
      <c r="R2001" s="36" t="s">
        <v>1373</v>
      </c>
      <c r="S2001" s="7">
        <f t="shared" si="171"/>
        <v>2</v>
      </c>
      <c r="T2001" s="15" t="str">
        <f>VLOOKUP(R2001,产品分类!$C$2:$D$1278,2,0)</f>
        <v>家具产品</v>
      </c>
    </row>
    <row r="2002" spans="1:20">
      <c r="A2002" s="8">
        <f t="shared" si="172"/>
        <v>39819</v>
      </c>
      <c r="B2002" s="8">
        <f t="shared" si="172"/>
        <v>39819</v>
      </c>
      <c r="C2002" s="9" t="s">
        <v>1500</v>
      </c>
      <c r="D2002">
        <v>10021330175</v>
      </c>
      <c r="E2002" t="s">
        <v>47</v>
      </c>
      <c r="F2002" t="s">
        <v>83</v>
      </c>
      <c r="G2002" t="s">
        <v>84</v>
      </c>
      <c r="H2002" t="s">
        <v>1259</v>
      </c>
      <c r="I2002" t="s">
        <v>1260</v>
      </c>
      <c r="J2002" t="s">
        <v>367</v>
      </c>
      <c r="K2002" s="3">
        <v>100132857898</v>
      </c>
      <c r="L2002" s="10">
        <v>39821</v>
      </c>
      <c r="M2002">
        <v>1413.89</v>
      </c>
      <c r="N2002" s="11">
        <v>46</v>
      </c>
      <c r="O2002" s="12">
        <v>28.28</v>
      </c>
      <c r="P2002" s="12">
        <v>13.99</v>
      </c>
      <c r="Q2002" s="13">
        <v>-40.72</v>
      </c>
      <c r="R2002" s="36" t="s">
        <v>927</v>
      </c>
      <c r="S2002" s="7">
        <f t="shared" si="171"/>
        <v>2</v>
      </c>
      <c r="T2002" s="15" t="str">
        <f>VLOOKUP(R2002,产品分类!$C$2:$D$1278,2,0)</f>
        <v>办公用品</v>
      </c>
    </row>
    <row r="2003" spans="1:20">
      <c r="A2003" s="8">
        <f t="shared" si="172"/>
        <v>39819</v>
      </c>
      <c r="B2003" s="8">
        <f t="shared" si="172"/>
        <v>39819</v>
      </c>
      <c r="C2003" s="9" t="s">
        <v>1500</v>
      </c>
      <c r="D2003">
        <v>10021270651</v>
      </c>
      <c r="E2003" t="s">
        <v>47</v>
      </c>
      <c r="F2003" t="s">
        <v>122</v>
      </c>
      <c r="G2003" t="s">
        <v>123</v>
      </c>
      <c r="H2003" t="s">
        <v>124</v>
      </c>
      <c r="I2003" t="s">
        <v>125</v>
      </c>
      <c r="J2003" t="s">
        <v>367</v>
      </c>
      <c r="K2003" s="3">
        <v>100732757655</v>
      </c>
      <c r="L2003" s="10">
        <v>39820</v>
      </c>
      <c r="M2003">
        <v>61.7185</v>
      </c>
      <c r="N2003" s="11">
        <v>2</v>
      </c>
      <c r="O2003" s="12">
        <v>35.99</v>
      </c>
      <c r="P2003" s="12">
        <v>1.1</v>
      </c>
      <c r="Q2003" s="13">
        <v>-164.043</v>
      </c>
      <c r="R2003" s="36" t="s">
        <v>537</v>
      </c>
      <c r="S2003" s="7">
        <f t="shared" si="171"/>
        <v>1</v>
      </c>
      <c r="T2003" s="15" t="str">
        <f>VLOOKUP(R2003,产品分类!$C$2:$D$1278,2,0)</f>
        <v>办公用品</v>
      </c>
    </row>
    <row r="2004" spans="1:20">
      <c r="A2004" s="8">
        <f>DATE(2012,12,31)-932</f>
        <v>40342</v>
      </c>
      <c r="B2004" s="8">
        <f>DATE(2012,12,31)-932</f>
        <v>40342</v>
      </c>
      <c r="C2004" s="9" t="s">
        <v>1372</v>
      </c>
      <c r="D2004">
        <v>10021324195</v>
      </c>
      <c r="E2004" t="s">
        <v>47</v>
      </c>
      <c r="F2004" t="s">
        <v>72</v>
      </c>
      <c r="G2004" t="s">
        <v>73</v>
      </c>
      <c r="H2004" t="s">
        <v>1572</v>
      </c>
      <c r="I2004" t="s">
        <v>1573</v>
      </c>
      <c r="J2004" t="s">
        <v>367</v>
      </c>
      <c r="K2004" s="3">
        <v>100132841976</v>
      </c>
      <c r="L2004" s="10">
        <v>40344</v>
      </c>
      <c r="M2004">
        <v>42.22</v>
      </c>
      <c r="N2004" s="11">
        <v>20</v>
      </c>
      <c r="O2004" s="12">
        <v>2.08</v>
      </c>
      <c r="P2004" s="12">
        <v>1.49</v>
      </c>
      <c r="Q2004" s="13">
        <v>-7.728</v>
      </c>
      <c r="R2004" s="36" t="s">
        <v>1351</v>
      </c>
      <c r="S2004" s="7">
        <f t="shared" si="171"/>
        <v>2</v>
      </c>
      <c r="T2004" s="15" t="str">
        <f>VLOOKUP(R2004,产品分类!$C$2:$D$1278,2,0)</f>
        <v>办公用品</v>
      </c>
    </row>
    <row r="2005" spans="1:20">
      <c r="A2005" s="8">
        <f>DATE(2012,12,31)-932</f>
        <v>40342</v>
      </c>
      <c r="B2005" s="8">
        <f>DATE(2012,12,31)-932</f>
        <v>40342</v>
      </c>
      <c r="C2005" s="9" t="s">
        <v>1372</v>
      </c>
      <c r="D2005">
        <v>10021315685</v>
      </c>
      <c r="E2005" t="s">
        <v>47</v>
      </c>
      <c r="F2005" t="s">
        <v>102</v>
      </c>
      <c r="G2005" t="s">
        <v>103</v>
      </c>
      <c r="H2005" t="s">
        <v>1217</v>
      </c>
      <c r="I2005" t="s">
        <v>1218</v>
      </c>
      <c r="J2005" t="s">
        <v>367</v>
      </c>
      <c r="K2005" s="3">
        <v>100132824038</v>
      </c>
      <c r="L2005" s="10">
        <v>40344</v>
      </c>
      <c r="M2005">
        <v>653.44</v>
      </c>
      <c r="N2005" s="11">
        <v>4</v>
      </c>
      <c r="O2005" s="12">
        <v>160.98</v>
      </c>
      <c r="P2005" s="12">
        <v>30</v>
      </c>
      <c r="Q2005" s="13">
        <v>-187.75</v>
      </c>
      <c r="R2005" s="36" t="s">
        <v>764</v>
      </c>
      <c r="S2005" s="7">
        <f t="shared" si="171"/>
        <v>2</v>
      </c>
      <c r="T2005" s="15" t="str">
        <f>VLOOKUP(R2005,产品分类!$C$2:$D$1278,2,0)</f>
        <v>家具产品</v>
      </c>
    </row>
    <row r="2006" spans="1:20">
      <c r="A2006" s="8">
        <f>DATE(2012,12,31)-1292</f>
        <v>39982</v>
      </c>
      <c r="B2006" s="8">
        <f>DATE(2012,12,31)-1292</f>
        <v>39982</v>
      </c>
      <c r="C2006" s="9" t="s">
        <v>442</v>
      </c>
      <c r="D2006">
        <v>10021321688</v>
      </c>
      <c r="E2006" t="s">
        <v>47</v>
      </c>
      <c r="F2006" t="s">
        <v>171</v>
      </c>
      <c r="G2006" t="s">
        <v>172</v>
      </c>
      <c r="H2006" t="s">
        <v>1712</v>
      </c>
      <c r="I2006" t="s">
        <v>1713</v>
      </c>
      <c r="J2006" t="s">
        <v>367</v>
      </c>
      <c r="K2006" s="3">
        <v>100132832516</v>
      </c>
      <c r="L2006" s="10">
        <v>39983</v>
      </c>
      <c r="M2006">
        <v>110.79</v>
      </c>
      <c r="N2006" s="11">
        <v>11</v>
      </c>
      <c r="O2006" s="12">
        <v>10.48</v>
      </c>
      <c r="P2006" s="12">
        <v>2.89</v>
      </c>
      <c r="Q2006" s="13">
        <v>-11.13</v>
      </c>
      <c r="R2006" s="36" t="s">
        <v>1851</v>
      </c>
      <c r="S2006" s="7">
        <f t="shared" si="171"/>
        <v>1</v>
      </c>
      <c r="T2006" s="15" t="str">
        <f>VLOOKUP(R2006,产品分类!$C$2:$D$1278,2,0)</f>
        <v>办公用品</v>
      </c>
    </row>
    <row r="2007" spans="1:20">
      <c r="A2007" s="8">
        <f>DATE(2012,12,31)-1248</f>
        <v>40026</v>
      </c>
      <c r="B2007" s="8">
        <f>DATE(2012,12,31)-1248</f>
        <v>40026</v>
      </c>
      <c r="C2007" s="9" t="s">
        <v>1560</v>
      </c>
      <c r="D2007">
        <v>10021488876</v>
      </c>
      <c r="E2007" t="s">
        <v>47</v>
      </c>
      <c r="F2007" t="s">
        <v>527</v>
      </c>
      <c r="G2007" t="s">
        <v>528</v>
      </c>
      <c r="H2007" t="s">
        <v>1676</v>
      </c>
      <c r="I2007" t="s">
        <v>1677</v>
      </c>
      <c r="J2007" t="s">
        <v>367</v>
      </c>
      <c r="K2007" s="3">
        <v>100133043458</v>
      </c>
      <c r="L2007" s="10">
        <v>40027</v>
      </c>
      <c r="M2007">
        <v>192.41</v>
      </c>
      <c r="N2007" s="11">
        <v>30</v>
      </c>
      <c r="O2007" s="12">
        <v>6.37</v>
      </c>
      <c r="P2007" s="12">
        <v>5.19</v>
      </c>
      <c r="Q2007" s="13">
        <v>-55.9475</v>
      </c>
      <c r="R2007" s="36" t="s">
        <v>410</v>
      </c>
      <c r="S2007" s="7">
        <f t="shared" si="171"/>
        <v>1</v>
      </c>
      <c r="T2007" s="15" t="str">
        <f>VLOOKUP(R2007,产品分类!$C$2:$D$1278,2,0)</f>
        <v>数码电子</v>
      </c>
    </row>
    <row r="2008" spans="1:20">
      <c r="A2008" s="8">
        <f>DATE(2012,12,31)-1139</f>
        <v>40135</v>
      </c>
      <c r="B2008" s="8">
        <f>DATE(2012,12,31)-1139</f>
        <v>40135</v>
      </c>
      <c r="C2008" s="9" t="s">
        <v>893</v>
      </c>
      <c r="D2008">
        <v>10021401164</v>
      </c>
      <c r="E2008" t="s">
        <v>47</v>
      </c>
      <c r="F2008" t="s">
        <v>127</v>
      </c>
      <c r="G2008" t="s">
        <v>128</v>
      </c>
      <c r="H2008" t="s">
        <v>1366</v>
      </c>
      <c r="I2008" t="s">
        <v>1367</v>
      </c>
      <c r="J2008" t="s">
        <v>367</v>
      </c>
      <c r="K2008" s="3">
        <v>100432931183</v>
      </c>
      <c r="L2008" s="10">
        <v>40136</v>
      </c>
      <c r="M2008">
        <v>174.55</v>
      </c>
      <c r="N2008" s="11">
        <v>4</v>
      </c>
      <c r="O2008" s="12">
        <v>39.99</v>
      </c>
      <c r="P2008" s="12">
        <v>10.25</v>
      </c>
      <c r="Q2008" s="13">
        <v>-114.39</v>
      </c>
      <c r="R2008" s="36" t="s">
        <v>1852</v>
      </c>
      <c r="S2008" s="7">
        <f t="shared" si="171"/>
        <v>1</v>
      </c>
      <c r="T2008" s="15" t="str">
        <f>VLOOKUP(R2008,产品分类!$C$2:$D$1278,2,0)</f>
        <v>办公用品</v>
      </c>
    </row>
    <row r="2009" spans="1:20">
      <c r="A2009" s="8">
        <f>DATE(2012,12,31)-1065</f>
        <v>40209</v>
      </c>
      <c r="B2009" s="8">
        <f>DATE(2012,12,31)-1065</f>
        <v>40209</v>
      </c>
      <c r="C2009" s="9" t="s">
        <v>1853</v>
      </c>
      <c r="D2009">
        <v>10021431203</v>
      </c>
      <c r="E2009" t="s">
        <v>47</v>
      </c>
      <c r="F2009" t="s">
        <v>132</v>
      </c>
      <c r="G2009" t="s">
        <v>133</v>
      </c>
      <c r="H2009" t="s">
        <v>134</v>
      </c>
      <c r="I2009" t="s">
        <v>133</v>
      </c>
      <c r="J2009" t="s">
        <v>367</v>
      </c>
      <c r="K2009" s="3">
        <v>100832219382</v>
      </c>
      <c r="L2009" s="10">
        <v>40216</v>
      </c>
      <c r="M2009">
        <v>6580.16</v>
      </c>
      <c r="N2009" s="11">
        <v>34</v>
      </c>
      <c r="O2009" s="12">
        <v>200.97</v>
      </c>
      <c r="P2009" s="12">
        <v>15.59</v>
      </c>
      <c r="Q2009" s="13">
        <v>2786.35</v>
      </c>
      <c r="R2009" s="36" t="s">
        <v>1825</v>
      </c>
      <c r="S2009" s="7">
        <f t="shared" si="171"/>
        <v>7</v>
      </c>
      <c r="T2009" s="15" t="str">
        <f>VLOOKUP(R2009,产品分类!$C$2:$D$1278,2,0)</f>
        <v>家具产品</v>
      </c>
    </row>
    <row r="2010" spans="1:20">
      <c r="A2010" s="8">
        <f>DATE(2012,12,31)-1344</f>
        <v>39930</v>
      </c>
      <c r="B2010" s="8">
        <f>DATE(2012,12,31)-1344</f>
        <v>39930</v>
      </c>
      <c r="C2010" s="9" t="s">
        <v>1612</v>
      </c>
      <c r="D2010">
        <v>10021266866</v>
      </c>
      <c r="E2010" t="s">
        <v>47</v>
      </c>
      <c r="F2010" t="s">
        <v>253</v>
      </c>
      <c r="G2010" t="s">
        <v>254</v>
      </c>
      <c r="H2010" t="s">
        <v>255</v>
      </c>
      <c r="I2010" t="s">
        <v>256</v>
      </c>
      <c r="J2010" t="s">
        <v>367</v>
      </c>
      <c r="K2010" s="3">
        <v>100132060676</v>
      </c>
      <c r="L2010" s="10">
        <v>39930</v>
      </c>
      <c r="M2010">
        <v>10823.84</v>
      </c>
      <c r="N2010" s="11">
        <v>38</v>
      </c>
      <c r="O2010" s="12">
        <v>300.97</v>
      </c>
      <c r="P2010" s="12">
        <v>7.18</v>
      </c>
      <c r="Q2010" s="13">
        <v>3857.43</v>
      </c>
      <c r="R2010" s="36" t="s">
        <v>755</v>
      </c>
      <c r="S2010" s="7">
        <f t="shared" si="171"/>
        <v>0</v>
      </c>
      <c r="T2010" s="15" t="str">
        <f>VLOOKUP(R2010,产品分类!$C$2:$D$1278,2,0)</f>
        <v>办公用品</v>
      </c>
    </row>
    <row r="2011" spans="1:20">
      <c r="A2011" s="8">
        <f>DATE(2012,12,31)-478</f>
        <v>40796</v>
      </c>
      <c r="B2011" s="8">
        <f>DATE(2012,12,31)-478</f>
        <v>40796</v>
      </c>
      <c r="C2011" s="9" t="s">
        <v>1710</v>
      </c>
      <c r="D2011">
        <v>10021482738</v>
      </c>
      <c r="E2011" t="s">
        <v>47</v>
      </c>
      <c r="F2011" t="s">
        <v>72</v>
      </c>
      <c r="G2011" t="s">
        <v>73</v>
      </c>
      <c r="H2011" t="s">
        <v>1854</v>
      </c>
      <c r="I2011" t="s">
        <v>1855</v>
      </c>
      <c r="J2011" t="s">
        <v>367</v>
      </c>
      <c r="K2011" s="3">
        <v>100432228094</v>
      </c>
      <c r="L2011" s="10">
        <v>40797</v>
      </c>
      <c r="M2011">
        <v>522.06</v>
      </c>
      <c r="N2011" s="11">
        <v>5</v>
      </c>
      <c r="O2011" s="12">
        <v>105.98</v>
      </c>
      <c r="P2011" s="12">
        <v>13.99</v>
      </c>
      <c r="Q2011" s="13">
        <v>319.64</v>
      </c>
      <c r="R2011" s="36" t="s">
        <v>1205</v>
      </c>
      <c r="S2011" s="7">
        <f t="shared" si="171"/>
        <v>1</v>
      </c>
      <c r="T2011" s="15" t="str">
        <f>VLOOKUP(R2011,产品分类!$C$2:$D$1278,2,0)</f>
        <v>办公用品</v>
      </c>
    </row>
    <row r="2012" spans="1:20">
      <c r="A2012" s="8">
        <f>DATE(2012,12,31)-478</f>
        <v>40796</v>
      </c>
      <c r="B2012" s="8">
        <f>DATE(2012,12,31)-478</f>
        <v>40796</v>
      </c>
      <c r="C2012" s="9" t="s">
        <v>1710</v>
      </c>
      <c r="D2012">
        <v>10021478521</v>
      </c>
      <c r="E2012" t="s">
        <v>47</v>
      </c>
      <c r="F2012" t="s">
        <v>277</v>
      </c>
      <c r="G2012" t="s">
        <v>278</v>
      </c>
      <c r="H2012" t="s">
        <v>279</v>
      </c>
      <c r="I2012" t="s">
        <v>280</v>
      </c>
      <c r="J2012" t="s">
        <v>367</v>
      </c>
      <c r="K2012" s="3">
        <v>100817804712</v>
      </c>
      <c r="L2012" s="10">
        <v>40798</v>
      </c>
      <c r="M2012">
        <v>1218.08</v>
      </c>
      <c r="N2012" s="11">
        <v>37</v>
      </c>
      <c r="O2012" s="12">
        <v>34.58</v>
      </c>
      <c r="P2012" s="12">
        <v>8.99</v>
      </c>
      <c r="Q2012" s="13">
        <v>99.79</v>
      </c>
      <c r="R2012" s="36" t="s">
        <v>260</v>
      </c>
      <c r="S2012" s="7">
        <f t="shared" si="171"/>
        <v>2</v>
      </c>
      <c r="T2012" s="15" t="str">
        <f>VLOOKUP(R2012,产品分类!$C$2:$D$1278,2,0)</f>
        <v>数码电子</v>
      </c>
    </row>
    <row r="2013" spans="1:20">
      <c r="A2013" s="8">
        <f>DATE(2012,12,31)-69</f>
        <v>41205</v>
      </c>
      <c r="B2013" s="8">
        <f>DATE(2012,12,31)-69</f>
        <v>41205</v>
      </c>
      <c r="C2013" s="9" t="s">
        <v>1109</v>
      </c>
      <c r="D2013">
        <v>10021439705</v>
      </c>
      <c r="E2013" t="s">
        <v>47</v>
      </c>
      <c r="F2013" t="s">
        <v>55</v>
      </c>
      <c r="G2013" t="s">
        <v>56</v>
      </c>
      <c r="H2013" t="s">
        <v>1658</v>
      </c>
      <c r="I2013" t="s">
        <v>1659</v>
      </c>
      <c r="J2013" t="s">
        <v>367</v>
      </c>
      <c r="K2013" s="3">
        <v>10041225253</v>
      </c>
      <c r="L2013" s="10">
        <v>41207</v>
      </c>
      <c r="M2013">
        <v>5350.61</v>
      </c>
      <c r="N2013" s="11">
        <v>34</v>
      </c>
      <c r="O2013" s="12">
        <v>170.98</v>
      </c>
      <c r="P2013" s="12">
        <v>60.49</v>
      </c>
      <c r="Q2013" s="13">
        <v>-1059.2</v>
      </c>
      <c r="R2013" s="36" t="s">
        <v>1856</v>
      </c>
      <c r="S2013" s="7">
        <f t="shared" si="171"/>
        <v>2</v>
      </c>
      <c r="T2013" s="15" t="str">
        <f>VLOOKUP(R2013,产品分类!$C$2:$D$1278,2,0)</f>
        <v>数码电子</v>
      </c>
    </row>
    <row r="2014" spans="1:20">
      <c r="A2014" s="8">
        <f>DATE(2012,12,31)-1065</f>
        <v>40209</v>
      </c>
      <c r="B2014" s="8">
        <f>DATE(2012,12,31)-1065</f>
        <v>40209</v>
      </c>
      <c r="C2014" s="9" t="s">
        <v>1857</v>
      </c>
      <c r="D2014">
        <v>10021391238</v>
      </c>
      <c r="E2014" t="s">
        <v>47</v>
      </c>
      <c r="F2014" t="s">
        <v>83</v>
      </c>
      <c r="G2014" t="s">
        <v>84</v>
      </c>
      <c r="H2014" t="s">
        <v>1259</v>
      </c>
      <c r="I2014" t="s">
        <v>1260</v>
      </c>
      <c r="J2014" t="s">
        <v>367</v>
      </c>
      <c r="K2014" s="3">
        <v>100132052116</v>
      </c>
      <c r="L2014" s="10">
        <v>40210</v>
      </c>
      <c r="M2014">
        <v>44.05</v>
      </c>
      <c r="N2014" s="11">
        <v>7</v>
      </c>
      <c r="O2014" s="12">
        <v>5.78</v>
      </c>
      <c r="P2014" s="12">
        <v>5.67</v>
      </c>
      <c r="Q2014" s="13">
        <v>-21.77</v>
      </c>
      <c r="R2014" s="36" t="s">
        <v>591</v>
      </c>
      <c r="S2014" s="7">
        <f t="shared" si="171"/>
        <v>1</v>
      </c>
      <c r="T2014" s="15" t="str">
        <f>VLOOKUP(R2014,产品分类!$C$2:$D$1278,2,0)</f>
        <v>家具产品</v>
      </c>
    </row>
    <row r="2015" spans="1:20">
      <c r="A2015" s="8">
        <f>DATE(2012,12,31)-1065</f>
        <v>40209</v>
      </c>
      <c r="B2015" s="8">
        <f>DATE(2012,12,31)-1065</f>
        <v>40209</v>
      </c>
      <c r="C2015" s="9" t="s">
        <v>1857</v>
      </c>
      <c r="D2015">
        <v>10021512729</v>
      </c>
      <c r="E2015" t="s">
        <v>47</v>
      </c>
      <c r="F2015" t="s">
        <v>102</v>
      </c>
      <c r="G2015" t="s">
        <v>103</v>
      </c>
      <c r="H2015" t="s">
        <v>1217</v>
      </c>
      <c r="I2015" t="s">
        <v>1218</v>
      </c>
      <c r="J2015" t="s">
        <v>367</v>
      </c>
      <c r="K2015" s="3">
        <v>100926214691</v>
      </c>
      <c r="L2015" s="10">
        <v>40210</v>
      </c>
      <c r="M2015">
        <v>3872.38</v>
      </c>
      <c r="N2015" s="11">
        <v>50</v>
      </c>
      <c r="O2015" s="12">
        <v>83.93</v>
      </c>
      <c r="P2015" s="12">
        <v>19.99</v>
      </c>
      <c r="Q2015" s="13">
        <v>1110.35</v>
      </c>
      <c r="R2015" s="36" t="s">
        <v>1858</v>
      </c>
      <c r="S2015" s="7">
        <f t="shared" si="171"/>
        <v>1</v>
      </c>
      <c r="T2015" s="15" t="str">
        <f>VLOOKUP(R2015,产品分类!$C$2:$D$1278,2,0)</f>
        <v>数码电子</v>
      </c>
    </row>
    <row r="2016" spans="1:20">
      <c r="A2016" s="8">
        <f t="shared" ref="A2016:B2018" si="173">DATE(2012,12,31)-1426</f>
        <v>39848</v>
      </c>
      <c r="B2016" s="8">
        <f t="shared" si="173"/>
        <v>39848</v>
      </c>
      <c r="C2016" s="9" t="s">
        <v>1859</v>
      </c>
      <c r="D2016">
        <v>10021401931</v>
      </c>
      <c r="E2016" t="s">
        <v>47</v>
      </c>
      <c r="F2016" t="s">
        <v>102</v>
      </c>
      <c r="G2016" t="s">
        <v>103</v>
      </c>
      <c r="H2016" t="s">
        <v>1217</v>
      </c>
      <c r="I2016" t="s">
        <v>1218</v>
      </c>
      <c r="J2016" t="s">
        <v>367</v>
      </c>
      <c r="K2016" s="3">
        <v>100330147069</v>
      </c>
      <c r="L2016" s="10">
        <v>39849</v>
      </c>
      <c r="M2016">
        <v>74.34</v>
      </c>
      <c r="N2016" s="11">
        <v>32</v>
      </c>
      <c r="O2016" s="12">
        <v>2.16</v>
      </c>
      <c r="P2016" s="12">
        <v>6.05</v>
      </c>
      <c r="Q2016" s="13">
        <v>-166.5545</v>
      </c>
      <c r="R2016" s="36" t="s">
        <v>507</v>
      </c>
      <c r="S2016" s="7">
        <f t="shared" si="171"/>
        <v>1</v>
      </c>
      <c r="T2016" s="15" t="str">
        <f>VLOOKUP(R2016,产品分类!$C$2:$D$1278,2,0)</f>
        <v>家具产品</v>
      </c>
    </row>
    <row r="2017" spans="1:20">
      <c r="A2017" s="8">
        <f t="shared" si="173"/>
        <v>39848</v>
      </c>
      <c r="B2017" s="8">
        <f t="shared" si="173"/>
        <v>39848</v>
      </c>
      <c r="C2017" s="9" t="s">
        <v>1859</v>
      </c>
      <c r="D2017">
        <v>10021376303</v>
      </c>
      <c r="E2017" t="s">
        <v>47</v>
      </c>
      <c r="F2017" t="s">
        <v>183</v>
      </c>
      <c r="G2017" t="s">
        <v>184</v>
      </c>
      <c r="H2017" t="s">
        <v>1716</v>
      </c>
      <c r="I2017" t="s">
        <v>1717</v>
      </c>
      <c r="J2017" t="s">
        <v>367</v>
      </c>
      <c r="K2017" s="3">
        <v>10016515337</v>
      </c>
      <c r="L2017" s="10">
        <v>39849</v>
      </c>
      <c r="M2017">
        <v>228.8</v>
      </c>
      <c r="N2017" s="11">
        <v>35</v>
      </c>
      <c r="O2017" s="12">
        <v>6.48</v>
      </c>
      <c r="P2017" s="12">
        <v>6.6</v>
      </c>
      <c r="Q2017" s="13">
        <v>-99.08</v>
      </c>
      <c r="R2017" s="36" t="s">
        <v>784</v>
      </c>
      <c r="S2017" s="7">
        <f t="shared" si="171"/>
        <v>1</v>
      </c>
      <c r="T2017" s="15" t="str">
        <f>VLOOKUP(R2017,产品分类!$C$2:$D$1278,2,0)</f>
        <v>数码电子</v>
      </c>
    </row>
    <row r="2018" spans="1:20">
      <c r="A2018" s="8">
        <f t="shared" si="173"/>
        <v>39848</v>
      </c>
      <c r="B2018" s="8">
        <f t="shared" si="173"/>
        <v>39848</v>
      </c>
      <c r="C2018" s="9" t="s">
        <v>1859</v>
      </c>
      <c r="D2018">
        <v>10021510859</v>
      </c>
      <c r="E2018" t="s">
        <v>47</v>
      </c>
      <c r="F2018" t="s">
        <v>66</v>
      </c>
      <c r="G2018" t="s">
        <v>67</v>
      </c>
      <c r="H2018" t="s">
        <v>1435</v>
      </c>
      <c r="I2018" t="s">
        <v>1436</v>
      </c>
      <c r="J2018" t="s">
        <v>367</v>
      </c>
      <c r="K2018" s="3">
        <v>100932700341</v>
      </c>
      <c r="L2018" s="10">
        <v>39849</v>
      </c>
      <c r="M2018">
        <v>6089.05</v>
      </c>
      <c r="N2018" s="11">
        <v>43</v>
      </c>
      <c r="O2018" s="12">
        <v>146.05</v>
      </c>
      <c r="P2018" s="12">
        <v>80.2</v>
      </c>
      <c r="Q2018" s="13">
        <v>-2110.56</v>
      </c>
      <c r="R2018" s="36" t="s">
        <v>239</v>
      </c>
      <c r="S2018" s="7">
        <f t="shared" si="171"/>
        <v>1</v>
      </c>
      <c r="T2018" s="15" t="str">
        <f>VLOOKUP(R2018,产品分类!$C$2:$D$1278,2,0)</f>
        <v>办公用品</v>
      </c>
    </row>
    <row r="2019" spans="1:20">
      <c r="A2019" s="8">
        <f>DATE(2012,12,31)-515</f>
        <v>40759</v>
      </c>
      <c r="B2019" s="8">
        <f>DATE(2012,12,31)-515</f>
        <v>40759</v>
      </c>
      <c r="C2019" s="9" t="s">
        <v>1406</v>
      </c>
      <c r="D2019">
        <v>10021465706</v>
      </c>
      <c r="E2019" t="s">
        <v>47</v>
      </c>
      <c r="F2019" t="s">
        <v>48</v>
      </c>
      <c r="G2019" t="s">
        <v>49</v>
      </c>
      <c r="H2019" t="s">
        <v>1812</v>
      </c>
      <c r="I2019" t="s">
        <v>1813</v>
      </c>
      <c r="J2019" t="s">
        <v>367</v>
      </c>
      <c r="K2019" s="3">
        <v>100428560603</v>
      </c>
      <c r="L2019" s="10">
        <v>40761</v>
      </c>
      <c r="M2019">
        <v>931.1495</v>
      </c>
      <c r="N2019" s="11">
        <v>10</v>
      </c>
      <c r="O2019" s="12">
        <v>110.99</v>
      </c>
      <c r="P2019" s="12">
        <v>2.5</v>
      </c>
      <c r="Q2019" s="13">
        <v>-128.832</v>
      </c>
      <c r="R2019" s="36" t="s">
        <v>1056</v>
      </c>
      <c r="S2019" s="7">
        <f t="shared" si="171"/>
        <v>2</v>
      </c>
      <c r="T2019" s="15" t="str">
        <f>VLOOKUP(R2019,产品分类!$C$2:$D$1278,2,0)</f>
        <v>家具产品</v>
      </c>
    </row>
    <row r="2020" spans="1:20">
      <c r="A2020" s="8">
        <f>DATE(2012,12,31)-809</f>
        <v>40465</v>
      </c>
      <c r="B2020" s="8">
        <f>DATE(2012,12,31)-809</f>
        <v>40465</v>
      </c>
      <c r="C2020" s="9" t="s">
        <v>1147</v>
      </c>
      <c r="D2020">
        <v>10021423839</v>
      </c>
      <c r="E2020" t="s">
        <v>47</v>
      </c>
      <c r="F2020" t="s">
        <v>152</v>
      </c>
      <c r="G2020" t="s">
        <v>153</v>
      </c>
      <c r="H2020" t="s">
        <v>1640</v>
      </c>
      <c r="I2020" t="s">
        <v>1641</v>
      </c>
      <c r="J2020" t="s">
        <v>367</v>
      </c>
      <c r="K2020" s="3">
        <v>100428312374</v>
      </c>
      <c r="L2020" s="10">
        <v>40467</v>
      </c>
      <c r="M2020">
        <v>184.46</v>
      </c>
      <c r="N2020" s="11">
        <v>1</v>
      </c>
      <c r="O2020" s="12">
        <v>160.98</v>
      </c>
      <c r="P2020" s="12">
        <v>30</v>
      </c>
      <c r="Q2020" s="13">
        <v>-106.33</v>
      </c>
      <c r="R2020" s="36" t="s">
        <v>764</v>
      </c>
      <c r="S2020" s="7">
        <f t="shared" si="171"/>
        <v>2</v>
      </c>
      <c r="T2020" s="15" t="str">
        <f>VLOOKUP(R2020,产品分类!$C$2:$D$1278,2,0)</f>
        <v>家具产品</v>
      </c>
    </row>
    <row r="2021" spans="1:20">
      <c r="A2021" s="8">
        <f t="shared" ref="A2021:B2023" si="174">DATE(2012,12,31)-1029</f>
        <v>40245</v>
      </c>
      <c r="B2021" s="8">
        <f t="shared" si="174"/>
        <v>40245</v>
      </c>
      <c r="C2021" s="9" t="s">
        <v>628</v>
      </c>
      <c r="D2021">
        <v>10021266733</v>
      </c>
      <c r="E2021" t="s">
        <v>47</v>
      </c>
      <c r="F2021" t="s">
        <v>66</v>
      </c>
      <c r="G2021" t="s">
        <v>67</v>
      </c>
      <c r="H2021" t="s">
        <v>1435</v>
      </c>
      <c r="I2021" t="s">
        <v>1436</v>
      </c>
      <c r="J2021" t="s">
        <v>367</v>
      </c>
      <c r="K2021" s="3">
        <v>100331846099</v>
      </c>
      <c r="L2021" s="10">
        <v>40247</v>
      </c>
      <c r="M2021">
        <v>5610.84</v>
      </c>
      <c r="N2021" s="11">
        <v>37</v>
      </c>
      <c r="O2021" s="12">
        <v>150.98</v>
      </c>
      <c r="P2021" s="12">
        <v>13.99</v>
      </c>
      <c r="Q2021" s="13">
        <v>2366.51</v>
      </c>
      <c r="R2021" s="36" t="s">
        <v>126</v>
      </c>
      <c r="S2021" s="7">
        <f t="shared" si="171"/>
        <v>2</v>
      </c>
      <c r="T2021" s="15" t="str">
        <f>VLOOKUP(R2021,产品分类!$C$2:$D$1278,2,0)</f>
        <v>家具产品</v>
      </c>
    </row>
    <row r="2022" spans="1:20">
      <c r="A2022" s="8">
        <f t="shared" si="174"/>
        <v>40245</v>
      </c>
      <c r="B2022" s="8">
        <f t="shared" si="174"/>
        <v>40245</v>
      </c>
      <c r="C2022" s="9" t="s">
        <v>628</v>
      </c>
      <c r="D2022">
        <v>10021505089</v>
      </c>
      <c r="E2022" t="s">
        <v>47</v>
      </c>
      <c r="F2022" t="s">
        <v>152</v>
      </c>
      <c r="G2022" t="s">
        <v>153</v>
      </c>
      <c r="H2022" t="s">
        <v>1860</v>
      </c>
      <c r="I2022" t="s">
        <v>1861</v>
      </c>
      <c r="J2022" t="s">
        <v>367</v>
      </c>
      <c r="K2022" s="3">
        <v>100330771769</v>
      </c>
      <c r="L2022" s="10">
        <v>40247</v>
      </c>
      <c r="M2022">
        <v>455.34</v>
      </c>
      <c r="N2022" s="11">
        <v>20</v>
      </c>
      <c r="O2022" s="12">
        <v>20.98</v>
      </c>
      <c r="P2022" s="12">
        <v>53.03</v>
      </c>
      <c r="Q2022" s="13">
        <v>-932.55</v>
      </c>
      <c r="R2022" s="36" t="s">
        <v>195</v>
      </c>
      <c r="S2022" s="7">
        <f t="shared" si="171"/>
        <v>2</v>
      </c>
      <c r="T2022" s="15" t="str">
        <f>VLOOKUP(R2022,产品分类!$C$2:$D$1278,2,0)</f>
        <v>家具产品</v>
      </c>
    </row>
    <row r="2023" spans="1:20">
      <c r="A2023" s="8">
        <f t="shared" si="174"/>
        <v>40245</v>
      </c>
      <c r="B2023" s="8">
        <f t="shared" si="174"/>
        <v>40245</v>
      </c>
      <c r="C2023" s="9" t="s">
        <v>628</v>
      </c>
      <c r="D2023">
        <v>10021414983</v>
      </c>
      <c r="E2023" t="s">
        <v>47</v>
      </c>
      <c r="F2023" t="s">
        <v>66</v>
      </c>
      <c r="G2023" t="s">
        <v>67</v>
      </c>
      <c r="H2023" t="s">
        <v>1435</v>
      </c>
      <c r="I2023" t="s">
        <v>1436</v>
      </c>
      <c r="J2023" t="s">
        <v>367</v>
      </c>
      <c r="K2023" s="3">
        <v>10089831892</v>
      </c>
      <c r="L2023" s="10">
        <v>40247</v>
      </c>
      <c r="M2023">
        <v>2329.646</v>
      </c>
      <c r="N2023" s="11">
        <v>35</v>
      </c>
      <c r="O2023" s="12">
        <v>85.99</v>
      </c>
      <c r="P2023" s="12">
        <v>0.99</v>
      </c>
      <c r="Q2023" s="13">
        <v>-310.244</v>
      </c>
      <c r="R2023" s="36" t="s">
        <v>228</v>
      </c>
      <c r="S2023" s="7">
        <f t="shared" si="171"/>
        <v>2</v>
      </c>
      <c r="T2023" s="15" t="str">
        <f>VLOOKUP(R2023,产品分类!$C$2:$D$1278,2,0)</f>
        <v>数码电子</v>
      </c>
    </row>
    <row r="2024" spans="1:20">
      <c r="A2024" s="8">
        <f>DATE(2012,12,31)-685</f>
        <v>40589</v>
      </c>
      <c r="B2024" s="8">
        <f>DATE(2012,12,31)-685</f>
        <v>40589</v>
      </c>
      <c r="C2024" s="9" t="s">
        <v>1862</v>
      </c>
      <c r="D2024">
        <v>10021252488</v>
      </c>
      <c r="E2024" t="s">
        <v>47</v>
      </c>
      <c r="F2024" t="s">
        <v>152</v>
      </c>
      <c r="G2024" t="s">
        <v>153</v>
      </c>
      <c r="H2024" t="s">
        <v>1860</v>
      </c>
      <c r="I2024" t="s">
        <v>1861</v>
      </c>
      <c r="J2024" t="s">
        <v>367</v>
      </c>
      <c r="K2024" s="3">
        <v>100911855641</v>
      </c>
      <c r="L2024" s="10">
        <v>40591</v>
      </c>
      <c r="M2024">
        <v>4733.88</v>
      </c>
      <c r="N2024" s="11">
        <v>39</v>
      </c>
      <c r="O2024" s="12">
        <v>119.99</v>
      </c>
      <c r="P2024" s="12">
        <v>56.14</v>
      </c>
      <c r="Q2024" s="13">
        <v>239.41</v>
      </c>
      <c r="R2024" s="36" t="s">
        <v>1626</v>
      </c>
      <c r="S2024" s="7">
        <f t="shared" si="171"/>
        <v>2</v>
      </c>
      <c r="T2024" s="15" t="str">
        <f>VLOOKUP(R2024,产品分类!$C$2:$D$1278,2,0)</f>
        <v>办公用品</v>
      </c>
    </row>
    <row r="2025" spans="1:20">
      <c r="A2025" s="8">
        <f t="shared" ref="A2025:B2027" si="175">DATE(2012,12,31)-30</f>
        <v>41244</v>
      </c>
      <c r="B2025" s="8">
        <f t="shared" si="175"/>
        <v>41244</v>
      </c>
      <c r="C2025" s="9" t="s">
        <v>1129</v>
      </c>
      <c r="D2025">
        <v>10021495642</v>
      </c>
      <c r="E2025" t="s">
        <v>47</v>
      </c>
      <c r="F2025" t="s">
        <v>152</v>
      </c>
      <c r="G2025" t="s">
        <v>153</v>
      </c>
      <c r="H2025" t="s">
        <v>1860</v>
      </c>
      <c r="I2025" t="s">
        <v>1861</v>
      </c>
      <c r="J2025" t="s">
        <v>367</v>
      </c>
      <c r="K2025" s="3">
        <v>100910737471</v>
      </c>
      <c r="L2025" s="10">
        <v>41245</v>
      </c>
      <c r="M2025">
        <v>3731.59</v>
      </c>
      <c r="N2025" s="11">
        <v>41</v>
      </c>
      <c r="O2025" s="12">
        <v>89.99</v>
      </c>
      <c r="P2025" s="12">
        <v>42</v>
      </c>
      <c r="Q2025" s="13">
        <v>-605.52</v>
      </c>
      <c r="R2025" s="36" t="s">
        <v>891</v>
      </c>
      <c r="S2025" s="7">
        <f t="shared" si="171"/>
        <v>1</v>
      </c>
      <c r="T2025" s="15" t="str">
        <f>VLOOKUP(R2025,产品分类!$C$2:$D$1278,2,0)</f>
        <v>家具产品</v>
      </c>
    </row>
    <row r="2026" spans="1:20">
      <c r="A2026" s="8">
        <f t="shared" si="175"/>
        <v>41244</v>
      </c>
      <c r="B2026" s="8">
        <f t="shared" si="175"/>
        <v>41244</v>
      </c>
      <c r="C2026" s="9" t="s">
        <v>1129</v>
      </c>
      <c r="D2026">
        <v>10021270041</v>
      </c>
      <c r="E2026" t="s">
        <v>47</v>
      </c>
      <c r="F2026" t="s">
        <v>66</v>
      </c>
      <c r="G2026" t="s">
        <v>67</v>
      </c>
      <c r="H2026" t="s">
        <v>1435</v>
      </c>
      <c r="I2026" t="s">
        <v>1436</v>
      </c>
      <c r="J2026" t="s">
        <v>367</v>
      </c>
      <c r="K2026" s="3">
        <v>100432473254</v>
      </c>
      <c r="L2026" s="10">
        <v>41247</v>
      </c>
      <c r="M2026">
        <v>33367.85</v>
      </c>
      <c r="N2026" s="11">
        <v>9</v>
      </c>
      <c r="O2026" s="12">
        <v>3499.99</v>
      </c>
      <c r="P2026" s="12">
        <v>24.49</v>
      </c>
      <c r="Q2026" s="13">
        <v>3992.52</v>
      </c>
      <c r="R2026" s="36" t="s">
        <v>1863</v>
      </c>
      <c r="S2026" s="7">
        <f t="shared" si="171"/>
        <v>3</v>
      </c>
      <c r="T2026" s="15" t="str">
        <f>VLOOKUP(R2026,产品分类!$C$2:$D$1278,2,0)</f>
        <v>办公用品</v>
      </c>
    </row>
    <row r="2027" spans="1:20">
      <c r="A2027" s="8">
        <f t="shared" si="175"/>
        <v>41244</v>
      </c>
      <c r="B2027" s="8">
        <f t="shared" si="175"/>
        <v>41244</v>
      </c>
      <c r="C2027" s="9" t="s">
        <v>1129</v>
      </c>
      <c r="D2027">
        <v>10021496319</v>
      </c>
      <c r="E2027" t="s">
        <v>47</v>
      </c>
      <c r="F2027" t="s">
        <v>72</v>
      </c>
      <c r="G2027" t="s">
        <v>73</v>
      </c>
      <c r="H2027" t="s">
        <v>1854</v>
      </c>
      <c r="I2027" t="s">
        <v>1855</v>
      </c>
      <c r="J2027" t="s">
        <v>367</v>
      </c>
      <c r="K2027" s="3">
        <v>10048496553</v>
      </c>
      <c r="L2027" s="10">
        <v>41244</v>
      </c>
      <c r="M2027">
        <v>1299.91</v>
      </c>
      <c r="N2027" s="11">
        <v>44</v>
      </c>
      <c r="O2027" s="12">
        <v>30.98</v>
      </c>
      <c r="P2027" s="12">
        <v>5.76</v>
      </c>
      <c r="Q2027" s="13">
        <v>439.26</v>
      </c>
      <c r="R2027" s="36" t="s">
        <v>751</v>
      </c>
      <c r="S2027" s="7">
        <f t="shared" si="171"/>
        <v>0</v>
      </c>
      <c r="T2027" s="15" t="str">
        <f>VLOOKUP(R2027,产品分类!$C$2:$D$1278,2,0)</f>
        <v>办公用品</v>
      </c>
    </row>
    <row r="2028" spans="1:20">
      <c r="A2028" s="8">
        <f>DATE(2012,12,31)-123</f>
        <v>41151</v>
      </c>
      <c r="B2028" s="8">
        <f>DATE(2012,12,31)-123</f>
        <v>41151</v>
      </c>
      <c r="C2028" s="9" t="s">
        <v>1721</v>
      </c>
      <c r="D2028">
        <v>10021351623</v>
      </c>
      <c r="E2028" t="s">
        <v>47</v>
      </c>
      <c r="F2028" t="s">
        <v>78</v>
      </c>
      <c r="G2028" t="s">
        <v>79</v>
      </c>
      <c r="H2028" t="s">
        <v>1654</v>
      </c>
      <c r="I2028" t="s">
        <v>1655</v>
      </c>
      <c r="J2028" t="s">
        <v>367</v>
      </c>
      <c r="K2028" s="3">
        <v>100932493711</v>
      </c>
      <c r="L2028" s="10">
        <v>41152</v>
      </c>
      <c r="M2028">
        <v>1428.64</v>
      </c>
      <c r="N2028" s="11">
        <v>27</v>
      </c>
      <c r="O2028" s="12">
        <v>54.96</v>
      </c>
      <c r="P2028" s="12">
        <v>10.75</v>
      </c>
      <c r="Q2028" s="13">
        <v>494.26</v>
      </c>
      <c r="R2028" s="36" t="s">
        <v>1702</v>
      </c>
      <c r="S2028" s="7">
        <f t="shared" si="171"/>
        <v>1</v>
      </c>
      <c r="T2028" s="15" t="str">
        <f>VLOOKUP(R2028,产品分类!$C$2:$D$1278,2,0)</f>
        <v>办公用品</v>
      </c>
    </row>
    <row r="2029" spans="1:20">
      <c r="A2029" s="8">
        <f>DATE(2012,12,31)-585</f>
        <v>40689</v>
      </c>
      <c r="B2029" s="8">
        <f>DATE(2012,12,31)-585</f>
        <v>40689</v>
      </c>
      <c r="C2029" s="9" t="s">
        <v>1047</v>
      </c>
      <c r="D2029">
        <v>10021337362</v>
      </c>
      <c r="E2029" t="s">
        <v>47</v>
      </c>
      <c r="F2029" t="s">
        <v>78</v>
      </c>
      <c r="G2029" t="s">
        <v>79</v>
      </c>
      <c r="H2029" t="s">
        <v>1654</v>
      </c>
      <c r="I2029" t="s">
        <v>1655</v>
      </c>
      <c r="J2029" t="s">
        <v>367</v>
      </c>
      <c r="K2029" s="3">
        <v>100821826182</v>
      </c>
      <c r="L2029" s="10">
        <v>40689</v>
      </c>
      <c r="M2029">
        <v>823.63</v>
      </c>
      <c r="N2029" s="11">
        <v>44</v>
      </c>
      <c r="O2029" s="12">
        <v>18.65</v>
      </c>
      <c r="P2029" s="12">
        <v>3.77</v>
      </c>
      <c r="Q2029" s="13">
        <v>375.02</v>
      </c>
      <c r="R2029" s="36" t="s">
        <v>1864</v>
      </c>
      <c r="S2029" s="7">
        <f t="shared" si="171"/>
        <v>0</v>
      </c>
      <c r="T2029" s="15" t="str">
        <f>VLOOKUP(R2029,产品分类!$C$2:$D$1278,2,0)</f>
        <v>办公用品</v>
      </c>
    </row>
    <row r="2030" spans="1:20">
      <c r="A2030" s="8">
        <f>DATE(2012,12,31)-585</f>
        <v>40689</v>
      </c>
      <c r="B2030" s="8">
        <f>DATE(2012,12,31)-585</f>
        <v>40689</v>
      </c>
      <c r="C2030" s="9" t="s">
        <v>1047</v>
      </c>
      <c r="D2030">
        <v>10021504343</v>
      </c>
      <c r="E2030" t="s">
        <v>47</v>
      </c>
      <c r="F2030" t="s">
        <v>78</v>
      </c>
      <c r="G2030" t="s">
        <v>79</v>
      </c>
      <c r="H2030" t="s">
        <v>1654</v>
      </c>
      <c r="I2030" t="s">
        <v>1655</v>
      </c>
      <c r="J2030" t="s">
        <v>367</v>
      </c>
      <c r="K2030" s="3">
        <v>100730334485</v>
      </c>
      <c r="L2030" s="10">
        <v>40691</v>
      </c>
      <c r="M2030">
        <v>286.73</v>
      </c>
      <c r="N2030" s="11">
        <v>42</v>
      </c>
      <c r="O2030" s="12">
        <v>6.48</v>
      </c>
      <c r="P2030" s="12">
        <v>7.49</v>
      </c>
      <c r="Q2030" s="13">
        <v>-141.51</v>
      </c>
      <c r="R2030" s="36" t="s">
        <v>1030</v>
      </c>
      <c r="S2030" s="7">
        <f t="shared" si="171"/>
        <v>2</v>
      </c>
      <c r="T2030" s="15" t="str">
        <f>VLOOKUP(R2030,产品分类!$C$2:$D$1278,2,0)</f>
        <v>办公用品</v>
      </c>
    </row>
    <row r="2031" spans="1:20">
      <c r="A2031" s="8">
        <f>DATE(2012,12,31)-225</f>
        <v>41049</v>
      </c>
      <c r="B2031" s="8">
        <f>DATE(2012,12,31)-225</f>
        <v>41049</v>
      </c>
      <c r="C2031" s="9" t="s">
        <v>573</v>
      </c>
      <c r="D2031">
        <v>10021429885</v>
      </c>
      <c r="E2031" t="s">
        <v>47</v>
      </c>
      <c r="F2031" t="s">
        <v>72</v>
      </c>
      <c r="G2031" t="s">
        <v>73</v>
      </c>
      <c r="H2031" t="s">
        <v>1854</v>
      </c>
      <c r="I2031" t="s">
        <v>1855</v>
      </c>
      <c r="J2031" t="s">
        <v>367</v>
      </c>
      <c r="K2031" s="3">
        <v>100131684198</v>
      </c>
      <c r="L2031" s="10">
        <v>41052</v>
      </c>
      <c r="M2031">
        <v>214.03</v>
      </c>
      <c r="N2031" s="11">
        <v>34</v>
      </c>
      <c r="O2031" s="12">
        <v>5.78</v>
      </c>
      <c r="P2031" s="12">
        <v>7.96</v>
      </c>
      <c r="Q2031" s="13">
        <v>-138.92</v>
      </c>
      <c r="R2031" s="36" t="s">
        <v>1065</v>
      </c>
      <c r="S2031" s="7">
        <f t="shared" si="171"/>
        <v>3</v>
      </c>
      <c r="T2031" s="15" t="str">
        <f>VLOOKUP(R2031,产品分类!$C$2:$D$1278,2,0)</f>
        <v>办公用品</v>
      </c>
    </row>
    <row r="2032" spans="1:20">
      <c r="A2032" s="8">
        <f>DATE(2012,12,31)-778</f>
        <v>40496</v>
      </c>
      <c r="B2032" s="8">
        <f>DATE(2012,12,31)-778</f>
        <v>40496</v>
      </c>
      <c r="C2032" s="9" t="s">
        <v>1865</v>
      </c>
      <c r="D2032">
        <v>10021460741</v>
      </c>
      <c r="E2032" t="s">
        <v>47</v>
      </c>
      <c r="F2032" t="s">
        <v>78</v>
      </c>
      <c r="G2032" t="s">
        <v>79</v>
      </c>
      <c r="H2032" t="s">
        <v>1654</v>
      </c>
      <c r="I2032" t="s">
        <v>1655</v>
      </c>
      <c r="J2032" t="s">
        <v>367</v>
      </c>
      <c r="K2032" s="3">
        <v>100810719732</v>
      </c>
      <c r="L2032" s="10">
        <v>40501</v>
      </c>
      <c r="M2032">
        <v>574.99</v>
      </c>
      <c r="N2032" s="11">
        <v>28</v>
      </c>
      <c r="O2032" s="12">
        <v>20.97</v>
      </c>
      <c r="P2032" s="12">
        <v>6.5</v>
      </c>
      <c r="Q2032" s="13">
        <v>-148.87</v>
      </c>
      <c r="R2032" s="36" t="s">
        <v>420</v>
      </c>
      <c r="S2032" s="7">
        <f t="shared" si="171"/>
        <v>5</v>
      </c>
      <c r="T2032" s="15" t="str">
        <f>VLOOKUP(R2032,产品分类!$C$2:$D$1278,2,0)</f>
        <v>数码电子</v>
      </c>
    </row>
    <row r="2033" spans="1:20">
      <c r="A2033" s="8">
        <f>DATE(2012,12,31)-556</f>
        <v>40718</v>
      </c>
      <c r="B2033" s="8">
        <f>DATE(2012,12,31)-556</f>
        <v>40718</v>
      </c>
      <c r="C2033" s="9" t="s">
        <v>1866</v>
      </c>
      <c r="D2033">
        <v>10021493478</v>
      </c>
      <c r="E2033" t="s">
        <v>47</v>
      </c>
      <c r="F2033" t="s">
        <v>78</v>
      </c>
      <c r="G2033" t="s">
        <v>79</v>
      </c>
      <c r="H2033" t="s">
        <v>1654</v>
      </c>
      <c r="I2033" t="s">
        <v>1655</v>
      </c>
      <c r="J2033" t="s">
        <v>367</v>
      </c>
      <c r="K2033" s="3">
        <v>10042486703</v>
      </c>
      <c r="L2033" s="10">
        <v>40720</v>
      </c>
      <c r="M2033">
        <v>839.7</v>
      </c>
      <c r="N2033" s="11">
        <v>44</v>
      </c>
      <c r="O2033" s="12">
        <v>19.98</v>
      </c>
      <c r="P2033" s="12">
        <v>5.77</v>
      </c>
      <c r="Q2033" s="13">
        <v>211.79</v>
      </c>
      <c r="R2033" s="36" t="s">
        <v>1619</v>
      </c>
      <c r="S2033" s="7">
        <f t="shared" si="171"/>
        <v>2</v>
      </c>
      <c r="T2033" s="15" t="str">
        <f>VLOOKUP(R2033,产品分类!$C$2:$D$1278,2,0)</f>
        <v>数码电子</v>
      </c>
    </row>
    <row r="2034" spans="1:20">
      <c r="A2034" s="8">
        <f>DATE(2012,12,31)-556</f>
        <v>40718</v>
      </c>
      <c r="B2034" s="8">
        <f>DATE(2012,12,31)-556</f>
        <v>40718</v>
      </c>
      <c r="C2034" s="9" t="s">
        <v>1866</v>
      </c>
      <c r="D2034">
        <v>10021507139</v>
      </c>
      <c r="E2034" t="s">
        <v>47</v>
      </c>
      <c r="F2034" t="s">
        <v>78</v>
      </c>
      <c r="G2034" t="s">
        <v>79</v>
      </c>
      <c r="H2034" t="s">
        <v>1654</v>
      </c>
      <c r="I2034" t="s">
        <v>1655</v>
      </c>
      <c r="J2034" t="s">
        <v>367</v>
      </c>
      <c r="K2034" s="3">
        <v>100831940562</v>
      </c>
      <c r="L2034" s="10">
        <v>40719</v>
      </c>
      <c r="M2034">
        <v>1662.5</v>
      </c>
      <c r="N2034" s="11">
        <v>46</v>
      </c>
      <c r="O2034" s="12">
        <v>34.58</v>
      </c>
      <c r="P2034" s="12">
        <v>8.99</v>
      </c>
      <c r="Q2034" s="13">
        <v>289.02</v>
      </c>
      <c r="R2034" s="36" t="s">
        <v>260</v>
      </c>
      <c r="S2034" s="7">
        <f t="shared" si="171"/>
        <v>1</v>
      </c>
      <c r="T2034" s="15" t="str">
        <f>VLOOKUP(R2034,产品分类!$C$2:$D$1278,2,0)</f>
        <v>数码电子</v>
      </c>
    </row>
    <row r="2035" spans="1:20">
      <c r="A2035" s="8">
        <f>DATE(2012,12,31)-695</f>
        <v>40579</v>
      </c>
      <c r="B2035" s="8">
        <f>DATE(2012,12,31)-695</f>
        <v>40579</v>
      </c>
      <c r="C2035" s="9" t="s">
        <v>956</v>
      </c>
      <c r="D2035">
        <v>10021253367</v>
      </c>
      <c r="E2035" t="s">
        <v>47</v>
      </c>
      <c r="F2035" t="s">
        <v>230</v>
      </c>
      <c r="G2035" t="s">
        <v>231</v>
      </c>
      <c r="H2035" t="s">
        <v>1798</v>
      </c>
      <c r="I2035" t="s">
        <v>1799</v>
      </c>
      <c r="J2035" t="s">
        <v>367</v>
      </c>
      <c r="K2035" s="3">
        <v>100118993866</v>
      </c>
      <c r="L2035" s="10">
        <v>40580</v>
      </c>
      <c r="M2035">
        <v>438.47</v>
      </c>
      <c r="N2035" s="11">
        <v>14</v>
      </c>
      <c r="O2035" s="12">
        <v>30.56</v>
      </c>
      <c r="P2035" s="12">
        <v>2.99</v>
      </c>
      <c r="Q2035" s="13">
        <v>157.8875</v>
      </c>
      <c r="R2035" s="36" t="s">
        <v>1457</v>
      </c>
      <c r="S2035" s="7">
        <f t="shared" si="171"/>
        <v>1</v>
      </c>
      <c r="T2035" s="15" t="str">
        <f>VLOOKUP(R2035,产品分类!$C$2:$D$1278,2,0)</f>
        <v>办公用品</v>
      </c>
    </row>
    <row r="2036" spans="1:20">
      <c r="A2036" s="8">
        <f>DATE(2012,12,31)-1295</f>
        <v>39979</v>
      </c>
      <c r="B2036" s="8">
        <f>DATE(2012,12,31)-1295</f>
        <v>39979</v>
      </c>
      <c r="C2036" s="9" t="s">
        <v>433</v>
      </c>
      <c r="D2036">
        <v>10021419069</v>
      </c>
      <c r="E2036" t="s">
        <v>47</v>
      </c>
      <c r="F2036" t="s">
        <v>230</v>
      </c>
      <c r="G2036" t="s">
        <v>231</v>
      </c>
      <c r="H2036" t="s">
        <v>1798</v>
      </c>
      <c r="I2036" t="s">
        <v>1799</v>
      </c>
      <c r="J2036" t="s">
        <v>367</v>
      </c>
      <c r="K2036" s="3">
        <v>100722820475</v>
      </c>
      <c r="L2036" s="10">
        <v>39981</v>
      </c>
      <c r="M2036">
        <v>78.44</v>
      </c>
      <c r="N2036" s="11">
        <v>14</v>
      </c>
      <c r="O2036" s="12">
        <v>5.98</v>
      </c>
      <c r="P2036" s="12">
        <v>1.49</v>
      </c>
      <c r="Q2036" s="13">
        <v>11.0245</v>
      </c>
      <c r="R2036" s="36" t="s">
        <v>392</v>
      </c>
      <c r="S2036" s="7">
        <f t="shared" si="171"/>
        <v>2</v>
      </c>
      <c r="T2036" s="15" t="str">
        <f>VLOOKUP(R2036,产品分类!$C$2:$D$1278,2,0)</f>
        <v>办公用品</v>
      </c>
    </row>
    <row r="2037" spans="1:20">
      <c r="A2037" s="8">
        <f>DATE(2012,12,31)-833</f>
        <v>40441</v>
      </c>
      <c r="B2037" s="8">
        <f>DATE(2012,12,31)-833</f>
        <v>40441</v>
      </c>
      <c r="C2037" s="9" t="s">
        <v>1867</v>
      </c>
      <c r="D2037">
        <v>10021368792</v>
      </c>
      <c r="E2037" t="s">
        <v>47</v>
      </c>
      <c r="F2037" t="s">
        <v>277</v>
      </c>
      <c r="G2037" t="s">
        <v>278</v>
      </c>
      <c r="H2037" t="s">
        <v>279</v>
      </c>
      <c r="I2037" t="s">
        <v>280</v>
      </c>
      <c r="J2037" t="s">
        <v>367</v>
      </c>
      <c r="K2037" s="3">
        <v>100829399882</v>
      </c>
      <c r="L2037" s="10">
        <v>40445</v>
      </c>
      <c r="M2037">
        <v>3819.42</v>
      </c>
      <c r="N2037" s="11">
        <v>44</v>
      </c>
      <c r="O2037" s="12">
        <v>89.99</v>
      </c>
      <c r="P2037" s="12">
        <v>42</v>
      </c>
      <c r="Q2037" s="13">
        <v>-821.87</v>
      </c>
      <c r="R2037" s="36" t="s">
        <v>891</v>
      </c>
      <c r="S2037" s="7">
        <f t="shared" si="171"/>
        <v>4</v>
      </c>
      <c r="T2037" s="15" t="str">
        <f>VLOOKUP(R2037,产品分类!$C$2:$D$1278,2,0)</f>
        <v>家具产品</v>
      </c>
    </row>
    <row r="2038" spans="1:20">
      <c r="A2038" s="8">
        <f>DATE(2012,12,31)-833</f>
        <v>40441</v>
      </c>
      <c r="B2038" s="8">
        <f>DATE(2012,12,31)-833</f>
        <v>40441</v>
      </c>
      <c r="C2038" s="9" t="s">
        <v>1867</v>
      </c>
      <c r="D2038">
        <v>10021444996</v>
      </c>
      <c r="E2038" t="s">
        <v>47</v>
      </c>
      <c r="F2038" t="s">
        <v>122</v>
      </c>
      <c r="G2038" t="s">
        <v>123</v>
      </c>
      <c r="H2038" t="s">
        <v>124</v>
      </c>
      <c r="I2038" t="s">
        <v>125</v>
      </c>
      <c r="J2038" t="s">
        <v>367</v>
      </c>
      <c r="K2038" s="3">
        <v>100110581096</v>
      </c>
      <c r="L2038" s="10">
        <v>40443</v>
      </c>
      <c r="M2038">
        <v>208.78</v>
      </c>
      <c r="N2038" s="11">
        <v>42</v>
      </c>
      <c r="O2038" s="12">
        <v>5.08</v>
      </c>
      <c r="P2038" s="12">
        <v>2.03</v>
      </c>
      <c r="Q2038" s="13">
        <v>24.87</v>
      </c>
      <c r="R2038" s="36" t="s">
        <v>1179</v>
      </c>
      <c r="S2038" s="7">
        <f t="shared" si="171"/>
        <v>2</v>
      </c>
      <c r="T2038" s="15" t="str">
        <f>VLOOKUP(R2038,产品分类!$C$2:$D$1278,2,0)</f>
        <v>办公用品</v>
      </c>
    </row>
    <row r="2039" spans="1:20">
      <c r="A2039" s="8">
        <f t="shared" ref="A2039:B2041" si="176">DATE(2012,12,31)-1365</f>
        <v>39909</v>
      </c>
      <c r="B2039" s="8">
        <f t="shared" si="176"/>
        <v>39909</v>
      </c>
      <c r="C2039" s="9" t="s">
        <v>1868</v>
      </c>
      <c r="D2039">
        <v>10021259300</v>
      </c>
      <c r="E2039" t="s">
        <v>47</v>
      </c>
      <c r="F2039" t="s">
        <v>55</v>
      </c>
      <c r="G2039" t="s">
        <v>56</v>
      </c>
      <c r="H2039" t="s">
        <v>1869</v>
      </c>
      <c r="I2039" t="s">
        <v>1870</v>
      </c>
      <c r="J2039" t="s">
        <v>367</v>
      </c>
      <c r="K2039" s="3">
        <v>100727508765</v>
      </c>
      <c r="L2039" s="10">
        <v>39911</v>
      </c>
      <c r="M2039">
        <v>1556.61</v>
      </c>
      <c r="N2039" s="11">
        <v>17</v>
      </c>
      <c r="O2039" s="12">
        <v>89.83</v>
      </c>
      <c r="P2039" s="12">
        <v>35</v>
      </c>
      <c r="Q2039" s="13">
        <v>-485.55</v>
      </c>
      <c r="R2039" s="36" t="s">
        <v>1871</v>
      </c>
      <c r="S2039" s="7">
        <f t="shared" si="171"/>
        <v>2</v>
      </c>
      <c r="T2039" s="15" t="str">
        <f>VLOOKUP(R2039,产品分类!$C$2:$D$1278,2,0)</f>
        <v>办公用品</v>
      </c>
    </row>
    <row r="2040" spans="1:20">
      <c r="A2040" s="8">
        <f t="shared" si="176"/>
        <v>39909</v>
      </c>
      <c r="B2040" s="8">
        <f t="shared" si="176"/>
        <v>39909</v>
      </c>
      <c r="C2040" s="9" t="s">
        <v>1868</v>
      </c>
      <c r="D2040">
        <v>10021430740</v>
      </c>
      <c r="E2040" t="s">
        <v>47</v>
      </c>
      <c r="F2040" t="s">
        <v>91</v>
      </c>
      <c r="G2040" t="s">
        <v>92</v>
      </c>
      <c r="H2040" t="s">
        <v>1412</v>
      </c>
      <c r="I2040" t="s">
        <v>1413</v>
      </c>
      <c r="J2040" t="s">
        <v>367</v>
      </c>
      <c r="K2040" s="3">
        <v>100831946322</v>
      </c>
      <c r="L2040" s="10">
        <v>39911</v>
      </c>
      <c r="M2040">
        <v>645.14</v>
      </c>
      <c r="N2040" s="11">
        <v>49</v>
      </c>
      <c r="O2040" s="12">
        <v>13.43</v>
      </c>
      <c r="P2040" s="12">
        <v>5.5</v>
      </c>
      <c r="Q2040" s="13">
        <v>-26.32</v>
      </c>
      <c r="R2040" s="36" t="s">
        <v>1162</v>
      </c>
      <c r="S2040" s="7">
        <f t="shared" si="171"/>
        <v>2</v>
      </c>
      <c r="T2040" s="15" t="str">
        <f>VLOOKUP(R2040,产品分类!$C$2:$D$1278,2,0)</f>
        <v>办公用品</v>
      </c>
    </row>
    <row r="2041" spans="1:20">
      <c r="A2041" s="8">
        <f t="shared" si="176"/>
        <v>39909</v>
      </c>
      <c r="B2041" s="8">
        <f t="shared" si="176"/>
        <v>39909</v>
      </c>
      <c r="C2041" s="9" t="s">
        <v>1868</v>
      </c>
      <c r="D2041">
        <v>10021469698</v>
      </c>
      <c r="E2041" t="s">
        <v>47</v>
      </c>
      <c r="F2041" t="s">
        <v>91</v>
      </c>
      <c r="G2041" t="s">
        <v>92</v>
      </c>
      <c r="H2041" t="s">
        <v>1412</v>
      </c>
      <c r="I2041" t="s">
        <v>1413</v>
      </c>
      <c r="J2041" t="s">
        <v>367</v>
      </c>
      <c r="K2041" s="3">
        <v>100132292787</v>
      </c>
      <c r="L2041" s="10">
        <v>39909</v>
      </c>
      <c r="M2041">
        <v>4851.5025</v>
      </c>
      <c r="N2041" s="11">
        <v>44</v>
      </c>
      <c r="O2041" s="12">
        <v>125.99</v>
      </c>
      <c r="P2041" s="12">
        <v>7.69</v>
      </c>
      <c r="Q2041" s="13">
        <v>1371.672</v>
      </c>
      <c r="R2041" s="36" t="s">
        <v>903</v>
      </c>
      <c r="S2041" s="7">
        <f t="shared" si="171"/>
        <v>0</v>
      </c>
      <c r="T2041" s="15" t="str">
        <f>VLOOKUP(R2041,产品分类!$C$2:$D$1278,2,0)</f>
        <v>家具产品</v>
      </c>
    </row>
    <row r="2042" spans="1:20">
      <c r="A2042" s="8">
        <f>DATE(2012,12,31)-897</f>
        <v>40377</v>
      </c>
      <c r="B2042" s="8">
        <f>DATE(2012,12,31)-897</f>
        <v>40377</v>
      </c>
      <c r="C2042" s="9" t="s">
        <v>268</v>
      </c>
      <c r="D2042">
        <v>10021332309</v>
      </c>
      <c r="E2042" t="s">
        <v>47</v>
      </c>
      <c r="F2042" t="s">
        <v>253</v>
      </c>
      <c r="G2042" t="s">
        <v>254</v>
      </c>
      <c r="H2042" t="s">
        <v>255</v>
      </c>
      <c r="I2042" t="s">
        <v>256</v>
      </c>
      <c r="J2042" t="s">
        <v>367</v>
      </c>
      <c r="K2042" s="3">
        <v>10015453986</v>
      </c>
      <c r="L2042" s="10">
        <v>40377</v>
      </c>
      <c r="M2042">
        <v>745.99</v>
      </c>
      <c r="N2042" s="11">
        <v>46</v>
      </c>
      <c r="O2042" s="12">
        <v>15.98</v>
      </c>
      <c r="P2042" s="12">
        <v>4</v>
      </c>
      <c r="Q2042" s="13">
        <v>226.09</v>
      </c>
      <c r="R2042" s="36" t="s">
        <v>371</v>
      </c>
      <c r="S2042" s="7">
        <f t="shared" si="171"/>
        <v>0</v>
      </c>
      <c r="T2042" s="15" t="str">
        <f>VLOOKUP(R2042,产品分类!$C$2:$D$1278,2,0)</f>
        <v>办公用品</v>
      </c>
    </row>
    <row r="2043" spans="1:20">
      <c r="A2043" s="8">
        <f>DATE(2012,12,31)-822</f>
        <v>40452</v>
      </c>
      <c r="B2043" s="8">
        <f>DATE(2012,12,31)-822</f>
        <v>40452</v>
      </c>
      <c r="C2043" s="9" t="s">
        <v>1372</v>
      </c>
      <c r="D2043">
        <v>10021251582</v>
      </c>
      <c r="E2043" t="s">
        <v>47</v>
      </c>
      <c r="F2043" t="s">
        <v>91</v>
      </c>
      <c r="G2043" t="s">
        <v>92</v>
      </c>
      <c r="H2043" t="s">
        <v>1412</v>
      </c>
      <c r="I2043" t="s">
        <v>1413</v>
      </c>
      <c r="J2043" t="s">
        <v>367</v>
      </c>
      <c r="K2043" s="3">
        <v>100710981335</v>
      </c>
      <c r="L2043" s="10">
        <v>40453</v>
      </c>
      <c r="M2043">
        <v>245.96</v>
      </c>
      <c r="N2043" s="11">
        <v>22</v>
      </c>
      <c r="O2043" s="12">
        <v>11.29</v>
      </c>
      <c r="P2043" s="12">
        <v>5.03</v>
      </c>
      <c r="Q2043" s="13">
        <v>-33.82</v>
      </c>
      <c r="R2043" s="36" t="s">
        <v>1138</v>
      </c>
      <c r="S2043" s="7">
        <f t="shared" si="171"/>
        <v>1</v>
      </c>
      <c r="T2043" s="15" t="str">
        <f>VLOOKUP(R2043,产品分类!$C$2:$D$1278,2,0)</f>
        <v>办公用品</v>
      </c>
    </row>
    <row r="2044" spans="1:20">
      <c r="A2044" s="8">
        <f>DATE(2012,12,31)-395</f>
        <v>40879</v>
      </c>
      <c r="B2044" s="8">
        <f>DATE(2012,12,31)-395</f>
        <v>40879</v>
      </c>
      <c r="C2044" s="9" t="s">
        <v>558</v>
      </c>
      <c r="D2044">
        <v>10021371404</v>
      </c>
      <c r="E2044" t="s">
        <v>47</v>
      </c>
      <c r="F2044" t="s">
        <v>83</v>
      </c>
      <c r="G2044" t="s">
        <v>84</v>
      </c>
      <c r="H2044" t="s">
        <v>1259</v>
      </c>
      <c r="I2044" t="s">
        <v>1260</v>
      </c>
      <c r="J2044" t="s">
        <v>367</v>
      </c>
      <c r="K2044" s="3">
        <v>100432012543</v>
      </c>
      <c r="L2044" s="10">
        <v>40880</v>
      </c>
      <c r="M2044">
        <v>953.0455</v>
      </c>
      <c r="N2044" s="11">
        <v>31</v>
      </c>
      <c r="O2044" s="12">
        <v>35.99</v>
      </c>
      <c r="P2044" s="12">
        <v>5.99</v>
      </c>
      <c r="Q2044" s="13">
        <v>298.467</v>
      </c>
      <c r="R2044" s="36" t="s">
        <v>1664</v>
      </c>
      <c r="S2044" s="7">
        <f t="shared" si="171"/>
        <v>1</v>
      </c>
      <c r="T2044" s="15" t="str">
        <f>VLOOKUP(R2044,产品分类!$C$2:$D$1278,2,0)</f>
        <v>数码电子</v>
      </c>
    </row>
    <row r="2045" spans="1:20">
      <c r="A2045" s="8">
        <f>DATE(2012,12,31)-1451</f>
        <v>39823</v>
      </c>
      <c r="B2045" s="8">
        <f>DATE(2012,12,31)-1451</f>
        <v>39823</v>
      </c>
      <c r="C2045" s="9" t="s">
        <v>1598</v>
      </c>
      <c r="D2045">
        <v>10021460644</v>
      </c>
      <c r="E2045" t="s">
        <v>47</v>
      </c>
      <c r="F2045" t="s">
        <v>55</v>
      </c>
      <c r="G2045" t="s">
        <v>56</v>
      </c>
      <c r="H2045" t="s">
        <v>1869</v>
      </c>
      <c r="I2045" t="s">
        <v>1870</v>
      </c>
      <c r="J2045" t="s">
        <v>367</v>
      </c>
      <c r="K2045" s="3">
        <v>100110473357</v>
      </c>
      <c r="L2045" s="10">
        <v>39825</v>
      </c>
      <c r="M2045">
        <v>199.12</v>
      </c>
      <c r="N2045" s="11">
        <v>24</v>
      </c>
      <c r="O2045" s="12">
        <v>8.34</v>
      </c>
      <c r="P2045" s="12">
        <v>0.96</v>
      </c>
      <c r="Q2045" s="13">
        <v>73.33</v>
      </c>
      <c r="R2045" s="36" t="s">
        <v>935</v>
      </c>
      <c r="S2045" s="7">
        <f t="shared" si="171"/>
        <v>2</v>
      </c>
      <c r="T2045" s="15" t="str">
        <f>VLOOKUP(R2045,产品分类!$C$2:$D$1278,2,0)</f>
        <v>办公用品</v>
      </c>
    </row>
    <row r="2046" spans="1:20">
      <c r="A2046" s="8">
        <f>DATE(2012,12,31)-1451</f>
        <v>39823</v>
      </c>
      <c r="B2046" s="8">
        <f>DATE(2012,12,31)-1451</f>
        <v>39823</v>
      </c>
      <c r="C2046" s="9" t="s">
        <v>1598</v>
      </c>
      <c r="D2046">
        <v>10021496173</v>
      </c>
      <c r="E2046" t="s">
        <v>47</v>
      </c>
      <c r="F2046" t="s">
        <v>122</v>
      </c>
      <c r="G2046" t="s">
        <v>123</v>
      </c>
      <c r="H2046" t="s">
        <v>124</v>
      </c>
      <c r="I2046" t="s">
        <v>125</v>
      </c>
      <c r="J2046" t="s">
        <v>367</v>
      </c>
      <c r="K2046" s="3">
        <v>10012533917</v>
      </c>
      <c r="L2046" s="10">
        <v>39824</v>
      </c>
      <c r="M2046">
        <v>63.14</v>
      </c>
      <c r="N2046" s="11">
        <v>19</v>
      </c>
      <c r="O2046" s="12">
        <v>3.28</v>
      </c>
      <c r="P2046" s="12">
        <v>3.97</v>
      </c>
      <c r="Q2046" s="13">
        <v>-53.75</v>
      </c>
      <c r="R2046" s="36" t="s">
        <v>1396</v>
      </c>
      <c r="S2046" s="7">
        <f t="shared" si="171"/>
        <v>1</v>
      </c>
      <c r="T2046" s="15" t="str">
        <f>VLOOKUP(R2046,产品分类!$C$2:$D$1278,2,0)</f>
        <v>家具产品</v>
      </c>
    </row>
    <row r="2047" spans="1:20">
      <c r="A2047" s="8">
        <f>DATE(2012,12,31)-854</f>
        <v>40420</v>
      </c>
      <c r="B2047" s="8">
        <f>DATE(2012,12,31)-854</f>
        <v>40420</v>
      </c>
      <c r="C2047" s="9" t="s">
        <v>1074</v>
      </c>
      <c r="D2047">
        <v>10021414434</v>
      </c>
      <c r="E2047" t="s">
        <v>47</v>
      </c>
      <c r="F2047" t="s">
        <v>91</v>
      </c>
      <c r="G2047" t="s">
        <v>92</v>
      </c>
      <c r="H2047" t="s">
        <v>1412</v>
      </c>
      <c r="I2047" t="s">
        <v>1413</v>
      </c>
      <c r="J2047" t="s">
        <v>367</v>
      </c>
      <c r="K2047" s="3">
        <v>10089561612</v>
      </c>
      <c r="L2047" s="10">
        <v>40421</v>
      </c>
      <c r="M2047">
        <v>320.42</v>
      </c>
      <c r="N2047" s="11">
        <v>41</v>
      </c>
      <c r="O2047" s="12">
        <v>7.68</v>
      </c>
      <c r="P2047" s="12">
        <v>6.16</v>
      </c>
      <c r="Q2047" s="13">
        <v>-66.3665</v>
      </c>
      <c r="R2047" s="36" t="s">
        <v>1262</v>
      </c>
      <c r="S2047" s="7">
        <f t="shared" si="171"/>
        <v>1</v>
      </c>
      <c r="T2047" s="15" t="str">
        <f>VLOOKUP(R2047,产品分类!$C$2:$D$1278,2,0)</f>
        <v>办公用品</v>
      </c>
    </row>
    <row r="2048" spans="1:20">
      <c r="A2048" s="8">
        <f>DATE(2012,12,31)-854</f>
        <v>40420</v>
      </c>
      <c r="B2048" s="8">
        <f>DATE(2012,12,31)-854</f>
        <v>40420</v>
      </c>
      <c r="C2048" s="9" t="s">
        <v>1074</v>
      </c>
      <c r="D2048">
        <v>10021254856</v>
      </c>
      <c r="E2048" t="s">
        <v>47</v>
      </c>
      <c r="F2048" t="s">
        <v>97</v>
      </c>
      <c r="G2048" t="s">
        <v>98</v>
      </c>
      <c r="H2048" t="s">
        <v>99</v>
      </c>
      <c r="I2048" t="s">
        <v>98</v>
      </c>
      <c r="J2048" t="s">
        <v>367</v>
      </c>
      <c r="K2048" s="3">
        <v>100423107214</v>
      </c>
      <c r="L2048" s="10">
        <v>40421</v>
      </c>
      <c r="M2048">
        <v>266.64</v>
      </c>
      <c r="N2048" s="11">
        <v>35</v>
      </c>
      <c r="O2048" s="12">
        <v>7.96</v>
      </c>
      <c r="P2048" s="12">
        <v>4.95</v>
      </c>
      <c r="Q2048" s="13">
        <v>-36.76</v>
      </c>
      <c r="R2048" s="36" t="s">
        <v>1167</v>
      </c>
      <c r="S2048" s="7">
        <f t="shared" si="171"/>
        <v>1</v>
      </c>
      <c r="T2048" s="15" t="str">
        <f>VLOOKUP(R2048,产品分类!$C$2:$D$1278,2,0)</f>
        <v>家具产品</v>
      </c>
    </row>
    <row r="2049" spans="1:20">
      <c r="A2049" s="8">
        <f>DATE(2012,12,31)-1426</f>
        <v>39848</v>
      </c>
      <c r="B2049" s="8">
        <f>DATE(2012,12,31)-1426</f>
        <v>39848</v>
      </c>
      <c r="C2049" s="9" t="s">
        <v>197</v>
      </c>
      <c r="D2049">
        <v>10021258588</v>
      </c>
      <c r="E2049" t="s">
        <v>47</v>
      </c>
      <c r="F2049" t="s">
        <v>132</v>
      </c>
      <c r="G2049" t="s">
        <v>133</v>
      </c>
      <c r="H2049" t="s">
        <v>134</v>
      </c>
      <c r="I2049" t="s">
        <v>133</v>
      </c>
      <c r="J2049" t="s">
        <v>367</v>
      </c>
      <c r="K2049" s="3">
        <v>100427008373</v>
      </c>
      <c r="L2049" s="10">
        <v>39849</v>
      </c>
      <c r="M2049">
        <v>671.03</v>
      </c>
      <c r="N2049" s="11">
        <v>47</v>
      </c>
      <c r="O2049" s="12">
        <v>14.48</v>
      </c>
      <c r="P2049" s="12">
        <v>6.46</v>
      </c>
      <c r="Q2049" s="13">
        <v>67.864</v>
      </c>
      <c r="R2049" s="36" t="s">
        <v>684</v>
      </c>
      <c r="S2049" s="7">
        <f t="shared" si="171"/>
        <v>1</v>
      </c>
      <c r="T2049" s="15" t="str">
        <f>VLOOKUP(R2049,产品分类!$C$2:$D$1278,2,0)</f>
        <v>办公用品</v>
      </c>
    </row>
    <row r="2050" spans="1:20">
      <c r="A2050" s="8">
        <f>DATE(2012,12,31)-76</f>
        <v>41198</v>
      </c>
      <c r="B2050" s="8">
        <f>DATE(2012,12,31)-76</f>
        <v>41198</v>
      </c>
      <c r="C2050" s="9" t="s">
        <v>937</v>
      </c>
      <c r="D2050">
        <v>10021293916</v>
      </c>
      <c r="E2050" t="s">
        <v>47</v>
      </c>
      <c r="F2050" t="s">
        <v>132</v>
      </c>
      <c r="G2050" t="s">
        <v>133</v>
      </c>
      <c r="H2050" t="s">
        <v>134</v>
      </c>
      <c r="I2050" t="s">
        <v>133</v>
      </c>
      <c r="J2050" t="s">
        <v>367</v>
      </c>
      <c r="K2050" s="3">
        <v>100110151336</v>
      </c>
      <c r="L2050" s="10">
        <v>41198</v>
      </c>
      <c r="M2050">
        <v>363.54</v>
      </c>
      <c r="N2050" s="11">
        <v>17</v>
      </c>
      <c r="O2050" s="12">
        <v>22.01</v>
      </c>
      <c r="P2050" s="12">
        <v>5.53</v>
      </c>
      <c r="Q2050" s="13">
        <v>4.75</v>
      </c>
      <c r="R2050" s="36" t="s">
        <v>747</v>
      </c>
      <c r="S2050" s="7">
        <f t="shared" si="171"/>
        <v>0</v>
      </c>
      <c r="T2050" s="15" t="str">
        <f>VLOOKUP(R2050,产品分类!$C$2:$D$1278,2,0)</f>
        <v>数码电子</v>
      </c>
    </row>
    <row r="2051" spans="1:20">
      <c r="A2051" s="8">
        <f>DATE(2012,12,31)-1072</f>
        <v>40202</v>
      </c>
      <c r="B2051" s="8">
        <f>DATE(2012,12,31)-1072</f>
        <v>40202</v>
      </c>
      <c r="C2051" s="9" t="s">
        <v>1074</v>
      </c>
      <c r="D2051">
        <v>10021342907</v>
      </c>
      <c r="E2051" t="s">
        <v>47</v>
      </c>
      <c r="F2051" t="s">
        <v>132</v>
      </c>
      <c r="G2051" t="s">
        <v>133</v>
      </c>
      <c r="H2051" t="s">
        <v>134</v>
      </c>
      <c r="I2051" t="s">
        <v>133</v>
      </c>
      <c r="J2051" t="s">
        <v>367</v>
      </c>
      <c r="K2051" s="3">
        <v>100928542081</v>
      </c>
      <c r="L2051" s="10">
        <v>40203</v>
      </c>
      <c r="M2051">
        <v>1325.06</v>
      </c>
      <c r="N2051" s="11">
        <v>38</v>
      </c>
      <c r="O2051" s="12">
        <v>35.77</v>
      </c>
      <c r="P2051" s="12">
        <v>9.02</v>
      </c>
      <c r="Q2051" s="13">
        <v>-180.23</v>
      </c>
      <c r="R2051" s="36" t="s">
        <v>1872</v>
      </c>
      <c r="S2051" s="7">
        <f t="shared" ref="S2051:S2114" si="177">+L2051-B2051</f>
        <v>1</v>
      </c>
      <c r="T2051" s="15" t="str">
        <f>VLOOKUP(R2051,产品分类!$C$2:$D$1278,2,0)</f>
        <v>办公用品</v>
      </c>
    </row>
    <row r="2052" spans="1:20">
      <c r="A2052" s="8">
        <f t="shared" ref="A2052:B2054" si="178">DATE(2012,12,31)-411</f>
        <v>40863</v>
      </c>
      <c r="B2052" s="8">
        <f t="shared" si="178"/>
        <v>40863</v>
      </c>
      <c r="C2052" s="9" t="s">
        <v>433</v>
      </c>
      <c r="D2052">
        <v>10021336182</v>
      </c>
      <c r="E2052" t="s">
        <v>47</v>
      </c>
      <c r="F2052" t="s">
        <v>137</v>
      </c>
      <c r="G2052" t="s">
        <v>138</v>
      </c>
      <c r="H2052" t="s">
        <v>139</v>
      </c>
      <c r="I2052" t="s">
        <v>140</v>
      </c>
      <c r="J2052" t="s">
        <v>367</v>
      </c>
      <c r="K2052" s="3">
        <v>100115722698</v>
      </c>
      <c r="L2052" s="10">
        <v>40864</v>
      </c>
      <c r="M2052">
        <v>257.75</v>
      </c>
      <c r="N2052" s="11">
        <v>48</v>
      </c>
      <c r="O2052" s="12">
        <v>4.98</v>
      </c>
      <c r="P2052" s="12">
        <v>4.75</v>
      </c>
      <c r="Q2052" s="13">
        <v>-66.26</v>
      </c>
      <c r="R2052" s="36" t="s">
        <v>563</v>
      </c>
      <c r="S2052" s="7">
        <f t="shared" si="177"/>
        <v>1</v>
      </c>
      <c r="T2052" s="15" t="str">
        <f>VLOOKUP(R2052,产品分类!$C$2:$D$1278,2,0)</f>
        <v>家具产品</v>
      </c>
    </row>
    <row r="2053" spans="1:20">
      <c r="A2053" s="16">
        <f t="shared" si="178"/>
        <v>40863</v>
      </c>
      <c r="B2053" s="16">
        <f t="shared" si="178"/>
        <v>40863</v>
      </c>
      <c r="C2053" s="9" t="s">
        <v>433</v>
      </c>
      <c r="D2053">
        <v>10021336549</v>
      </c>
      <c r="E2053" t="s">
        <v>47</v>
      </c>
      <c r="F2053" t="s">
        <v>208</v>
      </c>
      <c r="G2053" t="s">
        <v>209</v>
      </c>
      <c r="H2053" t="s">
        <v>1492</v>
      </c>
      <c r="I2053" t="s">
        <v>1493</v>
      </c>
      <c r="J2053" t="s">
        <v>367</v>
      </c>
      <c r="K2053" s="3">
        <v>100819420022</v>
      </c>
      <c r="L2053" s="10">
        <v>40864</v>
      </c>
      <c r="M2053">
        <v>39.69</v>
      </c>
      <c r="N2053" s="17">
        <v>24</v>
      </c>
      <c r="O2053" s="5">
        <v>1.68</v>
      </c>
      <c r="P2053" s="5">
        <v>1</v>
      </c>
      <c r="Q2053" s="6">
        <v>-1.78</v>
      </c>
      <c r="R2053" s="37" t="s">
        <v>1873</v>
      </c>
      <c r="S2053" s="7">
        <f t="shared" si="177"/>
        <v>1</v>
      </c>
      <c r="T2053" s="15" t="str">
        <f>VLOOKUP(R2053,产品分类!$C$2:$D$1278,2,0)</f>
        <v>数码电子</v>
      </c>
    </row>
    <row r="2054" spans="1:20">
      <c r="A2054" s="8">
        <f t="shared" si="178"/>
        <v>40863</v>
      </c>
      <c r="B2054" s="8">
        <f t="shared" si="178"/>
        <v>40863</v>
      </c>
      <c r="C2054" s="9" t="s">
        <v>433</v>
      </c>
      <c r="D2054">
        <v>10021256202</v>
      </c>
      <c r="E2054" t="s">
        <v>47</v>
      </c>
      <c r="F2054" t="s">
        <v>603</v>
      </c>
      <c r="G2054" t="s">
        <v>604</v>
      </c>
      <c r="H2054" t="s">
        <v>605</v>
      </c>
      <c r="I2054" t="s">
        <v>606</v>
      </c>
      <c r="J2054" t="s">
        <v>367</v>
      </c>
      <c r="K2054" s="3">
        <v>100116843206</v>
      </c>
      <c r="L2054" s="10">
        <v>40864</v>
      </c>
      <c r="M2054">
        <v>5139.882</v>
      </c>
      <c r="N2054" s="11">
        <v>48</v>
      </c>
      <c r="O2054" s="12">
        <v>125.99</v>
      </c>
      <c r="P2054" s="12">
        <v>8.99</v>
      </c>
      <c r="Q2054" s="13">
        <v>1275.669</v>
      </c>
      <c r="R2054" s="36" t="s">
        <v>1637</v>
      </c>
      <c r="S2054" s="7">
        <f t="shared" si="177"/>
        <v>1</v>
      </c>
      <c r="T2054" s="15" t="str">
        <f>VLOOKUP(R2054,产品分类!$C$2:$D$1278,2,0)</f>
        <v>数码电子</v>
      </c>
    </row>
    <row r="2055" spans="1:20">
      <c r="A2055" s="8">
        <f>DATE(2012,12,31)-722</f>
        <v>40552</v>
      </c>
      <c r="B2055" s="8">
        <f>DATE(2012,12,31)-722</f>
        <v>40552</v>
      </c>
      <c r="C2055" s="9" t="s">
        <v>1598</v>
      </c>
      <c r="D2055">
        <v>10021503112</v>
      </c>
      <c r="E2055" t="s">
        <v>47</v>
      </c>
      <c r="F2055" t="s">
        <v>102</v>
      </c>
      <c r="G2055" t="s">
        <v>103</v>
      </c>
      <c r="H2055" t="s">
        <v>1217</v>
      </c>
      <c r="I2055" t="s">
        <v>1218</v>
      </c>
      <c r="J2055" t="s">
        <v>367</v>
      </c>
      <c r="K2055" s="3">
        <v>100129368408</v>
      </c>
      <c r="L2055" s="10">
        <v>40554</v>
      </c>
      <c r="M2055">
        <v>268.94</v>
      </c>
      <c r="N2055" s="11">
        <v>39</v>
      </c>
      <c r="O2055" s="12">
        <v>6.48</v>
      </c>
      <c r="P2055" s="12">
        <v>6.41</v>
      </c>
      <c r="Q2055" s="13">
        <v>-87.52</v>
      </c>
      <c r="R2055" s="36" t="s">
        <v>1874</v>
      </c>
      <c r="S2055" s="7">
        <f t="shared" si="177"/>
        <v>2</v>
      </c>
      <c r="T2055" s="15" t="str">
        <f>VLOOKUP(R2055,产品分类!$C$2:$D$1278,2,0)</f>
        <v>办公用品</v>
      </c>
    </row>
    <row r="2056" spans="1:20">
      <c r="A2056" s="8">
        <f>DATE(2012,12,31)-722</f>
        <v>40552</v>
      </c>
      <c r="B2056" s="8">
        <f>DATE(2012,12,31)-722</f>
        <v>40552</v>
      </c>
      <c r="C2056" s="9" t="s">
        <v>1598</v>
      </c>
      <c r="D2056">
        <v>10021251839</v>
      </c>
      <c r="E2056" t="s">
        <v>47</v>
      </c>
      <c r="F2056" t="s">
        <v>102</v>
      </c>
      <c r="G2056" t="s">
        <v>103</v>
      </c>
      <c r="H2056" t="s">
        <v>1217</v>
      </c>
      <c r="I2056" t="s">
        <v>1218</v>
      </c>
      <c r="J2056" t="s">
        <v>367</v>
      </c>
      <c r="K2056" s="3">
        <v>100914842551</v>
      </c>
      <c r="L2056" s="10">
        <v>40554</v>
      </c>
      <c r="M2056">
        <v>847.82</v>
      </c>
      <c r="N2056" s="11">
        <v>38</v>
      </c>
      <c r="O2056" s="12">
        <v>20.98</v>
      </c>
      <c r="P2056" s="12">
        <v>45</v>
      </c>
      <c r="Q2056" s="13">
        <v>-1348.5</v>
      </c>
      <c r="R2056" s="36" t="s">
        <v>944</v>
      </c>
      <c r="S2056" s="7">
        <f t="shared" si="177"/>
        <v>2</v>
      </c>
      <c r="T2056" s="15" t="str">
        <f>VLOOKUP(R2056,产品分类!$C$2:$D$1278,2,0)</f>
        <v>数码电子</v>
      </c>
    </row>
    <row r="2057" spans="1:20">
      <c r="A2057" s="8">
        <f>DATE(2012,12,31)-117</f>
        <v>41157</v>
      </c>
      <c r="B2057" s="8">
        <f>DATE(2012,12,31)-117</f>
        <v>41157</v>
      </c>
      <c r="C2057" s="9" t="s">
        <v>411</v>
      </c>
      <c r="D2057">
        <v>10021258858</v>
      </c>
      <c r="E2057" t="s">
        <v>47</v>
      </c>
      <c r="F2057" t="s">
        <v>304</v>
      </c>
      <c r="G2057" t="s">
        <v>305</v>
      </c>
      <c r="H2057" t="s">
        <v>1550</v>
      </c>
      <c r="I2057" t="s">
        <v>1551</v>
      </c>
      <c r="J2057" t="s">
        <v>367</v>
      </c>
      <c r="K2057" s="3">
        <v>100327428629</v>
      </c>
      <c r="L2057" s="10">
        <v>41158</v>
      </c>
      <c r="M2057">
        <v>1992.45</v>
      </c>
      <c r="N2057" s="11">
        <v>40</v>
      </c>
      <c r="O2057" s="12">
        <v>48.58</v>
      </c>
      <c r="P2057" s="12">
        <v>54.11</v>
      </c>
      <c r="Q2057" s="13">
        <v>-1609.92</v>
      </c>
      <c r="R2057" s="36" t="s">
        <v>234</v>
      </c>
      <c r="S2057" s="7">
        <f t="shared" si="177"/>
        <v>1</v>
      </c>
      <c r="T2057" s="15" t="str">
        <f>VLOOKUP(R2057,产品分类!$C$2:$D$1278,2,0)</f>
        <v>家具产品</v>
      </c>
    </row>
    <row r="2058" spans="1:20">
      <c r="A2058" s="8">
        <f>DATE(2012,12,31)-358</f>
        <v>40916</v>
      </c>
      <c r="B2058" s="8">
        <f>DATE(2012,12,31)-358</f>
        <v>40916</v>
      </c>
      <c r="C2058" s="9" t="s">
        <v>1276</v>
      </c>
      <c r="D2058">
        <v>10021336632</v>
      </c>
      <c r="E2058" t="s">
        <v>47</v>
      </c>
      <c r="F2058" t="s">
        <v>527</v>
      </c>
      <c r="G2058" t="s">
        <v>528</v>
      </c>
      <c r="H2058" t="s">
        <v>1676</v>
      </c>
      <c r="I2058" t="s">
        <v>1677</v>
      </c>
      <c r="J2058" t="s">
        <v>367</v>
      </c>
      <c r="K2058" s="3">
        <v>100119539247</v>
      </c>
      <c r="L2058" s="10">
        <v>40916</v>
      </c>
      <c r="M2058">
        <v>310.87</v>
      </c>
      <c r="N2058" s="11">
        <v>15</v>
      </c>
      <c r="O2058" s="12">
        <v>20.95</v>
      </c>
      <c r="P2058" s="12">
        <v>4</v>
      </c>
      <c r="Q2058" s="13">
        <v>-21.48</v>
      </c>
      <c r="R2058" s="36" t="s">
        <v>1324</v>
      </c>
      <c r="S2058" s="7">
        <f t="shared" si="177"/>
        <v>0</v>
      </c>
      <c r="T2058" s="15" t="str">
        <f>VLOOKUP(R2058,产品分类!$C$2:$D$1278,2,0)</f>
        <v>家具产品</v>
      </c>
    </row>
    <row r="2059" spans="1:20">
      <c r="A2059" s="8">
        <f>DATE(2012,12,31)-165</f>
        <v>41109</v>
      </c>
      <c r="B2059" s="8">
        <f>DATE(2012,12,31)-165</f>
        <v>41109</v>
      </c>
      <c r="C2059" s="9" t="s">
        <v>1846</v>
      </c>
      <c r="D2059">
        <v>10021508632</v>
      </c>
      <c r="E2059" t="s">
        <v>47</v>
      </c>
      <c r="F2059" t="s">
        <v>171</v>
      </c>
      <c r="G2059" t="s">
        <v>172</v>
      </c>
      <c r="H2059" t="s">
        <v>1712</v>
      </c>
      <c r="I2059" t="s">
        <v>1713</v>
      </c>
      <c r="J2059" t="s">
        <v>367</v>
      </c>
      <c r="K2059" s="3">
        <v>100432305124</v>
      </c>
      <c r="L2059" s="10">
        <v>41112</v>
      </c>
      <c r="M2059">
        <v>8532.152</v>
      </c>
      <c r="N2059" s="11">
        <v>50</v>
      </c>
      <c r="O2059" s="12">
        <v>212.6</v>
      </c>
      <c r="P2059" s="12">
        <v>52.2</v>
      </c>
      <c r="Q2059" s="13">
        <v>-513.79042</v>
      </c>
      <c r="R2059" s="36" t="s">
        <v>652</v>
      </c>
      <c r="S2059" s="7">
        <f t="shared" si="177"/>
        <v>3</v>
      </c>
      <c r="T2059" s="15" t="str">
        <f>VLOOKUP(R2059,产品分类!$C$2:$D$1278,2,0)</f>
        <v>办公用品</v>
      </c>
    </row>
    <row r="2060" spans="1:20">
      <c r="A2060" s="8">
        <f>DATE(2012,12,31)-165</f>
        <v>41109</v>
      </c>
      <c r="B2060" s="8">
        <f>DATE(2012,12,31)-165</f>
        <v>41109</v>
      </c>
      <c r="C2060" s="9" t="s">
        <v>1846</v>
      </c>
      <c r="D2060">
        <v>10021421133</v>
      </c>
      <c r="E2060" t="s">
        <v>47</v>
      </c>
      <c r="F2060" t="s">
        <v>177</v>
      </c>
      <c r="G2060" t="s">
        <v>178</v>
      </c>
      <c r="H2060" t="s">
        <v>1292</v>
      </c>
      <c r="I2060" t="s">
        <v>1293</v>
      </c>
      <c r="J2060" t="s">
        <v>367</v>
      </c>
      <c r="K2060" s="3">
        <v>100325686049</v>
      </c>
      <c r="L2060" s="10">
        <v>41110</v>
      </c>
      <c r="M2060">
        <v>2269.41</v>
      </c>
      <c r="N2060" s="11">
        <v>33</v>
      </c>
      <c r="O2060" s="12">
        <v>70.97</v>
      </c>
      <c r="P2060" s="12">
        <v>3.5</v>
      </c>
      <c r="Q2060" s="13">
        <v>630.18</v>
      </c>
      <c r="R2060" s="36" t="s">
        <v>365</v>
      </c>
      <c r="S2060" s="7">
        <f t="shared" si="177"/>
        <v>1</v>
      </c>
      <c r="T2060" s="15" t="str">
        <f>VLOOKUP(R2060,产品分类!$C$2:$D$1278,2,0)</f>
        <v>数码电子</v>
      </c>
    </row>
    <row r="2061" spans="1:20">
      <c r="A2061" s="16">
        <f>DATE(2012,12,31)-1091</f>
        <v>40183</v>
      </c>
      <c r="B2061" s="16">
        <f>DATE(2012,12,31)-1091</f>
        <v>40183</v>
      </c>
      <c r="C2061" s="9" t="s">
        <v>853</v>
      </c>
      <c r="D2061">
        <v>10021344712</v>
      </c>
      <c r="E2061" t="s">
        <v>47</v>
      </c>
      <c r="F2061" t="s">
        <v>171</v>
      </c>
      <c r="G2061" t="s">
        <v>172</v>
      </c>
      <c r="H2061" t="s">
        <v>1712</v>
      </c>
      <c r="I2061" t="s">
        <v>1713</v>
      </c>
      <c r="J2061" t="s">
        <v>367</v>
      </c>
      <c r="K2061" s="3">
        <v>100729806195</v>
      </c>
      <c r="L2061" s="10">
        <v>40183</v>
      </c>
      <c r="M2061">
        <v>111.48</v>
      </c>
      <c r="N2061" s="17">
        <v>31</v>
      </c>
      <c r="O2061" s="5">
        <v>3.85</v>
      </c>
      <c r="P2061" s="5">
        <v>0.7</v>
      </c>
      <c r="Q2061" s="6">
        <v>29.57</v>
      </c>
      <c r="R2061" s="37" t="s">
        <v>242</v>
      </c>
      <c r="S2061" s="7">
        <f t="shared" si="177"/>
        <v>0</v>
      </c>
      <c r="T2061" s="15" t="str">
        <f>VLOOKUP(R2061,产品分类!$C$2:$D$1278,2,0)</f>
        <v>办公用品</v>
      </c>
    </row>
    <row r="2062" spans="1:20">
      <c r="A2062" s="8">
        <f>DATE(2012,12,31)-1091</f>
        <v>40183</v>
      </c>
      <c r="B2062" s="8">
        <f>DATE(2012,12,31)-1091</f>
        <v>40183</v>
      </c>
      <c r="C2062" s="9" t="s">
        <v>853</v>
      </c>
      <c r="D2062">
        <v>10021255861</v>
      </c>
      <c r="E2062" t="s">
        <v>47</v>
      </c>
      <c r="F2062" t="s">
        <v>171</v>
      </c>
      <c r="G2062" t="s">
        <v>172</v>
      </c>
      <c r="H2062" t="s">
        <v>1712</v>
      </c>
      <c r="I2062" t="s">
        <v>1713</v>
      </c>
      <c r="J2062" t="s">
        <v>367</v>
      </c>
      <c r="K2062" s="3">
        <v>100324616489</v>
      </c>
      <c r="L2062" s="10">
        <v>40185</v>
      </c>
      <c r="M2062">
        <v>2322.812</v>
      </c>
      <c r="N2062" s="11">
        <v>44</v>
      </c>
      <c r="O2062" s="12">
        <v>65.99</v>
      </c>
      <c r="P2062" s="12">
        <v>4.2</v>
      </c>
      <c r="Q2062" s="13">
        <v>454.383</v>
      </c>
      <c r="R2062" s="36" t="s">
        <v>1875</v>
      </c>
      <c r="S2062" s="7">
        <f t="shared" si="177"/>
        <v>2</v>
      </c>
      <c r="T2062" s="15" t="str">
        <f>VLOOKUP(R2062,产品分类!$C$2:$D$1278,2,0)</f>
        <v>家具产品</v>
      </c>
    </row>
    <row r="2063" spans="1:20">
      <c r="A2063" s="8">
        <f>DATE(2012,12,31)-1218</f>
        <v>40056</v>
      </c>
      <c r="B2063" s="8">
        <f>DATE(2012,12,31)-1218</f>
        <v>40056</v>
      </c>
      <c r="C2063" s="9" t="s">
        <v>1290</v>
      </c>
      <c r="D2063">
        <v>10021498475</v>
      </c>
      <c r="E2063" t="s">
        <v>47</v>
      </c>
      <c r="F2063" t="s">
        <v>171</v>
      </c>
      <c r="G2063" t="s">
        <v>172</v>
      </c>
      <c r="H2063" t="s">
        <v>1712</v>
      </c>
      <c r="I2063" t="s">
        <v>1713</v>
      </c>
      <c r="J2063" t="s">
        <v>367</v>
      </c>
      <c r="K2063" s="3">
        <v>100922374101</v>
      </c>
      <c r="L2063" s="10">
        <v>40056</v>
      </c>
      <c r="M2063">
        <v>42.3</v>
      </c>
      <c r="N2063" s="11">
        <v>2</v>
      </c>
      <c r="O2063" s="12">
        <v>19.23</v>
      </c>
      <c r="P2063" s="12">
        <v>6.15</v>
      </c>
      <c r="Q2063" s="13">
        <v>-25.38</v>
      </c>
      <c r="R2063" s="36" t="s">
        <v>1245</v>
      </c>
      <c r="S2063" s="7">
        <f t="shared" si="177"/>
        <v>0</v>
      </c>
      <c r="T2063" s="15" t="str">
        <f>VLOOKUP(R2063,产品分类!$C$2:$D$1278,2,0)</f>
        <v>办公用品</v>
      </c>
    </row>
    <row r="2064" spans="1:20">
      <c r="A2064" s="8">
        <f>DATE(2012,12,31)-292</f>
        <v>40982</v>
      </c>
      <c r="B2064" s="8">
        <f>DATE(2012,12,31)-292</f>
        <v>40982</v>
      </c>
      <c r="C2064" s="9" t="s">
        <v>701</v>
      </c>
      <c r="D2064">
        <v>10021267399</v>
      </c>
      <c r="E2064" t="s">
        <v>47</v>
      </c>
      <c r="F2064" t="s">
        <v>171</v>
      </c>
      <c r="G2064" t="s">
        <v>172</v>
      </c>
      <c r="H2064" t="s">
        <v>1712</v>
      </c>
      <c r="I2064" t="s">
        <v>1713</v>
      </c>
      <c r="J2064" t="s">
        <v>367</v>
      </c>
      <c r="K2064" s="3">
        <v>100332088649</v>
      </c>
      <c r="L2064" s="10">
        <v>40983</v>
      </c>
      <c r="M2064">
        <v>2009.05</v>
      </c>
      <c r="N2064" s="11">
        <v>43</v>
      </c>
      <c r="O2064" s="12">
        <v>44.43</v>
      </c>
      <c r="P2064" s="12">
        <v>46.59</v>
      </c>
      <c r="Q2064" s="13">
        <v>33.98895</v>
      </c>
      <c r="R2064" s="36" t="s">
        <v>1384</v>
      </c>
      <c r="S2064" s="7">
        <f t="shared" si="177"/>
        <v>1</v>
      </c>
      <c r="T2064" s="15" t="str">
        <f>VLOOKUP(R2064,产品分类!$C$2:$D$1278,2,0)</f>
        <v>家具产品</v>
      </c>
    </row>
    <row r="2065" spans="1:20">
      <c r="A2065" s="8">
        <f>DATE(2012,12,31)-1179</f>
        <v>40095</v>
      </c>
      <c r="B2065" s="8">
        <f>DATE(2012,12,31)-1179</f>
        <v>40095</v>
      </c>
      <c r="C2065" s="9" t="s">
        <v>446</v>
      </c>
      <c r="D2065">
        <v>10021331786</v>
      </c>
      <c r="E2065" t="s">
        <v>47</v>
      </c>
      <c r="F2065" t="s">
        <v>177</v>
      </c>
      <c r="G2065" t="s">
        <v>178</v>
      </c>
      <c r="H2065" t="s">
        <v>1292</v>
      </c>
      <c r="I2065" t="s">
        <v>1293</v>
      </c>
      <c r="J2065" t="s">
        <v>367</v>
      </c>
      <c r="K2065" s="3">
        <v>10048879594</v>
      </c>
      <c r="L2065" s="10">
        <v>40095</v>
      </c>
      <c r="M2065">
        <v>94.86</v>
      </c>
      <c r="N2065" s="11">
        <v>20</v>
      </c>
      <c r="O2065" s="12">
        <v>4.91</v>
      </c>
      <c r="P2065" s="12">
        <v>0.5</v>
      </c>
      <c r="Q2065" s="13">
        <v>39.69</v>
      </c>
      <c r="R2065" s="36" t="s">
        <v>427</v>
      </c>
      <c r="S2065" s="7">
        <f t="shared" si="177"/>
        <v>0</v>
      </c>
      <c r="T2065" s="15" t="str">
        <f>VLOOKUP(R2065,产品分类!$C$2:$D$1278,2,0)</f>
        <v>数码电子</v>
      </c>
    </row>
    <row r="2066" spans="1:20">
      <c r="A2066" s="8">
        <f>DATE(2012,12,31)-1179</f>
        <v>40095</v>
      </c>
      <c r="B2066" s="8">
        <f>DATE(2012,12,31)-1179</f>
        <v>40095</v>
      </c>
      <c r="C2066" s="9" t="s">
        <v>446</v>
      </c>
      <c r="D2066">
        <v>10021420548</v>
      </c>
      <c r="E2066" t="s">
        <v>47</v>
      </c>
      <c r="F2066" t="s">
        <v>177</v>
      </c>
      <c r="G2066" t="s">
        <v>178</v>
      </c>
      <c r="H2066" t="s">
        <v>1292</v>
      </c>
      <c r="I2066" t="s">
        <v>1293</v>
      </c>
      <c r="J2066" t="s">
        <v>367</v>
      </c>
      <c r="K2066" s="3">
        <v>100917003451</v>
      </c>
      <c r="L2066" s="10">
        <v>40096</v>
      </c>
      <c r="M2066">
        <v>744.12</v>
      </c>
      <c r="N2066" s="11">
        <v>25</v>
      </c>
      <c r="O2066" s="12">
        <v>28.15</v>
      </c>
      <c r="P2066" s="12">
        <v>6.17</v>
      </c>
      <c r="Q2066" s="13">
        <v>146.51</v>
      </c>
      <c r="R2066" s="36" t="s">
        <v>645</v>
      </c>
      <c r="S2066" s="7">
        <f t="shared" si="177"/>
        <v>1</v>
      </c>
      <c r="T2066" s="15" t="str">
        <f>VLOOKUP(R2066,产品分类!$C$2:$D$1278,2,0)</f>
        <v>数码电子</v>
      </c>
    </row>
    <row r="2067" spans="1:20">
      <c r="A2067" s="8">
        <f>DATE(2012,12,31)-763</f>
        <v>40511</v>
      </c>
      <c r="B2067" s="8">
        <f>DATE(2012,12,31)-763</f>
        <v>40511</v>
      </c>
      <c r="C2067" s="9" t="s">
        <v>643</v>
      </c>
      <c r="D2067">
        <v>10021344828</v>
      </c>
      <c r="E2067" t="s">
        <v>47</v>
      </c>
      <c r="F2067" t="s">
        <v>177</v>
      </c>
      <c r="G2067" t="s">
        <v>178</v>
      </c>
      <c r="H2067" t="s">
        <v>1292</v>
      </c>
      <c r="I2067" t="s">
        <v>1293</v>
      </c>
      <c r="J2067" t="s">
        <v>367</v>
      </c>
      <c r="K2067" s="3">
        <v>100729823295</v>
      </c>
      <c r="L2067" s="10">
        <v>40513</v>
      </c>
      <c r="M2067">
        <v>438.07</v>
      </c>
      <c r="N2067" s="11">
        <v>37</v>
      </c>
      <c r="O2067" s="12">
        <v>10.89</v>
      </c>
      <c r="P2067" s="12">
        <v>4.5</v>
      </c>
      <c r="Q2067" s="13">
        <v>12.06</v>
      </c>
      <c r="R2067" s="36" t="s">
        <v>269</v>
      </c>
      <c r="S2067" s="7">
        <f t="shared" si="177"/>
        <v>2</v>
      </c>
      <c r="T2067" s="15" t="str">
        <f>VLOOKUP(R2067,产品分类!$C$2:$D$1278,2,0)</f>
        <v>办公用品</v>
      </c>
    </row>
    <row r="2068" spans="1:20">
      <c r="A2068" s="8">
        <f>DATE(2012,12,31)-763</f>
        <v>40511</v>
      </c>
      <c r="B2068" s="8">
        <f>DATE(2012,12,31)-763</f>
        <v>40511</v>
      </c>
      <c r="C2068" s="9" t="s">
        <v>643</v>
      </c>
      <c r="D2068">
        <v>10021507871</v>
      </c>
      <c r="E2068" t="s">
        <v>47</v>
      </c>
      <c r="F2068" t="s">
        <v>167</v>
      </c>
      <c r="G2068" t="s">
        <v>168</v>
      </c>
      <c r="H2068" t="s">
        <v>169</v>
      </c>
      <c r="I2068" t="s">
        <v>168</v>
      </c>
      <c r="J2068" t="s">
        <v>367</v>
      </c>
      <c r="K2068" s="3">
        <v>100332021859</v>
      </c>
      <c r="L2068" s="10">
        <v>40512</v>
      </c>
      <c r="M2068">
        <v>116.37</v>
      </c>
      <c r="N2068" s="11">
        <v>19</v>
      </c>
      <c r="O2068" s="12">
        <v>5.58</v>
      </c>
      <c r="P2068" s="12">
        <v>5.3</v>
      </c>
      <c r="Q2068" s="13">
        <v>-32.6</v>
      </c>
      <c r="R2068" s="36" t="s">
        <v>892</v>
      </c>
      <c r="S2068" s="7">
        <f t="shared" si="177"/>
        <v>1</v>
      </c>
      <c r="T2068" s="15" t="str">
        <f>VLOOKUP(R2068,产品分类!$C$2:$D$1278,2,0)</f>
        <v>家具产品</v>
      </c>
    </row>
    <row r="2069" spans="1:20">
      <c r="A2069" s="8">
        <f>DATE(2012,12,31)-1051</f>
        <v>40223</v>
      </c>
      <c r="B2069" s="8">
        <f>DATE(2012,12,31)-1051</f>
        <v>40223</v>
      </c>
      <c r="C2069" s="9" t="s">
        <v>849</v>
      </c>
      <c r="D2069">
        <v>10021252120</v>
      </c>
      <c r="E2069" t="s">
        <v>47</v>
      </c>
      <c r="F2069" t="s">
        <v>177</v>
      </c>
      <c r="G2069" t="s">
        <v>178</v>
      </c>
      <c r="H2069" t="s">
        <v>1292</v>
      </c>
      <c r="I2069" t="s">
        <v>1293</v>
      </c>
      <c r="J2069" t="s">
        <v>367</v>
      </c>
      <c r="K2069" s="3">
        <v>10081012132</v>
      </c>
      <c r="L2069" s="10">
        <v>40224</v>
      </c>
      <c r="M2069">
        <v>1576.223</v>
      </c>
      <c r="N2069" s="11">
        <v>29</v>
      </c>
      <c r="O2069" s="12">
        <v>65.99</v>
      </c>
      <c r="P2069" s="12">
        <v>3.99</v>
      </c>
      <c r="Q2069" s="13">
        <v>286.119</v>
      </c>
      <c r="R2069" s="36" t="s">
        <v>1876</v>
      </c>
      <c r="S2069" s="7">
        <f t="shared" si="177"/>
        <v>1</v>
      </c>
      <c r="T2069" s="15" t="str">
        <f>VLOOKUP(R2069,产品分类!$C$2:$D$1278,2,0)</f>
        <v>家具产品</v>
      </c>
    </row>
    <row r="2070" spans="1:20">
      <c r="A2070" s="8">
        <f>DATE(2012,12,31)-1071</f>
        <v>40203</v>
      </c>
      <c r="B2070" s="8">
        <f>DATE(2012,12,31)-1071</f>
        <v>40203</v>
      </c>
      <c r="C2070" s="9" t="s">
        <v>294</v>
      </c>
      <c r="D2070">
        <v>10021349123</v>
      </c>
      <c r="E2070" t="s">
        <v>47</v>
      </c>
      <c r="F2070" t="s">
        <v>342</v>
      </c>
      <c r="G2070" t="s">
        <v>343</v>
      </c>
      <c r="H2070" t="s">
        <v>1806</v>
      </c>
      <c r="I2070" t="s">
        <v>1807</v>
      </c>
      <c r="J2070" t="s">
        <v>367</v>
      </c>
      <c r="K2070" s="3">
        <v>100931829341</v>
      </c>
      <c r="L2070" s="10">
        <v>40205</v>
      </c>
      <c r="M2070">
        <v>9062.73</v>
      </c>
      <c r="N2070" s="11">
        <v>48</v>
      </c>
      <c r="O2070" s="12">
        <v>207.48</v>
      </c>
      <c r="P2070" s="12">
        <v>0.99</v>
      </c>
      <c r="Q2070" s="13">
        <v>3122.78</v>
      </c>
      <c r="R2070" s="36" t="s">
        <v>376</v>
      </c>
      <c r="S2070" s="7">
        <f t="shared" si="177"/>
        <v>2</v>
      </c>
      <c r="T2070" s="15" t="str">
        <f>VLOOKUP(R2070,产品分类!$C$2:$D$1278,2,0)</f>
        <v>办公用品</v>
      </c>
    </row>
    <row r="2071" spans="1:20">
      <c r="A2071" s="8">
        <f>DATE(2012,12,31)-1071</f>
        <v>40203</v>
      </c>
      <c r="B2071" s="8">
        <f>DATE(2012,12,31)-1071</f>
        <v>40203</v>
      </c>
      <c r="C2071" s="9" t="s">
        <v>294</v>
      </c>
      <c r="D2071">
        <v>10021348359</v>
      </c>
      <c r="E2071" t="s">
        <v>47</v>
      </c>
      <c r="F2071" t="s">
        <v>342</v>
      </c>
      <c r="G2071" t="s">
        <v>343</v>
      </c>
      <c r="H2071" t="s">
        <v>1806</v>
      </c>
      <c r="I2071" t="s">
        <v>1807</v>
      </c>
      <c r="J2071" t="s">
        <v>367</v>
      </c>
      <c r="K2071" s="3">
        <v>100931559421</v>
      </c>
      <c r="L2071" s="10">
        <v>40204</v>
      </c>
      <c r="M2071">
        <v>1584.1</v>
      </c>
      <c r="N2071" s="11">
        <v>27</v>
      </c>
      <c r="O2071" s="12">
        <v>58.14</v>
      </c>
      <c r="P2071" s="12">
        <v>36.61</v>
      </c>
      <c r="Q2071" s="13">
        <v>-478.22</v>
      </c>
      <c r="R2071" s="36" t="s">
        <v>1368</v>
      </c>
      <c r="S2071" s="7">
        <f t="shared" si="177"/>
        <v>1</v>
      </c>
      <c r="T2071" s="15" t="str">
        <f>VLOOKUP(R2071,产品分类!$C$2:$D$1278,2,0)</f>
        <v>数码电子</v>
      </c>
    </row>
    <row r="2072" spans="1:20">
      <c r="A2072" s="8">
        <f>DATE(2012,12,31)-357</f>
        <v>40917</v>
      </c>
      <c r="B2072" s="8">
        <f>DATE(2012,12,31)-357</f>
        <v>40917</v>
      </c>
      <c r="C2072" s="9" t="s">
        <v>143</v>
      </c>
      <c r="D2072">
        <v>10021280498</v>
      </c>
      <c r="E2072" t="s">
        <v>47</v>
      </c>
      <c r="F2072" t="s">
        <v>342</v>
      </c>
      <c r="G2072" t="s">
        <v>343</v>
      </c>
      <c r="H2072" t="s">
        <v>1806</v>
      </c>
      <c r="I2072" t="s">
        <v>1807</v>
      </c>
      <c r="J2072" t="s">
        <v>367</v>
      </c>
      <c r="K2072" s="3">
        <v>100114840328</v>
      </c>
      <c r="L2072" s="10">
        <v>40919</v>
      </c>
      <c r="M2072">
        <v>278.902</v>
      </c>
      <c r="N2072" s="11">
        <v>39</v>
      </c>
      <c r="O2072" s="12">
        <v>7.99</v>
      </c>
      <c r="P2072" s="12">
        <v>5.03</v>
      </c>
      <c r="Q2072" s="13">
        <v>-104.467</v>
      </c>
      <c r="R2072" s="36" t="s">
        <v>71</v>
      </c>
      <c r="S2072" s="7">
        <f t="shared" si="177"/>
        <v>2</v>
      </c>
      <c r="T2072" s="15" t="str">
        <f>VLOOKUP(R2072,产品分类!$C$2:$D$1278,2,0)</f>
        <v>办公用品</v>
      </c>
    </row>
    <row r="2073" spans="1:20">
      <c r="A2073" s="8">
        <f>DATE(2012,12,31)-1418</f>
        <v>39856</v>
      </c>
      <c r="B2073" s="8">
        <f>DATE(2012,12,31)-1418</f>
        <v>39856</v>
      </c>
      <c r="C2073" s="9" t="s">
        <v>1877</v>
      </c>
      <c r="D2073">
        <v>10021311767</v>
      </c>
      <c r="E2073" t="s">
        <v>47</v>
      </c>
      <c r="F2073" t="s">
        <v>61</v>
      </c>
      <c r="G2073" t="s">
        <v>62</v>
      </c>
      <c r="H2073" t="s">
        <v>47</v>
      </c>
      <c r="I2073" t="s">
        <v>1778</v>
      </c>
      <c r="J2073" t="s">
        <v>367</v>
      </c>
      <c r="K2073" s="3">
        <v>100424559014</v>
      </c>
      <c r="L2073" s="10">
        <v>39865</v>
      </c>
      <c r="M2073">
        <v>103.62</v>
      </c>
      <c r="N2073" s="11">
        <v>15</v>
      </c>
      <c r="O2073" s="12">
        <v>7.31</v>
      </c>
      <c r="P2073" s="12">
        <v>0.49</v>
      </c>
      <c r="Q2073" s="13">
        <v>39.98</v>
      </c>
      <c r="R2073" s="36" t="s">
        <v>694</v>
      </c>
      <c r="S2073" s="7">
        <f t="shared" si="177"/>
        <v>9</v>
      </c>
      <c r="T2073" s="15" t="str">
        <f>VLOOKUP(R2073,产品分类!$C$2:$D$1278,2,0)</f>
        <v>办公用品</v>
      </c>
    </row>
    <row r="2074" spans="1:20">
      <c r="A2074" s="8">
        <f>DATE(2012,12,31)-1418</f>
        <v>39856</v>
      </c>
      <c r="B2074" s="8">
        <f>DATE(2012,12,31)-1418</f>
        <v>39856</v>
      </c>
      <c r="C2074" s="9" t="s">
        <v>1877</v>
      </c>
      <c r="D2074">
        <v>10021259132</v>
      </c>
      <c r="E2074" t="s">
        <v>47</v>
      </c>
      <c r="F2074" t="s">
        <v>61</v>
      </c>
      <c r="G2074" t="s">
        <v>62</v>
      </c>
      <c r="H2074" t="s">
        <v>47</v>
      </c>
      <c r="I2074" t="s">
        <v>1778</v>
      </c>
      <c r="J2074" t="s">
        <v>367</v>
      </c>
      <c r="K2074" s="3">
        <v>10046031604</v>
      </c>
      <c r="L2074" s="10">
        <v>39856</v>
      </c>
      <c r="M2074">
        <v>124.84</v>
      </c>
      <c r="N2074" s="11">
        <v>20</v>
      </c>
      <c r="O2074" s="12">
        <v>6.7</v>
      </c>
      <c r="P2074" s="12">
        <v>1.56</v>
      </c>
      <c r="Q2074" s="13">
        <v>10.56</v>
      </c>
      <c r="R2074" s="36" t="s">
        <v>1878</v>
      </c>
      <c r="S2074" s="7">
        <f t="shared" si="177"/>
        <v>0</v>
      </c>
      <c r="T2074" s="15" t="str">
        <f>VLOOKUP(R2074,产品分类!$C$2:$D$1278,2,0)</f>
        <v>办公用品</v>
      </c>
    </row>
    <row r="2075" spans="1:20">
      <c r="A2075" s="8">
        <f>DATE(2012,12,31)-234</f>
        <v>41040</v>
      </c>
      <c r="B2075" s="8">
        <f>DATE(2012,12,31)-234</f>
        <v>41040</v>
      </c>
      <c r="C2075" s="9" t="s">
        <v>1879</v>
      </c>
      <c r="D2075">
        <v>10021419464</v>
      </c>
      <c r="E2075" t="s">
        <v>47</v>
      </c>
      <c r="F2075" t="s">
        <v>61</v>
      </c>
      <c r="G2075" t="s">
        <v>62</v>
      </c>
      <c r="H2075" t="s">
        <v>47</v>
      </c>
      <c r="I2075" t="s">
        <v>1778</v>
      </c>
      <c r="J2075" t="s">
        <v>367</v>
      </c>
      <c r="K2075" s="3">
        <v>10039594319</v>
      </c>
      <c r="L2075" s="10">
        <v>41041</v>
      </c>
      <c r="M2075">
        <v>3378.18</v>
      </c>
      <c r="N2075" s="11">
        <v>6</v>
      </c>
      <c r="O2075" s="12">
        <v>599.99</v>
      </c>
      <c r="P2075" s="12">
        <v>24.49</v>
      </c>
      <c r="Q2075" s="13">
        <v>-1352.68</v>
      </c>
      <c r="R2075" s="36" t="s">
        <v>1880</v>
      </c>
      <c r="S2075" s="7">
        <f t="shared" si="177"/>
        <v>1</v>
      </c>
      <c r="T2075" s="15" t="str">
        <f>VLOOKUP(R2075,产品分类!$C$2:$D$1278,2,0)</f>
        <v>办公用品</v>
      </c>
    </row>
    <row r="2076" spans="1:20">
      <c r="A2076" s="8">
        <f>DATE(2012,12,31)-234</f>
        <v>41040</v>
      </c>
      <c r="B2076" s="8">
        <f>DATE(2012,12,31)-234</f>
        <v>41040</v>
      </c>
      <c r="C2076" s="9" t="s">
        <v>1879</v>
      </c>
      <c r="D2076">
        <v>10021494219</v>
      </c>
      <c r="E2076" t="s">
        <v>47</v>
      </c>
      <c r="F2076" t="s">
        <v>61</v>
      </c>
      <c r="G2076" t="s">
        <v>62</v>
      </c>
      <c r="H2076" t="s">
        <v>47</v>
      </c>
      <c r="I2076" t="s">
        <v>1778</v>
      </c>
      <c r="J2076" t="s">
        <v>367</v>
      </c>
      <c r="K2076" s="3">
        <v>10011832628</v>
      </c>
      <c r="L2076" s="10">
        <v>41042</v>
      </c>
      <c r="M2076">
        <v>1443.266</v>
      </c>
      <c r="N2076" s="11">
        <v>26</v>
      </c>
      <c r="O2076" s="12">
        <v>65.99</v>
      </c>
      <c r="P2076" s="12">
        <v>8.99</v>
      </c>
      <c r="Q2076" s="13">
        <v>156.114</v>
      </c>
      <c r="R2076" s="36" t="s">
        <v>335</v>
      </c>
      <c r="S2076" s="7">
        <f t="shared" si="177"/>
        <v>2</v>
      </c>
      <c r="T2076" s="15" t="str">
        <f>VLOOKUP(R2076,产品分类!$C$2:$D$1278,2,0)</f>
        <v>办公用品</v>
      </c>
    </row>
    <row r="2077" spans="1:20">
      <c r="A2077" s="8">
        <f>DATE(2012,12,31)-373</f>
        <v>40901</v>
      </c>
      <c r="B2077" s="8">
        <f>DATE(2012,12,31)-373</f>
        <v>40901</v>
      </c>
      <c r="C2077" s="9" t="s">
        <v>1881</v>
      </c>
      <c r="D2077">
        <v>10021301037</v>
      </c>
      <c r="E2077" t="s">
        <v>47</v>
      </c>
      <c r="F2077" t="s">
        <v>61</v>
      </c>
      <c r="G2077" t="s">
        <v>62</v>
      </c>
      <c r="H2077" t="s">
        <v>47</v>
      </c>
      <c r="I2077" t="s">
        <v>1778</v>
      </c>
      <c r="J2077" t="s">
        <v>367</v>
      </c>
      <c r="K2077" s="3">
        <v>100429877214</v>
      </c>
      <c r="L2077" s="10">
        <v>40901</v>
      </c>
      <c r="M2077">
        <v>3800.4</v>
      </c>
      <c r="N2077" s="11">
        <v>9</v>
      </c>
      <c r="O2077" s="12">
        <v>420.98</v>
      </c>
      <c r="P2077" s="12">
        <v>19.99</v>
      </c>
      <c r="Q2077" s="13">
        <v>1234.574</v>
      </c>
      <c r="R2077" s="36" t="s">
        <v>498</v>
      </c>
      <c r="S2077" s="7">
        <f t="shared" si="177"/>
        <v>0</v>
      </c>
      <c r="T2077" s="15" t="str">
        <f>VLOOKUP(R2077,产品分类!$C$2:$D$1278,2,0)</f>
        <v>家具产品</v>
      </c>
    </row>
    <row r="2078" spans="1:20">
      <c r="A2078" s="16">
        <f>DATE(2012,12,31)-978</f>
        <v>40296</v>
      </c>
      <c r="B2078" s="16">
        <f>DATE(2012,12,31)-978</f>
        <v>40296</v>
      </c>
      <c r="C2078" s="9" t="s">
        <v>1428</v>
      </c>
      <c r="D2078">
        <v>10021498645</v>
      </c>
      <c r="E2078" t="s">
        <v>47</v>
      </c>
      <c r="F2078" t="s">
        <v>61</v>
      </c>
      <c r="G2078" t="s">
        <v>62</v>
      </c>
      <c r="H2078" t="s">
        <v>47</v>
      </c>
      <c r="I2078" t="s">
        <v>1778</v>
      </c>
      <c r="J2078" t="s">
        <v>367</v>
      </c>
      <c r="K2078" s="3">
        <v>100422946133</v>
      </c>
      <c r="L2078" s="10">
        <v>40300</v>
      </c>
      <c r="M2078">
        <v>391.23</v>
      </c>
      <c r="N2078" s="17">
        <v>24</v>
      </c>
      <c r="O2078" s="5">
        <v>16.91</v>
      </c>
      <c r="P2078" s="5">
        <v>6.25</v>
      </c>
      <c r="Q2078" s="6">
        <v>-27.98</v>
      </c>
      <c r="R2078" s="37" t="s">
        <v>1673</v>
      </c>
      <c r="S2078" s="7">
        <f t="shared" si="177"/>
        <v>4</v>
      </c>
      <c r="T2078" s="15" t="str">
        <f>VLOOKUP(R2078,产品分类!$C$2:$D$1278,2,0)</f>
        <v>家具产品</v>
      </c>
    </row>
    <row r="2079" spans="1:20">
      <c r="A2079" s="8">
        <f t="shared" ref="A2079:B2081" si="179">DATE(2012,12,31)-976</f>
        <v>40298</v>
      </c>
      <c r="B2079" s="8">
        <f t="shared" si="179"/>
        <v>40298</v>
      </c>
      <c r="C2079" s="9" t="s">
        <v>1882</v>
      </c>
      <c r="D2079">
        <v>10021388248</v>
      </c>
      <c r="E2079" t="s">
        <v>47</v>
      </c>
      <c r="F2079" t="s">
        <v>61</v>
      </c>
      <c r="G2079" t="s">
        <v>62</v>
      </c>
      <c r="H2079" t="s">
        <v>47</v>
      </c>
      <c r="I2079" t="s">
        <v>1778</v>
      </c>
      <c r="J2079" t="s">
        <v>367</v>
      </c>
      <c r="K2079" s="3">
        <v>100826930082</v>
      </c>
      <c r="L2079" s="10">
        <v>40300</v>
      </c>
      <c r="M2079">
        <v>174.9</v>
      </c>
      <c r="N2079" s="11">
        <v>44</v>
      </c>
      <c r="O2079" s="12">
        <v>3.58</v>
      </c>
      <c r="P2079" s="12">
        <v>5.47</v>
      </c>
      <c r="Q2079" s="13">
        <v>-150.903</v>
      </c>
      <c r="R2079" s="36" t="s">
        <v>320</v>
      </c>
      <c r="S2079" s="7">
        <f t="shared" si="177"/>
        <v>2</v>
      </c>
      <c r="T2079" s="15" t="str">
        <f>VLOOKUP(R2079,产品分类!$C$2:$D$1278,2,0)</f>
        <v>办公用品</v>
      </c>
    </row>
    <row r="2080" spans="1:20">
      <c r="A2080" s="8">
        <f t="shared" si="179"/>
        <v>40298</v>
      </c>
      <c r="B2080" s="8">
        <f t="shared" si="179"/>
        <v>40298</v>
      </c>
      <c r="C2080" s="9" t="s">
        <v>1882</v>
      </c>
      <c r="D2080">
        <v>10021497814</v>
      </c>
      <c r="E2080" t="s">
        <v>47</v>
      </c>
      <c r="F2080" t="s">
        <v>61</v>
      </c>
      <c r="G2080" t="s">
        <v>62</v>
      </c>
      <c r="H2080" t="s">
        <v>47</v>
      </c>
      <c r="I2080" t="s">
        <v>1778</v>
      </c>
      <c r="J2080" t="s">
        <v>367</v>
      </c>
      <c r="K2080" s="3">
        <v>100119991696</v>
      </c>
      <c r="L2080" s="10">
        <v>40300</v>
      </c>
      <c r="M2080">
        <v>103.8</v>
      </c>
      <c r="N2080" s="11">
        <v>48</v>
      </c>
      <c r="O2080" s="12">
        <v>2.23</v>
      </c>
      <c r="P2080" s="12">
        <v>4.57</v>
      </c>
      <c r="Q2080" s="13">
        <v>-150.53</v>
      </c>
      <c r="R2080" s="36" t="s">
        <v>1314</v>
      </c>
      <c r="S2080" s="7">
        <f t="shared" si="177"/>
        <v>2</v>
      </c>
      <c r="T2080" s="15" t="str">
        <f>VLOOKUP(R2080,产品分类!$C$2:$D$1278,2,0)</f>
        <v>家具产品</v>
      </c>
    </row>
    <row r="2081" spans="1:20">
      <c r="A2081" s="8">
        <f t="shared" si="179"/>
        <v>40298</v>
      </c>
      <c r="B2081" s="8">
        <f t="shared" si="179"/>
        <v>40298</v>
      </c>
      <c r="C2081" s="9" t="s">
        <v>1882</v>
      </c>
      <c r="D2081">
        <v>10021459973</v>
      </c>
      <c r="E2081" t="s">
        <v>47</v>
      </c>
      <c r="F2081" t="s">
        <v>83</v>
      </c>
      <c r="G2081" t="s">
        <v>84</v>
      </c>
      <c r="H2081" t="s">
        <v>1259</v>
      </c>
      <c r="I2081" t="s">
        <v>1260</v>
      </c>
      <c r="J2081" t="s">
        <v>367</v>
      </c>
      <c r="K2081" s="3">
        <v>10036232999</v>
      </c>
      <c r="L2081" s="10">
        <v>40300</v>
      </c>
      <c r="M2081">
        <v>2557.51</v>
      </c>
      <c r="N2081" s="11">
        <v>19</v>
      </c>
      <c r="O2081" s="12">
        <v>124.49</v>
      </c>
      <c r="P2081" s="12">
        <v>51.94</v>
      </c>
      <c r="Q2081" s="13">
        <v>-168.48</v>
      </c>
      <c r="R2081" s="36" t="s">
        <v>237</v>
      </c>
      <c r="S2081" s="7">
        <f t="shared" si="177"/>
        <v>2</v>
      </c>
      <c r="T2081" s="15" t="str">
        <f>VLOOKUP(R2081,产品分类!$C$2:$D$1278,2,0)</f>
        <v>数码电子</v>
      </c>
    </row>
    <row r="2082" spans="1:20">
      <c r="A2082" s="8">
        <f>DATE(2012,12,31)-605</f>
        <v>40669</v>
      </c>
      <c r="B2082" s="8">
        <f>DATE(2012,12,31)-605</f>
        <v>40669</v>
      </c>
      <c r="C2082" s="9" t="s">
        <v>1883</v>
      </c>
      <c r="D2082">
        <v>10021308358</v>
      </c>
      <c r="E2082" t="s">
        <v>47</v>
      </c>
      <c r="F2082" t="s">
        <v>72</v>
      </c>
      <c r="G2082" t="s">
        <v>73</v>
      </c>
      <c r="H2082" t="s">
        <v>1854</v>
      </c>
      <c r="I2082" t="s">
        <v>1855</v>
      </c>
      <c r="J2082" t="s">
        <v>367</v>
      </c>
      <c r="K2082" s="3">
        <v>100130508437</v>
      </c>
      <c r="L2082" s="10">
        <v>40674</v>
      </c>
      <c r="M2082">
        <v>978.4</v>
      </c>
      <c r="N2082" s="11">
        <v>38</v>
      </c>
      <c r="O2082" s="12">
        <v>25.98</v>
      </c>
      <c r="P2082" s="12">
        <v>14.36</v>
      </c>
      <c r="Q2082" s="13">
        <v>-211.58</v>
      </c>
      <c r="R2082" s="36" t="s">
        <v>1510</v>
      </c>
      <c r="S2082" s="7">
        <f t="shared" si="177"/>
        <v>5</v>
      </c>
      <c r="T2082" s="15" t="str">
        <f>VLOOKUP(R2082,产品分类!$C$2:$D$1278,2,0)</f>
        <v>办公用品</v>
      </c>
    </row>
    <row r="2083" spans="1:20">
      <c r="A2083" s="8">
        <f>DATE(2012,12,31)-605</f>
        <v>40669</v>
      </c>
      <c r="B2083" s="8">
        <f>DATE(2012,12,31)-605</f>
        <v>40669</v>
      </c>
      <c r="C2083" s="9" t="s">
        <v>1883</v>
      </c>
      <c r="D2083">
        <v>10021260287</v>
      </c>
      <c r="E2083" t="s">
        <v>47</v>
      </c>
      <c r="F2083" t="s">
        <v>122</v>
      </c>
      <c r="G2083" t="s">
        <v>123</v>
      </c>
      <c r="H2083" t="s">
        <v>124</v>
      </c>
      <c r="I2083" t="s">
        <v>125</v>
      </c>
      <c r="J2083" t="s">
        <v>367</v>
      </c>
      <c r="K2083" s="3">
        <v>100128562647</v>
      </c>
      <c r="L2083" s="10">
        <v>40678</v>
      </c>
      <c r="M2083">
        <v>5126.418</v>
      </c>
      <c r="N2083" s="11">
        <v>47</v>
      </c>
      <c r="O2083" s="12">
        <v>125.99</v>
      </c>
      <c r="P2083" s="12">
        <v>2.5</v>
      </c>
      <c r="Q2083" s="13">
        <v>1557.639</v>
      </c>
      <c r="R2083" s="36" t="s">
        <v>1411</v>
      </c>
      <c r="S2083" s="7">
        <f t="shared" si="177"/>
        <v>9</v>
      </c>
      <c r="T2083" s="15" t="str">
        <f>VLOOKUP(R2083,产品分类!$C$2:$D$1278,2,0)</f>
        <v>办公用品</v>
      </c>
    </row>
    <row r="2084" spans="1:20">
      <c r="A2084" s="8">
        <f>DATE(2012,12,31)-461</f>
        <v>40813</v>
      </c>
      <c r="B2084" s="8">
        <f>DATE(2012,12,31)-461</f>
        <v>40813</v>
      </c>
      <c r="C2084" s="9" t="s">
        <v>687</v>
      </c>
      <c r="D2084">
        <v>10021317815</v>
      </c>
      <c r="E2084" t="s">
        <v>47</v>
      </c>
      <c r="F2084" t="s">
        <v>66</v>
      </c>
      <c r="G2084" t="s">
        <v>67</v>
      </c>
      <c r="H2084" t="s">
        <v>1435</v>
      </c>
      <c r="I2084" t="s">
        <v>1436</v>
      </c>
      <c r="J2084" t="s">
        <v>367</v>
      </c>
      <c r="K2084" s="3">
        <v>100932828601</v>
      </c>
      <c r="L2084" s="10">
        <v>40815</v>
      </c>
      <c r="M2084">
        <v>473.9855</v>
      </c>
      <c r="N2084" s="11">
        <v>6</v>
      </c>
      <c r="O2084" s="12">
        <v>95.99</v>
      </c>
      <c r="P2084" s="12">
        <v>4.9</v>
      </c>
      <c r="Q2084" s="13">
        <v>-301.675</v>
      </c>
      <c r="R2084" s="36" t="s">
        <v>509</v>
      </c>
      <c r="S2084" s="7">
        <f t="shared" si="177"/>
        <v>2</v>
      </c>
      <c r="T2084" s="15" t="str">
        <f>VLOOKUP(R2084,产品分类!$C$2:$D$1278,2,0)</f>
        <v>数码电子</v>
      </c>
    </row>
    <row r="2085" spans="1:20">
      <c r="A2085" s="8">
        <f>DATE(2012,12,31)-1416</f>
        <v>39858</v>
      </c>
      <c r="B2085" s="8">
        <f>DATE(2012,12,31)-1416</f>
        <v>39858</v>
      </c>
      <c r="C2085" s="9" t="s">
        <v>466</v>
      </c>
      <c r="D2085">
        <v>10021457047</v>
      </c>
      <c r="E2085" t="s">
        <v>47</v>
      </c>
      <c r="F2085" t="s">
        <v>91</v>
      </c>
      <c r="G2085" t="s">
        <v>92</v>
      </c>
      <c r="H2085" t="s">
        <v>1412</v>
      </c>
      <c r="I2085" t="s">
        <v>1413</v>
      </c>
      <c r="J2085" t="s">
        <v>367</v>
      </c>
      <c r="K2085" s="3">
        <v>100929705071</v>
      </c>
      <c r="L2085" s="10">
        <v>39859</v>
      </c>
      <c r="M2085">
        <v>1003.43</v>
      </c>
      <c r="N2085" s="11">
        <v>47</v>
      </c>
      <c r="O2085" s="12">
        <v>19.98</v>
      </c>
      <c r="P2085" s="12">
        <v>8.68</v>
      </c>
      <c r="Q2085" s="13">
        <v>208.06</v>
      </c>
      <c r="R2085" s="36" t="s">
        <v>1340</v>
      </c>
      <c r="S2085" s="7">
        <f t="shared" si="177"/>
        <v>1</v>
      </c>
      <c r="T2085" s="15" t="str">
        <f>VLOOKUP(R2085,产品分类!$C$2:$D$1278,2,0)</f>
        <v>办公用品</v>
      </c>
    </row>
    <row r="2086" spans="1:20">
      <c r="A2086" s="8">
        <f>DATE(2012,12,31)-1403</f>
        <v>39871</v>
      </c>
      <c r="B2086" s="8">
        <f>DATE(2012,12,31)-1403</f>
        <v>39871</v>
      </c>
      <c r="C2086" s="9" t="s">
        <v>236</v>
      </c>
      <c r="D2086">
        <v>10021275602</v>
      </c>
      <c r="E2086" t="s">
        <v>47</v>
      </c>
      <c r="F2086" t="s">
        <v>91</v>
      </c>
      <c r="G2086" t="s">
        <v>92</v>
      </c>
      <c r="H2086" t="s">
        <v>1412</v>
      </c>
      <c r="I2086" t="s">
        <v>1413</v>
      </c>
      <c r="J2086" t="s">
        <v>367</v>
      </c>
      <c r="K2086" s="3">
        <v>10084160612</v>
      </c>
      <c r="L2086" s="10">
        <v>39873</v>
      </c>
      <c r="M2086">
        <v>1685.941</v>
      </c>
      <c r="N2086" s="11">
        <v>16</v>
      </c>
      <c r="O2086" s="12">
        <v>125.99</v>
      </c>
      <c r="P2086" s="12">
        <v>8.8</v>
      </c>
      <c r="Q2086" s="13">
        <v>21.024</v>
      </c>
      <c r="R2086" s="36" t="s">
        <v>570</v>
      </c>
      <c r="S2086" s="7">
        <f t="shared" si="177"/>
        <v>2</v>
      </c>
      <c r="T2086" s="15" t="str">
        <f>VLOOKUP(R2086,产品分类!$C$2:$D$1278,2,0)</f>
        <v>办公用品</v>
      </c>
    </row>
    <row r="2087" spans="1:20">
      <c r="A2087" s="8">
        <f>DATE(2012,12,31)-583</f>
        <v>40691</v>
      </c>
      <c r="B2087" s="8">
        <f>DATE(2012,12,31)-583</f>
        <v>40691</v>
      </c>
      <c r="C2087" s="9" t="s">
        <v>1105</v>
      </c>
      <c r="D2087">
        <v>10021457028</v>
      </c>
      <c r="E2087" t="s">
        <v>47</v>
      </c>
      <c r="F2087" t="s">
        <v>55</v>
      </c>
      <c r="G2087" t="s">
        <v>56</v>
      </c>
      <c r="H2087" t="s">
        <v>1869</v>
      </c>
      <c r="I2087" t="s">
        <v>1870</v>
      </c>
      <c r="J2087" t="s">
        <v>367</v>
      </c>
      <c r="K2087" s="3">
        <v>100732753965</v>
      </c>
      <c r="L2087" s="10">
        <v>40692</v>
      </c>
      <c r="M2087">
        <v>647.78</v>
      </c>
      <c r="N2087" s="11">
        <v>6</v>
      </c>
      <c r="O2087" s="12">
        <v>100.98</v>
      </c>
      <c r="P2087" s="12">
        <v>35.84</v>
      </c>
      <c r="Q2087" s="13">
        <v>-144.87</v>
      </c>
      <c r="R2087" s="36" t="s">
        <v>471</v>
      </c>
      <c r="S2087" s="7">
        <f t="shared" si="177"/>
        <v>1</v>
      </c>
      <c r="T2087" s="15" t="str">
        <f>VLOOKUP(R2087,产品分类!$C$2:$D$1278,2,0)</f>
        <v>办公用品</v>
      </c>
    </row>
    <row r="2088" spans="1:20">
      <c r="A2088" s="8">
        <f>DATE(2012,12,31)-827</f>
        <v>40447</v>
      </c>
      <c r="B2088" s="8">
        <f>DATE(2012,12,31)-827</f>
        <v>40447</v>
      </c>
      <c r="C2088" s="9" t="s">
        <v>1054</v>
      </c>
      <c r="D2088">
        <v>10021373108</v>
      </c>
      <c r="E2088" t="s">
        <v>47</v>
      </c>
      <c r="F2088" t="s">
        <v>102</v>
      </c>
      <c r="G2088" t="s">
        <v>103</v>
      </c>
      <c r="H2088" t="s">
        <v>1217</v>
      </c>
      <c r="I2088" t="s">
        <v>1218</v>
      </c>
      <c r="J2088" t="s">
        <v>367</v>
      </c>
      <c r="K2088" s="3">
        <v>100330562509</v>
      </c>
      <c r="L2088" s="10">
        <v>40447</v>
      </c>
      <c r="M2088">
        <v>525</v>
      </c>
      <c r="N2088" s="11">
        <v>48</v>
      </c>
      <c r="O2088" s="12">
        <v>10.48</v>
      </c>
      <c r="P2088" s="12">
        <v>2.89</v>
      </c>
      <c r="Q2088" s="13">
        <v>63.5</v>
      </c>
      <c r="R2088" s="36" t="s">
        <v>1851</v>
      </c>
      <c r="S2088" s="7">
        <f t="shared" si="177"/>
        <v>0</v>
      </c>
      <c r="T2088" s="15" t="str">
        <f>VLOOKUP(R2088,产品分类!$C$2:$D$1278,2,0)</f>
        <v>办公用品</v>
      </c>
    </row>
    <row r="2089" spans="1:20">
      <c r="A2089" s="8">
        <f>DATE(2012,12,31)-594</f>
        <v>40680</v>
      </c>
      <c r="B2089" s="8">
        <f>DATE(2012,12,31)-594</f>
        <v>40680</v>
      </c>
      <c r="C2089" s="9" t="s">
        <v>897</v>
      </c>
      <c r="D2089">
        <v>10021515568</v>
      </c>
      <c r="E2089" t="s">
        <v>47</v>
      </c>
      <c r="F2089" t="s">
        <v>304</v>
      </c>
      <c r="G2089" t="s">
        <v>305</v>
      </c>
      <c r="H2089" t="s">
        <v>1550</v>
      </c>
      <c r="I2089" t="s">
        <v>1551</v>
      </c>
      <c r="J2089" t="s">
        <v>367</v>
      </c>
      <c r="K2089" s="3">
        <v>10081868142</v>
      </c>
      <c r="L2089" s="10">
        <v>40682</v>
      </c>
      <c r="M2089">
        <v>2779.2</v>
      </c>
      <c r="N2089" s="11">
        <v>34</v>
      </c>
      <c r="O2089" s="12">
        <v>80.98</v>
      </c>
      <c r="P2089" s="12">
        <v>7.18</v>
      </c>
      <c r="Q2089" s="13">
        <v>889.57</v>
      </c>
      <c r="R2089" s="36" t="s">
        <v>1734</v>
      </c>
      <c r="S2089" s="7">
        <f t="shared" si="177"/>
        <v>2</v>
      </c>
      <c r="T2089" s="15" t="str">
        <f>VLOOKUP(R2089,产品分类!$C$2:$D$1278,2,0)</f>
        <v>家具产品</v>
      </c>
    </row>
    <row r="2090" spans="1:20">
      <c r="A2090" s="8">
        <f>DATE(2012,12,31)-594</f>
        <v>40680</v>
      </c>
      <c r="B2090" s="8">
        <f>DATE(2012,12,31)-594</f>
        <v>40680</v>
      </c>
      <c r="C2090" s="9" t="s">
        <v>897</v>
      </c>
      <c r="D2090">
        <v>10021408507</v>
      </c>
      <c r="E2090" t="s">
        <v>47</v>
      </c>
      <c r="F2090" t="s">
        <v>171</v>
      </c>
      <c r="G2090" t="s">
        <v>172</v>
      </c>
      <c r="H2090" t="s">
        <v>1712</v>
      </c>
      <c r="I2090" t="s">
        <v>1713</v>
      </c>
      <c r="J2090" t="s">
        <v>367</v>
      </c>
      <c r="K2090" s="3">
        <v>100723287855</v>
      </c>
      <c r="L2090" s="10">
        <v>40680</v>
      </c>
      <c r="M2090">
        <v>65.21</v>
      </c>
      <c r="N2090" s="11">
        <v>26</v>
      </c>
      <c r="O2090" s="12">
        <v>2.6</v>
      </c>
      <c r="P2090" s="12">
        <v>2.4</v>
      </c>
      <c r="Q2090" s="13">
        <v>-41.6</v>
      </c>
      <c r="R2090" s="36" t="s">
        <v>1884</v>
      </c>
      <c r="S2090" s="7">
        <f t="shared" si="177"/>
        <v>0</v>
      </c>
      <c r="T2090" s="15" t="str">
        <f>VLOOKUP(R2090,产品分类!$C$2:$D$1278,2,0)</f>
        <v>数码电子</v>
      </c>
    </row>
    <row r="2091" spans="1:20">
      <c r="A2091" s="16">
        <f>DATE(2012,12,31)-528</f>
        <v>40746</v>
      </c>
      <c r="B2091" s="16">
        <f>DATE(2012,12,31)-528</f>
        <v>40746</v>
      </c>
      <c r="C2091" s="9" t="s">
        <v>686</v>
      </c>
      <c r="D2091">
        <v>10021357318</v>
      </c>
      <c r="E2091" t="s">
        <v>47</v>
      </c>
      <c r="F2091" t="s">
        <v>61</v>
      </c>
      <c r="G2091" t="s">
        <v>62</v>
      </c>
      <c r="H2091" t="s">
        <v>47</v>
      </c>
      <c r="I2091" t="s">
        <v>1778</v>
      </c>
      <c r="J2091" t="s">
        <v>367</v>
      </c>
      <c r="K2091" s="3">
        <v>10018404978</v>
      </c>
      <c r="L2091" s="10">
        <v>40748</v>
      </c>
      <c r="M2091">
        <v>231.35</v>
      </c>
      <c r="N2091" s="17">
        <v>46</v>
      </c>
      <c r="O2091" s="5">
        <v>4.98</v>
      </c>
      <c r="P2091" s="5">
        <v>4.7</v>
      </c>
      <c r="Q2091" s="6">
        <v>-81.86</v>
      </c>
      <c r="R2091" s="37" t="s">
        <v>1648</v>
      </c>
      <c r="S2091" s="7">
        <f t="shared" si="177"/>
        <v>2</v>
      </c>
      <c r="T2091" s="15" t="str">
        <f>VLOOKUP(R2091,产品分类!$C$2:$D$1278,2,0)</f>
        <v>办公用品</v>
      </c>
    </row>
    <row r="2092" spans="1:20">
      <c r="A2092" s="8">
        <f>DATE(2012,12,31)-949</f>
        <v>40325</v>
      </c>
      <c r="B2092" s="8">
        <f>DATE(2012,12,31)-949</f>
        <v>40325</v>
      </c>
      <c r="C2092" s="9" t="s">
        <v>1068</v>
      </c>
      <c r="D2092">
        <v>10021310139</v>
      </c>
      <c r="E2092" t="s">
        <v>47</v>
      </c>
      <c r="F2092" t="s">
        <v>473</v>
      </c>
      <c r="G2092" t="s">
        <v>474</v>
      </c>
      <c r="H2092" t="s">
        <v>475</v>
      </c>
      <c r="I2092" t="s">
        <v>476</v>
      </c>
      <c r="J2092" t="s">
        <v>367</v>
      </c>
      <c r="K2092" s="3">
        <v>100925965491</v>
      </c>
      <c r="L2092" s="10">
        <v>40326</v>
      </c>
      <c r="M2092">
        <v>12043.88</v>
      </c>
      <c r="N2092" s="11">
        <v>14</v>
      </c>
      <c r="O2092" s="12">
        <v>880.98</v>
      </c>
      <c r="P2092" s="12">
        <v>44.55</v>
      </c>
      <c r="Q2092" s="13">
        <v>2011.31</v>
      </c>
      <c r="R2092" s="36" t="s">
        <v>706</v>
      </c>
      <c r="S2092" s="7">
        <f t="shared" si="177"/>
        <v>1</v>
      </c>
      <c r="T2092" s="15" t="str">
        <f>VLOOKUP(R2092,产品分类!$C$2:$D$1278,2,0)</f>
        <v>办公用品</v>
      </c>
    </row>
    <row r="2093" spans="1:20">
      <c r="A2093" s="8">
        <f>DATE(2012,12,31)-949</f>
        <v>40325</v>
      </c>
      <c r="B2093" s="8">
        <f>DATE(2012,12,31)-949</f>
        <v>40325</v>
      </c>
      <c r="C2093" s="9" t="s">
        <v>1068</v>
      </c>
      <c r="D2093">
        <v>10021457775</v>
      </c>
      <c r="E2093" t="s">
        <v>47</v>
      </c>
      <c r="F2093" t="s">
        <v>102</v>
      </c>
      <c r="G2093" t="s">
        <v>103</v>
      </c>
      <c r="H2093" t="s">
        <v>1217</v>
      </c>
      <c r="I2093" t="s">
        <v>1218</v>
      </c>
      <c r="J2093" t="s">
        <v>367</v>
      </c>
      <c r="K2093" s="3">
        <v>100432901113</v>
      </c>
      <c r="L2093" s="10">
        <v>40326</v>
      </c>
      <c r="M2093">
        <v>195.12</v>
      </c>
      <c r="N2093" s="11">
        <v>14</v>
      </c>
      <c r="O2093" s="12">
        <v>13.48</v>
      </c>
      <c r="P2093" s="12">
        <v>4.51</v>
      </c>
      <c r="Q2093" s="13">
        <v>-6.32</v>
      </c>
      <c r="R2093" s="36" t="s">
        <v>550</v>
      </c>
      <c r="S2093" s="7">
        <f t="shared" si="177"/>
        <v>1</v>
      </c>
      <c r="T2093" s="15" t="str">
        <f>VLOOKUP(R2093,产品分类!$C$2:$D$1278,2,0)</f>
        <v>办公用品</v>
      </c>
    </row>
    <row r="2094" spans="1:20">
      <c r="A2094" s="8">
        <f>DATE(2012,12,31)-170</f>
        <v>41104</v>
      </c>
      <c r="B2094" s="8">
        <f>DATE(2012,12,31)-170</f>
        <v>41104</v>
      </c>
      <c r="C2094" s="9" t="s">
        <v>626</v>
      </c>
      <c r="D2094">
        <v>10021401208</v>
      </c>
      <c r="E2094" t="s">
        <v>47</v>
      </c>
      <c r="F2094" t="s">
        <v>171</v>
      </c>
      <c r="G2094" t="s">
        <v>172</v>
      </c>
      <c r="H2094" t="s">
        <v>1712</v>
      </c>
      <c r="I2094" t="s">
        <v>1713</v>
      </c>
      <c r="J2094" t="s">
        <v>367</v>
      </c>
      <c r="K2094" s="3">
        <v>100111636148</v>
      </c>
      <c r="L2094" s="10">
        <v>41105</v>
      </c>
      <c r="M2094">
        <v>898.9</v>
      </c>
      <c r="N2094" s="11">
        <v>27</v>
      </c>
      <c r="O2094" s="12">
        <v>31.78</v>
      </c>
      <c r="P2094" s="12">
        <v>1.99</v>
      </c>
      <c r="Q2094" s="13">
        <v>325.88</v>
      </c>
      <c r="R2094" s="36" t="s">
        <v>451</v>
      </c>
      <c r="S2094" s="7">
        <f t="shared" si="177"/>
        <v>1</v>
      </c>
      <c r="T2094" s="15" t="str">
        <f>VLOOKUP(R2094,产品分类!$C$2:$D$1278,2,0)</f>
        <v>家具产品</v>
      </c>
    </row>
    <row r="2095" spans="1:20">
      <c r="A2095" s="8">
        <f>DATE(2012,12,31)-797</f>
        <v>40477</v>
      </c>
      <c r="B2095" s="8">
        <f>DATE(2012,12,31)-797</f>
        <v>40477</v>
      </c>
      <c r="C2095" s="9" t="s">
        <v>421</v>
      </c>
      <c r="D2095">
        <v>10021408810</v>
      </c>
      <c r="E2095" t="s">
        <v>47</v>
      </c>
      <c r="F2095" t="s">
        <v>177</v>
      </c>
      <c r="G2095" t="s">
        <v>178</v>
      </c>
      <c r="H2095" t="s">
        <v>1292</v>
      </c>
      <c r="I2095" t="s">
        <v>1293</v>
      </c>
      <c r="J2095" t="s">
        <v>367</v>
      </c>
      <c r="K2095" s="3">
        <v>10072609445</v>
      </c>
      <c r="L2095" s="10">
        <v>40478</v>
      </c>
      <c r="M2095">
        <v>279.77</v>
      </c>
      <c r="N2095" s="11">
        <v>8</v>
      </c>
      <c r="O2095" s="12">
        <v>34.76</v>
      </c>
      <c r="P2095" s="12">
        <v>8.22</v>
      </c>
      <c r="Q2095" s="13">
        <v>-14.02</v>
      </c>
      <c r="R2095" s="36" t="s">
        <v>732</v>
      </c>
      <c r="S2095" s="7">
        <f t="shared" si="177"/>
        <v>1</v>
      </c>
      <c r="T2095" s="15" t="str">
        <f>VLOOKUP(R2095,产品分类!$C$2:$D$1278,2,0)</f>
        <v>家具产品</v>
      </c>
    </row>
    <row r="2096" spans="1:20">
      <c r="A2096" s="8">
        <f>DATE(2012,12,31)-797</f>
        <v>40477</v>
      </c>
      <c r="B2096" s="8">
        <f>DATE(2012,12,31)-797</f>
        <v>40477</v>
      </c>
      <c r="C2096" s="9" t="s">
        <v>421</v>
      </c>
      <c r="D2096">
        <v>10021490420</v>
      </c>
      <c r="E2096" t="s">
        <v>47</v>
      </c>
      <c r="F2096" t="s">
        <v>183</v>
      </c>
      <c r="G2096" t="s">
        <v>184</v>
      </c>
      <c r="H2096" t="s">
        <v>1716</v>
      </c>
      <c r="I2096" t="s">
        <v>1717</v>
      </c>
      <c r="J2096" t="s">
        <v>367</v>
      </c>
      <c r="K2096" s="3">
        <v>100929743951</v>
      </c>
      <c r="L2096" s="10">
        <v>40479</v>
      </c>
      <c r="M2096">
        <v>154.21</v>
      </c>
      <c r="N2096" s="11">
        <v>8</v>
      </c>
      <c r="O2096" s="12">
        <v>15.23</v>
      </c>
      <c r="P2096" s="12">
        <v>27.75</v>
      </c>
      <c r="Q2096" s="13">
        <v>-160.39</v>
      </c>
      <c r="R2096" s="36" t="s">
        <v>1728</v>
      </c>
      <c r="S2096" s="7">
        <f t="shared" si="177"/>
        <v>2</v>
      </c>
      <c r="T2096" s="15" t="str">
        <f>VLOOKUP(R2096,产品分类!$C$2:$D$1278,2,0)</f>
        <v>家具产品</v>
      </c>
    </row>
    <row r="2097" spans="1:20">
      <c r="A2097" s="8">
        <f>DATE(2012,12,31)-1419</f>
        <v>39855</v>
      </c>
      <c r="B2097" s="8">
        <f>DATE(2012,12,31)-1419</f>
        <v>39855</v>
      </c>
      <c r="C2097" s="9" t="s">
        <v>525</v>
      </c>
      <c r="D2097">
        <v>10021494768</v>
      </c>
      <c r="E2097" t="s">
        <v>47</v>
      </c>
      <c r="F2097" t="s">
        <v>66</v>
      </c>
      <c r="G2097" t="s">
        <v>67</v>
      </c>
      <c r="H2097" t="s">
        <v>1435</v>
      </c>
      <c r="I2097" t="s">
        <v>1436</v>
      </c>
      <c r="J2097" t="s">
        <v>367</v>
      </c>
      <c r="K2097" s="3">
        <v>10049988484</v>
      </c>
      <c r="L2097" s="10">
        <v>39856</v>
      </c>
      <c r="M2097">
        <v>8475.962</v>
      </c>
      <c r="N2097" s="11">
        <v>48</v>
      </c>
      <c r="O2097" s="12">
        <v>205.99</v>
      </c>
      <c r="P2097" s="12">
        <v>8.99</v>
      </c>
      <c r="Q2097" s="13">
        <v>2497.941</v>
      </c>
      <c r="R2097" s="36" t="s">
        <v>799</v>
      </c>
      <c r="S2097" s="7">
        <f t="shared" si="177"/>
        <v>1</v>
      </c>
      <c r="T2097" s="15" t="str">
        <f>VLOOKUP(R2097,产品分类!$C$2:$D$1278,2,0)</f>
        <v>家具产品</v>
      </c>
    </row>
    <row r="2098" spans="1:20">
      <c r="A2098" s="8">
        <f>DATE(2012,12,31)-1419</f>
        <v>39855</v>
      </c>
      <c r="B2098" s="8">
        <f>DATE(2012,12,31)-1419</f>
        <v>39855</v>
      </c>
      <c r="C2098" s="9" t="s">
        <v>525</v>
      </c>
      <c r="D2098">
        <v>10021259073</v>
      </c>
      <c r="E2098" t="s">
        <v>47</v>
      </c>
      <c r="F2098" t="s">
        <v>48</v>
      </c>
      <c r="G2098" t="s">
        <v>49</v>
      </c>
      <c r="H2098" t="s">
        <v>1812</v>
      </c>
      <c r="I2098" t="s">
        <v>1813</v>
      </c>
      <c r="J2098" t="s">
        <v>367</v>
      </c>
      <c r="K2098" s="3">
        <v>100927492961</v>
      </c>
      <c r="L2098" s="10">
        <v>39856</v>
      </c>
      <c r="M2098">
        <v>3015.494</v>
      </c>
      <c r="N2098" s="11">
        <v>18</v>
      </c>
      <c r="O2098" s="12">
        <v>205.99</v>
      </c>
      <c r="P2098" s="12">
        <v>8.99</v>
      </c>
      <c r="Q2098" s="13">
        <v>251.541</v>
      </c>
      <c r="R2098" s="36" t="s">
        <v>1543</v>
      </c>
      <c r="S2098" s="7">
        <f t="shared" si="177"/>
        <v>1</v>
      </c>
      <c r="T2098" s="15" t="str">
        <f>VLOOKUP(R2098,产品分类!$C$2:$D$1278,2,0)</f>
        <v>家具产品</v>
      </c>
    </row>
    <row r="2099" spans="1:20">
      <c r="A2099" s="16">
        <f>DATE(2012,12,31)-376</f>
        <v>40898</v>
      </c>
      <c r="B2099" s="16">
        <f>DATE(2012,12,31)-376</f>
        <v>40898</v>
      </c>
      <c r="C2099" s="9" t="s">
        <v>1885</v>
      </c>
      <c r="D2099">
        <v>10021332372</v>
      </c>
      <c r="E2099" t="s">
        <v>47</v>
      </c>
      <c r="F2099" t="s">
        <v>66</v>
      </c>
      <c r="G2099" t="s">
        <v>67</v>
      </c>
      <c r="H2099" t="s">
        <v>1435</v>
      </c>
      <c r="I2099" t="s">
        <v>1436</v>
      </c>
      <c r="J2099" t="s">
        <v>367</v>
      </c>
      <c r="K2099" s="3">
        <v>10079636835</v>
      </c>
      <c r="L2099" s="10">
        <v>40900</v>
      </c>
      <c r="M2099">
        <v>1200.13</v>
      </c>
      <c r="N2099" s="17">
        <v>46</v>
      </c>
      <c r="O2099" s="5">
        <v>28.15</v>
      </c>
      <c r="P2099" s="5">
        <v>8.99</v>
      </c>
      <c r="Q2099" s="6">
        <v>-7.8</v>
      </c>
      <c r="R2099" s="37" t="s">
        <v>1236</v>
      </c>
      <c r="S2099" s="7">
        <f t="shared" si="177"/>
        <v>2</v>
      </c>
      <c r="T2099" s="15" t="str">
        <f>VLOOKUP(R2099,产品分类!$C$2:$D$1278,2,0)</f>
        <v>办公用品</v>
      </c>
    </row>
    <row r="2100" spans="1:20">
      <c r="A2100" s="8">
        <f>DATE(2012,12,31)-376</f>
        <v>40898</v>
      </c>
      <c r="B2100" s="8">
        <f>DATE(2012,12,31)-376</f>
        <v>40898</v>
      </c>
      <c r="C2100" s="9" t="s">
        <v>1885</v>
      </c>
      <c r="D2100">
        <v>10021507046</v>
      </c>
      <c r="E2100" t="s">
        <v>47</v>
      </c>
      <c r="F2100" t="s">
        <v>48</v>
      </c>
      <c r="G2100" t="s">
        <v>49</v>
      </c>
      <c r="H2100" t="s">
        <v>1812</v>
      </c>
      <c r="I2100" t="s">
        <v>1813</v>
      </c>
      <c r="J2100" t="s">
        <v>367</v>
      </c>
      <c r="K2100" s="3">
        <v>100431749123</v>
      </c>
      <c r="L2100" s="10">
        <v>40899</v>
      </c>
      <c r="M2100">
        <v>229.43</v>
      </c>
      <c r="N2100" s="11">
        <v>28</v>
      </c>
      <c r="O2100" s="12">
        <v>7.78</v>
      </c>
      <c r="P2100" s="12">
        <v>2.5</v>
      </c>
      <c r="Q2100" s="13">
        <v>61.09</v>
      </c>
      <c r="R2100" s="36" t="s">
        <v>1886</v>
      </c>
      <c r="S2100" s="7">
        <f t="shared" si="177"/>
        <v>1</v>
      </c>
      <c r="T2100" s="15" t="str">
        <f>VLOOKUP(R2100,产品分类!$C$2:$D$1278,2,0)</f>
        <v>数码电子</v>
      </c>
    </row>
    <row r="2101" spans="1:20">
      <c r="A2101" s="8">
        <f>DATE(2012,12,31)-1055</f>
        <v>40219</v>
      </c>
      <c r="B2101" s="8">
        <f>DATE(2012,12,31)-1055</f>
        <v>40219</v>
      </c>
      <c r="C2101" s="9" t="s">
        <v>508</v>
      </c>
      <c r="D2101">
        <v>10021497979</v>
      </c>
      <c r="E2101" t="s">
        <v>47</v>
      </c>
      <c r="F2101" t="s">
        <v>66</v>
      </c>
      <c r="G2101" t="s">
        <v>67</v>
      </c>
      <c r="H2101" t="s">
        <v>1435</v>
      </c>
      <c r="I2101" t="s">
        <v>1436</v>
      </c>
      <c r="J2101" t="s">
        <v>367</v>
      </c>
      <c r="K2101" s="3">
        <v>100421080784</v>
      </c>
      <c r="L2101" s="10">
        <v>40222</v>
      </c>
      <c r="M2101">
        <v>633.13</v>
      </c>
      <c r="N2101" s="11">
        <v>10</v>
      </c>
      <c r="O2101" s="12">
        <v>58.14</v>
      </c>
      <c r="P2101" s="12">
        <v>36.61</v>
      </c>
      <c r="Q2101" s="13">
        <v>-203.9</v>
      </c>
      <c r="R2101" s="36" t="s">
        <v>1368</v>
      </c>
      <c r="S2101" s="7">
        <f t="shared" si="177"/>
        <v>3</v>
      </c>
      <c r="T2101" s="15" t="str">
        <f>VLOOKUP(R2101,产品分类!$C$2:$D$1278,2,0)</f>
        <v>数码电子</v>
      </c>
    </row>
    <row r="2102" spans="1:20">
      <c r="A2102" s="8">
        <f>DATE(2012,12,31)-767</f>
        <v>40507</v>
      </c>
      <c r="B2102" s="8">
        <f>DATE(2012,12,31)-767</f>
        <v>40507</v>
      </c>
      <c r="C2102" s="9" t="s">
        <v>1528</v>
      </c>
      <c r="D2102">
        <v>10021252723</v>
      </c>
      <c r="E2102" t="s">
        <v>47</v>
      </c>
      <c r="F2102" t="s">
        <v>66</v>
      </c>
      <c r="G2102" t="s">
        <v>67</v>
      </c>
      <c r="H2102" t="s">
        <v>1435</v>
      </c>
      <c r="I2102" t="s">
        <v>1436</v>
      </c>
      <c r="J2102" t="s">
        <v>367</v>
      </c>
      <c r="K2102" s="3">
        <v>100912704871</v>
      </c>
      <c r="L2102" s="10">
        <v>40508</v>
      </c>
      <c r="M2102">
        <v>306.77</v>
      </c>
      <c r="N2102" s="11">
        <v>47</v>
      </c>
      <c r="O2102" s="12">
        <v>6.24</v>
      </c>
      <c r="P2102" s="12">
        <v>5.22</v>
      </c>
      <c r="Q2102" s="13">
        <v>-102.06</v>
      </c>
      <c r="R2102" s="36" t="s">
        <v>368</v>
      </c>
      <c r="S2102" s="7">
        <f t="shared" si="177"/>
        <v>1</v>
      </c>
      <c r="T2102" s="15" t="str">
        <f>VLOOKUP(R2102,产品分类!$C$2:$D$1278,2,0)</f>
        <v>办公用品</v>
      </c>
    </row>
    <row r="2103" spans="1:20">
      <c r="A2103" s="8">
        <f>DATE(2012,12,31)-1123</f>
        <v>40151</v>
      </c>
      <c r="B2103" s="8">
        <f>DATE(2012,12,31)-1123</f>
        <v>40151</v>
      </c>
      <c r="C2103" s="9" t="s">
        <v>1092</v>
      </c>
      <c r="D2103">
        <v>10021336081</v>
      </c>
      <c r="E2103" t="s">
        <v>47</v>
      </c>
      <c r="F2103" t="s">
        <v>152</v>
      </c>
      <c r="G2103" t="s">
        <v>153</v>
      </c>
      <c r="H2103" t="s">
        <v>1860</v>
      </c>
      <c r="I2103" t="s">
        <v>1861</v>
      </c>
      <c r="J2103" t="s">
        <v>367</v>
      </c>
      <c r="K2103" s="3">
        <v>100912343981</v>
      </c>
      <c r="L2103" s="10">
        <v>40155</v>
      </c>
      <c r="M2103">
        <v>410.35</v>
      </c>
      <c r="N2103" s="11">
        <v>48</v>
      </c>
      <c r="O2103" s="12">
        <v>9.11</v>
      </c>
      <c r="P2103" s="12">
        <v>2.15</v>
      </c>
      <c r="Q2103" s="13">
        <v>114.02</v>
      </c>
      <c r="R2103" s="36" t="s">
        <v>1449</v>
      </c>
      <c r="S2103" s="7">
        <f t="shared" si="177"/>
        <v>4</v>
      </c>
      <c r="T2103" s="15" t="str">
        <f>VLOOKUP(R2103,产品分类!$C$2:$D$1278,2,0)</f>
        <v>家具产品</v>
      </c>
    </row>
    <row r="2104" spans="1:20">
      <c r="A2104" s="8">
        <f>DATE(2012,12,31)-300</f>
        <v>40974</v>
      </c>
      <c r="B2104" s="8">
        <f>DATE(2012,12,31)-300</f>
        <v>40974</v>
      </c>
      <c r="C2104" s="9" t="s">
        <v>989</v>
      </c>
      <c r="D2104">
        <v>10021464446</v>
      </c>
      <c r="E2104" t="s">
        <v>47</v>
      </c>
      <c r="F2104" t="s">
        <v>66</v>
      </c>
      <c r="G2104" t="s">
        <v>67</v>
      </c>
      <c r="H2104" t="s">
        <v>1435</v>
      </c>
      <c r="I2104" t="s">
        <v>1436</v>
      </c>
      <c r="J2104" t="s">
        <v>367</v>
      </c>
      <c r="K2104" s="3">
        <v>100116180888</v>
      </c>
      <c r="L2104" s="10">
        <v>40978</v>
      </c>
      <c r="M2104">
        <v>1681.6</v>
      </c>
      <c r="N2104" s="11">
        <v>42</v>
      </c>
      <c r="O2104" s="12">
        <v>39.99</v>
      </c>
      <c r="P2104" s="12">
        <v>10.25</v>
      </c>
      <c r="Q2104" s="13">
        <v>167.37</v>
      </c>
      <c r="R2104" s="36" t="s">
        <v>1852</v>
      </c>
      <c r="S2104" s="7">
        <f t="shared" si="177"/>
        <v>4</v>
      </c>
      <c r="T2104" s="15" t="str">
        <f>VLOOKUP(R2104,产品分类!$C$2:$D$1278,2,0)</f>
        <v>办公用品</v>
      </c>
    </row>
    <row r="2105" spans="1:20">
      <c r="A2105" s="8">
        <f>DATE(2012,12,31)-864</f>
        <v>40410</v>
      </c>
      <c r="B2105" s="8">
        <f>DATE(2012,12,31)-864</f>
        <v>40410</v>
      </c>
      <c r="C2105" s="9" t="s">
        <v>1270</v>
      </c>
      <c r="D2105">
        <v>10021294694</v>
      </c>
      <c r="E2105" t="s">
        <v>47</v>
      </c>
      <c r="F2105" t="s">
        <v>78</v>
      </c>
      <c r="G2105" t="s">
        <v>79</v>
      </c>
      <c r="H2105" t="s">
        <v>1887</v>
      </c>
      <c r="I2105" t="s">
        <v>1888</v>
      </c>
      <c r="J2105" t="s">
        <v>367</v>
      </c>
      <c r="K2105" s="3">
        <v>10017530078</v>
      </c>
      <c r="L2105" s="10">
        <v>40412</v>
      </c>
      <c r="M2105">
        <v>1378.72</v>
      </c>
      <c r="N2105" s="11">
        <v>11</v>
      </c>
      <c r="O2105" s="12">
        <v>122.99</v>
      </c>
      <c r="P2105" s="12">
        <v>70.2</v>
      </c>
      <c r="Q2105" s="13">
        <v>-640.6</v>
      </c>
      <c r="R2105" s="36" t="s">
        <v>860</v>
      </c>
      <c r="S2105" s="7">
        <f t="shared" si="177"/>
        <v>2</v>
      </c>
      <c r="T2105" s="15" t="str">
        <f>VLOOKUP(R2105,产品分类!$C$2:$D$1278,2,0)</f>
        <v>办公用品</v>
      </c>
    </row>
    <row r="2106" spans="1:20">
      <c r="A2106" s="8">
        <f>DATE(2012,12,31)-1129</f>
        <v>40145</v>
      </c>
      <c r="B2106" s="8">
        <f>DATE(2012,12,31)-1129</f>
        <v>40145</v>
      </c>
      <c r="C2106" s="9" t="s">
        <v>770</v>
      </c>
      <c r="D2106">
        <v>10021250915</v>
      </c>
      <c r="E2106" t="s">
        <v>47</v>
      </c>
      <c r="F2106" t="s">
        <v>78</v>
      </c>
      <c r="G2106" t="s">
        <v>79</v>
      </c>
      <c r="H2106" t="s">
        <v>1887</v>
      </c>
      <c r="I2106" t="s">
        <v>1888</v>
      </c>
      <c r="J2106" t="s">
        <v>367</v>
      </c>
      <c r="K2106" s="3">
        <v>100116197006</v>
      </c>
      <c r="L2106" s="10">
        <v>40146</v>
      </c>
      <c r="M2106">
        <v>941.4</v>
      </c>
      <c r="N2106" s="11">
        <v>27</v>
      </c>
      <c r="O2106" s="12">
        <v>35.44</v>
      </c>
      <c r="P2106" s="12">
        <v>5.09</v>
      </c>
      <c r="Q2106" s="13">
        <v>369.48</v>
      </c>
      <c r="R2106" s="36" t="s">
        <v>1365</v>
      </c>
      <c r="S2106" s="7">
        <f t="shared" si="177"/>
        <v>1</v>
      </c>
      <c r="T2106" s="15" t="str">
        <f>VLOOKUP(R2106,产品分类!$C$2:$D$1278,2,0)</f>
        <v>办公用品</v>
      </c>
    </row>
    <row r="2107" spans="1:20">
      <c r="A2107" s="8">
        <f>DATE(2012,12,31)-1184</f>
        <v>40090</v>
      </c>
      <c r="B2107" s="8">
        <f>DATE(2012,12,31)-1184</f>
        <v>40090</v>
      </c>
      <c r="C2107" s="9" t="s">
        <v>1247</v>
      </c>
      <c r="D2107">
        <v>10021336827</v>
      </c>
      <c r="E2107" t="s">
        <v>47</v>
      </c>
      <c r="F2107" t="s">
        <v>72</v>
      </c>
      <c r="G2107" t="s">
        <v>73</v>
      </c>
      <c r="H2107" t="s">
        <v>1854</v>
      </c>
      <c r="I2107" t="s">
        <v>1855</v>
      </c>
      <c r="J2107" t="s">
        <v>367</v>
      </c>
      <c r="K2107" s="3">
        <v>100920767431</v>
      </c>
      <c r="L2107" s="10">
        <v>40090</v>
      </c>
      <c r="M2107">
        <v>1548.43</v>
      </c>
      <c r="N2107" s="11">
        <v>24</v>
      </c>
      <c r="O2107" s="12">
        <v>63.94</v>
      </c>
      <c r="P2107" s="12">
        <v>14.48</v>
      </c>
      <c r="Q2107" s="13">
        <v>622.89</v>
      </c>
      <c r="R2107" s="36" t="s">
        <v>1889</v>
      </c>
      <c r="S2107" s="7">
        <f t="shared" si="177"/>
        <v>0</v>
      </c>
      <c r="T2107" s="15" t="str">
        <f>VLOOKUP(R2107,产品分类!$C$2:$D$1278,2,0)</f>
        <v>家具产品</v>
      </c>
    </row>
    <row r="2108" spans="1:20">
      <c r="A2108" s="8">
        <f>DATE(2012,12,31)-1184</f>
        <v>40090</v>
      </c>
      <c r="B2108" s="8">
        <f>DATE(2012,12,31)-1184</f>
        <v>40090</v>
      </c>
      <c r="C2108" s="9" t="s">
        <v>1247</v>
      </c>
      <c r="D2108">
        <v>10021280530</v>
      </c>
      <c r="E2108" t="s">
        <v>47</v>
      </c>
      <c r="F2108" t="s">
        <v>72</v>
      </c>
      <c r="G2108" t="s">
        <v>73</v>
      </c>
      <c r="H2108" t="s">
        <v>1854</v>
      </c>
      <c r="I2108" t="s">
        <v>1855</v>
      </c>
      <c r="J2108" t="s">
        <v>367</v>
      </c>
      <c r="K2108" s="3">
        <v>100914918881</v>
      </c>
      <c r="L2108" s="10">
        <v>40092</v>
      </c>
      <c r="M2108">
        <v>54.84</v>
      </c>
      <c r="N2108" s="11">
        <v>10</v>
      </c>
      <c r="O2108" s="12">
        <v>5.02</v>
      </c>
      <c r="P2108" s="12">
        <v>5.14</v>
      </c>
      <c r="Q2108" s="13">
        <v>-56.3</v>
      </c>
      <c r="R2108" s="36" t="s">
        <v>597</v>
      </c>
      <c r="S2108" s="7">
        <f t="shared" si="177"/>
        <v>2</v>
      </c>
      <c r="T2108" s="15" t="str">
        <f>VLOOKUP(R2108,产品分类!$C$2:$D$1278,2,0)</f>
        <v>办公用品</v>
      </c>
    </row>
    <row r="2109" spans="1:20">
      <c r="A2109" s="16">
        <f>DATE(2012,12,31)-783</f>
        <v>40491</v>
      </c>
      <c r="B2109" s="16">
        <f>DATE(2012,12,31)-783</f>
        <v>40491</v>
      </c>
      <c r="C2109" s="9" t="s">
        <v>1809</v>
      </c>
      <c r="D2109">
        <v>10021300262</v>
      </c>
      <c r="E2109" t="s">
        <v>47</v>
      </c>
      <c r="F2109" t="s">
        <v>78</v>
      </c>
      <c r="G2109" t="s">
        <v>79</v>
      </c>
      <c r="H2109" t="s">
        <v>1887</v>
      </c>
      <c r="I2109" t="s">
        <v>1888</v>
      </c>
      <c r="J2109" t="s">
        <v>367</v>
      </c>
      <c r="K2109" s="3">
        <v>100329098589</v>
      </c>
      <c r="L2109" s="10">
        <v>40492</v>
      </c>
      <c r="M2109">
        <v>207.01</v>
      </c>
      <c r="N2109" s="17">
        <v>33</v>
      </c>
      <c r="O2109" s="5">
        <v>5.78</v>
      </c>
      <c r="P2109" s="5">
        <v>4.96</v>
      </c>
      <c r="Q2109" s="6">
        <v>-36.9</v>
      </c>
      <c r="R2109" s="37" t="s">
        <v>674</v>
      </c>
      <c r="S2109" s="7">
        <f t="shared" si="177"/>
        <v>1</v>
      </c>
      <c r="T2109" s="15" t="str">
        <f>VLOOKUP(R2109,产品分类!$C$2:$D$1278,2,0)</f>
        <v>家具产品</v>
      </c>
    </row>
    <row r="2110" spans="1:20">
      <c r="A2110" s="8">
        <f>DATE(2012,12,31)-1081</f>
        <v>40193</v>
      </c>
      <c r="B2110" s="8">
        <f>DATE(2012,12,31)-1081</f>
        <v>40193</v>
      </c>
      <c r="C2110" s="9" t="s">
        <v>1363</v>
      </c>
      <c r="D2110">
        <v>10021460392</v>
      </c>
      <c r="E2110" t="s">
        <v>47</v>
      </c>
      <c r="F2110" t="s">
        <v>72</v>
      </c>
      <c r="G2110" t="s">
        <v>73</v>
      </c>
      <c r="H2110" t="s">
        <v>1854</v>
      </c>
      <c r="I2110" t="s">
        <v>1855</v>
      </c>
      <c r="J2110" t="s">
        <v>367</v>
      </c>
      <c r="K2110" s="3">
        <v>10011092846</v>
      </c>
      <c r="L2110" s="10">
        <v>40196</v>
      </c>
      <c r="M2110">
        <v>3753.42</v>
      </c>
      <c r="N2110" s="11">
        <v>45</v>
      </c>
      <c r="O2110" s="12">
        <v>80.98</v>
      </c>
      <c r="P2110" s="12">
        <v>7.18</v>
      </c>
      <c r="Q2110" s="13">
        <v>1276.25</v>
      </c>
      <c r="R2110" s="36" t="s">
        <v>1734</v>
      </c>
      <c r="S2110" s="7">
        <f t="shared" si="177"/>
        <v>3</v>
      </c>
      <c r="T2110" s="15" t="str">
        <f>VLOOKUP(R2110,产品分类!$C$2:$D$1278,2,0)</f>
        <v>家具产品</v>
      </c>
    </row>
    <row r="2111" spans="1:20">
      <c r="A2111" s="16">
        <f>DATE(2012,12,31)-1081</f>
        <v>40193</v>
      </c>
      <c r="B2111" s="16">
        <f>DATE(2012,12,31)-1081</f>
        <v>40193</v>
      </c>
      <c r="C2111" s="9" t="s">
        <v>1363</v>
      </c>
      <c r="D2111">
        <v>10021288520</v>
      </c>
      <c r="E2111" t="s">
        <v>47</v>
      </c>
      <c r="F2111" t="s">
        <v>72</v>
      </c>
      <c r="G2111" t="s">
        <v>73</v>
      </c>
      <c r="H2111" t="s">
        <v>1854</v>
      </c>
      <c r="I2111" t="s">
        <v>1855</v>
      </c>
      <c r="J2111" t="s">
        <v>367</v>
      </c>
      <c r="K2111" s="3">
        <v>100929484481</v>
      </c>
      <c r="L2111" s="10">
        <v>40194</v>
      </c>
      <c r="M2111">
        <v>1130.79</v>
      </c>
      <c r="N2111" s="17">
        <v>23</v>
      </c>
      <c r="O2111" s="5">
        <v>48.91</v>
      </c>
      <c r="P2111" s="5">
        <v>5.97</v>
      </c>
      <c r="Q2111" s="6">
        <v>468.19</v>
      </c>
      <c r="R2111" s="37" t="s">
        <v>1890</v>
      </c>
      <c r="S2111" s="7">
        <f t="shared" si="177"/>
        <v>1</v>
      </c>
      <c r="T2111" s="15" t="str">
        <f>VLOOKUP(R2111,产品分类!$C$2:$D$1278,2,0)</f>
        <v>家具产品</v>
      </c>
    </row>
    <row r="2112" spans="1:20">
      <c r="A2112" s="8">
        <f>DATE(2012,12,31)-277</f>
        <v>40997</v>
      </c>
      <c r="B2112" s="8">
        <f>DATE(2012,12,31)-277</f>
        <v>40997</v>
      </c>
      <c r="C2112" s="9" t="s">
        <v>1334</v>
      </c>
      <c r="D2112">
        <v>10021417741</v>
      </c>
      <c r="E2112" t="s">
        <v>47</v>
      </c>
      <c r="F2112" t="s">
        <v>72</v>
      </c>
      <c r="G2112" t="s">
        <v>73</v>
      </c>
      <c r="H2112" t="s">
        <v>1854</v>
      </c>
      <c r="I2112" t="s">
        <v>1855</v>
      </c>
      <c r="J2112" t="s">
        <v>367</v>
      </c>
      <c r="K2112" s="3">
        <v>100117576338</v>
      </c>
      <c r="L2112" s="10">
        <v>41000</v>
      </c>
      <c r="M2112">
        <v>109.43</v>
      </c>
      <c r="N2112" s="11">
        <v>23</v>
      </c>
      <c r="O2112" s="12">
        <v>4.82</v>
      </c>
      <c r="P2112" s="12">
        <v>1.49</v>
      </c>
      <c r="Q2112" s="13">
        <v>21.7685</v>
      </c>
      <c r="R2112" s="36" t="s">
        <v>1891</v>
      </c>
      <c r="S2112" s="7">
        <f t="shared" si="177"/>
        <v>3</v>
      </c>
      <c r="T2112" s="15" t="str">
        <f>VLOOKUP(R2112,产品分类!$C$2:$D$1278,2,0)</f>
        <v>办公用品</v>
      </c>
    </row>
    <row r="2113" spans="1:20">
      <c r="A2113" s="8">
        <f>DATE(2012,12,31)-1154</f>
        <v>40120</v>
      </c>
      <c r="B2113" s="8">
        <f>DATE(2012,12,31)-1154</f>
        <v>40120</v>
      </c>
      <c r="C2113" s="9" t="s">
        <v>1054</v>
      </c>
      <c r="D2113">
        <v>10021283796</v>
      </c>
      <c r="E2113" t="s">
        <v>47</v>
      </c>
      <c r="F2113" t="s">
        <v>78</v>
      </c>
      <c r="G2113" t="s">
        <v>79</v>
      </c>
      <c r="H2113" t="s">
        <v>1887</v>
      </c>
      <c r="I2113" t="s">
        <v>1888</v>
      </c>
      <c r="J2113" t="s">
        <v>367</v>
      </c>
      <c r="K2113" s="3">
        <v>100127461127</v>
      </c>
      <c r="L2113" s="10">
        <v>40127</v>
      </c>
      <c r="M2113">
        <v>460.43</v>
      </c>
      <c r="N2113" s="11">
        <v>39</v>
      </c>
      <c r="O2113" s="12">
        <v>12.28</v>
      </c>
      <c r="P2113" s="12">
        <v>6.13</v>
      </c>
      <c r="Q2113" s="13">
        <v>-76.18</v>
      </c>
      <c r="R2113" s="36" t="s">
        <v>1802</v>
      </c>
      <c r="S2113" s="7">
        <f t="shared" si="177"/>
        <v>7</v>
      </c>
      <c r="T2113" s="15" t="str">
        <f>VLOOKUP(R2113,产品分类!$C$2:$D$1278,2,0)</f>
        <v>办公用品</v>
      </c>
    </row>
    <row r="2114" spans="1:20">
      <c r="A2114" s="8">
        <f t="shared" ref="A2114:B2116" si="180">DATE(2012,12,31)-704</f>
        <v>40570</v>
      </c>
      <c r="B2114" s="8">
        <f t="shared" si="180"/>
        <v>40570</v>
      </c>
      <c r="C2114" s="9" t="s">
        <v>315</v>
      </c>
      <c r="D2114">
        <v>10021341128</v>
      </c>
      <c r="E2114" t="s">
        <v>47</v>
      </c>
      <c r="F2114" t="s">
        <v>230</v>
      </c>
      <c r="G2114" t="s">
        <v>231</v>
      </c>
      <c r="H2114" t="s">
        <v>1798</v>
      </c>
      <c r="I2114" t="s">
        <v>1799</v>
      </c>
      <c r="J2114" t="s">
        <v>367</v>
      </c>
      <c r="K2114" s="3">
        <v>100124666736</v>
      </c>
      <c r="L2114" s="10">
        <v>40572</v>
      </c>
      <c r="M2114">
        <v>283.58</v>
      </c>
      <c r="N2114" s="11">
        <v>42</v>
      </c>
      <c r="O2114" s="12">
        <v>6.64</v>
      </c>
      <c r="P2114" s="12">
        <v>4.95</v>
      </c>
      <c r="Q2114" s="13">
        <v>-14.23</v>
      </c>
      <c r="R2114" s="36" t="s">
        <v>281</v>
      </c>
      <c r="S2114" s="7">
        <f t="shared" si="177"/>
        <v>2</v>
      </c>
      <c r="T2114" s="15" t="str">
        <f>VLOOKUP(R2114,产品分类!$C$2:$D$1278,2,0)</f>
        <v>数码电子</v>
      </c>
    </row>
    <row r="2115" spans="1:20">
      <c r="A2115" s="8">
        <f t="shared" si="180"/>
        <v>40570</v>
      </c>
      <c r="B2115" s="8">
        <f t="shared" si="180"/>
        <v>40570</v>
      </c>
      <c r="C2115" s="9" t="s">
        <v>315</v>
      </c>
      <c r="D2115">
        <v>10021252169</v>
      </c>
      <c r="E2115" t="s">
        <v>47</v>
      </c>
      <c r="F2115" t="s">
        <v>91</v>
      </c>
      <c r="G2115" t="s">
        <v>92</v>
      </c>
      <c r="H2115" t="s">
        <v>1412</v>
      </c>
      <c r="I2115" t="s">
        <v>1413</v>
      </c>
      <c r="J2115" t="s">
        <v>367</v>
      </c>
      <c r="K2115" s="3">
        <v>10047000454</v>
      </c>
      <c r="L2115" s="10">
        <v>40570</v>
      </c>
      <c r="M2115">
        <v>5403.37</v>
      </c>
      <c r="N2115" s="11">
        <v>39</v>
      </c>
      <c r="O2115" s="12">
        <v>145.45</v>
      </c>
      <c r="P2115" s="12">
        <v>17.85</v>
      </c>
      <c r="Q2115" s="13">
        <v>948.79</v>
      </c>
      <c r="R2115" s="36" t="s">
        <v>322</v>
      </c>
      <c r="S2115" s="7">
        <f t="shared" ref="S2115:S2178" si="181">+L2115-B2115</f>
        <v>0</v>
      </c>
      <c r="T2115" s="15" t="str">
        <f>VLOOKUP(R2115,产品分类!$C$2:$D$1278,2,0)</f>
        <v>家具产品</v>
      </c>
    </row>
    <row r="2116" spans="1:20">
      <c r="A2116" s="8">
        <f t="shared" si="180"/>
        <v>40570</v>
      </c>
      <c r="B2116" s="8">
        <f t="shared" si="180"/>
        <v>40570</v>
      </c>
      <c r="C2116" s="9" t="s">
        <v>315</v>
      </c>
      <c r="D2116">
        <v>10021331008</v>
      </c>
      <c r="E2116" t="s">
        <v>47</v>
      </c>
      <c r="F2116" t="s">
        <v>91</v>
      </c>
      <c r="G2116" t="s">
        <v>92</v>
      </c>
      <c r="H2116" t="s">
        <v>1412</v>
      </c>
      <c r="I2116" t="s">
        <v>1413</v>
      </c>
      <c r="J2116" t="s">
        <v>367</v>
      </c>
      <c r="K2116" s="3">
        <v>1001318837</v>
      </c>
      <c r="L2116" s="10">
        <v>40572</v>
      </c>
      <c r="M2116">
        <v>82.15</v>
      </c>
      <c r="N2116" s="11">
        <v>35</v>
      </c>
      <c r="O2116" s="12">
        <v>2.21</v>
      </c>
      <c r="P2116" s="12">
        <v>1.12</v>
      </c>
      <c r="Q2116" s="13">
        <v>-6.33</v>
      </c>
      <c r="R2116" s="36" t="s">
        <v>1892</v>
      </c>
      <c r="S2116" s="7">
        <f t="shared" si="181"/>
        <v>2</v>
      </c>
      <c r="T2116" s="15" t="str">
        <f>VLOOKUP(R2116,产品分类!$C$2:$D$1278,2,0)</f>
        <v>办公用品</v>
      </c>
    </row>
    <row r="2117" spans="1:20">
      <c r="A2117" s="8">
        <f>DATE(2012,12,31)-1222</f>
        <v>40052</v>
      </c>
      <c r="B2117" s="8">
        <f>DATE(2012,12,31)-1222</f>
        <v>40052</v>
      </c>
      <c r="C2117" s="9" t="s">
        <v>1555</v>
      </c>
      <c r="D2117">
        <v>10021466389</v>
      </c>
      <c r="E2117" t="s">
        <v>47</v>
      </c>
      <c r="F2117" t="s">
        <v>91</v>
      </c>
      <c r="G2117" t="s">
        <v>92</v>
      </c>
      <c r="H2117" t="s">
        <v>1412</v>
      </c>
      <c r="I2117" t="s">
        <v>1413</v>
      </c>
      <c r="J2117" t="s">
        <v>367</v>
      </c>
      <c r="K2117" s="3">
        <v>10031382349</v>
      </c>
      <c r="L2117" s="10">
        <v>40054</v>
      </c>
      <c r="M2117">
        <v>2066.16</v>
      </c>
      <c r="N2117" s="11">
        <v>50</v>
      </c>
      <c r="O2117" s="12">
        <v>40.99</v>
      </c>
      <c r="P2117" s="12">
        <v>17.48</v>
      </c>
      <c r="Q2117" s="13">
        <v>372.36</v>
      </c>
      <c r="R2117" s="36" t="s">
        <v>620</v>
      </c>
      <c r="S2117" s="7">
        <f t="shared" si="181"/>
        <v>2</v>
      </c>
      <c r="T2117" s="15" t="str">
        <f>VLOOKUP(R2117,产品分类!$C$2:$D$1278,2,0)</f>
        <v>数码电子</v>
      </c>
    </row>
    <row r="2118" spans="1:20">
      <c r="A2118" s="8">
        <f t="shared" ref="A2118:B2122" si="182">DATE(2012,12,31)-748</f>
        <v>40526</v>
      </c>
      <c r="B2118" s="8">
        <f t="shared" si="182"/>
        <v>40526</v>
      </c>
      <c r="C2118" s="9" t="s">
        <v>1564</v>
      </c>
      <c r="D2118">
        <v>10021250042</v>
      </c>
      <c r="E2118" t="s">
        <v>47</v>
      </c>
      <c r="F2118" t="s">
        <v>91</v>
      </c>
      <c r="G2118" t="s">
        <v>92</v>
      </c>
      <c r="H2118" t="s">
        <v>1412</v>
      </c>
      <c r="I2118" t="s">
        <v>1413</v>
      </c>
      <c r="J2118" t="s">
        <v>367</v>
      </c>
      <c r="K2118" s="3">
        <v>100113438416</v>
      </c>
      <c r="L2118" s="10">
        <v>40529</v>
      </c>
      <c r="M2118">
        <v>230.72</v>
      </c>
      <c r="N2118" s="11">
        <v>11</v>
      </c>
      <c r="O2118" s="12">
        <v>20.95</v>
      </c>
      <c r="P2118" s="12">
        <v>5.99</v>
      </c>
      <c r="Q2118" s="13">
        <v>-68.76</v>
      </c>
      <c r="R2118" s="36" t="s">
        <v>1324</v>
      </c>
      <c r="S2118" s="7">
        <f t="shared" si="181"/>
        <v>3</v>
      </c>
      <c r="T2118" s="15" t="str">
        <f>VLOOKUP(R2118,产品分类!$C$2:$D$1278,2,0)</f>
        <v>家具产品</v>
      </c>
    </row>
    <row r="2119" spans="1:20">
      <c r="A2119" s="8">
        <f t="shared" si="182"/>
        <v>40526</v>
      </c>
      <c r="B2119" s="8">
        <f t="shared" si="182"/>
        <v>40526</v>
      </c>
      <c r="C2119" s="9" t="s">
        <v>1564</v>
      </c>
      <c r="D2119">
        <v>10021428695</v>
      </c>
      <c r="E2119" t="s">
        <v>47</v>
      </c>
      <c r="F2119" t="s">
        <v>55</v>
      </c>
      <c r="G2119" t="s">
        <v>56</v>
      </c>
      <c r="H2119" t="s">
        <v>1869</v>
      </c>
      <c r="I2119" t="s">
        <v>1870</v>
      </c>
      <c r="J2119" t="s">
        <v>367</v>
      </c>
      <c r="K2119" s="3">
        <v>100731088695</v>
      </c>
      <c r="L2119" s="10">
        <v>40528</v>
      </c>
      <c r="M2119">
        <v>293.47</v>
      </c>
      <c r="N2119" s="11">
        <v>45</v>
      </c>
      <c r="O2119" s="12">
        <v>6.48</v>
      </c>
      <c r="P2119" s="12">
        <v>8.4</v>
      </c>
      <c r="Q2119" s="13">
        <v>-205.38</v>
      </c>
      <c r="R2119" s="36" t="s">
        <v>767</v>
      </c>
      <c r="S2119" s="7">
        <f t="shared" si="181"/>
        <v>2</v>
      </c>
      <c r="T2119" s="15" t="str">
        <f>VLOOKUP(R2119,产品分类!$C$2:$D$1278,2,0)</f>
        <v>家具产品</v>
      </c>
    </row>
    <row r="2120" spans="1:20">
      <c r="A2120" s="8">
        <f t="shared" si="182"/>
        <v>40526</v>
      </c>
      <c r="B2120" s="8">
        <f t="shared" si="182"/>
        <v>40526</v>
      </c>
      <c r="C2120" s="9" t="s">
        <v>1564</v>
      </c>
      <c r="D2120">
        <v>10021416614</v>
      </c>
      <c r="E2120" t="s">
        <v>47</v>
      </c>
      <c r="F2120" t="s">
        <v>97</v>
      </c>
      <c r="G2120" t="s">
        <v>98</v>
      </c>
      <c r="H2120" t="s">
        <v>99</v>
      </c>
      <c r="I2120" t="s">
        <v>98</v>
      </c>
      <c r="J2120" t="s">
        <v>367</v>
      </c>
      <c r="K2120" s="3">
        <v>100810607042</v>
      </c>
      <c r="L2120" s="10">
        <v>40528</v>
      </c>
      <c r="M2120">
        <v>88.7</v>
      </c>
      <c r="N2120" s="11">
        <v>33</v>
      </c>
      <c r="O2120" s="12">
        <v>2.52</v>
      </c>
      <c r="P2120" s="12">
        <v>4.28</v>
      </c>
      <c r="Q2120" s="13">
        <v>-89.13</v>
      </c>
      <c r="R2120" s="36" t="s">
        <v>1653</v>
      </c>
      <c r="S2120" s="7">
        <f t="shared" si="181"/>
        <v>2</v>
      </c>
      <c r="T2120" s="15" t="str">
        <f>VLOOKUP(R2120,产品分类!$C$2:$D$1278,2,0)</f>
        <v>办公用品</v>
      </c>
    </row>
    <row r="2121" spans="1:20">
      <c r="A2121" s="8">
        <f t="shared" si="182"/>
        <v>40526</v>
      </c>
      <c r="B2121" s="8">
        <f t="shared" si="182"/>
        <v>40526</v>
      </c>
      <c r="C2121" s="9" t="s">
        <v>1564</v>
      </c>
      <c r="D2121">
        <v>10021465261</v>
      </c>
      <c r="E2121" t="s">
        <v>47</v>
      </c>
      <c r="F2121" t="s">
        <v>132</v>
      </c>
      <c r="G2121" t="s">
        <v>133</v>
      </c>
      <c r="H2121" t="s">
        <v>134</v>
      </c>
      <c r="I2121" t="s">
        <v>133</v>
      </c>
      <c r="J2121" t="s">
        <v>367</v>
      </c>
      <c r="K2121" s="3">
        <v>100328121259</v>
      </c>
      <c r="L2121" s="10">
        <v>40527</v>
      </c>
      <c r="M2121">
        <v>262.78</v>
      </c>
      <c r="N2121" s="11">
        <v>23</v>
      </c>
      <c r="O2121" s="12">
        <v>10.98</v>
      </c>
      <c r="P2121" s="12">
        <v>3.37</v>
      </c>
      <c r="Q2121" s="13">
        <v>19.36</v>
      </c>
      <c r="R2121" s="36" t="s">
        <v>1792</v>
      </c>
      <c r="S2121" s="7">
        <f t="shared" si="181"/>
        <v>1</v>
      </c>
      <c r="T2121" s="15" t="str">
        <f>VLOOKUP(R2121,产品分类!$C$2:$D$1278,2,0)</f>
        <v>办公用品</v>
      </c>
    </row>
    <row r="2122" spans="1:20">
      <c r="A2122" s="8">
        <f t="shared" si="182"/>
        <v>40526</v>
      </c>
      <c r="B2122" s="8">
        <f t="shared" si="182"/>
        <v>40526</v>
      </c>
      <c r="C2122" s="9" t="s">
        <v>1564</v>
      </c>
      <c r="D2122">
        <v>10021470384</v>
      </c>
      <c r="E2122" t="s">
        <v>47</v>
      </c>
      <c r="F2122" t="s">
        <v>97</v>
      </c>
      <c r="G2122" t="s">
        <v>98</v>
      </c>
      <c r="H2122" t="s">
        <v>99</v>
      </c>
      <c r="I2122" t="s">
        <v>98</v>
      </c>
      <c r="J2122" t="s">
        <v>367</v>
      </c>
      <c r="K2122" s="3">
        <v>100332947609</v>
      </c>
      <c r="L2122" s="10">
        <v>40528</v>
      </c>
      <c r="M2122">
        <v>142.15</v>
      </c>
      <c r="N2122" s="11">
        <v>10</v>
      </c>
      <c r="O2122" s="12">
        <v>14.03</v>
      </c>
      <c r="P2122" s="12">
        <v>9.37</v>
      </c>
      <c r="Q2122" s="13">
        <v>-58.18</v>
      </c>
      <c r="R2122" s="36" t="s">
        <v>1014</v>
      </c>
      <c r="S2122" s="7">
        <f t="shared" si="181"/>
        <v>2</v>
      </c>
      <c r="T2122" s="15" t="str">
        <f>VLOOKUP(R2122,产品分类!$C$2:$D$1278,2,0)</f>
        <v>数码电子</v>
      </c>
    </row>
    <row r="2123" spans="1:20">
      <c r="A2123" s="8">
        <f>DATE(2012,12,31)-1110</f>
        <v>40164</v>
      </c>
      <c r="B2123" s="8">
        <f>DATE(2012,12,31)-1110</f>
        <v>40164</v>
      </c>
      <c r="C2123" s="9" t="s">
        <v>1879</v>
      </c>
      <c r="D2123">
        <v>10021267549</v>
      </c>
      <c r="E2123" t="s">
        <v>47</v>
      </c>
      <c r="F2123" t="s">
        <v>102</v>
      </c>
      <c r="G2123" t="s">
        <v>103</v>
      </c>
      <c r="H2123" t="s">
        <v>1217</v>
      </c>
      <c r="I2123" t="s">
        <v>1218</v>
      </c>
      <c r="J2123" t="s">
        <v>367</v>
      </c>
      <c r="K2123" s="3">
        <v>100132098837</v>
      </c>
      <c r="L2123" s="10">
        <v>40166</v>
      </c>
      <c r="M2123">
        <v>970.47</v>
      </c>
      <c r="N2123" s="11">
        <v>13</v>
      </c>
      <c r="O2123" s="12">
        <v>81.32</v>
      </c>
      <c r="P2123" s="12">
        <v>0.99</v>
      </c>
      <c r="Q2123" s="13">
        <v>192.38</v>
      </c>
      <c r="R2123" s="36" t="s">
        <v>1893</v>
      </c>
      <c r="S2123" s="7">
        <f t="shared" si="181"/>
        <v>2</v>
      </c>
      <c r="T2123" s="15" t="str">
        <f>VLOOKUP(R2123,产品分类!$C$2:$D$1278,2,0)</f>
        <v>办公用品</v>
      </c>
    </row>
    <row r="2124" spans="1:20">
      <c r="A2124" s="8">
        <f>DATE(2012,12,31)-1138</f>
        <v>40136</v>
      </c>
      <c r="B2124" s="8">
        <f>DATE(2012,12,31)-1138</f>
        <v>40136</v>
      </c>
      <c r="C2124" s="9" t="s">
        <v>430</v>
      </c>
      <c r="D2124">
        <v>10021428534</v>
      </c>
      <c r="E2124" t="s">
        <v>47</v>
      </c>
      <c r="F2124" t="s">
        <v>102</v>
      </c>
      <c r="G2124" t="s">
        <v>103</v>
      </c>
      <c r="H2124" t="s">
        <v>1217</v>
      </c>
      <c r="I2124" t="s">
        <v>1218</v>
      </c>
      <c r="J2124" t="s">
        <v>367</v>
      </c>
      <c r="K2124" s="3">
        <v>100928582231</v>
      </c>
      <c r="L2124" s="10">
        <v>40138</v>
      </c>
      <c r="M2124">
        <v>5203.9</v>
      </c>
      <c r="N2124" s="11">
        <v>17</v>
      </c>
      <c r="O2124" s="12">
        <v>300.98</v>
      </c>
      <c r="P2124" s="12">
        <v>64.73</v>
      </c>
      <c r="Q2124" s="13">
        <v>636.2</v>
      </c>
      <c r="R2124" s="36" t="s">
        <v>1063</v>
      </c>
      <c r="S2124" s="7">
        <f t="shared" si="181"/>
        <v>2</v>
      </c>
      <c r="T2124" s="15" t="str">
        <f>VLOOKUP(R2124,产品分类!$C$2:$D$1278,2,0)</f>
        <v>办公用品</v>
      </c>
    </row>
    <row r="2125" spans="1:20">
      <c r="A2125" s="16">
        <f>DATE(2012,12,31)-1138</f>
        <v>40136</v>
      </c>
      <c r="B2125" s="16">
        <f>DATE(2012,12,31)-1138</f>
        <v>40136</v>
      </c>
      <c r="C2125" s="9" t="s">
        <v>430</v>
      </c>
      <c r="D2125">
        <v>10021396098</v>
      </c>
      <c r="E2125" t="s">
        <v>47</v>
      </c>
      <c r="F2125" t="s">
        <v>102</v>
      </c>
      <c r="G2125" t="s">
        <v>103</v>
      </c>
      <c r="H2125" t="s">
        <v>1217</v>
      </c>
      <c r="I2125" t="s">
        <v>1218</v>
      </c>
      <c r="J2125" t="s">
        <v>367</v>
      </c>
      <c r="K2125" s="3">
        <v>100117128786</v>
      </c>
      <c r="L2125" s="10">
        <v>40136</v>
      </c>
      <c r="M2125">
        <v>744.12</v>
      </c>
      <c r="N2125" s="17">
        <v>33</v>
      </c>
      <c r="O2125" s="5">
        <v>20.98</v>
      </c>
      <c r="P2125" s="5">
        <v>45</v>
      </c>
      <c r="Q2125" s="6">
        <v>-1163.21</v>
      </c>
      <c r="R2125" s="37" t="s">
        <v>944</v>
      </c>
      <c r="S2125" s="7">
        <f t="shared" si="181"/>
        <v>0</v>
      </c>
      <c r="T2125" s="15" t="str">
        <f>VLOOKUP(R2125,产品分类!$C$2:$D$1278,2,0)</f>
        <v>数码电子</v>
      </c>
    </row>
    <row r="2126" spans="1:20">
      <c r="A2126" s="8">
        <f>DATE(2012,12,31)-271</f>
        <v>41003</v>
      </c>
      <c r="B2126" s="8">
        <f>DATE(2012,12,31)-271</f>
        <v>41003</v>
      </c>
      <c r="C2126" s="9" t="s">
        <v>375</v>
      </c>
      <c r="D2126">
        <v>10021414672</v>
      </c>
      <c r="E2126" t="s">
        <v>47</v>
      </c>
      <c r="F2126" t="s">
        <v>304</v>
      </c>
      <c r="G2126" t="s">
        <v>305</v>
      </c>
      <c r="H2126" t="s">
        <v>1550</v>
      </c>
      <c r="I2126" t="s">
        <v>1551</v>
      </c>
      <c r="J2126" t="s">
        <v>367</v>
      </c>
      <c r="K2126" s="3">
        <v>10045595844</v>
      </c>
      <c r="L2126" s="10">
        <v>41005</v>
      </c>
      <c r="M2126">
        <v>330.22</v>
      </c>
      <c r="N2126" s="11">
        <v>21</v>
      </c>
      <c r="O2126" s="12">
        <v>15.28</v>
      </c>
      <c r="P2126" s="12">
        <v>10.91</v>
      </c>
      <c r="Q2126" s="13">
        <v>-51.7155</v>
      </c>
      <c r="R2126" s="36" t="s">
        <v>1624</v>
      </c>
      <c r="S2126" s="7">
        <f t="shared" si="181"/>
        <v>2</v>
      </c>
      <c r="T2126" s="15" t="str">
        <f>VLOOKUP(R2126,产品分类!$C$2:$D$1278,2,0)</f>
        <v>办公用品</v>
      </c>
    </row>
    <row r="2127" spans="1:20">
      <c r="A2127" s="8">
        <f>DATE(2012,12,31)-1384</f>
        <v>39890</v>
      </c>
      <c r="B2127" s="8">
        <f>DATE(2012,12,31)-1384</f>
        <v>39890</v>
      </c>
      <c r="C2127" s="9" t="s">
        <v>326</v>
      </c>
      <c r="D2127">
        <v>10021248219</v>
      </c>
      <c r="E2127" t="s">
        <v>47</v>
      </c>
      <c r="F2127" t="s">
        <v>171</v>
      </c>
      <c r="G2127" t="s">
        <v>172</v>
      </c>
      <c r="H2127" t="s">
        <v>1712</v>
      </c>
      <c r="I2127" t="s">
        <v>1713</v>
      </c>
      <c r="J2127" t="s">
        <v>367</v>
      </c>
      <c r="K2127" s="3">
        <v>1009791201</v>
      </c>
      <c r="L2127" s="10">
        <v>39890</v>
      </c>
      <c r="M2127">
        <v>356.4645</v>
      </c>
      <c r="N2127" s="11">
        <v>19</v>
      </c>
      <c r="O2127" s="12">
        <v>20.99</v>
      </c>
      <c r="P2127" s="12">
        <v>4.81</v>
      </c>
      <c r="Q2127" s="13">
        <v>-9.108</v>
      </c>
      <c r="R2127" s="36" t="s">
        <v>692</v>
      </c>
      <c r="S2127" s="7">
        <f t="shared" si="181"/>
        <v>0</v>
      </c>
      <c r="T2127" s="15" t="str">
        <f>VLOOKUP(R2127,产品分类!$C$2:$D$1278,2,0)</f>
        <v>办公用品</v>
      </c>
    </row>
    <row r="2128" spans="1:20">
      <c r="A2128" s="8">
        <f>DATE(2012,12,31)-906</f>
        <v>40368</v>
      </c>
      <c r="B2128" s="8">
        <f>DATE(2012,12,31)-906</f>
        <v>40368</v>
      </c>
      <c r="C2128" s="9" t="s">
        <v>1894</v>
      </c>
      <c r="D2128">
        <v>10021508177</v>
      </c>
      <c r="E2128" t="s">
        <v>47</v>
      </c>
      <c r="F2128" t="s">
        <v>171</v>
      </c>
      <c r="G2128" t="s">
        <v>172</v>
      </c>
      <c r="H2128" t="s">
        <v>1712</v>
      </c>
      <c r="I2128" t="s">
        <v>1713</v>
      </c>
      <c r="J2128" t="s">
        <v>367</v>
      </c>
      <c r="K2128" s="3">
        <v>10097015791</v>
      </c>
      <c r="L2128" s="10">
        <v>40370</v>
      </c>
      <c r="M2128">
        <v>1340.93</v>
      </c>
      <c r="N2128" s="11">
        <v>36</v>
      </c>
      <c r="O2128" s="12">
        <v>39.98</v>
      </c>
      <c r="P2128" s="12">
        <v>9.2</v>
      </c>
      <c r="Q2128" s="13">
        <v>154.16</v>
      </c>
      <c r="R2128" s="36" t="s">
        <v>1787</v>
      </c>
      <c r="S2128" s="7">
        <f t="shared" si="181"/>
        <v>2</v>
      </c>
      <c r="T2128" s="15" t="str">
        <f>VLOOKUP(R2128,产品分类!$C$2:$D$1278,2,0)</f>
        <v>办公用品</v>
      </c>
    </row>
    <row r="2129" spans="1:20">
      <c r="A2129" s="8">
        <f>DATE(2012,12,31)-655</f>
        <v>40619</v>
      </c>
      <c r="B2129" s="8">
        <f>DATE(2012,12,31)-655</f>
        <v>40619</v>
      </c>
      <c r="C2129" s="9" t="s">
        <v>742</v>
      </c>
      <c r="D2129">
        <v>10021332854</v>
      </c>
      <c r="E2129" t="s">
        <v>47</v>
      </c>
      <c r="F2129" t="s">
        <v>171</v>
      </c>
      <c r="G2129" t="s">
        <v>172</v>
      </c>
      <c r="H2129" t="s">
        <v>1712</v>
      </c>
      <c r="I2129" t="s">
        <v>1713</v>
      </c>
      <c r="J2129" t="s">
        <v>367</v>
      </c>
      <c r="K2129" s="3">
        <v>100112930078</v>
      </c>
      <c r="L2129" s="10">
        <v>40621</v>
      </c>
      <c r="M2129">
        <v>4605.36</v>
      </c>
      <c r="N2129" s="11">
        <v>18</v>
      </c>
      <c r="O2129" s="12">
        <v>243.98</v>
      </c>
      <c r="P2129" s="12">
        <v>43.32</v>
      </c>
      <c r="Q2129" s="13">
        <v>678.26</v>
      </c>
      <c r="R2129" s="36" t="s">
        <v>704</v>
      </c>
      <c r="S2129" s="7">
        <f t="shared" si="181"/>
        <v>2</v>
      </c>
      <c r="T2129" s="15" t="str">
        <f>VLOOKUP(R2129,产品分类!$C$2:$D$1278,2,0)</f>
        <v>数码电子</v>
      </c>
    </row>
    <row r="2130" spans="1:20">
      <c r="A2130" s="8">
        <f>DATE(2012,12,31)-655</f>
        <v>40619</v>
      </c>
      <c r="B2130" s="8">
        <f>DATE(2012,12,31)-655</f>
        <v>40619</v>
      </c>
      <c r="C2130" s="9" t="s">
        <v>742</v>
      </c>
      <c r="D2130">
        <v>10021249500</v>
      </c>
      <c r="E2130" t="s">
        <v>47</v>
      </c>
      <c r="F2130" t="s">
        <v>171</v>
      </c>
      <c r="G2130" t="s">
        <v>172</v>
      </c>
      <c r="H2130" t="s">
        <v>1712</v>
      </c>
      <c r="I2130" t="s">
        <v>1713</v>
      </c>
      <c r="J2130" t="s">
        <v>367</v>
      </c>
      <c r="K2130" s="3">
        <v>10049647833</v>
      </c>
      <c r="L2130" s="10">
        <v>40620</v>
      </c>
      <c r="M2130">
        <v>1753.51</v>
      </c>
      <c r="N2130" s="11">
        <v>42</v>
      </c>
      <c r="O2130" s="12">
        <v>39.98</v>
      </c>
      <c r="P2130" s="12">
        <v>9.2</v>
      </c>
      <c r="Q2130" s="13">
        <v>155.72</v>
      </c>
      <c r="R2130" s="36" t="s">
        <v>1787</v>
      </c>
      <c r="S2130" s="7">
        <f t="shared" si="181"/>
        <v>1</v>
      </c>
      <c r="T2130" s="15" t="str">
        <f>VLOOKUP(R2130,产品分类!$C$2:$D$1278,2,0)</f>
        <v>办公用品</v>
      </c>
    </row>
    <row r="2131" spans="1:20">
      <c r="A2131" s="8">
        <f>DATE(2012,12,31)-788</f>
        <v>40486</v>
      </c>
      <c r="B2131" s="8">
        <f>DATE(2012,12,31)-788</f>
        <v>40486</v>
      </c>
      <c r="C2131" s="9" t="s">
        <v>611</v>
      </c>
      <c r="D2131">
        <v>10021303643</v>
      </c>
      <c r="E2131" t="s">
        <v>47</v>
      </c>
      <c r="F2131" t="s">
        <v>171</v>
      </c>
      <c r="G2131" t="s">
        <v>172</v>
      </c>
      <c r="H2131" t="s">
        <v>1712</v>
      </c>
      <c r="I2131" t="s">
        <v>1713</v>
      </c>
      <c r="J2131" t="s">
        <v>367</v>
      </c>
      <c r="K2131" s="3">
        <v>100813567332</v>
      </c>
      <c r="L2131" s="10">
        <v>40491</v>
      </c>
      <c r="M2131">
        <v>5287.16</v>
      </c>
      <c r="N2131" s="11">
        <v>35</v>
      </c>
      <c r="O2131" s="12">
        <v>150.98</v>
      </c>
      <c r="P2131" s="12">
        <v>66.27</v>
      </c>
      <c r="Q2131" s="13">
        <v>-769.05</v>
      </c>
      <c r="R2131" s="36" t="s">
        <v>1166</v>
      </c>
      <c r="S2131" s="7">
        <f t="shared" si="181"/>
        <v>5</v>
      </c>
      <c r="T2131" s="15" t="str">
        <f>VLOOKUP(R2131,产品分类!$C$2:$D$1278,2,0)</f>
        <v>办公用品</v>
      </c>
    </row>
    <row r="2132" spans="1:20">
      <c r="A2132" s="8">
        <f>DATE(2012,12,31)-1025</f>
        <v>40249</v>
      </c>
      <c r="B2132" s="8">
        <f>DATE(2012,12,31)-1025</f>
        <v>40249</v>
      </c>
      <c r="C2132" s="9" t="s">
        <v>1895</v>
      </c>
      <c r="D2132">
        <v>10021343997</v>
      </c>
      <c r="E2132" t="s">
        <v>47</v>
      </c>
      <c r="F2132" t="s">
        <v>171</v>
      </c>
      <c r="G2132" t="s">
        <v>172</v>
      </c>
      <c r="H2132" t="s">
        <v>1712</v>
      </c>
      <c r="I2132" t="s">
        <v>1713</v>
      </c>
      <c r="J2132" t="s">
        <v>367</v>
      </c>
      <c r="K2132" s="3">
        <v>10042410733</v>
      </c>
      <c r="L2132" s="10">
        <v>40250</v>
      </c>
      <c r="M2132">
        <v>2185.9535</v>
      </c>
      <c r="N2132" s="11">
        <v>21</v>
      </c>
      <c r="O2132" s="12">
        <v>125.99</v>
      </c>
      <c r="P2132" s="12">
        <v>8.99</v>
      </c>
      <c r="Q2132" s="13">
        <v>268.011</v>
      </c>
      <c r="R2132" s="36" t="s">
        <v>1634</v>
      </c>
      <c r="S2132" s="7">
        <f t="shared" si="181"/>
        <v>1</v>
      </c>
      <c r="T2132" s="15" t="str">
        <f>VLOOKUP(R2132,产品分类!$C$2:$D$1278,2,0)</f>
        <v>家具产品</v>
      </c>
    </row>
    <row r="2133" spans="1:20">
      <c r="A2133" s="8">
        <f>DATE(2012,12,31)-1025</f>
        <v>40249</v>
      </c>
      <c r="B2133" s="8">
        <f>DATE(2012,12,31)-1025</f>
        <v>40249</v>
      </c>
      <c r="C2133" s="9" t="s">
        <v>1895</v>
      </c>
      <c r="D2133">
        <v>10021396863</v>
      </c>
      <c r="E2133" t="s">
        <v>47</v>
      </c>
      <c r="F2133" t="s">
        <v>177</v>
      </c>
      <c r="G2133" t="s">
        <v>178</v>
      </c>
      <c r="H2133" t="s">
        <v>1292</v>
      </c>
      <c r="I2133" t="s">
        <v>1293</v>
      </c>
      <c r="J2133" t="s">
        <v>367</v>
      </c>
      <c r="K2133" s="3">
        <v>100925617081</v>
      </c>
      <c r="L2133" s="10">
        <v>40250</v>
      </c>
      <c r="M2133">
        <v>1323.5435</v>
      </c>
      <c r="N2133" s="11">
        <v>12</v>
      </c>
      <c r="O2133" s="12">
        <v>125.99</v>
      </c>
      <c r="P2133" s="12">
        <v>8.08</v>
      </c>
      <c r="Q2133" s="13">
        <v>-34.727</v>
      </c>
      <c r="R2133" s="36" t="s">
        <v>569</v>
      </c>
      <c r="S2133" s="7">
        <f t="shared" si="181"/>
        <v>1</v>
      </c>
      <c r="T2133" s="15" t="str">
        <f>VLOOKUP(R2133,产品分类!$C$2:$D$1278,2,0)</f>
        <v>家具产品</v>
      </c>
    </row>
    <row r="2134" spans="1:20">
      <c r="A2134" s="16">
        <f>DATE(2012,12,31)-266</f>
        <v>41008</v>
      </c>
      <c r="B2134" s="16">
        <f>DATE(2012,12,31)-266</f>
        <v>41008</v>
      </c>
      <c r="C2134" s="9" t="s">
        <v>457</v>
      </c>
      <c r="D2134">
        <v>10021493666</v>
      </c>
      <c r="E2134" t="s">
        <v>47</v>
      </c>
      <c r="F2134" t="s">
        <v>342</v>
      </c>
      <c r="G2134" t="s">
        <v>343</v>
      </c>
      <c r="H2134" t="s">
        <v>1806</v>
      </c>
      <c r="I2134" t="s">
        <v>1807</v>
      </c>
      <c r="J2134" t="s">
        <v>367</v>
      </c>
      <c r="K2134" s="3">
        <v>10033899759</v>
      </c>
      <c r="L2134" s="10">
        <v>41009</v>
      </c>
      <c r="M2134">
        <v>341.42</v>
      </c>
      <c r="N2134" s="17">
        <v>33</v>
      </c>
      <c r="O2134" s="5">
        <v>10.91</v>
      </c>
      <c r="P2134" s="5">
        <v>2.99</v>
      </c>
      <c r="Q2134" s="6">
        <v>71.502</v>
      </c>
      <c r="R2134" s="37" t="s">
        <v>588</v>
      </c>
      <c r="S2134" s="7">
        <f t="shared" si="181"/>
        <v>1</v>
      </c>
      <c r="T2134" s="15" t="str">
        <f>VLOOKUP(R2134,产品分类!$C$2:$D$1278,2,0)</f>
        <v>家具产品</v>
      </c>
    </row>
    <row r="2135" spans="1:20">
      <c r="A2135" s="8">
        <f>DATE(2012,12,31)-266</f>
        <v>41008</v>
      </c>
      <c r="B2135" s="8">
        <f>DATE(2012,12,31)-266</f>
        <v>41008</v>
      </c>
      <c r="C2135" s="9" t="s">
        <v>457</v>
      </c>
      <c r="D2135">
        <v>10021465717</v>
      </c>
      <c r="E2135" t="s">
        <v>47</v>
      </c>
      <c r="F2135" t="s">
        <v>167</v>
      </c>
      <c r="G2135" t="s">
        <v>168</v>
      </c>
      <c r="H2135" t="s">
        <v>169</v>
      </c>
      <c r="I2135" t="s">
        <v>168</v>
      </c>
      <c r="J2135" t="s">
        <v>668</v>
      </c>
      <c r="K2135" s="3">
        <v>100428629724</v>
      </c>
      <c r="L2135" s="10">
        <v>41010</v>
      </c>
      <c r="M2135">
        <v>381.39</v>
      </c>
      <c r="N2135" s="11">
        <v>30</v>
      </c>
      <c r="O2135" s="12">
        <v>12.07</v>
      </c>
      <c r="P2135" s="12">
        <v>6.2</v>
      </c>
      <c r="Q2135" s="13">
        <v>31.24</v>
      </c>
      <c r="R2135" s="36" t="s">
        <v>869</v>
      </c>
      <c r="S2135" s="7">
        <f t="shared" si="181"/>
        <v>2</v>
      </c>
      <c r="T2135" s="15" t="str">
        <f>VLOOKUP(R2135,产品分类!$C$2:$D$1278,2,0)</f>
        <v>家具产品</v>
      </c>
    </row>
    <row r="2136" spans="1:20">
      <c r="A2136" s="8">
        <f>DATE(2012,12,31)-410</f>
        <v>40864</v>
      </c>
      <c r="B2136" s="8">
        <f>DATE(2012,12,31)-410</f>
        <v>40864</v>
      </c>
      <c r="C2136" s="9" t="s">
        <v>1034</v>
      </c>
      <c r="D2136">
        <v>10021255885</v>
      </c>
      <c r="E2136" t="s">
        <v>47</v>
      </c>
      <c r="F2136" t="s">
        <v>342</v>
      </c>
      <c r="G2136" t="s">
        <v>343</v>
      </c>
      <c r="H2136" t="s">
        <v>1806</v>
      </c>
      <c r="I2136" t="s">
        <v>1807</v>
      </c>
      <c r="J2136" t="s">
        <v>668</v>
      </c>
      <c r="K2136" s="3">
        <v>100124686897</v>
      </c>
      <c r="L2136" s="10">
        <v>40866</v>
      </c>
      <c r="M2136">
        <v>3581.52</v>
      </c>
      <c r="N2136" s="11">
        <v>3</v>
      </c>
      <c r="O2136" s="12">
        <v>1270.99</v>
      </c>
      <c r="P2136" s="12">
        <v>19.99</v>
      </c>
      <c r="Q2136" s="13">
        <v>-408.2155</v>
      </c>
      <c r="R2136" s="36" t="s">
        <v>929</v>
      </c>
      <c r="S2136" s="7">
        <f t="shared" si="181"/>
        <v>2</v>
      </c>
      <c r="T2136" s="15" t="str">
        <f>VLOOKUP(R2136,产品分类!$C$2:$D$1278,2,0)</f>
        <v>数码电子</v>
      </c>
    </row>
    <row r="2137" spans="1:20">
      <c r="A2137" s="8">
        <f>DATE(2012,12,31)-410</f>
        <v>40864</v>
      </c>
      <c r="B2137" s="8">
        <f>DATE(2012,12,31)-410</f>
        <v>40864</v>
      </c>
      <c r="C2137" s="9" t="s">
        <v>1034</v>
      </c>
      <c r="D2137">
        <v>10021509291</v>
      </c>
      <c r="E2137" t="s">
        <v>47</v>
      </c>
      <c r="F2137" t="s">
        <v>61</v>
      </c>
      <c r="G2137" t="s">
        <v>62</v>
      </c>
      <c r="H2137" t="s">
        <v>47</v>
      </c>
      <c r="I2137" t="s">
        <v>1778</v>
      </c>
      <c r="J2137" t="s">
        <v>668</v>
      </c>
      <c r="K2137" s="3">
        <v>100132354247</v>
      </c>
      <c r="L2137" s="10">
        <v>40864</v>
      </c>
      <c r="M2137">
        <v>90.15</v>
      </c>
      <c r="N2137" s="11">
        <v>13</v>
      </c>
      <c r="O2137" s="12">
        <v>7.31</v>
      </c>
      <c r="P2137" s="12">
        <v>0.49</v>
      </c>
      <c r="Q2137" s="13">
        <v>33.05</v>
      </c>
      <c r="R2137" s="36" t="s">
        <v>694</v>
      </c>
      <c r="S2137" s="7">
        <f t="shared" si="181"/>
        <v>0</v>
      </c>
      <c r="T2137" s="15" t="str">
        <f>VLOOKUP(R2137,产品分类!$C$2:$D$1278,2,0)</f>
        <v>办公用品</v>
      </c>
    </row>
    <row r="2138" spans="1:20">
      <c r="A2138" s="8">
        <f>DATE(2012,12,31)-1430</f>
        <v>39844</v>
      </c>
      <c r="B2138" s="8">
        <f>DATE(2012,12,31)-1430</f>
        <v>39844</v>
      </c>
      <c r="C2138" s="9" t="s">
        <v>151</v>
      </c>
      <c r="D2138">
        <v>10021468459</v>
      </c>
      <c r="E2138" t="s">
        <v>47</v>
      </c>
      <c r="F2138" t="s">
        <v>61</v>
      </c>
      <c r="G2138" t="s">
        <v>62</v>
      </c>
      <c r="H2138" t="s">
        <v>47</v>
      </c>
      <c r="I2138" t="s">
        <v>1778</v>
      </c>
      <c r="J2138" t="s">
        <v>668</v>
      </c>
      <c r="K2138" s="3">
        <v>100116030857</v>
      </c>
      <c r="L2138" s="10">
        <v>39846</v>
      </c>
      <c r="M2138">
        <v>257.91</v>
      </c>
      <c r="N2138" s="11">
        <v>36</v>
      </c>
      <c r="O2138" s="12">
        <v>6.98</v>
      </c>
      <c r="P2138" s="12">
        <v>1.6</v>
      </c>
      <c r="Q2138" s="13">
        <v>90.86</v>
      </c>
      <c r="R2138" s="36" t="s">
        <v>1417</v>
      </c>
      <c r="S2138" s="7">
        <f t="shared" si="181"/>
        <v>2</v>
      </c>
      <c r="T2138" s="15" t="str">
        <f>VLOOKUP(R2138,产品分类!$C$2:$D$1278,2,0)</f>
        <v>数码电子</v>
      </c>
    </row>
    <row r="2139" spans="1:20">
      <c r="A2139" s="8">
        <f>DATE(2012,12,31)-890</f>
        <v>40384</v>
      </c>
      <c r="B2139" s="8">
        <f>DATE(2012,12,31)-890</f>
        <v>40384</v>
      </c>
      <c r="C2139" s="9" t="s">
        <v>647</v>
      </c>
      <c r="D2139">
        <v>10021396196</v>
      </c>
      <c r="E2139" t="s">
        <v>47</v>
      </c>
      <c r="F2139" t="s">
        <v>61</v>
      </c>
      <c r="G2139" t="s">
        <v>62</v>
      </c>
      <c r="H2139" t="s">
        <v>47</v>
      </c>
      <c r="I2139" t="s">
        <v>1778</v>
      </c>
      <c r="J2139" t="s">
        <v>668</v>
      </c>
      <c r="K2139" s="3">
        <v>100718423435</v>
      </c>
      <c r="L2139" s="10">
        <v>40384</v>
      </c>
      <c r="M2139">
        <v>2389.3</v>
      </c>
      <c r="N2139" s="11">
        <v>18</v>
      </c>
      <c r="O2139" s="12">
        <v>128.24</v>
      </c>
      <c r="P2139" s="12">
        <v>12.65</v>
      </c>
      <c r="Q2139" s="13">
        <v>589.38</v>
      </c>
      <c r="R2139" s="36" t="s">
        <v>622</v>
      </c>
      <c r="S2139" s="7">
        <f t="shared" si="181"/>
        <v>0</v>
      </c>
      <c r="T2139" s="15" t="str">
        <f>VLOOKUP(R2139,产品分类!$C$2:$D$1278,2,0)</f>
        <v>办公用品</v>
      </c>
    </row>
    <row r="2140" spans="1:20">
      <c r="A2140" s="8">
        <f>DATE(2012,12,31)-890</f>
        <v>40384</v>
      </c>
      <c r="B2140" s="8">
        <f>DATE(2012,12,31)-890</f>
        <v>40384</v>
      </c>
      <c r="C2140" s="9" t="s">
        <v>647</v>
      </c>
      <c r="D2140">
        <v>10021318955</v>
      </c>
      <c r="E2140" t="s">
        <v>47</v>
      </c>
      <c r="F2140" t="s">
        <v>61</v>
      </c>
      <c r="G2140" t="s">
        <v>62</v>
      </c>
      <c r="H2140" t="s">
        <v>47</v>
      </c>
      <c r="I2140" t="s">
        <v>1778</v>
      </c>
      <c r="J2140" t="s">
        <v>668</v>
      </c>
      <c r="K2140" s="3">
        <v>10017979747</v>
      </c>
      <c r="L2140" s="10">
        <v>40384</v>
      </c>
      <c r="M2140">
        <v>222.258</v>
      </c>
      <c r="N2140" s="11">
        <v>7</v>
      </c>
      <c r="O2140" s="12">
        <v>35.99</v>
      </c>
      <c r="P2140" s="12">
        <v>1.25</v>
      </c>
      <c r="Q2140" s="13">
        <v>-77.902</v>
      </c>
      <c r="R2140" s="36" t="s">
        <v>718</v>
      </c>
      <c r="S2140" s="7">
        <f t="shared" si="181"/>
        <v>0</v>
      </c>
      <c r="T2140" s="15" t="str">
        <f>VLOOKUP(R2140,产品分类!$C$2:$D$1278,2,0)</f>
        <v>数码电子</v>
      </c>
    </row>
    <row r="2141" spans="1:20">
      <c r="A2141" s="8">
        <f>DATE(2012,12,31)-146</f>
        <v>41128</v>
      </c>
      <c r="B2141" s="8">
        <f>DATE(2012,12,31)-146</f>
        <v>41128</v>
      </c>
      <c r="C2141" s="9" t="s">
        <v>1127</v>
      </c>
      <c r="D2141">
        <v>10021414357</v>
      </c>
      <c r="E2141" t="s">
        <v>47</v>
      </c>
      <c r="F2141" t="s">
        <v>61</v>
      </c>
      <c r="G2141" t="s">
        <v>62</v>
      </c>
      <c r="H2141" t="s">
        <v>47</v>
      </c>
      <c r="I2141" t="s">
        <v>1778</v>
      </c>
      <c r="J2141" t="s">
        <v>668</v>
      </c>
      <c r="K2141" s="3">
        <v>10099519881</v>
      </c>
      <c r="L2141" s="10">
        <v>41130</v>
      </c>
      <c r="M2141">
        <v>6216.6</v>
      </c>
      <c r="N2141" s="11">
        <v>38</v>
      </c>
      <c r="O2141" s="12">
        <v>161.55</v>
      </c>
      <c r="P2141" s="12">
        <v>19.99</v>
      </c>
      <c r="Q2141" s="13">
        <v>1082.21</v>
      </c>
      <c r="R2141" s="36" t="s">
        <v>1896</v>
      </c>
      <c r="S2141" s="7">
        <f t="shared" si="181"/>
        <v>2</v>
      </c>
      <c r="T2141" s="15" t="str">
        <f>VLOOKUP(R2141,产品分类!$C$2:$D$1278,2,0)</f>
        <v>办公用品</v>
      </c>
    </row>
    <row r="2142" spans="1:20">
      <c r="A2142" s="8">
        <f>DATE(2012,12,31)-692</f>
        <v>40582</v>
      </c>
      <c r="B2142" s="8">
        <f>DATE(2012,12,31)-692</f>
        <v>40582</v>
      </c>
      <c r="C2142" s="9" t="s">
        <v>236</v>
      </c>
      <c r="D2142">
        <v>10021421533</v>
      </c>
      <c r="E2142" t="s">
        <v>47</v>
      </c>
      <c r="F2142" t="s">
        <v>61</v>
      </c>
      <c r="G2142" t="s">
        <v>62</v>
      </c>
      <c r="H2142" t="s">
        <v>47</v>
      </c>
      <c r="I2142" t="s">
        <v>1778</v>
      </c>
      <c r="J2142" t="s">
        <v>668</v>
      </c>
      <c r="K2142" s="3">
        <v>100718608755</v>
      </c>
      <c r="L2142" s="10">
        <v>40584</v>
      </c>
      <c r="M2142">
        <v>229.88</v>
      </c>
      <c r="N2142" s="11">
        <v>42</v>
      </c>
      <c r="O2142" s="12">
        <v>5.28</v>
      </c>
      <c r="P2142" s="12">
        <v>5.06</v>
      </c>
      <c r="Q2142" s="13">
        <v>-75.25</v>
      </c>
      <c r="R2142" s="36" t="s">
        <v>1897</v>
      </c>
      <c r="S2142" s="7">
        <f t="shared" si="181"/>
        <v>2</v>
      </c>
      <c r="T2142" s="15" t="str">
        <f>VLOOKUP(R2142,产品分类!$C$2:$D$1278,2,0)</f>
        <v>家具产品</v>
      </c>
    </row>
    <row r="2143" spans="1:20">
      <c r="A2143" s="8">
        <f>DATE(2012,12,31)-840</f>
        <v>40434</v>
      </c>
      <c r="B2143" s="8">
        <f>DATE(2012,12,31)-840</f>
        <v>40434</v>
      </c>
      <c r="C2143" s="9" t="s">
        <v>669</v>
      </c>
      <c r="D2143">
        <v>10021335610</v>
      </c>
      <c r="E2143" t="s">
        <v>47</v>
      </c>
      <c r="F2143" t="s">
        <v>253</v>
      </c>
      <c r="G2143" t="s">
        <v>254</v>
      </c>
      <c r="H2143" t="s">
        <v>255</v>
      </c>
      <c r="I2143" t="s">
        <v>256</v>
      </c>
      <c r="J2143" t="s">
        <v>668</v>
      </c>
      <c r="K2143" s="3">
        <v>100915388051</v>
      </c>
      <c r="L2143" s="10">
        <v>40435</v>
      </c>
      <c r="M2143">
        <v>101.13</v>
      </c>
      <c r="N2143" s="11">
        <v>21</v>
      </c>
      <c r="O2143" s="12">
        <v>4.54</v>
      </c>
      <c r="P2143" s="12">
        <v>5.83</v>
      </c>
      <c r="Q2143" s="13">
        <v>-74.405</v>
      </c>
      <c r="R2143" s="36" t="s">
        <v>1898</v>
      </c>
      <c r="S2143" s="7">
        <f t="shared" si="181"/>
        <v>1</v>
      </c>
      <c r="T2143" s="15" t="str">
        <f>VLOOKUP(R2143,产品分类!$C$2:$D$1278,2,0)</f>
        <v>数码电子</v>
      </c>
    </row>
    <row r="2144" spans="1:20">
      <c r="A2144" s="8">
        <f>DATE(2012,12,31)-840</f>
        <v>40434</v>
      </c>
      <c r="B2144" s="8">
        <f>DATE(2012,12,31)-840</f>
        <v>40434</v>
      </c>
      <c r="C2144" s="9" t="s">
        <v>669</v>
      </c>
      <c r="D2144">
        <v>10021429171</v>
      </c>
      <c r="E2144" t="s">
        <v>47</v>
      </c>
      <c r="F2144" t="s">
        <v>61</v>
      </c>
      <c r="G2144" t="s">
        <v>62</v>
      </c>
      <c r="H2144" t="s">
        <v>47</v>
      </c>
      <c r="I2144" t="s">
        <v>1778</v>
      </c>
      <c r="J2144" t="s">
        <v>668</v>
      </c>
      <c r="K2144" s="3">
        <v>100831386702</v>
      </c>
      <c r="L2144" s="10">
        <v>40436</v>
      </c>
      <c r="M2144">
        <v>526.45</v>
      </c>
      <c r="N2144" s="11">
        <v>18</v>
      </c>
      <c r="O2144" s="12">
        <v>28.48</v>
      </c>
      <c r="P2144" s="12">
        <v>8.99</v>
      </c>
      <c r="Q2144" s="13">
        <v>-108.14</v>
      </c>
      <c r="R2144" s="36" t="s">
        <v>1577</v>
      </c>
      <c r="S2144" s="7">
        <f t="shared" si="181"/>
        <v>2</v>
      </c>
      <c r="T2144" s="15" t="str">
        <f>VLOOKUP(R2144,产品分类!$C$2:$D$1278,2,0)</f>
        <v>数码电子</v>
      </c>
    </row>
    <row r="2145" spans="1:20">
      <c r="A2145" s="8">
        <f>DATE(2012,12,31)-248</f>
        <v>41026</v>
      </c>
      <c r="B2145" s="8">
        <f>DATE(2012,12,31)-248</f>
        <v>41026</v>
      </c>
      <c r="C2145" s="9" t="s">
        <v>657</v>
      </c>
      <c r="D2145">
        <v>10021493910</v>
      </c>
      <c r="E2145" t="s">
        <v>47</v>
      </c>
      <c r="F2145" t="s">
        <v>61</v>
      </c>
      <c r="G2145" t="s">
        <v>62</v>
      </c>
      <c r="H2145" t="s">
        <v>47</v>
      </c>
      <c r="I2145" t="s">
        <v>1778</v>
      </c>
      <c r="J2145" t="s">
        <v>668</v>
      </c>
      <c r="K2145" s="3">
        <v>10088982742</v>
      </c>
      <c r="L2145" s="10">
        <v>41026</v>
      </c>
      <c r="M2145">
        <v>1014.87</v>
      </c>
      <c r="N2145" s="11">
        <v>34</v>
      </c>
      <c r="O2145" s="12">
        <v>29.89</v>
      </c>
      <c r="P2145" s="12">
        <v>1.99</v>
      </c>
      <c r="Q2145" s="13">
        <v>319.52</v>
      </c>
      <c r="R2145" s="36" t="s">
        <v>866</v>
      </c>
      <c r="S2145" s="7">
        <f t="shared" si="181"/>
        <v>0</v>
      </c>
      <c r="T2145" s="15" t="str">
        <f>VLOOKUP(R2145,产品分类!$C$2:$D$1278,2,0)</f>
        <v>办公用品</v>
      </c>
    </row>
    <row r="2146" spans="1:20">
      <c r="A2146" s="8">
        <f>DATE(2012,12,31)-946</f>
        <v>40328</v>
      </c>
      <c r="B2146" s="8">
        <f>DATE(2012,12,31)-946</f>
        <v>40328</v>
      </c>
      <c r="C2146" s="9" t="s">
        <v>1564</v>
      </c>
      <c r="D2146">
        <v>10021429369</v>
      </c>
      <c r="E2146" t="s">
        <v>47</v>
      </c>
      <c r="F2146" t="s">
        <v>61</v>
      </c>
      <c r="G2146" t="s">
        <v>62</v>
      </c>
      <c r="H2146" t="s">
        <v>47</v>
      </c>
      <c r="I2146" t="s">
        <v>1778</v>
      </c>
      <c r="J2146" t="s">
        <v>668</v>
      </c>
      <c r="K2146" s="3">
        <v>100831471482</v>
      </c>
      <c r="L2146" s="10">
        <v>40330</v>
      </c>
      <c r="M2146">
        <v>321.71</v>
      </c>
      <c r="N2146" s="11">
        <v>6</v>
      </c>
      <c r="O2146" s="12">
        <v>52.4</v>
      </c>
      <c r="P2146" s="12">
        <v>16.11</v>
      </c>
      <c r="Q2146" s="13">
        <v>-2.72549999999999</v>
      </c>
      <c r="R2146" s="36" t="s">
        <v>1899</v>
      </c>
      <c r="S2146" s="7">
        <f t="shared" si="181"/>
        <v>2</v>
      </c>
      <c r="T2146" s="15" t="str">
        <f>VLOOKUP(R2146,产品分类!$C$2:$D$1278,2,0)</f>
        <v>家具产品</v>
      </c>
    </row>
    <row r="2147" spans="1:20">
      <c r="A2147" s="8">
        <f>DATE(2012,12,31)-836</f>
        <v>40438</v>
      </c>
      <c r="B2147" s="8">
        <f>DATE(2012,12,31)-836</f>
        <v>40438</v>
      </c>
      <c r="C2147" s="9" t="s">
        <v>1900</v>
      </c>
      <c r="D2147">
        <v>10021387825</v>
      </c>
      <c r="E2147" t="s">
        <v>47</v>
      </c>
      <c r="F2147" t="s">
        <v>61</v>
      </c>
      <c r="G2147" t="s">
        <v>62</v>
      </c>
      <c r="H2147" t="s">
        <v>47</v>
      </c>
      <c r="I2147" t="s">
        <v>1778</v>
      </c>
      <c r="J2147" t="s">
        <v>668</v>
      </c>
      <c r="K2147" s="3">
        <v>10048582764</v>
      </c>
      <c r="L2147" s="10">
        <v>40440</v>
      </c>
      <c r="M2147">
        <v>765.96</v>
      </c>
      <c r="N2147" s="11">
        <v>26</v>
      </c>
      <c r="O2147" s="12">
        <v>31.78</v>
      </c>
      <c r="P2147" s="12">
        <v>1.99</v>
      </c>
      <c r="Q2147" s="13">
        <v>240.06</v>
      </c>
      <c r="R2147" s="36" t="s">
        <v>451</v>
      </c>
      <c r="S2147" s="7">
        <f t="shared" si="181"/>
        <v>2</v>
      </c>
      <c r="T2147" s="15" t="str">
        <f>VLOOKUP(R2147,产品分类!$C$2:$D$1278,2,0)</f>
        <v>家具产品</v>
      </c>
    </row>
    <row r="2148" spans="1:20">
      <c r="A2148" s="8">
        <f t="shared" ref="A2148:B2150" si="183">DATE(2012,12,31)-1059</f>
        <v>40215</v>
      </c>
      <c r="B2148" s="8">
        <f t="shared" si="183"/>
        <v>40215</v>
      </c>
      <c r="C2148" s="9" t="s">
        <v>719</v>
      </c>
      <c r="D2148">
        <v>10021252915</v>
      </c>
      <c r="E2148" t="s">
        <v>47</v>
      </c>
      <c r="F2148" t="s">
        <v>61</v>
      </c>
      <c r="G2148" t="s">
        <v>62</v>
      </c>
      <c r="H2148" t="s">
        <v>47</v>
      </c>
      <c r="I2148" t="s">
        <v>1778</v>
      </c>
      <c r="J2148" t="s">
        <v>668</v>
      </c>
      <c r="K2148" s="3">
        <v>100815550752</v>
      </c>
      <c r="L2148" s="10">
        <v>40217</v>
      </c>
      <c r="M2148">
        <v>223.33</v>
      </c>
      <c r="N2148" s="11">
        <v>42</v>
      </c>
      <c r="O2148" s="12">
        <v>4.98</v>
      </c>
      <c r="P2148" s="12">
        <v>4.32</v>
      </c>
      <c r="Q2148" s="13">
        <v>-111.89</v>
      </c>
      <c r="R2148" s="36" t="s">
        <v>1901</v>
      </c>
      <c r="S2148" s="7">
        <f t="shared" si="181"/>
        <v>2</v>
      </c>
      <c r="T2148" s="15" t="str">
        <f>VLOOKUP(R2148,产品分类!$C$2:$D$1278,2,0)</f>
        <v>家具产品</v>
      </c>
    </row>
    <row r="2149" spans="1:20">
      <c r="A2149" s="8">
        <f t="shared" si="183"/>
        <v>40215</v>
      </c>
      <c r="B2149" s="8">
        <f t="shared" si="183"/>
        <v>40215</v>
      </c>
      <c r="C2149" s="9" t="s">
        <v>719</v>
      </c>
      <c r="D2149">
        <v>10021287508</v>
      </c>
      <c r="E2149" t="s">
        <v>47</v>
      </c>
      <c r="F2149" t="s">
        <v>61</v>
      </c>
      <c r="G2149" t="s">
        <v>62</v>
      </c>
      <c r="H2149" t="s">
        <v>47</v>
      </c>
      <c r="I2149" t="s">
        <v>1778</v>
      </c>
      <c r="J2149" t="s">
        <v>668</v>
      </c>
      <c r="K2149" s="3">
        <v>100931815561</v>
      </c>
      <c r="L2149" s="10">
        <v>40215</v>
      </c>
      <c r="M2149">
        <v>1178.04</v>
      </c>
      <c r="N2149" s="11">
        <v>29</v>
      </c>
      <c r="O2149" s="12">
        <v>40.98</v>
      </c>
      <c r="P2149" s="12">
        <v>6.5</v>
      </c>
      <c r="Q2149" s="13">
        <v>-53.81</v>
      </c>
      <c r="R2149" s="36" t="s">
        <v>1444</v>
      </c>
      <c r="S2149" s="7">
        <f t="shared" si="181"/>
        <v>0</v>
      </c>
      <c r="T2149" s="15" t="str">
        <f>VLOOKUP(R2149,产品分类!$C$2:$D$1278,2,0)</f>
        <v>数码电子</v>
      </c>
    </row>
    <row r="2150" spans="1:20">
      <c r="A2150" s="16">
        <f t="shared" si="183"/>
        <v>40215</v>
      </c>
      <c r="B2150" s="16">
        <f t="shared" si="183"/>
        <v>40215</v>
      </c>
      <c r="C2150" s="9" t="s">
        <v>719</v>
      </c>
      <c r="D2150">
        <v>10021331759</v>
      </c>
      <c r="E2150" t="s">
        <v>47</v>
      </c>
      <c r="F2150" t="s">
        <v>61</v>
      </c>
      <c r="G2150" t="s">
        <v>62</v>
      </c>
      <c r="H2150" t="s">
        <v>47</v>
      </c>
      <c r="I2150" t="s">
        <v>1778</v>
      </c>
      <c r="J2150" t="s">
        <v>668</v>
      </c>
      <c r="K2150" s="3">
        <v>10048561523</v>
      </c>
      <c r="L2150" s="10">
        <v>40216</v>
      </c>
      <c r="M2150">
        <v>121.94</v>
      </c>
      <c r="N2150" s="17">
        <v>43</v>
      </c>
      <c r="O2150" s="5">
        <v>2.6</v>
      </c>
      <c r="P2150" s="5">
        <v>2.4</v>
      </c>
      <c r="Q2150" s="6">
        <v>-51.3</v>
      </c>
      <c r="R2150" s="37" t="s">
        <v>1884</v>
      </c>
      <c r="S2150" s="7">
        <f t="shared" si="181"/>
        <v>1</v>
      </c>
      <c r="T2150" s="15" t="str">
        <f>VLOOKUP(R2150,产品分类!$C$2:$D$1278,2,0)</f>
        <v>数码电子</v>
      </c>
    </row>
    <row r="2151" spans="1:20">
      <c r="A2151" s="8">
        <f t="shared" ref="A2151:B2153" si="184">DATE(2012,12,31)-232</f>
        <v>41042</v>
      </c>
      <c r="B2151" s="8">
        <f t="shared" si="184"/>
        <v>41042</v>
      </c>
      <c r="C2151" s="9" t="s">
        <v>582</v>
      </c>
      <c r="D2151">
        <v>10021494695</v>
      </c>
      <c r="E2151" t="s">
        <v>47</v>
      </c>
      <c r="F2151" t="s">
        <v>61</v>
      </c>
      <c r="G2151" t="s">
        <v>62</v>
      </c>
      <c r="H2151" t="s">
        <v>47</v>
      </c>
      <c r="I2151" t="s">
        <v>1778</v>
      </c>
      <c r="J2151" t="s">
        <v>668</v>
      </c>
      <c r="K2151" s="3">
        <v>10079878765</v>
      </c>
      <c r="L2151" s="10">
        <v>41044</v>
      </c>
      <c r="M2151">
        <v>3988.0895</v>
      </c>
      <c r="N2151" s="11">
        <v>38</v>
      </c>
      <c r="O2151" s="12">
        <v>125.99</v>
      </c>
      <c r="P2151" s="12">
        <v>4.2</v>
      </c>
      <c r="Q2151" s="13">
        <v>969.858</v>
      </c>
      <c r="R2151" s="36" t="s">
        <v>285</v>
      </c>
      <c r="S2151" s="7">
        <f t="shared" si="181"/>
        <v>2</v>
      </c>
      <c r="T2151" s="15" t="str">
        <f>VLOOKUP(R2151,产品分类!$C$2:$D$1278,2,0)</f>
        <v>家具产品</v>
      </c>
    </row>
    <row r="2152" spans="1:20">
      <c r="A2152" s="8">
        <f t="shared" si="184"/>
        <v>41042</v>
      </c>
      <c r="B2152" s="8">
        <f t="shared" si="184"/>
        <v>41042</v>
      </c>
      <c r="C2152" s="9" t="s">
        <v>582</v>
      </c>
      <c r="D2152">
        <v>10021345885</v>
      </c>
      <c r="E2152" t="s">
        <v>47</v>
      </c>
      <c r="F2152" t="s">
        <v>61</v>
      </c>
      <c r="G2152" t="s">
        <v>62</v>
      </c>
      <c r="H2152" t="s">
        <v>47</v>
      </c>
      <c r="I2152" t="s">
        <v>1778</v>
      </c>
      <c r="J2152" t="s">
        <v>668</v>
      </c>
      <c r="K2152" s="3">
        <v>100430522044</v>
      </c>
      <c r="L2152" s="10">
        <v>41044</v>
      </c>
      <c r="M2152">
        <v>2202.45</v>
      </c>
      <c r="N2152" s="11">
        <v>7</v>
      </c>
      <c r="O2152" s="12">
        <v>284.98</v>
      </c>
      <c r="P2152" s="12">
        <v>69.55</v>
      </c>
      <c r="Q2152" s="13">
        <v>-51.2800000000001</v>
      </c>
      <c r="R2152" s="36" t="s">
        <v>1740</v>
      </c>
      <c r="S2152" s="7">
        <f t="shared" si="181"/>
        <v>2</v>
      </c>
      <c r="T2152" s="15" t="str">
        <f>VLOOKUP(R2152,产品分类!$C$2:$D$1278,2,0)</f>
        <v>办公用品</v>
      </c>
    </row>
    <row r="2153" spans="1:20">
      <c r="A2153" s="8">
        <f t="shared" si="184"/>
        <v>41042</v>
      </c>
      <c r="B2153" s="8">
        <f t="shared" si="184"/>
        <v>41042</v>
      </c>
      <c r="C2153" s="9" t="s">
        <v>582</v>
      </c>
      <c r="D2153">
        <v>10021461902</v>
      </c>
      <c r="E2153" t="s">
        <v>47</v>
      </c>
      <c r="F2153" t="s">
        <v>83</v>
      </c>
      <c r="G2153" t="s">
        <v>84</v>
      </c>
      <c r="H2153" t="s">
        <v>1259</v>
      </c>
      <c r="I2153" t="s">
        <v>1260</v>
      </c>
      <c r="J2153" t="s">
        <v>668</v>
      </c>
      <c r="K2153" s="3">
        <v>100118007707</v>
      </c>
      <c r="L2153" s="10">
        <v>41043</v>
      </c>
      <c r="M2153">
        <v>2514.5125</v>
      </c>
      <c r="N2153" s="11">
        <v>46</v>
      </c>
      <c r="O2153" s="12">
        <v>65.99</v>
      </c>
      <c r="P2153" s="12">
        <v>4.99</v>
      </c>
      <c r="Q2153" s="13">
        <v>601.65</v>
      </c>
      <c r="R2153" s="36" t="s">
        <v>1800</v>
      </c>
      <c r="S2153" s="7">
        <f t="shared" si="181"/>
        <v>1</v>
      </c>
      <c r="T2153" s="15" t="str">
        <f>VLOOKUP(R2153,产品分类!$C$2:$D$1278,2,0)</f>
        <v>办公用品</v>
      </c>
    </row>
    <row r="2154" spans="1:20">
      <c r="A2154" s="8">
        <f>DATE(2012,12,31)-525</f>
        <v>40749</v>
      </c>
      <c r="B2154" s="8">
        <f>DATE(2012,12,31)-525</f>
        <v>40749</v>
      </c>
      <c r="C2154" s="9" t="s">
        <v>1535</v>
      </c>
      <c r="D2154">
        <v>10021493772</v>
      </c>
      <c r="E2154" t="s">
        <v>47</v>
      </c>
      <c r="F2154" t="s">
        <v>61</v>
      </c>
      <c r="G2154" t="s">
        <v>62</v>
      </c>
      <c r="H2154" t="s">
        <v>47</v>
      </c>
      <c r="I2154" t="s">
        <v>1778</v>
      </c>
      <c r="J2154" t="s">
        <v>668</v>
      </c>
      <c r="K2154" s="3">
        <v>10084734732</v>
      </c>
      <c r="L2154" s="10">
        <v>40753</v>
      </c>
      <c r="M2154">
        <v>2896.14</v>
      </c>
      <c r="N2154" s="11">
        <v>29</v>
      </c>
      <c r="O2154" s="12">
        <v>99.99</v>
      </c>
      <c r="P2154" s="12">
        <v>19.99</v>
      </c>
      <c r="Q2154" s="13">
        <v>366.63</v>
      </c>
      <c r="R2154" s="36" t="s">
        <v>1902</v>
      </c>
      <c r="S2154" s="7">
        <f t="shared" si="181"/>
        <v>4</v>
      </c>
      <c r="T2154" s="15" t="str">
        <f>VLOOKUP(R2154,产品分类!$C$2:$D$1278,2,0)</f>
        <v>办公用品</v>
      </c>
    </row>
    <row r="2155" spans="1:20">
      <c r="A2155" s="8">
        <f>DATE(2012,12,31)-691</f>
        <v>40583</v>
      </c>
      <c r="B2155" s="8">
        <f>DATE(2012,12,31)-691</f>
        <v>40583</v>
      </c>
      <c r="C2155" s="9" t="s">
        <v>336</v>
      </c>
      <c r="D2155">
        <v>10021444707</v>
      </c>
      <c r="E2155" t="s">
        <v>47</v>
      </c>
      <c r="F2155" t="s">
        <v>61</v>
      </c>
      <c r="G2155" t="s">
        <v>62</v>
      </c>
      <c r="H2155" t="s">
        <v>47</v>
      </c>
      <c r="I2155" t="s">
        <v>1778</v>
      </c>
      <c r="J2155" t="s">
        <v>668</v>
      </c>
      <c r="K2155" s="3">
        <v>10046718044</v>
      </c>
      <c r="L2155" s="10">
        <v>40584</v>
      </c>
      <c r="M2155">
        <v>1444.96</v>
      </c>
      <c r="N2155" s="11">
        <v>50</v>
      </c>
      <c r="O2155" s="12">
        <v>29.1</v>
      </c>
      <c r="P2155" s="12">
        <v>4</v>
      </c>
      <c r="Q2155" s="13">
        <v>-6.34</v>
      </c>
      <c r="R2155" s="36" t="s">
        <v>1423</v>
      </c>
      <c r="S2155" s="7">
        <f t="shared" si="181"/>
        <v>1</v>
      </c>
      <c r="T2155" s="15" t="str">
        <f>VLOOKUP(R2155,产品分类!$C$2:$D$1278,2,0)</f>
        <v>数码电子</v>
      </c>
    </row>
    <row r="2156" spans="1:20">
      <c r="A2156" s="8">
        <f>DATE(2012,12,31)-691</f>
        <v>40583</v>
      </c>
      <c r="B2156" s="8">
        <f>DATE(2012,12,31)-691</f>
        <v>40583</v>
      </c>
      <c r="C2156" s="9" t="s">
        <v>336</v>
      </c>
      <c r="D2156">
        <v>10021343028</v>
      </c>
      <c r="E2156" t="s">
        <v>47</v>
      </c>
      <c r="F2156" t="s">
        <v>61</v>
      </c>
      <c r="G2156" t="s">
        <v>62</v>
      </c>
      <c r="H2156" t="s">
        <v>47</v>
      </c>
      <c r="I2156" t="s">
        <v>1778</v>
      </c>
      <c r="J2156" t="s">
        <v>668</v>
      </c>
      <c r="K2156" s="3">
        <v>100915675501</v>
      </c>
      <c r="L2156" s="10">
        <v>40586</v>
      </c>
      <c r="M2156">
        <v>941.6215</v>
      </c>
      <c r="N2156" s="11">
        <v>10</v>
      </c>
      <c r="O2156" s="12">
        <v>110.99</v>
      </c>
      <c r="P2156" s="12">
        <v>8.99</v>
      </c>
      <c r="Q2156" s="13">
        <v>-186.67</v>
      </c>
      <c r="R2156" s="36" t="s">
        <v>852</v>
      </c>
      <c r="S2156" s="7">
        <f t="shared" si="181"/>
        <v>3</v>
      </c>
      <c r="T2156" s="15" t="str">
        <f>VLOOKUP(R2156,产品分类!$C$2:$D$1278,2,0)</f>
        <v>家具产品</v>
      </c>
    </row>
    <row r="2157" spans="1:20">
      <c r="A2157" s="8">
        <f>DATE(2012,12,31)-674</f>
        <v>40600</v>
      </c>
      <c r="B2157" s="8">
        <f>DATE(2012,12,31)-674</f>
        <v>40600</v>
      </c>
      <c r="C2157" s="9" t="s">
        <v>754</v>
      </c>
      <c r="D2157">
        <v>10021392289</v>
      </c>
      <c r="E2157" t="s">
        <v>47</v>
      </c>
      <c r="F2157" t="s">
        <v>434</v>
      </c>
      <c r="G2157" t="s">
        <v>435</v>
      </c>
      <c r="H2157" t="s">
        <v>436</v>
      </c>
      <c r="I2157" t="s">
        <v>437</v>
      </c>
      <c r="J2157" t="s">
        <v>668</v>
      </c>
      <c r="K2157" s="3">
        <v>100832915082</v>
      </c>
      <c r="L2157" s="10">
        <v>40601</v>
      </c>
      <c r="M2157">
        <v>862.64</v>
      </c>
      <c r="N2157" s="11">
        <v>20</v>
      </c>
      <c r="O2157" s="12">
        <v>43.41</v>
      </c>
      <c r="P2157" s="12">
        <v>2.99</v>
      </c>
      <c r="Q2157" s="13">
        <v>320.807</v>
      </c>
      <c r="R2157" s="36" t="s">
        <v>1007</v>
      </c>
      <c r="S2157" s="7">
        <f t="shared" si="181"/>
        <v>1</v>
      </c>
      <c r="T2157" s="15" t="str">
        <f>VLOOKUP(R2157,产品分类!$C$2:$D$1278,2,0)</f>
        <v>家具产品</v>
      </c>
    </row>
    <row r="2158" spans="1:20">
      <c r="A2158" s="16">
        <f>DATE(2012,12,31)-891</f>
        <v>40383</v>
      </c>
      <c r="B2158" s="16">
        <f>DATE(2012,12,31)-891</f>
        <v>40383</v>
      </c>
      <c r="C2158" s="9" t="s">
        <v>1581</v>
      </c>
      <c r="D2158">
        <v>10021248082</v>
      </c>
      <c r="E2158" t="s">
        <v>47</v>
      </c>
      <c r="F2158" t="s">
        <v>152</v>
      </c>
      <c r="G2158" t="s">
        <v>153</v>
      </c>
      <c r="H2158" t="s">
        <v>1860</v>
      </c>
      <c r="I2158" t="s">
        <v>1861</v>
      </c>
      <c r="J2158" t="s">
        <v>668</v>
      </c>
      <c r="K2158" s="3">
        <v>100132756836</v>
      </c>
      <c r="L2158" s="10">
        <v>40385</v>
      </c>
      <c r="M2158">
        <v>293.3</v>
      </c>
      <c r="N2158" s="17">
        <v>48</v>
      </c>
      <c r="O2158" s="5">
        <v>5.98</v>
      </c>
      <c r="P2158" s="5">
        <v>7.5</v>
      </c>
      <c r="Q2158" s="6">
        <v>-193.48</v>
      </c>
      <c r="R2158" s="37" t="s">
        <v>1903</v>
      </c>
      <c r="S2158" s="7">
        <f t="shared" si="181"/>
        <v>2</v>
      </c>
      <c r="T2158" s="15" t="str">
        <f>VLOOKUP(R2158,产品分类!$C$2:$D$1278,2,0)</f>
        <v>家具产品</v>
      </c>
    </row>
    <row r="2159" spans="1:20">
      <c r="A2159" s="8">
        <f>DATE(2012,12,31)-348</f>
        <v>40926</v>
      </c>
      <c r="B2159" s="8">
        <f>DATE(2012,12,31)-348</f>
        <v>40926</v>
      </c>
      <c r="C2159" s="9" t="s">
        <v>1773</v>
      </c>
      <c r="D2159">
        <v>10021410254</v>
      </c>
      <c r="E2159" t="s">
        <v>47</v>
      </c>
      <c r="F2159" t="s">
        <v>72</v>
      </c>
      <c r="G2159" t="s">
        <v>73</v>
      </c>
      <c r="H2159" t="s">
        <v>1854</v>
      </c>
      <c r="I2159" t="s">
        <v>1855</v>
      </c>
      <c r="J2159" t="s">
        <v>668</v>
      </c>
      <c r="K2159" s="3">
        <v>100132951848</v>
      </c>
      <c r="L2159" s="10">
        <v>40926</v>
      </c>
      <c r="M2159">
        <v>901.374</v>
      </c>
      <c r="N2159" s="11">
        <v>5</v>
      </c>
      <c r="O2159" s="12">
        <v>205.99</v>
      </c>
      <c r="P2159" s="12">
        <v>2.5</v>
      </c>
      <c r="Q2159" s="13">
        <v>-648.648</v>
      </c>
      <c r="R2159" s="36" t="s">
        <v>1613</v>
      </c>
      <c r="S2159" s="7">
        <f t="shared" si="181"/>
        <v>0</v>
      </c>
      <c r="T2159" s="15" t="str">
        <f>VLOOKUP(R2159,产品分类!$C$2:$D$1278,2,0)</f>
        <v>数码电子</v>
      </c>
    </row>
    <row r="2160" spans="1:20">
      <c r="A2160" s="8">
        <f>DATE(2012,12,31)-234</f>
        <v>41040</v>
      </c>
      <c r="B2160" s="8">
        <f>DATE(2012,12,31)-234</f>
        <v>41040</v>
      </c>
      <c r="C2160" s="9" t="s">
        <v>1803</v>
      </c>
      <c r="D2160">
        <v>10021515235</v>
      </c>
      <c r="E2160" t="s">
        <v>47</v>
      </c>
      <c r="F2160" t="s">
        <v>78</v>
      </c>
      <c r="G2160" t="s">
        <v>79</v>
      </c>
      <c r="H2160" t="s">
        <v>1887</v>
      </c>
      <c r="I2160" t="s">
        <v>1888</v>
      </c>
      <c r="J2160" t="s">
        <v>668</v>
      </c>
      <c r="K2160" s="3">
        <v>100733065085</v>
      </c>
      <c r="L2160" s="10">
        <v>41041</v>
      </c>
      <c r="M2160">
        <v>156.82</v>
      </c>
      <c r="N2160" s="11">
        <v>27</v>
      </c>
      <c r="O2160" s="12">
        <v>5.68</v>
      </c>
      <c r="P2160" s="12">
        <v>3.6</v>
      </c>
      <c r="Q2160" s="13">
        <v>-37.62</v>
      </c>
      <c r="R2160" s="36" t="s">
        <v>1538</v>
      </c>
      <c r="S2160" s="7">
        <f t="shared" si="181"/>
        <v>1</v>
      </c>
      <c r="T2160" s="15" t="str">
        <f>VLOOKUP(R2160,产品分类!$C$2:$D$1278,2,0)</f>
        <v>办公用品</v>
      </c>
    </row>
    <row r="2161" spans="1:20">
      <c r="A2161" s="8">
        <f>DATE(2012,12,31)-208</f>
        <v>41066</v>
      </c>
      <c r="B2161" s="8">
        <f>DATE(2012,12,31)-208</f>
        <v>41066</v>
      </c>
      <c r="C2161" s="9" t="s">
        <v>816</v>
      </c>
      <c r="D2161">
        <v>10021458828</v>
      </c>
      <c r="E2161" t="s">
        <v>47</v>
      </c>
      <c r="F2161" t="s">
        <v>230</v>
      </c>
      <c r="G2161" t="s">
        <v>231</v>
      </c>
      <c r="H2161" t="s">
        <v>1798</v>
      </c>
      <c r="I2161" t="s">
        <v>1799</v>
      </c>
      <c r="J2161" t="s">
        <v>668</v>
      </c>
      <c r="K2161" s="3">
        <v>100432999314</v>
      </c>
      <c r="L2161" s="10">
        <v>41068</v>
      </c>
      <c r="M2161">
        <v>426.34</v>
      </c>
      <c r="N2161" s="11">
        <v>31</v>
      </c>
      <c r="O2161" s="12">
        <v>12.58</v>
      </c>
      <c r="P2161" s="12">
        <v>5.16</v>
      </c>
      <c r="Q2161" s="13">
        <v>73.53</v>
      </c>
      <c r="R2161" s="36" t="s">
        <v>883</v>
      </c>
      <c r="S2161" s="7">
        <f t="shared" si="181"/>
        <v>2</v>
      </c>
      <c r="T2161" s="15" t="str">
        <f>VLOOKUP(R2161,产品分类!$C$2:$D$1278,2,0)</f>
        <v>家具产品</v>
      </c>
    </row>
    <row r="2162" spans="1:20">
      <c r="A2162" s="8">
        <f>DATE(2012,12,31)-283</f>
        <v>40991</v>
      </c>
      <c r="B2162" s="8">
        <f>DATE(2012,12,31)-283</f>
        <v>40991</v>
      </c>
      <c r="C2162" s="9" t="s">
        <v>1019</v>
      </c>
      <c r="D2162">
        <v>10021482165</v>
      </c>
      <c r="E2162" t="s">
        <v>47</v>
      </c>
      <c r="F2162" t="s">
        <v>114</v>
      </c>
      <c r="G2162" t="s">
        <v>115</v>
      </c>
      <c r="H2162" t="s">
        <v>1829</v>
      </c>
      <c r="I2162" t="s">
        <v>1830</v>
      </c>
      <c r="J2162" t="s">
        <v>668</v>
      </c>
      <c r="K2162" s="3">
        <v>100133027898</v>
      </c>
      <c r="L2162" s="10">
        <v>40992</v>
      </c>
      <c r="M2162">
        <v>386.71</v>
      </c>
      <c r="N2162" s="11">
        <v>12</v>
      </c>
      <c r="O2162" s="12">
        <v>30.98</v>
      </c>
      <c r="P2162" s="12">
        <v>6.5</v>
      </c>
      <c r="Q2162" s="13">
        <v>-84.12</v>
      </c>
      <c r="R2162" s="36" t="s">
        <v>744</v>
      </c>
      <c r="S2162" s="7">
        <f t="shared" si="181"/>
        <v>1</v>
      </c>
      <c r="T2162" s="15" t="str">
        <f>VLOOKUP(R2162,产品分类!$C$2:$D$1278,2,0)</f>
        <v>家具产品</v>
      </c>
    </row>
    <row r="2163" spans="1:20">
      <c r="A2163" s="8">
        <f>DATE(2012,12,31)-283</f>
        <v>40991</v>
      </c>
      <c r="B2163" s="8">
        <f>DATE(2012,12,31)-283</f>
        <v>40991</v>
      </c>
      <c r="C2163" s="9" t="s">
        <v>1019</v>
      </c>
      <c r="D2163">
        <v>10021277844</v>
      </c>
      <c r="E2163" t="s">
        <v>47</v>
      </c>
      <c r="F2163" t="s">
        <v>122</v>
      </c>
      <c r="G2163" t="s">
        <v>123</v>
      </c>
      <c r="H2163" t="s">
        <v>124</v>
      </c>
      <c r="I2163" t="s">
        <v>125</v>
      </c>
      <c r="J2163" t="s">
        <v>668</v>
      </c>
      <c r="K2163" s="3">
        <v>100132777626</v>
      </c>
      <c r="L2163" s="10">
        <v>40993</v>
      </c>
      <c r="M2163">
        <v>134.06</v>
      </c>
      <c r="N2163" s="11">
        <v>34</v>
      </c>
      <c r="O2163" s="12">
        <v>4.13</v>
      </c>
      <c r="P2163" s="12">
        <v>1.17</v>
      </c>
      <c r="Q2163" s="13">
        <v>5.98</v>
      </c>
      <c r="R2163" s="36" t="s">
        <v>1904</v>
      </c>
      <c r="S2163" s="7">
        <f t="shared" si="181"/>
        <v>2</v>
      </c>
      <c r="T2163" s="15" t="str">
        <f>VLOOKUP(R2163,产品分类!$C$2:$D$1278,2,0)</f>
        <v>办公用品</v>
      </c>
    </row>
    <row r="2164" spans="1:20">
      <c r="A2164" s="16">
        <f t="shared" ref="A2164:B2166" si="185">DATE(2012,12,31)-880</f>
        <v>40394</v>
      </c>
      <c r="B2164" s="16">
        <f t="shared" si="185"/>
        <v>40394</v>
      </c>
      <c r="C2164" s="9" t="s">
        <v>1517</v>
      </c>
      <c r="D2164">
        <v>10021443083</v>
      </c>
      <c r="E2164" t="s">
        <v>47</v>
      </c>
      <c r="F2164" t="s">
        <v>132</v>
      </c>
      <c r="G2164" t="s">
        <v>133</v>
      </c>
      <c r="H2164" t="s">
        <v>134</v>
      </c>
      <c r="I2164" t="s">
        <v>133</v>
      </c>
      <c r="J2164" t="s">
        <v>668</v>
      </c>
      <c r="K2164" s="3">
        <v>100732934045</v>
      </c>
      <c r="L2164" s="10">
        <v>40397</v>
      </c>
      <c r="M2164">
        <v>50.93</v>
      </c>
      <c r="N2164" s="17">
        <v>9</v>
      </c>
      <c r="O2164" s="5">
        <v>5.28</v>
      </c>
      <c r="P2164" s="5">
        <v>6.26</v>
      </c>
      <c r="Q2164" s="6">
        <v>-34.98</v>
      </c>
      <c r="R2164" s="37" t="s">
        <v>292</v>
      </c>
      <c r="S2164" s="7">
        <f t="shared" si="181"/>
        <v>3</v>
      </c>
      <c r="T2164" s="15" t="str">
        <f>VLOOKUP(R2164,产品分类!$C$2:$D$1278,2,0)</f>
        <v>办公用品</v>
      </c>
    </row>
    <row r="2165" spans="1:20">
      <c r="A2165" s="16">
        <f t="shared" si="185"/>
        <v>40394</v>
      </c>
      <c r="B2165" s="16">
        <f t="shared" si="185"/>
        <v>40394</v>
      </c>
      <c r="C2165" s="9" t="s">
        <v>1517</v>
      </c>
      <c r="D2165">
        <v>10021407220</v>
      </c>
      <c r="E2165" t="s">
        <v>47</v>
      </c>
      <c r="F2165" t="s">
        <v>132</v>
      </c>
      <c r="G2165" t="s">
        <v>133</v>
      </c>
      <c r="H2165" t="s">
        <v>134</v>
      </c>
      <c r="I2165" t="s">
        <v>133</v>
      </c>
      <c r="J2165" t="s">
        <v>668</v>
      </c>
      <c r="K2165" s="3">
        <v>100132945467</v>
      </c>
      <c r="L2165" s="10">
        <v>40396</v>
      </c>
      <c r="M2165">
        <v>792.8</v>
      </c>
      <c r="N2165" s="17">
        <v>44</v>
      </c>
      <c r="O2165" s="5">
        <v>18.97</v>
      </c>
      <c r="P2165" s="5">
        <v>9.54</v>
      </c>
      <c r="Q2165" s="6">
        <v>26.27</v>
      </c>
      <c r="R2165" s="37" t="s">
        <v>302</v>
      </c>
      <c r="S2165" s="7">
        <f t="shared" si="181"/>
        <v>2</v>
      </c>
      <c r="T2165" s="15" t="str">
        <f>VLOOKUP(R2165,产品分类!$C$2:$D$1278,2,0)</f>
        <v>家具产品</v>
      </c>
    </row>
    <row r="2166" spans="1:20">
      <c r="A2166" s="8">
        <f t="shared" si="185"/>
        <v>40394</v>
      </c>
      <c r="B2166" s="8">
        <f t="shared" si="185"/>
        <v>40394</v>
      </c>
      <c r="C2166" s="9" t="s">
        <v>1517</v>
      </c>
      <c r="D2166">
        <v>10021437371</v>
      </c>
      <c r="E2166" t="s">
        <v>47</v>
      </c>
      <c r="F2166" t="s">
        <v>171</v>
      </c>
      <c r="G2166" t="s">
        <v>172</v>
      </c>
      <c r="H2166" t="s">
        <v>1712</v>
      </c>
      <c r="I2166" t="s">
        <v>1713</v>
      </c>
      <c r="J2166" t="s">
        <v>668</v>
      </c>
      <c r="K2166" s="3">
        <v>100432970144</v>
      </c>
      <c r="L2166" s="10">
        <v>40396</v>
      </c>
      <c r="M2166">
        <v>782.4505</v>
      </c>
      <c r="N2166" s="11">
        <v>14</v>
      </c>
      <c r="O2166" s="12">
        <v>65.99</v>
      </c>
      <c r="P2166" s="12">
        <v>3.99</v>
      </c>
      <c r="Q2166" s="13">
        <v>-11.396</v>
      </c>
      <c r="R2166" s="36" t="s">
        <v>727</v>
      </c>
      <c r="S2166" s="7">
        <f t="shared" si="181"/>
        <v>2</v>
      </c>
      <c r="T2166" s="15" t="str">
        <f>VLOOKUP(R2166,产品分类!$C$2:$D$1278,2,0)</f>
        <v>家具产品</v>
      </c>
    </row>
    <row r="2167" spans="1:20">
      <c r="A2167" s="8">
        <f>DATE(2012,12,31)-552</f>
        <v>40722</v>
      </c>
      <c r="B2167" s="8">
        <f>DATE(2012,12,31)-552</f>
        <v>40722</v>
      </c>
      <c r="C2167" s="9" t="s">
        <v>1464</v>
      </c>
      <c r="D2167">
        <v>10021488118</v>
      </c>
      <c r="E2167" t="s">
        <v>47</v>
      </c>
      <c r="F2167" t="s">
        <v>127</v>
      </c>
      <c r="G2167" t="s">
        <v>128</v>
      </c>
      <c r="H2167" t="s">
        <v>1366</v>
      </c>
      <c r="I2167" t="s">
        <v>1367</v>
      </c>
      <c r="J2167" t="s">
        <v>668</v>
      </c>
      <c r="K2167" s="3">
        <v>100833042152</v>
      </c>
      <c r="L2167" s="10">
        <v>40726</v>
      </c>
      <c r="M2167">
        <v>123.13</v>
      </c>
      <c r="N2167" s="11">
        <v>36</v>
      </c>
      <c r="O2167" s="12">
        <v>3.29</v>
      </c>
      <c r="P2167" s="12">
        <v>1.35</v>
      </c>
      <c r="Q2167" s="13">
        <v>20.57</v>
      </c>
      <c r="R2167" s="36" t="s">
        <v>908</v>
      </c>
      <c r="S2167" s="7">
        <f t="shared" si="181"/>
        <v>4</v>
      </c>
      <c r="T2167" s="15" t="str">
        <f>VLOOKUP(R2167,产品分类!$C$2:$D$1278,2,0)</f>
        <v>办公用品</v>
      </c>
    </row>
    <row r="2168" spans="1:20">
      <c r="A2168" s="8">
        <f>DATE(2012,12,31)-552</f>
        <v>40722</v>
      </c>
      <c r="B2168" s="8">
        <f>DATE(2012,12,31)-552</f>
        <v>40722</v>
      </c>
      <c r="C2168" s="9" t="s">
        <v>1464</v>
      </c>
      <c r="D2168">
        <v>10021516362</v>
      </c>
      <c r="E2168" t="s">
        <v>47</v>
      </c>
      <c r="F2168" t="s">
        <v>102</v>
      </c>
      <c r="G2168" t="s">
        <v>103</v>
      </c>
      <c r="H2168" t="s">
        <v>1217</v>
      </c>
      <c r="I2168" t="s">
        <v>1218</v>
      </c>
      <c r="J2168" t="s">
        <v>668</v>
      </c>
      <c r="K2168" s="3">
        <v>100433069423</v>
      </c>
      <c r="L2168" s="10">
        <v>40729</v>
      </c>
      <c r="M2168">
        <v>1425.21</v>
      </c>
      <c r="N2168" s="11">
        <v>9</v>
      </c>
      <c r="O2168" s="12">
        <v>160.98</v>
      </c>
      <c r="P2168" s="12">
        <v>30</v>
      </c>
      <c r="Q2168" s="13">
        <v>-65.02</v>
      </c>
      <c r="R2168" s="36" t="s">
        <v>764</v>
      </c>
      <c r="S2168" s="7">
        <f t="shared" si="181"/>
        <v>7</v>
      </c>
      <c r="T2168" s="15" t="str">
        <f>VLOOKUP(R2168,产品分类!$C$2:$D$1278,2,0)</f>
        <v>家具产品</v>
      </c>
    </row>
    <row r="2169" spans="1:20">
      <c r="A2169" s="8">
        <f>DATE(2012,12,31)-464</f>
        <v>40810</v>
      </c>
      <c r="B2169" s="8">
        <f>DATE(2012,12,31)-464</f>
        <v>40810</v>
      </c>
      <c r="C2169" s="9" t="s">
        <v>1372</v>
      </c>
      <c r="D2169">
        <v>10021392765</v>
      </c>
      <c r="E2169" t="s">
        <v>47</v>
      </c>
      <c r="F2169" t="s">
        <v>48</v>
      </c>
      <c r="G2169" t="s">
        <v>49</v>
      </c>
      <c r="H2169" t="s">
        <v>1812</v>
      </c>
      <c r="I2169" t="s">
        <v>1813</v>
      </c>
      <c r="J2169" t="s">
        <v>668</v>
      </c>
      <c r="K2169" s="3">
        <v>100732915695</v>
      </c>
      <c r="L2169" s="10">
        <v>40811</v>
      </c>
      <c r="M2169">
        <v>35.51</v>
      </c>
      <c r="N2169" s="11">
        <v>18</v>
      </c>
      <c r="O2169" s="12">
        <v>1.68</v>
      </c>
      <c r="P2169" s="12">
        <v>1.57</v>
      </c>
      <c r="Q2169" s="13">
        <v>-13.95</v>
      </c>
      <c r="R2169" s="36" t="s">
        <v>881</v>
      </c>
      <c r="S2169" s="7">
        <f t="shared" si="181"/>
        <v>1</v>
      </c>
      <c r="T2169" s="15" t="str">
        <f>VLOOKUP(R2169,产品分类!$C$2:$D$1278,2,0)</f>
        <v>家具产品</v>
      </c>
    </row>
    <row r="2170" spans="1:20">
      <c r="A2170" s="8">
        <f>DATE(2012,12,31)-464</f>
        <v>40810</v>
      </c>
      <c r="B2170" s="8">
        <f>DATE(2012,12,31)-464</f>
        <v>40810</v>
      </c>
      <c r="C2170" s="9" t="s">
        <v>1372</v>
      </c>
      <c r="D2170">
        <v>10021482790</v>
      </c>
      <c r="E2170" t="s">
        <v>47</v>
      </c>
      <c r="F2170" t="s">
        <v>91</v>
      </c>
      <c r="G2170" t="s">
        <v>92</v>
      </c>
      <c r="H2170" t="s">
        <v>1412</v>
      </c>
      <c r="I2170" t="s">
        <v>1413</v>
      </c>
      <c r="J2170" t="s">
        <v>668</v>
      </c>
      <c r="K2170" s="3">
        <v>100733029625</v>
      </c>
      <c r="L2170" s="10">
        <v>40810</v>
      </c>
      <c r="M2170">
        <v>1105.66</v>
      </c>
      <c r="N2170" s="11">
        <v>39</v>
      </c>
      <c r="O2170" s="12">
        <v>28.28</v>
      </c>
      <c r="P2170" s="12">
        <v>13.99</v>
      </c>
      <c r="Q2170" s="13">
        <v>-136.2</v>
      </c>
      <c r="R2170" s="36" t="s">
        <v>927</v>
      </c>
      <c r="S2170" s="7">
        <f t="shared" si="181"/>
        <v>0</v>
      </c>
      <c r="T2170" s="15" t="str">
        <f>VLOOKUP(R2170,产品分类!$C$2:$D$1278,2,0)</f>
        <v>办公用品</v>
      </c>
    </row>
    <row r="2171" spans="1:20">
      <c r="A2171" s="8">
        <f>DATE(2012,12,31)-494</f>
        <v>40780</v>
      </c>
      <c r="B2171" s="8">
        <f>DATE(2012,12,31)-494</f>
        <v>40780</v>
      </c>
      <c r="C2171" s="9" t="s">
        <v>840</v>
      </c>
      <c r="D2171">
        <v>10021481388</v>
      </c>
      <c r="E2171" t="s">
        <v>47</v>
      </c>
      <c r="F2171" t="s">
        <v>208</v>
      </c>
      <c r="G2171" t="s">
        <v>209</v>
      </c>
      <c r="H2171" t="s">
        <v>1492</v>
      </c>
      <c r="I2171" t="s">
        <v>1493</v>
      </c>
      <c r="J2171" t="s">
        <v>668</v>
      </c>
      <c r="K2171" s="3">
        <v>100433026033</v>
      </c>
      <c r="L2171" s="10">
        <v>40781</v>
      </c>
      <c r="M2171">
        <v>8581.25</v>
      </c>
      <c r="N2171" s="11">
        <v>34</v>
      </c>
      <c r="O2171" s="12">
        <v>240.98</v>
      </c>
      <c r="P2171" s="12">
        <v>60.2</v>
      </c>
      <c r="Q2171" s="13">
        <v>1464.23</v>
      </c>
      <c r="R2171" s="36" t="s">
        <v>1636</v>
      </c>
      <c r="S2171" s="7">
        <f t="shared" si="181"/>
        <v>1</v>
      </c>
      <c r="T2171" s="15" t="str">
        <f>VLOOKUP(R2171,产品分类!$C$2:$D$1278,2,0)</f>
        <v>家具产品</v>
      </c>
    </row>
    <row r="2172" spans="1:20">
      <c r="A2172" s="8">
        <f>DATE(2012,12,31)-494</f>
        <v>40780</v>
      </c>
      <c r="B2172" s="8">
        <f>DATE(2012,12,31)-494</f>
        <v>40780</v>
      </c>
      <c r="C2172" s="9" t="s">
        <v>840</v>
      </c>
      <c r="D2172">
        <v>10021273690</v>
      </c>
      <c r="E2172" t="s">
        <v>47</v>
      </c>
      <c r="F2172" t="s">
        <v>83</v>
      </c>
      <c r="G2172" t="s">
        <v>84</v>
      </c>
      <c r="H2172" t="s">
        <v>1259</v>
      </c>
      <c r="I2172" t="s">
        <v>1260</v>
      </c>
      <c r="J2172" t="s">
        <v>668</v>
      </c>
      <c r="K2172" s="3">
        <v>100332765359</v>
      </c>
      <c r="L2172" s="10">
        <v>40781</v>
      </c>
      <c r="M2172">
        <v>135.99</v>
      </c>
      <c r="N2172" s="11">
        <v>21</v>
      </c>
      <c r="O2172" s="12">
        <v>6.48</v>
      </c>
      <c r="P2172" s="12">
        <v>9.68</v>
      </c>
      <c r="Q2172" s="13">
        <v>-129.24</v>
      </c>
      <c r="R2172" s="36" t="s">
        <v>1905</v>
      </c>
      <c r="S2172" s="7">
        <f t="shared" si="181"/>
        <v>1</v>
      </c>
      <c r="T2172" s="15" t="str">
        <f>VLOOKUP(R2172,产品分类!$C$2:$D$1278,2,0)</f>
        <v>数码电子</v>
      </c>
    </row>
    <row r="2173" spans="1:20">
      <c r="A2173" s="16">
        <f t="shared" ref="A2173:B2175" si="186">DATE(2012,12,31)-88</f>
        <v>41186</v>
      </c>
      <c r="B2173" s="16">
        <f t="shared" si="186"/>
        <v>41186</v>
      </c>
      <c r="C2173" s="9" t="s">
        <v>1906</v>
      </c>
      <c r="D2173">
        <v>10021454392</v>
      </c>
      <c r="E2173" t="s">
        <v>47</v>
      </c>
      <c r="F2173" t="s">
        <v>91</v>
      </c>
      <c r="G2173" t="s">
        <v>92</v>
      </c>
      <c r="H2173" t="s">
        <v>1412</v>
      </c>
      <c r="I2173" t="s">
        <v>1413</v>
      </c>
      <c r="J2173" t="s">
        <v>668</v>
      </c>
      <c r="K2173" s="3">
        <v>100732861965</v>
      </c>
      <c r="L2173" s="10">
        <v>41189</v>
      </c>
      <c r="M2173">
        <v>2182.91</v>
      </c>
      <c r="N2173" s="17">
        <v>40</v>
      </c>
      <c r="O2173" s="5">
        <v>60.22</v>
      </c>
      <c r="P2173" s="5">
        <v>3.5</v>
      </c>
      <c r="Q2173" s="6">
        <v>549.45</v>
      </c>
      <c r="R2173" s="37" t="s">
        <v>1907</v>
      </c>
      <c r="S2173" s="7">
        <f t="shared" si="181"/>
        <v>3</v>
      </c>
      <c r="T2173" s="15" t="str">
        <f>VLOOKUP(R2173,产品分类!$C$2:$D$1278,2,0)</f>
        <v>办公用品</v>
      </c>
    </row>
    <row r="2174" spans="1:20">
      <c r="A2174" s="16">
        <f t="shared" si="186"/>
        <v>41186</v>
      </c>
      <c r="B2174" s="16">
        <f t="shared" si="186"/>
        <v>41186</v>
      </c>
      <c r="C2174" s="9" t="s">
        <v>1906</v>
      </c>
      <c r="D2174">
        <v>10021482154</v>
      </c>
      <c r="E2174" t="s">
        <v>47</v>
      </c>
      <c r="F2174" t="s">
        <v>152</v>
      </c>
      <c r="G2174" t="s">
        <v>153</v>
      </c>
      <c r="H2174" t="s">
        <v>1860</v>
      </c>
      <c r="I2174" t="s">
        <v>1861</v>
      </c>
      <c r="J2174" t="s">
        <v>668</v>
      </c>
      <c r="K2174" s="3">
        <v>100932641311</v>
      </c>
      <c r="L2174" s="10">
        <v>41188</v>
      </c>
      <c r="M2174">
        <v>1144.35</v>
      </c>
      <c r="N2174" s="17">
        <v>14</v>
      </c>
      <c r="O2174" s="5">
        <v>80.98</v>
      </c>
      <c r="P2174" s="5">
        <v>35</v>
      </c>
      <c r="Q2174" s="6">
        <v>-448.6</v>
      </c>
      <c r="R2174" s="37" t="s">
        <v>1908</v>
      </c>
      <c r="S2174" s="7">
        <f t="shared" si="181"/>
        <v>2</v>
      </c>
      <c r="T2174" s="15" t="str">
        <f>VLOOKUP(R2174,产品分类!$C$2:$D$1278,2,0)</f>
        <v>办公用品</v>
      </c>
    </row>
    <row r="2175" spans="1:20">
      <c r="A2175" s="8">
        <f t="shared" si="186"/>
        <v>41186</v>
      </c>
      <c r="B2175" s="8">
        <f t="shared" si="186"/>
        <v>41186</v>
      </c>
      <c r="C2175" s="9" t="s">
        <v>1906</v>
      </c>
      <c r="D2175">
        <v>10021345403</v>
      </c>
      <c r="E2175" t="s">
        <v>47</v>
      </c>
      <c r="F2175" t="s">
        <v>78</v>
      </c>
      <c r="G2175" t="s">
        <v>79</v>
      </c>
      <c r="H2175" t="s">
        <v>1887</v>
      </c>
      <c r="I2175" t="s">
        <v>1888</v>
      </c>
      <c r="J2175" t="s">
        <v>668</v>
      </c>
      <c r="K2175" s="3">
        <v>100930155791</v>
      </c>
      <c r="L2175" s="10">
        <v>41188</v>
      </c>
      <c r="M2175">
        <v>1496.83</v>
      </c>
      <c r="N2175" s="11">
        <v>8</v>
      </c>
      <c r="O2175" s="12">
        <v>179.29</v>
      </c>
      <c r="P2175" s="12">
        <v>56.2</v>
      </c>
      <c r="Q2175" s="13">
        <v>-329.72</v>
      </c>
      <c r="R2175" s="36" t="s">
        <v>1909</v>
      </c>
      <c r="S2175" s="7">
        <f t="shared" si="181"/>
        <v>2</v>
      </c>
      <c r="T2175" s="15" t="str">
        <f>VLOOKUP(R2175,产品分类!$C$2:$D$1278,2,0)</f>
        <v>家具产品</v>
      </c>
    </row>
    <row r="2176" spans="1:20">
      <c r="A2176" s="8">
        <f>DATE(2012,12,31)-1186</f>
        <v>40088</v>
      </c>
      <c r="B2176" s="8">
        <f>DATE(2012,12,31)-1186</f>
        <v>40088</v>
      </c>
      <c r="C2176" s="9" t="s">
        <v>1910</v>
      </c>
      <c r="D2176">
        <v>10021346338</v>
      </c>
      <c r="E2176" t="s">
        <v>47</v>
      </c>
      <c r="F2176" t="s">
        <v>83</v>
      </c>
      <c r="G2176" t="s">
        <v>84</v>
      </c>
      <c r="H2176" t="s">
        <v>1259</v>
      </c>
      <c r="I2176" t="s">
        <v>1260</v>
      </c>
      <c r="J2176" t="s">
        <v>668</v>
      </c>
      <c r="K2176" s="3">
        <v>100730580185</v>
      </c>
      <c r="L2176" s="10">
        <v>40090</v>
      </c>
      <c r="M2176">
        <v>7937.59</v>
      </c>
      <c r="N2176" s="11">
        <v>27</v>
      </c>
      <c r="O2176" s="12">
        <v>300.98</v>
      </c>
      <c r="P2176" s="12">
        <v>54.92</v>
      </c>
      <c r="Q2176" s="13">
        <v>1383.24</v>
      </c>
      <c r="R2176" s="36" t="s">
        <v>1625</v>
      </c>
      <c r="S2176" s="7">
        <f t="shared" si="181"/>
        <v>2</v>
      </c>
      <c r="T2176" s="15" t="str">
        <f>VLOOKUP(R2176,产品分类!$C$2:$D$1278,2,0)</f>
        <v>办公用品</v>
      </c>
    </row>
    <row r="2177" spans="1:20">
      <c r="A2177" s="8">
        <f>DATE(2012,12,31)-1186</f>
        <v>40088</v>
      </c>
      <c r="B2177" s="8">
        <f>DATE(2012,12,31)-1186</f>
        <v>40088</v>
      </c>
      <c r="C2177" s="9" t="s">
        <v>1910</v>
      </c>
      <c r="D2177">
        <v>10021324672</v>
      </c>
      <c r="E2177" t="s">
        <v>47</v>
      </c>
      <c r="F2177" t="s">
        <v>152</v>
      </c>
      <c r="G2177" t="s">
        <v>153</v>
      </c>
      <c r="H2177" t="s">
        <v>1860</v>
      </c>
      <c r="I2177" t="s">
        <v>1861</v>
      </c>
      <c r="J2177" t="s">
        <v>668</v>
      </c>
      <c r="K2177" s="3">
        <v>100911240201</v>
      </c>
      <c r="L2177" s="10">
        <v>40090</v>
      </c>
      <c r="M2177">
        <v>9396.41</v>
      </c>
      <c r="N2177" s="11">
        <v>4</v>
      </c>
      <c r="O2177" s="12">
        <v>2550.14</v>
      </c>
      <c r="P2177" s="12">
        <v>29.7</v>
      </c>
      <c r="Q2177" s="13">
        <v>-4991.4249</v>
      </c>
      <c r="R2177" s="36" t="s">
        <v>769</v>
      </c>
      <c r="S2177" s="7">
        <f t="shared" si="181"/>
        <v>2</v>
      </c>
      <c r="T2177" s="15" t="str">
        <f>VLOOKUP(R2177,产品分类!$C$2:$D$1278,2,0)</f>
        <v>办公用品</v>
      </c>
    </row>
    <row r="2178" spans="1:20">
      <c r="A2178" s="8">
        <f>DATE(2012,12,31)-266</f>
        <v>41008</v>
      </c>
      <c r="B2178" s="8">
        <f>DATE(2012,12,31)-266</f>
        <v>41008</v>
      </c>
      <c r="C2178" s="9" t="s">
        <v>582</v>
      </c>
      <c r="D2178">
        <v>10021292129</v>
      </c>
      <c r="E2178" t="s">
        <v>47</v>
      </c>
      <c r="F2178" t="s">
        <v>114</v>
      </c>
      <c r="G2178" t="s">
        <v>115</v>
      </c>
      <c r="H2178" t="s">
        <v>1829</v>
      </c>
      <c r="I2178" t="s">
        <v>1830</v>
      </c>
      <c r="J2178" t="s">
        <v>668</v>
      </c>
      <c r="K2178" s="3">
        <v>100817363712</v>
      </c>
      <c r="L2178" s="10">
        <v>41011</v>
      </c>
      <c r="M2178">
        <v>3400.63</v>
      </c>
      <c r="N2178" s="11">
        <v>48</v>
      </c>
      <c r="O2178" s="12">
        <v>70.98</v>
      </c>
      <c r="P2178" s="12">
        <v>46.74</v>
      </c>
      <c r="Q2178" s="13">
        <v>-892.79</v>
      </c>
      <c r="R2178" s="36" t="s">
        <v>408</v>
      </c>
      <c r="S2178" s="7">
        <f t="shared" si="181"/>
        <v>3</v>
      </c>
      <c r="T2178" s="15" t="str">
        <f>VLOOKUP(R2178,产品分类!$C$2:$D$1278,2,0)</f>
        <v>家具产品</v>
      </c>
    </row>
    <row r="2179" spans="1:20">
      <c r="A2179" s="8">
        <f>DATE(2012,12,31)-27</f>
        <v>41247</v>
      </c>
      <c r="B2179" s="8">
        <f>DATE(2012,12,31)-27</f>
        <v>41247</v>
      </c>
      <c r="C2179" s="9" t="s">
        <v>1247</v>
      </c>
      <c r="D2179">
        <v>10021481429</v>
      </c>
      <c r="E2179" t="s">
        <v>47</v>
      </c>
      <c r="F2179" t="s">
        <v>55</v>
      </c>
      <c r="G2179" t="s">
        <v>56</v>
      </c>
      <c r="H2179" t="s">
        <v>1869</v>
      </c>
      <c r="I2179" t="s">
        <v>1870</v>
      </c>
      <c r="J2179" t="s">
        <v>668</v>
      </c>
      <c r="K2179" s="3">
        <v>100332660139</v>
      </c>
      <c r="L2179" s="10">
        <v>41249</v>
      </c>
      <c r="M2179">
        <v>102.9</v>
      </c>
      <c r="N2179" s="11">
        <v>1</v>
      </c>
      <c r="O2179" s="12">
        <v>48.58</v>
      </c>
      <c r="P2179" s="12">
        <v>54.11</v>
      </c>
      <c r="Q2179" s="13">
        <v>-81.89</v>
      </c>
      <c r="R2179" s="36" t="s">
        <v>234</v>
      </c>
      <c r="S2179" s="7">
        <f t="shared" ref="S2179:S2242" si="187">+L2179-B2179</f>
        <v>2</v>
      </c>
      <c r="T2179" s="15" t="str">
        <f>VLOOKUP(R2179,产品分类!$C$2:$D$1278,2,0)</f>
        <v>家具产品</v>
      </c>
    </row>
    <row r="2180" spans="1:20">
      <c r="A2180" s="8">
        <f>DATE(2012,12,31)-545</f>
        <v>40729</v>
      </c>
      <c r="B2180" s="8">
        <f>DATE(2012,12,31)-545</f>
        <v>40729</v>
      </c>
      <c r="C2180" s="9" t="s">
        <v>1831</v>
      </c>
      <c r="D2180">
        <v>10021272078</v>
      </c>
      <c r="E2180" t="s">
        <v>47</v>
      </c>
      <c r="F2180" t="s">
        <v>91</v>
      </c>
      <c r="G2180" t="s">
        <v>92</v>
      </c>
      <c r="H2180" t="s">
        <v>1911</v>
      </c>
      <c r="I2180" t="s">
        <v>1912</v>
      </c>
      <c r="J2180" t="s">
        <v>668</v>
      </c>
      <c r="K2180" s="3">
        <v>10072526285</v>
      </c>
      <c r="L2180" s="10">
        <v>40731</v>
      </c>
      <c r="M2180">
        <v>2510.71</v>
      </c>
      <c r="N2180" s="11">
        <v>50</v>
      </c>
      <c r="O2180" s="12">
        <v>49.43</v>
      </c>
      <c r="P2180" s="12">
        <v>19.99</v>
      </c>
      <c r="Q2180" s="13">
        <v>3.59999999999999</v>
      </c>
      <c r="R2180" s="36" t="s">
        <v>1805</v>
      </c>
      <c r="S2180" s="7">
        <f t="shared" si="187"/>
        <v>2</v>
      </c>
      <c r="T2180" s="15" t="str">
        <f>VLOOKUP(R2180,产品分类!$C$2:$D$1278,2,0)</f>
        <v>家具产品</v>
      </c>
    </row>
    <row r="2181" spans="1:20">
      <c r="A2181" s="8">
        <f>DATE(2012,12,31)-77</f>
        <v>41197</v>
      </c>
      <c r="B2181" s="8">
        <f>DATE(2012,12,31)-77</f>
        <v>41197</v>
      </c>
      <c r="C2181" s="9" t="s">
        <v>984</v>
      </c>
      <c r="D2181">
        <v>10021442251</v>
      </c>
      <c r="E2181" t="s">
        <v>47</v>
      </c>
      <c r="F2181" t="s">
        <v>91</v>
      </c>
      <c r="G2181" t="s">
        <v>92</v>
      </c>
      <c r="H2181" t="s">
        <v>1911</v>
      </c>
      <c r="I2181" t="s">
        <v>1912</v>
      </c>
      <c r="J2181" t="s">
        <v>668</v>
      </c>
      <c r="K2181" s="3">
        <v>100329041969</v>
      </c>
      <c r="L2181" s="10">
        <v>41200</v>
      </c>
      <c r="M2181">
        <v>2123.64</v>
      </c>
      <c r="N2181" s="11">
        <v>43</v>
      </c>
      <c r="O2181" s="12">
        <v>47.9</v>
      </c>
      <c r="P2181" s="12">
        <v>5.86</v>
      </c>
      <c r="Q2181" s="13">
        <v>1013.77</v>
      </c>
      <c r="R2181" s="36" t="s">
        <v>736</v>
      </c>
      <c r="S2181" s="7">
        <f t="shared" si="187"/>
        <v>3</v>
      </c>
      <c r="T2181" s="15" t="str">
        <f>VLOOKUP(R2181,产品分类!$C$2:$D$1278,2,0)</f>
        <v>数码电子</v>
      </c>
    </row>
    <row r="2182" spans="1:20">
      <c r="A2182" s="8">
        <f t="shared" ref="A2182:B2184" si="188">DATE(2012,12,31)-1434</f>
        <v>39840</v>
      </c>
      <c r="B2182" s="8">
        <f t="shared" si="188"/>
        <v>39840</v>
      </c>
      <c r="C2182" s="9" t="s">
        <v>359</v>
      </c>
      <c r="D2182">
        <v>10021305221</v>
      </c>
      <c r="E2182" t="s">
        <v>47</v>
      </c>
      <c r="F2182" t="s">
        <v>122</v>
      </c>
      <c r="G2182" t="s">
        <v>123</v>
      </c>
      <c r="H2182" t="s">
        <v>124</v>
      </c>
      <c r="I2182" t="s">
        <v>125</v>
      </c>
      <c r="J2182" t="s">
        <v>668</v>
      </c>
      <c r="K2182" s="3">
        <v>100132417436</v>
      </c>
      <c r="L2182" s="10">
        <v>39841</v>
      </c>
      <c r="M2182">
        <v>100.87</v>
      </c>
      <c r="N2182" s="11">
        <v>36</v>
      </c>
      <c r="O2182" s="12">
        <v>2.94</v>
      </c>
      <c r="P2182" s="12">
        <v>0.7</v>
      </c>
      <c r="Q2182" s="13">
        <v>8.4</v>
      </c>
      <c r="R2182" s="36" t="s">
        <v>1032</v>
      </c>
      <c r="S2182" s="7">
        <f t="shared" si="187"/>
        <v>1</v>
      </c>
      <c r="T2182" s="15" t="str">
        <f>VLOOKUP(R2182,产品分类!$C$2:$D$1278,2,0)</f>
        <v>办公用品</v>
      </c>
    </row>
    <row r="2183" spans="1:20">
      <c r="A2183" s="16">
        <f t="shared" si="188"/>
        <v>39840</v>
      </c>
      <c r="B2183" s="16">
        <f t="shared" si="188"/>
        <v>39840</v>
      </c>
      <c r="C2183" s="9" t="s">
        <v>359</v>
      </c>
      <c r="D2183">
        <v>10021443186</v>
      </c>
      <c r="E2183" t="s">
        <v>47</v>
      </c>
      <c r="F2183" t="s">
        <v>132</v>
      </c>
      <c r="G2183" t="s">
        <v>133</v>
      </c>
      <c r="H2183" t="s">
        <v>134</v>
      </c>
      <c r="I2183" t="s">
        <v>133</v>
      </c>
      <c r="J2183" t="s">
        <v>668</v>
      </c>
      <c r="K2183" s="3">
        <v>100932985111</v>
      </c>
      <c r="L2183" s="10">
        <v>39842</v>
      </c>
      <c r="M2183">
        <v>1863.02</v>
      </c>
      <c r="N2183" s="17">
        <v>41</v>
      </c>
      <c r="O2183" s="5">
        <v>43.98</v>
      </c>
      <c r="P2183" s="5">
        <v>8.99</v>
      </c>
      <c r="Q2183" s="6">
        <v>360.63</v>
      </c>
      <c r="R2183" s="37" t="s">
        <v>189</v>
      </c>
      <c r="S2183" s="7">
        <f t="shared" si="187"/>
        <v>2</v>
      </c>
      <c r="T2183" s="15" t="str">
        <f>VLOOKUP(R2183,产品分类!$C$2:$D$1278,2,0)</f>
        <v>数码电子</v>
      </c>
    </row>
    <row r="2184" spans="1:20">
      <c r="A2184" s="16">
        <f t="shared" si="188"/>
        <v>39840</v>
      </c>
      <c r="B2184" s="16">
        <f t="shared" si="188"/>
        <v>39840</v>
      </c>
      <c r="C2184" s="9" t="s">
        <v>359</v>
      </c>
      <c r="D2184">
        <v>10021355491</v>
      </c>
      <c r="E2184" t="s">
        <v>47</v>
      </c>
      <c r="F2184" t="s">
        <v>527</v>
      </c>
      <c r="G2184" t="s">
        <v>528</v>
      </c>
      <c r="H2184" t="s">
        <v>1913</v>
      </c>
      <c r="I2184" t="s">
        <v>1914</v>
      </c>
      <c r="J2184" t="s">
        <v>668</v>
      </c>
      <c r="K2184" s="3">
        <v>10011249086</v>
      </c>
      <c r="L2184" s="10">
        <v>39843</v>
      </c>
      <c r="M2184">
        <v>55.89</v>
      </c>
      <c r="N2184" s="17">
        <v>50</v>
      </c>
      <c r="O2184" s="5">
        <v>1.14</v>
      </c>
      <c r="P2184" s="5">
        <v>0.7</v>
      </c>
      <c r="Q2184" s="6">
        <v>-3.05</v>
      </c>
      <c r="R2184" s="37" t="s">
        <v>1635</v>
      </c>
      <c r="S2184" s="7">
        <f t="shared" si="187"/>
        <v>3</v>
      </c>
      <c r="T2184" s="15" t="str">
        <f>VLOOKUP(R2184,产品分类!$C$2:$D$1278,2,0)</f>
        <v>家具产品</v>
      </c>
    </row>
    <row r="2185" spans="1:20">
      <c r="A2185" s="8">
        <f>DATE(2012,12,31)-713</f>
        <v>40561</v>
      </c>
      <c r="B2185" s="8">
        <f>DATE(2012,12,31)-713</f>
        <v>40561</v>
      </c>
      <c r="C2185" s="9" t="s">
        <v>719</v>
      </c>
      <c r="D2185">
        <v>10021353931</v>
      </c>
      <c r="E2185" t="s">
        <v>47</v>
      </c>
      <c r="F2185" t="s">
        <v>527</v>
      </c>
      <c r="G2185" t="s">
        <v>528</v>
      </c>
      <c r="H2185" t="s">
        <v>1913</v>
      </c>
      <c r="I2185" t="s">
        <v>1914</v>
      </c>
      <c r="J2185" t="s">
        <v>668</v>
      </c>
      <c r="K2185" s="3">
        <v>10092741231</v>
      </c>
      <c r="L2185" s="10">
        <v>40562</v>
      </c>
      <c r="M2185">
        <v>5405.44</v>
      </c>
      <c r="N2185" s="11">
        <v>18</v>
      </c>
      <c r="O2185" s="12">
        <v>300.98</v>
      </c>
      <c r="P2185" s="12">
        <v>64.73</v>
      </c>
      <c r="Q2185" s="13">
        <v>604.46</v>
      </c>
      <c r="R2185" s="36" t="s">
        <v>1063</v>
      </c>
      <c r="S2185" s="7">
        <f t="shared" si="187"/>
        <v>1</v>
      </c>
      <c r="T2185" s="15" t="str">
        <f>VLOOKUP(R2185,产品分类!$C$2:$D$1278,2,0)</f>
        <v>办公用品</v>
      </c>
    </row>
    <row r="2186" spans="1:20">
      <c r="A2186" s="16">
        <f>DATE(2012,12,31)-1016</f>
        <v>40258</v>
      </c>
      <c r="B2186" s="16">
        <f>DATE(2012,12,31)-1016</f>
        <v>40258</v>
      </c>
      <c r="C2186" s="9" t="s">
        <v>394</v>
      </c>
      <c r="D2186">
        <v>10021481587</v>
      </c>
      <c r="E2186" t="s">
        <v>47</v>
      </c>
      <c r="F2186" t="s">
        <v>171</v>
      </c>
      <c r="G2186" t="s">
        <v>172</v>
      </c>
      <c r="H2186" t="s">
        <v>1712</v>
      </c>
      <c r="I2186" t="s">
        <v>1713</v>
      </c>
      <c r="J2186" t="s">
        <v>668</v>
      </c>
      <c r="K2186" s="3">
        <v>100932520071</v>
      </c>
      <c r="L2186" s="10">
        <v>40259</v>
      </c>
      <c r="M2186">
        <v>838.81</v>
      </c>
      <c r="N2186" s="17">
        <v>16</v>
      </c>
      <c r="O2186" s="5">
        <v>55.48</v>
      </c>
      <c r="P2186" s="5">
        <v>6.79</v>
      </c>
      <c r="Q2186" s="6">
        <v>290.77</v>
      </c>
      <c r="R2186" s="37" t="s">
        <v>1562</v>
      </c>
      <c r="S2186" s="7">
        <f t="shared" si="187"/>
        <v>1</v>
      </c>
      <c r="T2186" s="15" t="str">
        <f>VLOOKUP(R2186,产品分类!$C$2:$D$1278,2,0)</f>
        <v>办公用品</v>
      </c>
    </row>
    <row r="2187" spans="1:20">
      <c r="A2187" s="8">
        <f>DATE(2012,12,31)-1234</f>
        <v>40040</v>
      </c>
      <c r="B2187" s="8">
        <f>DATE(2012,12,31)-1234</f>
        <v>40040</v>
      </c>
      <c r="C2187" s="9" t="s">
        <v>1378</v>
      </c>
      <c r="D2187">
        <v>10021357729</v>
      </c>
      <c r="E2187" t="s">
        <v>47</v>
      </c>
      <c r="F2187" t="s">
        <v>253</v>
      </c>
      <c r="G2187" t="s">
        <v>254</v>
      </c>
      <c r="H2187" t="s">
        <v>255</v>
      </c>
      <c r="I2187" t="s">
        <v>256</v>
      </c>
      <c r="J2187" t="s">
        <v>668</v>
      </c>
      <c r="K2187" s="3">
        <v>10011569658</v>
      </c>
      <c r="L2187" s="10">
        <v>40041</v>
      </c>
      <c r="M2187">
        <v>189.6</v>
      </c>
      <c r="N2187" s="11">
        <v>37</v>
      </c>
      <c r="O2187" s="12">
        <v>4.98</v>
      </c>
      <c r="P2187" s="12">
        <v>0.49</v>
      </c>
      <c r="Q2187" s="13">
        <v>89.65</v>
      </c>
      <c r="R2187" s="36" t="s">
        <v>327</v>
      </c>
      <c r="S2187" s="7">
        <f t="shared" si="187"/>
        <v>1</v>
      </c>
      <c r="T2187" s="15" t="str">
        <f>VLOOKUP(R2187,产品分类!$C$2:$D$1278,2,0)</f>
        <v>家具产品</v>
      </c>
    </row>
    <row r="2188" spans="1:20">
      <c r="A2188" s="8">
        <f>DATE(2012,12,31)-1234</f>
        <v>40040</v>
      </c>
      <c r="B2188" s="8">
        <f>DATE(2012,12,31)-1234</f>
        <v>40040</v>
      </c>
      <c r="C2188" s="9" t="s">
        <v>1378</v>
      </c>
      <c r="D2188">
        <v>10021292264</v>
      </c>
      <c r="E2188" t="s">
        <v>47</v>
      </c>
      <c r="F2188" t="s">
        <v>61</v>
      </c>
      <c r="G2188" t="s">
        <v>62</v>
      </c>
      <c r="H2188" t="s">
        <v>47</v>
      </c>
      <c r="I2188" t="s">
        <v>1778</v>
      </c>
      <c r="J2188" t="s">
        <v>668</v>
      </c>
      <c r="K2188" s="3">
        <v>100727754285</v>
      </c>
      <c r="L2188" s="10">
        <v>40041</v>
      </c>
      <c r="M2188">
        <v>397.732</v>
      </c>
      <c r="N2188" s="11">
        <v>21</v>
      </c>
      <c r="O2188" s="12">
        <v>20.99</v>
      </c>
      <c r="P2188" s="12">
        <v>0.99</v>
      </c>
      <c r="Q2188" s="13">
        <v>-26.048</v>
      </c>
      <c r="R2188" s="36" t="s">
        <v>1915</v>
      </c>
      <c r="S2188" s="7">
        <f t="shared" si="187"/>
        <v>1</v>
      </c>
      <c r="T2188" s="15" t="str">
        <f>VLOOKUP(R2188,产品分类!$C$2:$D$1278,2,0)</f>
        <v>办公用品</v>
      </c>
    </row>
    <row r="2189" spans="1:20">
      <c r="A2189" s="8">
        <f>DATE(2012,12,31)-970</f>
        <v>40304</v>
      </c>
      <c r="B2189" s="8">
        <f>DATE(2012,12,31)-970</f>
        <v>40304</v>
      </c>
      <c r="C2189" s="9" t="s">
        <v>1916</v>
      </c>
      <c r="D2189">
        <v>10021480000</v>
      </c>
      <c r="E2189" t="s">
        <v>47</v>
      </c>
      <c r="F2189" t="s">
        <v>61</v>
      </c>
      <c r="G2189" t="s">
        <v>62</v>
      </c>
      <c r="H2189" t="s">
        <v>47</v>
      </c>
      <c r="I2189" t="s">
        <v>1778</v>
      </c>
      <c r="J2189" t="s">
        <v>668</v>
      </c>
      <c r="K2189" s="3">
        <v>100110192656</v>
      </c>
      <c r="L2189" s="10">
        <v>40306</v>
      </c>
      <c r="M2189">
        <v>43.23</v>
      </c>
      <c r="N2189" s="11">
        <v>9</v>
      </c>
      <c r="O2189" s="12">
        <v>3.98</v>
      </c>
      <c r="P2189" s="12">
        <v>5.26</v>
      </c>
      <c r="Q2189" s="13">
        <v>-29.532</v>
      </c>
      <c r="R2189" s="36" t="s">
        <v>479</v>
      </c>
      <c r="S2189" s="7">
        <f t="shared" si="187"/>
        <v>2</v>
      </c>
      <c r="T2189" s="15" t="str">
        <f>VLOOKUP(R2189,产品分类!$C$2:$D$1278,2,0)</f>
        <v>办公用品</v>
      </c>
    </row>
    <row r="2190" spans="1:20">
      <c r="A2190" s="8">
        <f>DATE(2012,12,31)-628</f>
        <v>40646</v>
      </c>
      <c r="B2190" s="8">
        <f>DATE(2012,12,31)-628</f>
        <v>40646</v>
      </c>
      <c r="C2190" s="9" t="s">
        <v>326</v>
      </c>
      <c r="D2190">
        <v>10021491334</v>
      </c>
      <c r="E2190" t="s">
        <v>47</v>
      </c>
      <c r="F2190" t="s">
        <v>61</v>
      </c>
      <c r="G2190" t="s">
        <v>62</v>
      </c>
      <c r="H2190" t="s">
        <v>47</v>
      </c>
      <c r="I2190" t="s">
        <v>1778</v>
      </c>
      <c r="J2190" t="s">
        <v>668</v>
      </c>
      <c r="K2190" s="3">
        <v>100430145043</v>
      </c>
      <c r="L2190" s="10">
        <v>40648</v>
      </c>
      <c r="M2190">
        <v>71.77</v>
      </c>
      <c r="N2190" s="11">
        <v>19</v>
      </c>
      <c r="O2190" s="12">
        <v>3.78</v>
      </c>
      <c r="P2190" s="12">
        <v>0.71</v>
      </c>
      <c r="Q2190" s="13">
        <v>22.71</v>
      </c>
      <c r="R2190" s="36" t="s">
        <v>731</v>
      </c>
      <c r="S2190" s="7">
        <f t="shared" si="187"/>
        <v>2</v>
      </c>
      <c r="T2190" s="15" t="str">
        <f>VLOOKUP(R2190,产品分类!$C$2:$D$1278,2,0)</f>
        <v>家具产品</v>
      </c>
    </row>
    <row r="2191" spans="1:20">
      <c r="A2191" s="8">
        <f>DATE(2012,12,31)-119</f>
        <v>41155</v>
      </c>
      <c r="B2191" s="8">
        <f>DATE(2012,12,31)-119</f>
        <v>41155</v>
      </c>
      <c r="C2191" s="9" t="s">
        <v>1917</v>
      </c>
      <c r="D2191">
        <v>10021441525</v>
      </c>
      <c r="E2191" t="s">
        <v>47</v>
      </c>
      <c r="F2191" t="s">
        <v>72</v>
      </c>
      <c r="G2191" t="s">
        <v>73</v>
      </c>
      <c r="H2191" t="s">
        <v>1854</v>
      </c>
      <c r="I2191" t="s">
        <v>1855</v>
      </c>
      <c r="J2191" t="s">
        <v>668</v>
      </c>
      <c r="K2191" s="3">
        <v>10041323623</v>
      </c>
      <c r="L2191" s="10">
        <v>41156</v>
      </c>
      <c r="M2191">
        <v>824.51</v>
      </c>
      <c r="N2191" s="11">
        <v>29</v>
      </c>
      <c r="O2191" s="12">
        <v>27.48</v>
      </c>
      <c r="P2191" s="12">
        <v>4</v>
      </c>
      <c r="Q2191" s="13">
        <v>0.899999999999984</v>
      </c>
      <c r="R2191" s="36" t="s">
        <v>1392</v>
      </c>
      <c r="S2191" s="7">
        <f t="shared" si="187"/>
        <v>1</v>
      </c>
      <c r="T2191" s="15" t="str">
        <f>VLOOKUP(R2191,产品分类!$C$2:$D$1278,2,0)</f>
        <v>办公用品</v>
      </c>
    </row>
    <row r="2192" spans="1:20">
      <c r="A2192" s="8">
        <f>DATE(2012,12,31)-276</f>
        <v>40998</v>
      </c>
      <c r="B2192" s="8">
        <f>DATE(2012,12,31)-276</f>
        <v>40998</v>
      </c>
      <c r="C2192" s="9" t="s">
        <v>1336</v>
      </c>
      <c r="D2192">
        <v>10021309879</v>
      </c>
      <c r="E2192" t="s">
        <v>47</v>
      </c>
      <c r="F2192" t="s">
        <v>91</v>
      </c>
      <c r="G2192" t="s">
        <v>92</v>
      </c>
      <c r="H2192" t="s">
        <v>1911</v>
      </c>
      <c r="I2192" t="s">
        <v>1912</v>
      </c>
      <c r="J2192" t="s">
        <v>668</v>
      </c>
      <c r="K2192" s="3">
        <v>100123454958</v>
      </c>
      <c r="L2192" s="10">
        <v>41000</v>
      </c>
      <c r="M2192">
        <v>2339.64</v>
      </c>
      <c r="N2192" s="11">
        <v>35</v>
      </c>
      <c r="O2192" s="12">
        <v>71.37</v>
      </c>
      <c r="P2192" s="12">
        <v>69</v>
      </c>
      <c r="Q2192" s="13">
        <v>-1916.71</v>
      </c>
      <c r="R2192" s="36" t="s">
        <v>426</v>
      </c>
      <c r="S2192" s="7">
        <f t="shared" si="187"/>
        <v>2</v>
      </c>
      <c r="T2192" s="15" t="str">
        <f>VLOOKUP(R2192,产品分类!$C$2:$D$1278,2,0)</f>
        <v>家具产品</v>
      </c>
    </row>
    <row r="2193" spans="1:20">
      <c r="A2193" s="8">
        <f t="shared" ref="A2193:B2196" si="189">DATE(2012,12,31)-748</f>
        <v>40526</v>
      </c>
      <c r="B2193" s="8">
        <f t="shared" si="189"/>
        <v>40526</v>
      </c>
      <c r="C2193" s="9" t="s">
        <v>1678</v>
      </c>
      <c r="D2193">
        <v>10021377726</v>
      </c>
      <c r="E2193" t="s">
        <v>47</v>
      </c>
      <c r="F2193" t="s">
        <v>122</v>
      </c>
      <c r="G2193" t="s">
        <v>123</v>
      </c>
      <c r="H2193" t="s">
        <v>124</v>
      </c>
      <c r="I2193" t="s">
        <v>125</v>
      </c>
      <c r="J2193" t="s">
        <v>668</v>
      </c>
      <c r="K2193" s="3">
        <v>100918100271</v>
      </c>
      <c r="L2193" s="10">
        <v>40526</v>
      </c>
      <c r="M2193">
        <v>126.88</v>
      </c>
      <c r="N2193" s="11">
        <v>33</v>
      </c>
      <c r="O2193" s="12">
        <v>3.7</v>
      </c>
      <c r="P2193" s="12">
        <v>1.61</v>
      </c>
      <c r="Q2193" s="13">
        <v>12.63</v>
      </c>
      <c r="R2193" s="36" t="s">
        <v>1918</v>
      </c>
      <c r="S2193" s="7">
        <f t="shared" si="187"/>
        <v>0</v>
      </c>
      <c r="T2193" s="15" t="str">
        <f>VLOOKUP(R2193,产品分类!$C$2:$D$1278,2,0)</f>
        <v>办公用品</v>
      </c>
    </row>
    <row r="2194" spans="1:20">
      <c r="A2194" s="16">
        <f t="shared" si="189"/>
        <v>40526</v>
      </c>
      <c r="B2194" s="16">
        <f t="shared" si="189"/>
        <v>40526</v>
      </c>
      <c r="C2194" s="9" t="s">
        <v>1678</v>
      </c>
      <c r="D2194">
        <v>10021325202</v>
      </c>
      <c r="E2194" t="s">
        <v>47</v>
      </c>
      <c r="F2194" t="s">
        <v>55</v>
      </c>
      <c r="G2194" t="s">
        <v>56</v>
      </c>
      <c r="H2194" t="s">
        <v>1869</v>
      </c>
      <c r="I2194" t="s">
        <v>1870</v>
      </c>
      <c r="J2194" t="s">
        <v>668</v>
      </c>
      <c r="K2194" s="3">
        <v>100429333794</v>
      </c>
      <c r="L2194" s="10">
        <v>40526</v>
      </c>
      <c r="M2194">
        <v>906.64</v>
      </c>
      <c r="N2194" s="17">
        <v>42</v>
      </c>
      <c r="O2194" s="5">
        <v>22.38</v>
      </c>
      <c r="P2194" s="5">
        <v>15.1</v>
      </c>
      <c r="Q2194" s="6">
        <v>-148.925</v>
      </c>
      <c r="R2194" s="37" t="s">
        <v>938</v>
      </c>
      <c r="S2194" s="7">
        <f t="shared" si="187"/>
        <v>0</v>
      </c>
      <c r="T2194" s="15" t="str">
        <f>VLOOKUP(R2194,产品分类!$C$2:$D$1278,2,0)</f>
        <v>办公用品</v>
      </c>
    </row>
    <row r="2195" spans="1:20">
      <c r="A2195" s="8">
        <f t="shared" si="189"/>
        <v>40526</v>
      </c>
      <c r="B2195" s="8">
        <f t="shared" si="189"/>
        <v>40526</v>
      </c>
      <c r="C2195" s="9" t="s">
        <v>1678</v>
      </c>
      <c r="D2195">
        <v>10021309714</v>
      </c>
      <c r="E2195" t="s">
        <v>47</v>
      </c>
      <c r="F2195" t="s">
        <v>132</v>
      </c>
      <c r="G2195" t="s">
        <v>133</v>
      </c>
      <c r="H2195" t="s">
        <v>134</v>
      </c>
      <c r="I2195" t="s">
        <v>133</v>
      </c>
      <c r="J2195" t="s">
        <v>668</v>
      </c>
      <c r="K2195" s="3">
        <v>100832537262</v>
      </c>
      <c r="L2195" s="10">
        <v>40528</v>
      </c>
      <c r="M2195">
        <v>882.96</v>
      </c>
      <c r="N2195" s="11">
        <v>45</v>
      </c>
      <c r="O2195" s="12">
        <v>19.98</v>
      </c>
      <c r="P2195" s="12">
        <v>4</v>
      </c>
      <c r="Q2195" s="13">
        <v>11.65</v>
      </c>
      <c r="R2195" s="36" t="s">
        <v>846</v>
      </c>
      <c r="S2195" s="7">
        <f t="shared" si="187"/>
        <v>2</v>
      </c>
      <c r="T2195" s="15" t="str">
        <f>VLOOKUP(R2195,产品分类!$C$2:$D$1278,2,0)</f>
        <v>数码电子</v>
      </c>
    </row>
    <row r="2196" spans="1:20">
      <c r="A2196" s="8">
        <f t="shared" si="189"/>
        <v>40526</v>
      </c>
      <c r="B2196" s="8">
        <f t="shared" si="189"/>
        <v>40526</v>
      </c>
      <c r="C2196" s="9" t="s">
        <v>1678</v>
      </c>
      <c r="D2196">
        <v>10021488238</v>
      </c>
      <c r="E2196" t="s">
        <v>47</v>
      </c>
      <c r="F2196" t="s">
        <v>304</v>
      </c>
      <c r="G2196" t="s">
        <v>305</v>
      </c>
      <c r="H2196" t="s">
        <v>1550</v>
      </c>
      <c r="I2196" t="s">
        <v>1551</v>
      </c>
      <c r="J2196" t="s">
        <v>668</v>
      </c>
      <c r="K2196" s="3">
        <v>100314120039</v>
      </c>
      <c r="L2196" s="10">
        <v>40527</v>
      </c>
      <c r="M2196">
        <v>58.14</v>
      </c>
      <c r="N2196" s="11">
        <v>3</v>
      </c>
      <c r="O2196" s="12">
        <v>20.99</v>
      </c>
      <c r="P2196" s="12">
        <v>4.81</v>
      </c>
      <c r="Q2196" s="13">
        <v>-96.25</v>
      </c>
      <c r="R2196" s="36" t="s">
        <v>692</v>
      </c>
      <c r="S2196" s="7">
        <f t="shared" si="187"/>
        <v>1</v>
      </c>
      <c r="T2196" s="15" t="str">
        <f>VLOOKUP(R2196,产品分类!$C$2:$D$1278,2,0)</f>
        <v>办公用品</v>
      </c>
    </row>
    <row r="2197" spans="1:20">
      <c r="A2197" s="8">
        <f>DATE(2012,12,31)-1340</f>
        <v>39934</v>
      </c>
      <c r="B2197" s="8">
        <f>DATE(2012,12,31)-1340</f>
        <v>39934</v>
      </c>
      <c r="C2197" s="9" t="s">
        <v>460</v>
      </c>
      <c r="D2197">
        <v>10021362778</v>
      </c>
      <c r="E2197" t="s">
        <v>47</v>
      </c>
      <c r="F2197" t="s">
        <v>102</v>
      </c>
      <c r="G2197" t="s">
        <v>103</v>
      </c>
      <c r="H2197" t="s">
        <v>1217</v>
      </c>
      <c r="I2197" t="s">
        <v>1218</v>
      </c>
      <c r="J2197" t="s">
        <v>668</v>
      </c>
      <c r="K2197" s="3">
        <v>100419070283</v>
      </c>
      <c r="L2197" s="10">
        <v>39936</v>
      </c>
      <c r="M2197">
        <v>528.6</v>
      </c>
      <c r="N2197" s="11">
        <v>43</v>
      </c>
      <c r="O2197" s="12">
        <v>11.7</v>
      </c>
      <c r="P2197" s="12">
        <v>5.63</v>
      </c>
      <c r="Q2197" s="13">
        <v>52.5895</v>
      </c>
      <c r="R2197" s="36" t="s">
        <v>348</v>
      </c>
      <c r="S2197" s="7">
        <f t="shared" si="187"/>
        <v>2</v>
      </c>
      <c r="T2197" s="15" t="str">
        <f>VLOOKUP(R2197,产品分类!$C$2:$D$1278,2,0)</f>
        <v>办公用品</v>
      </c>
    </row>
    <row r="2198" spans="1:20">
      <c r="A2198" s="8">
        <f>DATE(2012,12,31)-1340</f>
        <v>39934</v>
      </c>
      <c r="B2198" s="8">
        <f>DATE(2012,12,31)-1340</f>
        <v>39934</v>
      </c>
      <c r="C2198" s="9" t="s">
        <v>460</v>
      </c>
      <c r="D2198">
        <v>10021326709</v>
      </c>
      <c r="E2198" t="s">
        <v>47</v>
      </c>
      <c r="F2198" t="s">
        <v>171</v>
      </c>
      <c r="G2198" t="s">
        <v>172</v>
      </c>
      <c r="H2198" t="s">
        <v>1712</v>
      </c>
      <c r="I2198" t="s">
        <v>1713</v>
      </c>
      <c r="J2198" t="s">
        <v>668</v>
      </c>
      <c r="K2198" s="3">
        <v>100816011902</v>
      </c>
      <c r="L2198" s="10">
        <v>39934</v>
      </c>
      <c r="M2198">
        <v>107.41</v>
      </c>
      <c r="N2198" s="11">
        <v>24</v>
      </c>
      <c r="O2198" s="12">
        <v>4.55</v>
      </c>
      <c r="P2198" s="12">
        <v>1.49</v>
      </c>
      <c r="Q2198" s="13">
        <v>20.6805</v>
      </c>
      <c r="R2198" s="36" t="s">
        <v>1668</v>
      </c>
      <c r="S2198" s="7">
        <f t="shared" si="187"/>
        <v>0</v>
      </c>
      <c r="T2198" s="15" t="str">
        <f>VLOOKUP(R2198,产品分类!$C$2:$D$1278,2,0)</f>
        <v>办公用品</v>
      </c>
    </row>
    <row r="2199" spans="1:20">
      <c r="A2199" s="8">
        <f t="shared" ref="A2199:B2201" si="190">DATE(2012,12,31)-62</f>
        <v>41212</v>
      </c>
      <c r="B2199" s="8">
        <f t="shared" si="190"/>
        <v>41212</v>
      </c>
      <c r="C2199" s="9" t="s">
        <v>800</v>
      </c>
      <c r="D2199">
        <v>10021271175</v>
      </c>
      <c r="E2199" t="s">
        <v>47</v>
      </c>
      <c r="F2199" t="s">
        <v>61</v>
      </c>
      <c r="G2199" t="s">
        <v>62</v>
      </c>
      <c r="H2199" t="s">
        <v>47</v>
      </c>
      <c r="I2199" t="s">
        <v>1778</v>
      </c>
      <c r="J2199" t="s">
        <v>668</v>
      </c>
      <c r="K2199" s="3">
        <v>100110217207</v>
      </c>
      <c r="L2199" s="10">
        <v>41212</v>
      </c>
      <c r="M2199">
        <v>5198.12</v>
      </c>
      <c r="N2199" s="11">
        <v>48</v>
      </c>
      <c r="O2199" s="12">
        <v>100.98</v>
      </c>
      <c r="P2199" s="12">
        <v>15.66</v>
      </c>
      <c r="Q2199" s="13">
        <v>1481.67</v>
      </c>
      <c r="R2199" s="36" t="s">
        <v>890</v>
      </c>
      <c r="S2199" s="7">
        <f t="shared" si="187"/>
        <v>0</v>
      </c>
      <c r="T2199" s="15" t="str">
        <f>VLOOKUP(R2199,产品分类!$C$2:$D$1278,2,0)</f>
        <v>办公用品</v>
      </c>
    </row>
    <row r="2200" spans="1:20">
      <c r="A2200" s="8">
        <f t="shared" si="190"/>
        <v>41212</v>
      </c>
      <c r="B2200" s="8">
        <f t="shared" si="190"/>
        <v>41212</v>
      </c>
      <c r="C2200" s="9" t="s">
        <v>800</v>
      </c>
      <c r="D2200">
        <v>10021445765</v>
      </c>
      <c r="E2200" t="s">
        <v>47</v>
      </c>
      <c r="F2200" t="s">
        <v>97</v>
      </c>
      <c r="G2200" t="s">
        <v>98</v>
      </c>
      <c r="H2200" t="s">
        <v>99</v>
      </c>
      <c r="I2200" t="s">
        <v>98</v>
      </c>
      <c r="J2200" t="s">
        <v>668</v>
      </c>
      <c r="K2200" s="3">
        <v>100714581335</v>
      </c>
      <c r="L2200" s="10">
        <v>41214</v>
      </c>
      <c r="M2200">
        <v>188.53</v>
      </c>
      <c r="N2200" s="11">
        <v>23</v>
      </c>
      <c r="O2200" s="12">
        <v>7.35</v>
      </c>
      <c r="P2200" s="12">
        <v>5.96</v>
      </c>
      <c r="Q2200" s="13">
        <v>-27.49</v>
      </c>
      <c r="R2200" s="36" t="s">
        <v>842</v>
      </c>
      <c r="S2200" s="7">
        <f t="shared" si="187"/>
        <v>2</v>
      </c>
      <c r="T2200" s="15" t="str">
        <f>VLOOKUP(R2200,产品分类!$C$2:$D$1278,2,0)</f>
        <v>家具产品</v>
      </c>
    </row>
    <row r="2201" spans="1:20">
      <c r="A2201" s="8">
        <f t="shared" si="190"/>
        <v>41212</v>
      </c>
      <c r="B2201" s="8">
        <f t="shared" si="190"/>
        <v>41212</v>
      </c>
      <c r="C2201" s="9" t="s">
        <v>800</v>
      </c>
      <c r="D2201">
        <v>10021334113</v>
      </c>
      <c r="E2201" t="s">
        <v>47</v>
      </c>
      <c r="F2201" t="s">
        <v>152</v>
      </c>
      <c r="G2201" t="s">
        <v>153</v>
      </c>
      <c r="H2201" t="s">
        <v>1860</v>
      </c>
      <c r="I2201" t="s">
        <v>1861</v>
      </c>
      <c r="J2201" t="s">
        <v>668</v>
      </c>
      <c r="K2201" s="3">
        <v>10017161898</v>
      </c>
      <c r="L2201" s="10">
        <v>41213</v>
      </c>
      <c r="M2201">
        <v>718.41</v>
      </c>
      <c r="N2201" s="11">
        <v>19</v>
      </c>
      <c r="O2201" s="12">
        <v>40.99</v>
      </c>
      <c r="P2201" s="12">
        <v>17.48</v>
      </c>
      <c r="Q2201" s="13">
        <v>23.94</v>
      </c>
      <c r="R2201" s="36" t="s">
        <v>620</v>
      </c>
      <c r="S2201" s="7">
        <f t="shared" si="187"/>
        <v>1</v>
      </c>
      <c r="T2201" s="15" t="str">
        <f>VLOOKUP(R2201,产品分类!$C$2:$D$1278,2,0)</f>
        <v>数码电子</v>
      </c>
    </row>
    <row r="2202" spans="1:20">
      <c r="A2202" s="8">
        <f>DATE(2012,12,31)-788</f>
        <v>40486</v>
      </c>
      <c r="B2202" s="8">
        <f>DATE(2012,12,31)-788</f>
        <v>40486</v>
      </c>
      <c r="C2202" s="9" t="s">
        <v>1853</v>
      </c>
      <c r="D2202">
        <v>10021500493</v>
      </c>
      <c r="E2202" t="s">
        <v>47</v>
      </c>
      <c r="F2202" t="s">
        <v>66</v>
      </c>
      <c r="G2202" t="s">
        <v>67</v>
      </c>
      <c r="H2202" t="s">
        <v>1435</v>
      </c>
      <c r="I2202" t="s">
        <v>1436</v>
      </c>
      <c r="J2202" t="s">
        <v>668</v>
      </c>
      <c r="K2202" s="3">
        <v>100825934782</v>
      </c>
      <c r="L2202" s="10">
        <v>40488</v>
      </c>
      <c r="M2202">
        <v>275.06</v>
      </c>
      <c r="N2202" s="11">
        <v>36</v>
      </c>
      <c r="O2202" s="12">
        <v>7.28</v>
      </c>
      <c r="P2202" s="12">
        <v>11.15</v>
      </c>
      <c r="Q2202" s="13">
        <v>-237.87</v>
      </c>
      <c r="R2202" s="36" t="s">
        <v>1394</v>
      </c>
      <c r="S2202" s="7">
        <f t="shared" si="187"/>
        <v>2</v>
      </c>
      <c r="T2202" s="15" t="str">
        <f>VLOOKUP(R2202,产品分类!$C$2:$D$1278,2,0)</f>
        <v>办公用品</v>
      </c>
    </row>
    <row r="2203" spans="1:20">
      <c r="A2203" s="8">
        <f>DATE(2012,12,31)-1161</f>
        <v>40113</v>
      </c>
      <c r="B2203" s="8">
        <f>DATE(2012,12,31)-1161</f>
        <v>40113</v>
      </c>
      <c r="C2203" s="9" t="s">
        <v>1571</v>
      </c>
      <c r="D2203">
        <v>10021395290</v>
      </c>
      <c r="E2203" t="s">
        <v>47</v>
      </c>
      <c r="F2203" t="s">
        <v>152</v>
      </c>
      <c r="G2203" t="s">
        <v>153</v>
      </c>
      <c r="H2203" t="s">
        <v>1860</v>
      </c>
      <c r="I2203" t="s">
        <v>1861</v>
      </c>
      <c r="J2203" t="s">
        <v>668</v>
      </c>
      <c r="K2203" s="3">
        <v>10039458329</v>
      </c>
      <c r="L2203" s="10">
        <v>40114</v>
      </c>
      <c r="M2203">
        <v>124.01</v>
      </c>
      <c r="N2203" s="11">
        <v>39</v>
      </c>
      <c r="O2203" s="12">
        <v>3.28</v>
      </c>
      <c r="P2203" s="12">
        <v>3.97</v>
      </c>
      <c r="Q2203" s="13">
        <v>-109.02</v>
      </c>
      <c r="R2203" s="36" t="s">
        <v>1756</v>
      </c>
      <c r="S2203" s="7">
        <f t="shared" si="187"/>
        <v>1</v>
      </c>
      <c r="T2203" s="15" t="str">
        <f>VLOOKUP(R2203,产品分类!$C$2:$D$1278,2,0)</f>
        <v>办公用品</v>
      </c>
    </row>
    <row r="2204" spans="1:20">
      <c r="A2204" s="8">
        <f>DATE(2012,12,31)-1161</f>
        <v>40113</v>
      </c>
      <c r="B2204" s="8">
        <f>DATE(2012,12,31)-1161</f>
        <v>40113</v>
      </c>
      <c r="C2204" s="9" t="s">
        <v>1571</v>
      </c>
      <c r="D2204">
        <v>10021501757</v>
      </c>
      <c r="E2204" t="s">
        <v>47</v>
      </c>
      <c r="F2204" t="s">
        <v>66</v>
      </c>
      <c r="G2204" t="s">
        <v>67</v>
      </c>
      <c r="H2204" t="s">
        <v>1435</v>
      </c>
      <c r="I2204" t="s">
        <v>1436</v>
      </c>
      <c r="J2204" t="s">
        <v>668</v>
      </c>
      <c r="K2204" s="3">
        <v>100927691321</v>
      </c>
      <c r="L2204" s="10">
        <v>40115</v>
      </c>
      <c r="M2204">
        <v>1836.84</v>
      </c>
      <c r="N2204" s="11">
        <v>49</v>
      </c>
      <c r="O2204" s="12">
        <v>40.97</v>
      </c>
      <c r="P2204" s="12">
        <v>8.99</v>
      </c>
      <c r="Q2204" s="13">
        <v>129.95</v>
      </c>
      <c r="R2204" s="36" t="s">
        <v>983</v>
      </c>
      <c r="S2204" s="7">
        <f t="shared" si="187"/>
        <v>2</v>
      </c>
      <c r="T2204" s="15" t="str">
        <f>VLOOKUP(R2204,产品分类!$C$2:$D$1278,2,0)</f>
        <v>办公用品</v>
      </c>
    </row>
    <row r="2205" spans="1:20">
      <c r="A2205" s="8">
        <f>DATE(2012,12,31)-826</f>
        <v>40448</v>
      </c>
      <c r="B2205" s="8">
        <f>DATE(2012,12,31)-826</f>
        <v>40448</v>
      </c>
      <c r="C2205" s="9" t="s">
        <v>752</v>
      </c>
      <c r="D2205">
        <v>10021371981</v>
      </c>
      <c r="E2205" t="s">
        <v>47</v>
      </c>
      <c r="F2205" t="s">
        <v>66</v>
      </c>
      <c r="G2205" t="s">
        <v>67</v>
      </c>
      <c r="H2205" t="s">
        <v>1435</v>
      </c>
      <c r="I2205" t="s">
        <v>1436</v>
      </c>
      <c r="J2205" t="s">
        <v>668</v>
      </c>
      <c r="K2205" s="3">
        <v>100132494387</v>
      </c>
      <c r="L2205" s="10">
        <v>40450</v>
      </c>
      <c r="M2205">
        <v>2174.96</v>
      </c>
      <c r="N2205" s="11">
        <v>8</v>
      </c>
      <c r="O2205" s="12">
        <v>264.98</v>
      </c>
      <c r="P2205" s="12">
        <v>17.86</v>
      </c>
      <c r="Q2205" s="13">
        <v>-223.8945</v>
      </c>
      <c r="R2205" s="36" t="s">
        <v>821</v>
      </c>
      <c r="S2205" s="7">
        <f t="shared" si="187"/>
        <v>2</v>
      </c>
      <c r="T2205" s="15" t="str">
        <f>VLOOKUP(R2205,产品分类!$C$2:$D$1278,2,0)</f>
        <v>办公用品</v>
      </c>
    </row>
    <row r="2206" spans="1:20">
      <c r="A2206" s="8">
        <f t="shared" ref="A2206:B2208" si="191">DATE(2012,12,31)-630</f>
        <v>40644</v>
      </c>
      <c r="B2206" s="8">
        <f t="shared" si="191"/>
        <v>40644</v>
      </c>
      <c r="C2206" s="9" t="s">
        <v>1919</v>
      </c>
      <c r="D2206">
        <v>10021500813</v>
      </c>
      <c r="E2206" t="s">
        <v>47</v>
      </c>
      <c r="F2206" t="s">
        <v>72</v>
      </c>
      <c r="G2206" t="s">
        <v>73</v>
      </c>
      <c r="H2206" t="s">
        <v>1854</v>
      </c>
      <c r="I2206" t="s">
        <v>1855</v>
      </c>
      <c r="J2206" t="s">
        <v>668</v>
      </c>
      <c r="K2206" s="3">
        <v>100926716891</v>
      </c>
      <c r="L2206" s="10">
        <v>40646</v>
      </c>
      <c r="M2206">
        <v>1837.44</v>
      </c>
      <c r="N2206" s="11">
        <v>36</v>
      </c>
      <c r="O2206" s="12">
        <v>48.58</v>
      </c>
      <c r="P2206" s="12">
        <v>54.11</v>
      </c>
      <c r="Q2206" s="13">
        <v>-1414.41</v>
      </c>
      <c r="R2206" s="36" t="s">
        <v>234</v>
      </c>
      <c r="S2206" s="7">
        <f t="shared" si="187"/>
        <v>2</v>
      </c>
      <c r="T2206" s="15" t="str">
        <f>VLOOKUP(R2206,产品分类!$C$2:$D$1278,2,0)</f>
        <v>家具产品</v>
      </c>
    </row>
    <row r="2207" spans="1:20">
      <c r="A2207" s="8">
        <f t="shared" si="191"/>
        <v>40644</v>
      </c>
      <c r="B2207" s="8">
        <f t="shared" si="191"/>
        <v>40644</v>
      </c>
      <c r="C2207" s="9" t="s">
        <v>1919</v>
      </c>
      <c r="D2207">
        <v>10021427197</v>
      </c>
      <c r="E2207" t="s">
        <v>47</v>
      </c>
      <c r="F2207" t="s">
        <v>78</v>
      </c>
      <c r="G2207" t="s">
        <v>79</v>
      </c>
      <c r="H2207" t="s">
        <v>1887</v>
      </c>
      <c r="I2207" t="s">
        <v>1888</v>
      </c>
      <c r="J2207" t="s">
        <v>668</v>
      </c>
      <c r="K2207" s="3">
        <v>100130606096</v>
      </c>
      <c r="L2207" s="10">
        <v>40647</v>
      </c>
      <c r="M2207">
        <v>3722.29</v>
      </c>
      <c r="N2207" s="11">
        <v>36</v>
      </c>
      <c r="O2207" s="12">
        <v>105.98</v>
      </c>
      <c r="P2207" s="12">
        <v>13.99</v>
      </c>
      <c r="Q2207" s="13">
        <v>950.68</v>
      </c>
      <c r="R2207" s="36" t="s">
        <v>1205</v>
      </c>
      <c r="S2207" s="7">
        <f t="shared" si="187"/>
        <v>3</v>
      </c>
      <c r="T2207" s="15" t="str">
        <f>VLOOKUP(R2207,产品分类!$C$2:$D$1278,2,0)</f>
        <v>办公用品</v>
      </c>
    </row>
    <row r="2208" spans="1:20">
      <c r="A2208" s="8">
        <f t="shared" si="191"/>
        <v>40644</v>
      </c>
      <c r="B2208" s="8">
        <f t="shared" si="191"/>
        <v>40644</v>
      </c>
      <c r="C2208" s="9" t="s">
        <v>1919</v>
      </c>
      <c r="D2208">
        <v>10021467426</v>
      </c>
      <c r="E2208" t="s">
        <v>47</v>
      </c>
      <c r="F2208" t="s">
        <v>78</v>
      </c>
      <c r="G2208" t="s">
        <v>79</v>
      </c>
      <c r="H2208" t="s">
        <v>1887</v>
      </c>
      <c r="I2208" t="s">
        <v>1888</v>
      </c>
      <c r="J2208" t="s">
        <v>668</v>
      </c>
      <c r="K2208" s="3">
        <v>10049945904</v>
      </c>
      <c r="L2208" s="10">
        <v>40645</v>
      </c>
      <c r="M2208">
        <v>28.05</v>
      </c>
      <c r="N2208" s="11">
        <v>4</v>
      </c>
      <c r="O2208" s="12">
        <v>7.04</v>
      </c>
      <c r="P2208" s="12">
        <v>2.17</v>
      </c>
      <c r="Q2208" s="13">
        <v>-5.41</v>
      </c>
      <c r="R2208" s="36" t="s">
        <v>1920</v>
      </c>
      <c r="S2208" s="7">
        <f t="shared" si="187"/>
        <v>1</v>
      </c>
      <c r="T2208" s="15" t="str">
        <f>VLOOKUP(R2208,产品分类!$C$2:$D$1278,2,0)</f>
        <v>家具产品</v>
      </c>
    </row>
    <row r="2209" spans="1:20">
      <c r="A2209" s="8">
        <f>DATE(2012,12,31)-55</f>
        <v>41219</v>
      </c>
      <c r="B2209" s="8">
        <f>DATE(2012,12,31)-55</f>
        <v>41219</v>
      </c>
      <c r="C2209" s="9" t="s">
        <v>303</v>
      </c>
      <c r="D2209">
        <v>10021510584</v>
      </c>
      <c r="E2209" t="s">
        <v>47</v>
      </c>
      <c r="F2209" t="s">
        <v>72</v>
      </c>
      <c r="G2209" t="s">
        <v>73</v>
      </c>
      <c r="H2209" t="s">
        <v>1854</v>
      </c>
      <c r="I2209" t="s">
        <v>1855</v>
      </c>
      <c r="J2209" t="s">
        <v>668</v>
      </c>
      <c r="K2209" s="3">
        <v>100432686843</v>
      </c>
      <c r="L2209" s="10">
        <v>41223</v>
      </c>
      <c r="M2209">
        <v>311.44</v>
      </c>
      <c r="N2209" s="11">
        <v>32</v>
      </c>
      <c r="O2209" s="12">
        <v>9.78</v>
      </c>
      <c r="P2209" s="12">
        <v>1.99</v>
      </c>
      <c r="Q2209" s="13">
        <v>74.07</v>
      </c>
      <c r="R2209" s="36" t="s">
        <v>1567</v>
      </c>
      <c r="S2209" s="7">
        <f t="shared" si="187"/>
        <v>4</v>
      </c>
      <c r="T2209" s="15" t="str">
        <f>VLOOKUP(R2209,产品分类!$C$2:$D$1278,2,0)</f>
        <v>办公用品</v>
      </c>
    </row>
    <row r="2210" spans="1:20">
      <c r="A2210" s="8">
        <f>DATE(2012,12,31)-55</f>
        <v>41219</v>
      </c>
      <c r="B2210" s="8">
        <f>DATE(2012,12,31)-55</f>
        <v>41219</v>
      </c>
      <c r="C2210" s="9" t="s">
        <v>303</v>
      </c>
      <c r="D2210">
        <v>10021260204</v>
      </c>
      <c r="E2210" t="s">
        <v>47</v>
      </c>
      <c r="F2210" t="s">
        <v>72</v>
      </c>
      <c r="G2210" t="s">
        <v>73</v>
      </c>
      <c r="H2210" t="s">
        <v>1854</v>
      </c>
      <c r="I2210" t="s">
        <v>1855</v>
      </c>
      <c r="J2210" t="s">
        <v>668</v>
      </c>
      <c r="K2210" s="3">
        <v>100426044644</v>
      </c>
      <c r="L2210" s="10">
        <v>41228</v>
      </c>
      <c r="M2210">
        <v>215.65</v>
      </c>
      <c r="N2210" s="11">
        <v>17</v>
      </c>
      <c r="O2210" s="12">
        <v>12.22</v>
      </c>
      <c r="P2210" s="12">
        <v>2.85</v>
      </c>
      <c r="Q2210" s="13">
        <v>77.38</v>
      </c>
      <c r="R2210" s="36" t="s">
        <v>1125</v>
      </c>
      <c r="S2210" s="7">
        <f t="shared" si="187"/>
        <v>9</v>
      </c>
      <c r="T2210" s="15" t="str">
        <f>VLOOKUP(R2210,产品分类!$C$2:$D$1278,2,0)</f>
        <v>家具产品</v>
      </c>
    </row>
    <row r="2211" spans="1:20">
      <c r="A2211" s="8">
        <f>DATE(2012,12,31)-387</f>
        <v>40887</v>
      </c>
      <c r="B2211" s="8">
        <f>DATE(2012,12,31)-387</f>
        <v>40887</v>
      </c>
      <c r="C2211" s="9" t="s">
        <v>222</v>
      </c>
      <c r="D2211">
        <v>10021500743</v>
      </c>
      <c r="E2211" t="s">
        <v>47</v>
      </c>
      <c r="F2211" t="s">
        <v>72</v>
      </c>
      <c r="G2211" t="s">
        <v>73</v>
      </c>
      <c r="H2211" t="s">
        <v>1854</v>
      </c>
      <c r="I2211" t="s">
        <v>1855</v>
      </c>
      <c r="J2211" t="s">
        <v>668</v>
      </c>
      <c r="K2211" s="3">
        <v>100426470713</v>
      </c>
      <c r="L2211" s="10">
        <v>40889</v>
      </c>
      <c r="M2211">
        <v>951.09</v>
      </c>
      <c r="N2211" s="11">
        <v>15</v>
      </c>
      <c r="O2211" s="12">
        <v>58.14</v>
      </c>
      <c r="P2211" s="12">
        <v>36.61</v>
      </c>
      <c r="Q2211" s="13">
        <v>-246.32</v>
      </c>
      <c r="R2211" s="36" t="s">
        <v>1368</v>
      </c>
      <c r="S2211" s="7">
        <f t="shared" si="187"/>
        <v>2</v>
      </c>
      <c r="T2211" s="15" t="str">
        <f>VLOOKUP(R2211,产品分类!$C$2:$D$1278,2,0)</f>
        <v>数码电子</v>
      </c>
    </row>
    <row r="2212" spans="1:20">
      <c r="A2212" s="8">
        <f>DATE(2012,12,31)-1235</f>
        <v>40039</v>
      </c>
      <c r="B2212" s="8">
        <f>DATE(2012,12,31)-1235</f>
        <v>40039</v>
      </c>
      <c r="C2212" s="9" t="s">
        <v>1921</v>
      </c>
      <c r="D2212">
        <v>10021346079</v>
      </c>
      <c r="E2212" t="s">
        <v>47</v>
      </c>
      <c r="F2212" t="s">
        <v>78</v>
      </c>
      <c r="G2212" t="s">
        <v>79</v>
      </c>
      <c r="H2212" t="s">
        <v>1887</v>
      </c>
      <c r="I2212" t="s">
        <v>1888</v>
      </c>
      <c r="J2212" t="s">
        <v>668</v>
      </c>
      <c r="K2212" s="3">
        <v>100930542501</v>
      </c>
      <c r="L2212" s="10">
        <v>40040</v>
      </c>
      <c r="M2212">
        <v>2172.515</v>
      </c>
      <c r="N2212" s="11">
        <v>15</v>
      </c>
      <c r="O2212" s="12">
        <v>175.99</v>
      </c>
      <c r="P2212" s="12">
        <v>8.99</v>
      </c>
      <c r="Q2212" s="13">
        <v>32.751</v>
      </c>
      <c r="R2212" s="36" t="s">
        <v>1570</v>
      </c>
      <c r="S2212" s="7">
        <f t="shared" si="187"/>
        <v>1</v>
      </c>
      <c r="T2212" s="15" t="str">
        <f>VLOOKUP(R2212,产品分类!$C$2:$D$1278,2,0)</f>
        <v>办公用品</v>
      </c>
    </row>
    <row r="2213" spans="1:20">
      <c r="A2213" s="8">
        <f>DATE(2012,12,31)-510</f>
        <v>40764</v>
      </c>
      <c r="B2213" s="8">
        <f>DATE(2012,12,31)-510</f>
        <v>40764</v>
      </c>
      <c r="C2213" s="9" t="s">
        <v>1922</v>
      </c>
      <c r="D2213">
        <v>10021444942</v>
      </c>
      <c r="E2213" t="s">
        <v>47</v>
      </c>
      <c r="F2213" t="s">
        <v>78</v>
      </c>
      <c r="G2213" t="s">
        <v>79</v>
      </c>
      <c r="H2213" t="s">
        <v>1887</v>
      </c>
      <c r="I2213" t="s">
        <v>1888</v>
      </c>
      <c r="J2213" t="s">
        <v>668</v>
      </c>
      <c r="K2213" s="3">
        <v>100810240742</v>
      </c>
      <c r="L2213" s="10">
        <v>40764</v>
      </c>
      <c r="M2213">
        <v>10.33</v>
      </c>
      <c r="N2213" s="11">
        <v>3</v>
      </c>
      <c r="O2213" s="12">
        <v>2.98</v>
      </c>
      <c r="P2213" s="12">
        <v>1.58</v>
      </c>
      <c r="Q2213" s="13">
        <v>-3.86</v>
      </c>
      <c r="R2213" s="36" t="s">
        <v>1923</v>
      </c>
      <c r="S2213" s="7">
        <f t="shared" si="187"/>
        <v>0</v>
      </c>
      <c r="T2213" s="15" t="str">
        <f>VLOOKUP(R2213,产品分类!$C$2:$D$1278,2,0)</f>
        <v>数码电子</v>
      </c>
    </row>
    <row r="2214" spans="1:20">
      <c r="A2214" s="8">
        <f>DATE(2012,12,31)-510</f>
        <v>40764</v>
      </c>
      <c r="B2214" s="8">
        <f>DATE(2012,12,31)-510</f>
        <v>40764</v>
      </c>
      <c r="C2214" s="9" t="s">
        <v>1922</v>
      </c>
      <c r="D2214">
        <v>10021426629</v>
      </c>
      <c r="E2214" t="s">
        <v>47</v>
      </c>
      <c r="F2214" t="s">
        <v>72</v>
      </c>
      <c r="G2214" t="s">
        <v>73</v>
      </c>
      <c r="H2214" t="s">
        <v>1854</v>
      </c>
      <c r="I2214" t="s">
        <v>1855</v>
      </c>
      <c r="J2214" t="s">
        <v>668</v>
      </c>
      <c r="K2214" s="3">
        <v>100130245466</v>
      </c>
      <c r="L2214" s="10">
        <v>40765</v>
      </c>
      <c r="M2214">
        <v>14.39</v>
      </c>
      <c r="N2214" s="11">
        <v>2</v>
      </c>
      <c r="O2214" s="12">
        <v>5.81</v>
      </c>
      <c r="P2214" s="12">
        <v>3.37</v>
      </c>
      <c r="Q2214" s="13">
        <v>-10.24</v>
      </c>
      <c r="R2214" s="36" t="s">
        <v>224</v>
      </c>
      <c r="S2214" s="7">
        <f t="shared" si="187"/>
        <v>1</v>
      </c>
      <c r="T2214" s="15" t="str">
        <f>VLOOKUP(R2214,产品分类!$C$2:$D$1278,2,0)</f>
        <v>办公用品</v>
      </c>
    </row>
    <row r="2215" spans="1:20">
      <c r="A2215" s="8">
        <f>DATE(2012,12,31)-7</f>
        <v>41267</v>
      </c>
      <c r="B2215" s="8">
        <f>DATE(2012,12,31)-7</f>
        <v>41267</v>
      </c>
      <c r="C2215" s="9" t="s">
        <v>1161</v>
      </c>
      <c r="D2215">
        <v>10021280768</v>
      </c>
      <c r="E2215" t="s">
        <v>47</v>
      </c>
      <c r="F2215" t="s">
        <v>78</v>
      </c>
      <c r="G2215" t="s">
        <v>79</v>
      </c>
      <c r="H2215" t="s">
        <v>1887</v>
      </c>
      <c r="I2215" t="s">
        <v>1888</v>
      </c>
      <c r="J2215" t="s">
        <v>668</v>
      </c>
      <c r="K2215" s="3">
        <v>100116679038</v>
      </c>
      <c r="L2215" s="10">
        <v>41269</v>
      </c>
      <c r="M2215">
        <v>51.03</v>
      </c>
      <c r="N2215" s="11">
        <v>7</v>
      </c>
      <c r="O2215" s="12">
        <v>6.81</v>
      </c>
      <c r="P2215" s="12">
        <v>5.48</v>
      </c>
      <c r="Q2215" s="13">
        <v>-21.3785</v>
      </c>
      <c r="R2215" s="36" t="s">
        <v>1617</v>
      </c>
      <c r="S2215" s="7">
        <f t="shared" si="187"/>
        <v>2</v>
      </c>
      <c r="T2215" s="15" t="str">
        <f>VLOOKUP(R2215,产品分类!$C$2:$D$1278,2,0)</f>
        <v>办公用品</v>
      </c>
    </row>
    <row r="2216" spans="1:20">
      <c r="A2216" s="8">
        <f>DATE(2012,12,31)-1122</f>
        <v>40152</v>
      </c>
      <c r="B2216" s="8">
        <f>DATE(2012,12,31)-1122</f>
        <v>40152</v>
      </c>
      <c r="C2216" s="9" t="s">
        <v>1924</v>
      </c>
      <c r="D2216">
        <v>10021335499</v>
      </c>
      <c r="E2216" t="s">
        <v>47</v>
      </c>
      <c r="F2216" t="s">
        <v>78</v>
      </c>
      <c r="G2216" t="s">
        <v>79</v>
      </c>
      <c r="H2216" t="s">
        <v>1887</v>
      </c>
      <c r="I2216" t="s">
        <v>1888</v>
      </c>
      <c r="J2216" t="s">
        <v>668</v>
      </c>
      <c r="K2216" s="3">
        <v>100412204173</v>
      </c>
      <c r="L2216" s="10">
        <v>40159</v>
      </c>
      <c r="M2216">
        <v>436.98</v>
      </c>
      <c r="N2216" s="11">
        <v>35</v>
      </c>
      <c r="O2216" s="12">
        <v>12.64</v>
      </c>
      <c r="P2216" s="12">
        <v>4.98</v>
      </c>
      <c r="Q2216" s="13">
        <v>75.61</v>
      </c>
      <c r="R2216" s="36" t="s">
        <v>181</v>
      </c>
      <c r="S2216" s="7">
        <f t="shared" si="187"/>
        <v>7</v>
      </c>
      <c r="T2216" s="15" t="str">
        <f>VLOOKUP(R2216,产品分类!$C$2:$D$1278,2,0)</f>
        <v>数码电子</v>
      </c>
    </row>
    <row r="2217" spans="1:20">
      <c r="A2217" s="8">
        <f t="shared" ref="A2217:B2220" si="192">DATE(2012,12,31)-361</f>
        <v>40913</v>
      </c>
      <c r="B2217" s="8">
        <f t="shared" si="192"/>
        <v>40913</v>
      </c>
      <c r="C2217" s="9" t="s">
        <v>417</v>
      </c>
      <c r="D2217">
        <v>10021385960</v>
      </c>
      <c r="E2217" t="s">
        <v>47</v>
      </c>
      <c r="F2217" t="s">
        <v>230</v>
      </c>
      <c r="G2217" t="s">
        <v>231</v>
      </c>
      <c r="H2217" t="s">
        <v>1798</v>
      </c>
      <c r="I2217" t="s">
        <v>1799</v>
      </c>
      <c r="J2217" t="s">
        <v>668</v>
      </c>
      <c r="K2217" s="3">
        <v>10043571554</v>
      </c>
      <c r="L2217" s="10">
        <v>40914</v>
      </c>
      <c r="M2217">
        <v>2160.27</v>
      </c>
      <c r="N2217" s="11">
        <v>28</v>
      </c>
      <c r="O2217" s="12">
        <v>80.98</v>
      </c>
      <c r="P2217" s="12">
        <v>35</v>
      </c>
      <c r="Q2217" s="13">
        <v>-818.32</v>
      </c>
      <c r="R2217" s="36" t="s">
        <v>1459</v>
      </c>
      <c r="S2217" s="7">
        <f t="shared" si="187"/>
        <v>1</v>
      </c>
      <c r="T2217" s="15" t="str">
        <f>VLOOKUP(R2217,产品分类!$C$2:$D$1278,2,0)</f>
        <v>办公用品</v>
      </c>
    </row>
    <row r="2218" spans="1:20">
      <c r="A2218" s="16">
        <f t="shared" si="192"/>
        <v>40913</v>
      </c>
      <c r="B2218" s="16">
        <f t="shared" si="192"/>
        <v>40913</v>
      </c>
      <c r="C2218" s="9" t="s">
        <v>417</v>
      </c>
      <c r="D2218">
        <v>10021493286</v>
      </c>
      <c r="E2218" t="s">
        <v>47</v>
      </c>
      <c r="F2218" t="s">
        <v>230</v>
      </c>
      <c r="G2218" t="s">
        <v>231</v>
      </c>
      <c r="H2218" t="s">
        <v>1798</v>
      </c>
      <c r="I2218" t="s">
        <v>1799</v>
      </c>
      <c r="J2218" t="s">
        <v>668</v>
      </c>
      <c r="K2218" s="3">
        <v>10011086997</v>
      </c>
      <c r="L2218" s="10">
        <v>40915</v>
      </c>
      <c r="M2218">
        <v>169.22</v>
      </c>
      <c r="N2218" s="17">
        <v>28</v>
      </c>
      <c r="O2218" s="5">
        <v>5.81</v>
      </c>
      <c r="P2218" s="5">
        <v>8.49</v>
      </c>
      <c r="Q2218" s="6">
        <v>-165.1055</v>
      </c>
      <c r="R2218" s="37" t="s">
        <v>1248</v>
      </c>
      <c r="S2218" s="7">
        <f t="shared" si="187"/>
        <v>2</v>
      </c>
      <c r="T2218" s="15" t="str">
        <f>VLOOKUP(R2218,产品分类!$C$2:$D$1278,2,0)</f>
        <v>数码电子</v>
      </c>
    </row>
    <row r="2219" spans="1:20">
      <c r="A2219" s="8">
        <f t="shared" si="192"/>
        <v>40913</v>
      </c>
      <c r="B2219" s="8">
        <f t="shared" si="192"/>
        <v>40913</v>
      </c>
      <c r="C2219" s="9" t="s">
        <v>417</v>
      </c>
      <c r="D2219">
        <v>10021468463</v>
      </c>
      <c r="E2219" t="s">
        <v>47</v>
      </c>
      <c r="F2219" t="s">
        <v>473</v>
      </c>
      <c r="G2219" t="s">
        <v>474</v>
      </c>
      <c r="H2219" t="s">
        <v>475</v>
      </c>
      <c r="I2219" t="s">
        <v>476</v>
      </c>
      <c r="J2219" t="s">
        <v>668</v>
      </c>
      <c r="K2219" s="3">
        <v>100116606416</v>
      </c>
      <c r="L2219" s="10">
        <v>40914</v>
      </c>
      <c r="M2219">
        <v>1319.421</v>
      </c>
      <c r="N2219" s="11">
        <v>10</v>
      </c>
      <c r="O2219" s="12">
        <v>155.99</v>
      </c>
      <c r="P2219" s="12">
        <v>8.08</v>
      </c>
      <c r="Q2219" s="13">
        <v>-268.873</v>
      </c>
      <c r="R2219" s="36" t="s">
        <v>214</v>
      </c>
      <c r="S2219" s="7">
        <f t="shared" si="187"/>
        <v>1</v>
      </c>
      <c r="T2219" s="15" t="str">
        <f>VLOOKUP(R2219,产品分类!$C$2:$D$1278,2,0)</f>
        <v>办公用品</v>
      </c>
    </row>
    <row r="2220" spans="1:20">
      <c r="A2220" s="16">
        <f t="shared" si="192"/>
        <v>40913</v>
      </c>
      <c r="B2220" s="16">
        <f t="shared" si="192"/>
        <v>40913</v>
      </c>
      <c r="C2220" s="9" t="s">
        <v>417</v>
      </c>
      <c r="D2220">
        <v>10021345375</v>
      </c>
      <c r="E2220" t="s">
        <v>47</v>
      </c>
      <c r="F2220" t="s">
        <v>91</v>
      </c>
      <c r="G2220" t="s">
        <v>92</v>
      </c>
      <c r="H2220" t="s">
        <v>1911</v>
      </c>
      <c r="I2220" t="s">
        <v>1912</v>
      </c>
      <c r="J2220" t="s">
        <v>668</v>
      </c>
      <c r="K2220" s="3">
        <v>100330147609</v>
      </c>
      <c r="L2220" s="10">
        <v>40914</v>
      </c>
      <c r="M2220">
        <v>550.93</v>
      </c>
      <c r="N2220" s="17">
        <v>33</v>
      </c>
      <c r="O2220" s="5">
        <v>17.7</v>
      </c>
      <c r="P2220" s="5">
        <v>9.47</v>
      </c>
      <c r="Q2220" s="6">
        <v>-141.6</v>
      </c>
      <c r="R2220" s="37" t="s">
        <v>290</v>
      </c>
      <c r="S2220" s="7">
        <f t="shared" si="187"/>
        <v>1</v>
      </c>
      <c r="T2220" s="15" t="str">
        <f>VLOOKUP(R2220,产品分类!$C$2:$D$1278,2,0)</f>
        <v>办公用品</v>
      </c>
    </row>
    <row r="2221" spans="1:20">
      <c r="A2221" s="8">
        <f>DATE(2012,12,31)-229</f>
        <v>41045</v>
      </c>
      <c r="B2221" s="8">
        <f>DATE(2012,12,31)-229</f>
        <v>41045</v>
      </c>
      <c r="C2221" s="9" t="s">
        <v>1126</v>
      </c>
      <c r="D2221">
        <v>10021417876</v>
      </c>
      <c r="E2221" t="s">
        <v>47</v>
      </c>
      <c r="F2221" t="s">
        <v>83</v>
      </c>
      <c r="G2221" t="s">
        <v>84</v>
      </c>
      <c r="H2221" t="s">
        <v>1259</v>
      </c>
      <c r="I2221" t="s">
        <v>1260</v>
      </c>
      <c r="J2221" t="s">
        <v>668</v>
      </c>
      <c r="K2221" s="3">
        <v>100918092901</v>
      </c>
      <c r="L2221" s="10">
        <v>41046</v>
      </c>
      <c r="M2221">
        <v>121.12</v>
      </c>
      <c r="N2221" s="11">
        <v>3</v>
      </c>
      <c r="O2221" s="12">
        <v>43.98</v>
      </c>
      <c r="P2221" s="12">
        <v>1.99</v>
      </c>
      <c r="Q2221" s="13">
        <v>-118.82</v>
      </c>
      <c r="R2221" s="36" t="s">
        <v>1796</v>
      </c>
      <c r="S2221" s="7">
        <f t="shared" si="187"/>
        <v>1</v>
      </c>
      <c r="T2221" s="15" t="str">
        <f>VLOOKUP(R2221,产品分类!$C$2:$D$1278,2,0)</f>
        <v>家具产品</v>
      </c>
    </row>
    <row r="2222" spans="1:20">
      <c r="A2222" s="8">
        <f>DATE(2012,12,31)-895</f>
        <v>40379</v>
      </c>
      <c r="B2222" s="8">
        <f>DATE(2012,12,31)-895</f>
        <v>40379</v>
      </c>
      <c r="C2222" s="9" t="s">
        <v>1925</v>
      </c>
      <c r="D2222">
        <v>10021304236</v>
      </c>
      <c r="E2222" t="s">
        <v>47</v>
      </c>
      <c r="F2222" t="s">
        <v>55</v>
      </c>
      <c r="G2222" t="s">
        <v>56</v>
      </c>
      <c r="H2222" t="s">
        <v>1869</v>
      </c>
      <c r="I2222" t="s">
        <v>1870</v>
      </c>
      <c r="J2222" t="s">
        <v>668</v>
      </c>
      <c r="K2222" s="3">
        <v>100732474325</v>
      </c>
      <c r="L2222" s="10">
        <v>40379</v>
      </c>
      <c r="M2222">
        <v>6933.45</v>
      </c>
      <c r="N2222" s="11">
        <v>15</v>
      </c>
      <c r="O2222" s="12">
        <v>449.99</v>
      </c>
      <c r="P2222" s="12">
        <v>49</v>
      </c>
      <c r="Q2222" s="13">
        <v>1200.205</v>
      </c>
      <c r="R2222" s="36" t="s">
        <v>545</v>
      </c>
      <c r="S2222" s="7">
        <f t="shared" si="187"/>
        <v>0</v>
      </c>
      <c r="T2222" s="15" t="str">
        <f>VLOOKUP(R2222,产品分类!$C$2:$D$1278,2,0)</f>
        <v>办公用品</v>
      </c>
    </row>
    <row r="2223" spans="1:20">
      <c r="A2223" s="8">
        <f>DATE(2012,12,31)-895</f>
        <v>40379</v>
      </c>
      <c r="B2223" s="8">
        <f>DATE(2012,12,31)-895</f>
        <v>40379</v>
      </c>
      <c r="C2223" s="9" t="s">
        <v>1925</v>
      </c>
      <c r="D2223">
        <v>10021351174</v>
      </c>
      <c r="E2223" t="s">
        <v>47</v>
      </c>
      <c r="F2223" t="s">
        <v>91</v>
      </c>
      <c r="G2223" t="s">
        <v>92</v>
      </c>
      <c r="H2223" t="s">
        <v>1911</v>
      </c>
      <c r="I2223" t="s">
        <v>1912</v>
      </c>
      <c r="J2223" t="s">
        <v>668</v>
      </c>
      <c r="K2223" s="3">
        <v>100432209383</v>
      </c>
      <c r="L2223" s="10">
        <v>40380</v>
      </c>
      <c r="M2223">
        <v>54.99</v>
      </c>
      <c r="N2223" s="11">
        <v>14</v>
      </c>
      <c r="O2223" s="12">
        <v>4</v>
      </c>
      <c r="P2223" s="12">
        <v>1.3</v>
      </c>
      <c r="Q2223" s="13">
        <v>8.07</v>
      </c>
      <c r="R2223" s="36" t="s">
        <v>1003</v>
      </c>
      <c r="S2223" s="7">
        <f t="shared" si="187"/>
        <v>1</v>
      </c>
      <c r="T2223" s="15" t="str">
        <f>VLOOKUP(R2223,产品分类!$C$2:$D$1278,2,0)</f>
        <v>数码电子</v>
      </c>
    </row>
    <row r="2224" spans="1:20">
      <c r="A2224" s="8">
        <f>DATE(2012,12,31)-712</f>
        <v>40562</v>
      </c>
      <c r="B2224" s="8">
        <f>DATE(2012,12,31)-712</f>
        <v>40562</v>
      </c>
      <c r="C2224" s="9" t="s">
        <v>328</v>
      </c>
      <c r="D2224">
        <v>10021403549</v>
      </c>
      <c r="E2224" t="s">
        <v>47</v>
      </c>
      <c r="F2224" t="s">
        <v>122</v>
      </c>
      <c r="G2224" t="s">
        <v>123</v>
      </c>
      <c r="H2224" t="s">
        <v>124</v>
      </c>
      <c r="I2224" t="s">
        <v>125</v>
      </c>
      <c r="J2224" t="s">
        <v>668</v>
      </c>
      <c r="K2224" s="3">
        <v>100921679311</v>
      </c>
      <c r="L2224" s="10">
        <v>40563</v>
      </c>
      <c r="M2224">
        <v>42.21</v>
      </c>
      <c r="N2224" s="11">
        <v>9</v>
      </c>
      <c r="O2224" s="12">
        <v>2.88</v>
      </c>
      <c r="P2224" s="12">
        <v>0.99</v>
      </c>
      <c r="Q2224" s="13">
        <v>18.21</v>
      </c>
      <c r="R2224" s="36" t="s">
        <v>1207</v>
      </c>
      <c r="S2224" s="7">
        <f t="shared" si="187"/>
        <v>1</v>
      </c>
      <c r="T2224" s="15" t="str">
        <f>VLOOKUP(R2224,产品分类!$C$2:$D$1278,2,0)</f>
        <v>数码电子</v>
      </c>
    </row>
    <row r="2225" spans="1:20">
      <c r="A2225" s="8">
        <f>DATE(2012,12,31)-163</f>
        <v>41111</v>
      </c>
      <c r="B2225" s="8">
        <f>DATE(2012,12,31)-163</f>
        <v>41111</v>
      </c>
      <c r="C2225" s="9" t="s">
        <v>1926</v>
      </c>
      <c r="D2225">
        <v>10021261904</v>
      </c>
      <c r="E2225" t="s">
        <v>47</v>
      </c>
      <c r="F2225" t="s">
        <v>91</v>
      </c>
      <c r="G2225" t="s">
        <v>92</v>
      </c>
      <c r="H2225" t="s">
        <v>1911</v>
      </c>
      <c r="I2225" t="s">
        <v>1912</v>
      </c>
      <c r="J2225" t="s">
        <v>668</v>
      </c>
      <c r="K2225" s="3">
        <v>100929743691</v>
      </c>
      <c r="L2225" s="10">
        <v>41115</v>
      </c>
      <c r="M2225">
        <v>480.43</v>
      </c>
      <c r="N2225" s="11">
        <v>31</v>
      </c>
      <c r="O2225" s="12">
        <v>14.98</v>
      </c>
      <c r="P2225" s="12">
        <v>8.99</v>
      </c>
      <c r="Q2225" s="13">
        <v>50.59</v>
      </c>
      <c r="R2225" s="36" t="s">
        <v>757</v>
      </c>
      <c r="S2225" s="7">
        <f t="shared" si="187"/>
        <v>4</v>
      </c>
      <c r="T2225" s="15" t="str">
        <f>VLOOKUP(R2225,产品分类!$C$2:$D$1278,2,0)</f>
        <v>办公用品</v>
      </c>
    </row>
    <row r="2226" spans="1:20">
      <c r="A2226" s="16">
        <f>DATE(2012,12,31)-163</f>
        <v>41111</v>
      </c>
      <c r="B2226" s="16">
        <f>DATE(2012,12,31)-163</f>
        <v>41111</v>
      </c>
      <c r="C2226" s="9" t="s">
        <v>1926</v>
      </c>
      <c r="D2226">
        <v>10021499692</v>
      </c>
      <c r="E2226" t="s">
        <v>47</v>
      </c>
      <c r="F2226" t="s">
        <v>122</v>
      </c>
      <c r="G2226" t="s">
        <v>123</v>
      </c>
      <c r="H2226" t="s">
        <v>124</v>
      </c>
      <c r="I2226" t="s">
        <v>125</v>
      </c>
      <c r="J2226" t="s">
        <v>668</v>
      </c>
      <c r="K2226" s="3">
        <v>100924835081</v>
      </c>
      <c r="L2226" s="10">
        <v>41113</v>
      </c>
      <c r="M2226">
        <v>1001.99</v>
      </c>
      <c r="N2226" s="17">
        <v>44</v>
      </c>
      <c r="O2226" s="5">
        <v>24.95</v>
      </c>
      <c r="P2226" s="5">
        <v>2.99</v>
      </c>
      <c r="Q2226" s="6">
        <v>333.5315</v>
      </c>
      <c r="R2226" s="37" t="s">
        <v>646</v>
      </c>
      <c r="S2226" s="7">
        <f t="shared" si="187"/>
        <v>2</v>
      </c>
      <c r="T2226" s="15" t="str">
        <f>VLOOKUP(R2226,产品分类!$C$2:$D$1278,2,0)</f>
        <v>数码电子</v>
      </c>
    </row>
    <row r="2227" spans="1:20">
      <c r="A2227" s="8">
        <f>DATE(2012,12,31)-665</f>
        <v>40609</v>
      </c>
      <c r="B2227" s="8">
        <f>DATE(2012,12,31)-665</f>
        <v>40609</v>
      </c>
      <c r="C2227" s="9" t="s">
        <v>1927</v>
      </c>
      <c r="D2227">
        <v>10021250062</v>
      </c>
      <c r="E2227" t="s">
        <v>47</v>
      </c>
      <c r="F2227" t="s">
        <v>83</v>
      </c>
      <c r="G2227" t="s">
        <v>84</v>
      </c>
      <c r="H2227" t="s">
        <v>1259</v>
      </c>
      <c r="I2227" t="s">
        <v>1260</v>
      </c>
      <c r="J2227" t="s">
        <v>668</v>
      </c>
      <c r="K2227" s="3">
        <v>100113469386</v>
      </c>
      <c r="L2227" s="10">
        <v>40610</v>
      </c>
      <c r="M2227">
        <v>226.18</v>
      </c>
      <c r="N2227" s="11">
        <v>44</v>
      </c>
      <c r="O2227" s="12">
        <v>4.82</v>
      </c>
      <c r="P2227" s="12">
        <v>5.72</v>
      </c>
      <c r="Q2227" s="13">
        <v>-115.54</v>
      </c>
      <c r="R2227" s="36" t="s">
        <v>1647</v>
      </c>
      <c r="S2227" s="7">
        <f t="shared" si="187"/>
        <v>1</v>
      </c>
      <c r="T2227" s="15" t="str">
        <f>VLOOKUP(R2227,产品分类!$C$2:$D$1278,2,0)</f>
        <v>办公用品</v>
      </c>
    </row>
    <row r="2228" spans="1:20">
      <c r="A2228" s="8">
        <f>DATE(2012,12,31)-1114</f>
        <v>40160</v>
      </c>
      <c r="B2228" s="8">
        <f>DATE(2012,12,31)-1114</f>
        <v>40160</v>
      </c>
      <c r="C2228" s="9" t="s">
        <v>1609</v>
      </c>
      <c r="D2228">
        <v>10021395058</v>
      </c>
      <c r="E2228" t="s">
        <v>47</v>
      </c>
      <c r="F2228" t="s">
        <v>122</v>
      </c>
      <c r="G2228" t="s">
        <v>123</v>
      </c>
      <c r="H2228" t="s">
        <v>124</v>
      </c>
      <c r="I2228" t="s">
        <v>125</v>
      </c>
      <c r="J2228" t="s">
        <v>668</v>
      </c>
      <c r="K2228" s="3">
        <v>10045475784</v>
      </c>
      <c r="L2228" s="10">
        <v>40162</v>
      </c>
      <c r="M2228">
        <v>13255.93</v>
      </c>
      <c r="N2228" s="11">
        <v>25</v>
      </c>
      <c r="O2228" s="12">
        <v>500.98</v>
      </c>
      <c r="P2228" s="12">
        <v>26</v>
      </c>
      <c r="Q2228" s="13">
        <v>4089.27</v>
      </c>
      <c r="R2228" s="36" t="s">
        <v>614</v>
      </c>
      <c r="S2228" s="7">
        <f t="shared" si="187"/>
        <v>2</v>
      </c>
      <c r="T2228" s="15" t="str">
        <f>VLOOKUP(R2228,产品分类!$C$2:$D$1278,2,0)</f>
        <v>办公用品</v>
      </c>
    </row>
    <row r="2229" spans="1:20">
      <c r="A2229" s="8">
        <f>DATE(2012,12,31)-169</f>
        <v>41105</v>
      </c>
      <c r="B2229" s="8">
        <f>DATE(2012,12,31)-169</f>
        <v>41105</v>
      </c>
      <c r="C2229" s="9" t="s">
        <v>151</v>
      </c>
      <c r="D2229">
        <v>10021299695</v>
      </c>
      <c r="E2229" t="s">
        <v>47</v>
      </c>
      <c r="F2229" t="s">
        <v>83</v>
      </c>
      <c r="G2229" t="s">
        <v>84</v>
      </c>
      <c r="H2229" t="s">
        <v>1928</v>
      </c>
      <c r="I2229" t="s">
        <v>1929</v>
      </c>
      <c r="J2229" t="s">
        <v>668</v>
      </c>
      <c r="K2229" s="3">
        <v>100114785816</v>
      </c>
      <c r="L2229" s="10">
        <v>41107</v>
      </c>
      <c r="M2229">
        <v>217.14</v>
      </c>
      <c r="N2229" s="11">
        <v>31</v>
      </c>
      <c r="O2229" s="12">
        <v>6.48</v>
      </c>
      <c r="P2229" s="12">
        <v>6.22</v>
      </c>
      <c r="Q2229" s="13">
        <v>-62.97</v>
      </c>
      <c r="R2229" s="36" t="s">
        <v>1393</v>
      </c>
      <c r="S2229" s="7">
        <f t="shared" si="187"/>
        <v>2</v>
      </c>
      <c r="T2229" s="15" t="str">
        <f>VLOOKUP(R2229,产品分类!$C$2:$D$1278,2,0)</f>
        <v>家具产品</v>
      </c>
    </row>
    <row r="2230" spans="1:20">
      <c r="A2230" s="8">
        <f>DATE(2012,12,31)-169</f>
        <v>41105</v>
      </c>
      <c r="B2230" s="8">
        <f>DATE(2012,12,31)-169</f>
        <v>41105</v>
      </c>
      <c r="C2230" s="9" t="s">
        <v>151</v>
      </c>
      <c r="D2230">
        <v>10021417284</v>
      </c>
      <c r="E2230" t="s">
        <v>47</v>
      </c>
      <c r="F2230" t="s">
        <v>55</v>
      </c>
      <c r="G2230" t="s">
        <v>56</v>
      </c>
      <c r="H2230" t="s">
        <v>1869</v>
      </c>
      <c r="I2230" t="s">
        <v>1870</v>
      </c>
      <c r="J2230" t="s">
        <v>668</v>
      </c>
      <c r="K2230" s="3">
        <v>100116406328</v>
      </c>
      <c r="L2230" s="10">
        <v>41107</v>
      </c>
      <c r="M2230">
        <v>426.7</v>
      </c>
      <c r="N2230" s="11">
        <v>22</v>
      </c>
      <c r="O2230" s="12">
        <v>19.84</v>
      </c>
      <c r="P2230" s="12">
        <v>4.1</v>
      </c>
      <c r="Q2230" s="13">
        <v>104.77</v>
      </c>
      <c r="R2230" s="36" t="s">
        <v>175</v>
      </c>
      <c r="S2230" s="7">
        <f t="shared" si="187"/>
        <v>2</v>
      </c>
      <c r="T2230" s="15" t="str">
        <f>VLOOKUP(R2230,产品分类!$C$2:$D$1278,2,0)</f>
        <v>办公用品</v>
      </c>
    </row>
    <row r="2231" spans="1:20">
      <c r="A2231" s="8">
        <f>DATE(2012,12,31)-603</f>
        <v>40671</v>
      </c>
      <c r="B2231" s="8">
        <f>DATE(2012,12,31)-603</f>
        <v>40671</v>
      </c>
      <c r="C2231" s="9" t="s">
        <v>1594</v>
      </c>
      <c r="D2231">
        <v>10021432246</v>
      </c>
      <c r="E2231" t="s">
        <v>47</v>
      </c>
      <c r="F2231" t="s">
        <v>97</v>
      </c>
      <c r="G2231" t="s">
        <v>98</v>
      </c>
      <c r="H2231" t="s">
        <v>99</v>
      </c>
      <c r="I2231" t="s">
        <v>98</v>
      </c>
      <c r="J2231" t="s">
        <v>668</v>
      </c>
      <c r="K2231" s="3">
        <v>100332294839</v>
      </c>
      <c r="L2231" s="10">
        <v>40671</v>
      </c>
      <c r="M2231">
        <v>2968.66</v>
      </c>
      <c r="N2231" s="11">
        <v>46</v>
      </c>
      <c r="O2231" s="12">
        <v>63.94</v>
      </c>
      <c r="P2231" s="12">
        <v>14.48</v>
      </c>
      <c r="Q2231" s="13">
        <v>1077.49</v>
      </c>
      <c r="R2231" s="36" t="s">
        <v>1889</v>
      </c>
      <c r="S2231" s="7">
        <f t="shared" si="187"/>
        <v>0</v>
      </c>
      <c r="T2231" s="15" t="str">
        <f>VLOOKUP(R2231,产品分类!$C$2:$D$1278,2,0)</f>
        <v>家具产品</v>
      </c>
    </row>
    <row r="2232" spans="1:20">
      <c r="A2232" s="8">
        <f>DATE(2012,12,31)-65</f>
        <v>41209</v>
      </c>
      <c r="B2232" s="8">
        <f>DATE(2012,12,31)-65</f>
        <v>41209</v>
      </c>
      <c r="C2232" s="9" t="s">
        <v>649</v>
      </c>
      <c r="D2232">
        <v>10021266134</v>
      </c>
      <c r="E2232" t="s">
        <v>47</v>
      </c>
      <c r="F2232" t="s">
        <v>97</v>
      </c>
      <c r="G2232" t="s">
        <v>98</v>
      </c>
      <c r="H2232" t="s">
        <v>99</v>
      </c>
      <c r="I2232" t="s">
        <v>98</v>
      </c>
      <c r="J2232" t="s">
        <v>668</v>
      </c>
      <c r="K2232" s="3">
        <v>100315245139</v>
      </c>
      <c r="L2232" s="10">
        <v>41210</v>
      </c>
      <c r="M2232">
        <v>519.96</v>
      </c>
      <c r="N2232" s="11">
        <v>26</v>
      </c>
      <c r="O2232" s="12">
        <v>21.38</v>
      </c>
      <c r="P2232" s="12">
        <v>2.99</v>
      </c>
      <c r="Q2232" s="13">
        <v>169.439</v>
      </c>
      <c r="R2232" s="36" t="s">
        <v>1836</v>
      </c>
      <c r="S2232" s="7">
        <f t="shared" si="187"/>
        <v>1</v>
      </c>
      <c r="T2232" s="15" t="str">
        <f>VLOOKUP(R2232,产品分类!$C$2:$D$1278,2,0)</f>
        <v>办公用品</v>
      </c>
    </row>
    <row r="2233" spans="1:20">
      <c r="A2233" s="8">
        <f>DATE(2012,12,31)-1193</f>
        <v>40081</v>
      </c>
      <c r="B2233" s="8">
        <f>DATE(2012,12,31)-1193</f>
        <v>40081</v>
      </c>
      <c r="C2233" s="9" t="s">
        <v>1930</v>
      </c>
      <c r="D2233">
        <v>10021420713</v>
      </c>
      <c r="E2233" t="s">
        <v>47</v>
      </c>
      <c r="F2233" t="s">
        <v>132</v>
      </c>
      <c r="G2233" t="s">
        <v>133</v>
      </c>
      <c r="H2233" t="s">
        <v>134</v>
      </c>
      <c r="I2233" t="s">
        <v>133</v>
      </c>
      <c r="J2233" t="s">
        <v>668</v>
      </c>
      <c r="K2233" s="3">
        <v>100425170573</v>
      </c>
      <c r="L2233" s="10">
        <v>40081</v>
      </c>
      <c r="M2233">
        <v>3083.04</v>
      </c>
      <c r="N2233" s="11">
        <v>16</v>
      </c>
      <c r="O2233" s="12">
        <v>200.97</v>
      </c>
      <c r="P2233" s="12">
        <v>15.59</v>
      </c>
      <c r="Q2233" s="13">
        <v>872.13</v>
      </c>
      <c r="R2233" s="36" t="s">
        <v>1825</v>
      </c>
      <c r="S2233" s="7">
        <f t="shared" si="187"/>
        <v>0</v>
      </c>
      <c r="T2233" s="15" t="str">
        <f>VLOOKUP(R2233,产品分类!$C$2:$D$1278,2,0)</f>
        <v>家具产品</v>
      </c>
    </row>
    <row r="2234" spans="1:20">
      <c r="A2234" s="8">
        <f>DATE(2012,12,31)-1193</f>
        <v>40081</v>
      </c>
      <c r="B2234" s="8">
        <f>DATE(2012,12,31)-1193</f>
        <v>40081</v>
      </c>
      <c r="C2234" s="9" t="s">
        <v>182</v>
      </c>
      <c r="D2234">
        <v>10021432933</v>
      </c>
      <c r="E2234" t="s">
        <v>47</v>
      </c>
      <c r="F2234" t="s">
        <v>97</v>
      </c>
      <c r="G2234" t="s">
        <v>98</v>
      </c>
      <c r="H2234" t="s">
        <v>99</v>
      </c>
      <c r="I2234" t="s">
        <v>98</v>
      </c>
      <c r="J2234" t="s">
        <v>668</v>
      </c>
      <c r="K2234" s="3">
        <v>100932588041</v>
      </c>
      <c r="L2234" s="10">
        <v>40083</v>
      </c>
      <c r="M2234">
        <v>27.96</v>
      </c>
      <c r="N2234" s="11">
        <v>1</v>
      </c>
      <c r="O2234" s="12">
        <v>14.89</v>
      </c>
      <c r="P2234" s="12">
        <v>13.56</v>
      </c>
      <c r="Q2234" s="13">
        <v>-9.13</v>
      </c>
      <c r="R2234" s="36" t="s">
        <v>1931</v>
      </c>
      <c r="S2234" s="7">
        <f t="shared" si="187"/>
        <v>2</v>
      </c>
      <c r="T2234" s="15" t="str">
        <f>VLOOKUP(R2234,产品分类!$C$2:$D$1278,2,0)</f>
        <v>办公用品</v>
      </c>
    </row>
    <row r="2235" spans="1:20">
      <c r="A2235" s="8">
        <f>DATE(2012,12,31)-42</f>
        <v>41232</v>
      </c>
      <c r="B2235" s="8">
        <f>DATE(2012,12,31)-42</f>
        <v>41232</v>
      </c>
      <c r="C2235" s="9" t="s">
        <v>1221</v>
      </c>
      <c r="D2235">
        <v>10021251334</v>
      </c>
      <c r="E2235" t="s">
        <v>47</v>
      </c>
      <c r="F2235" t="s">
        <v>304</v>
      </c>
      <c r="G2235" t="s">
        <v>305</v>
      </c>
      <c r="H2235" t="s">
        <v>1550</v>
      </c>
      <c r="I2235" t="s">
        <v>1551</v>
      </c>
      <c r="J2235" t="s">
        <v>668</v>
      </c>
      <c r="K2235" s="3">
        <v>10097199951</v>
      </c>
      <c r="L2235" s="10">
        <v>41234</v>
      </c>
      <c r="M2235">
        <v>21921.28</v>
      </c>
      <c r="N2235" s="11">
        <v>43</v>
      </c>
      <c r="O2235" s="12">
        <v>500.98</v>
      </c>
      <c r="P2235" s="12">
        <v>28.14</v>
      </c>
      <c r="Q2235" s="13">
        <v>10521.33</v>
      </c>
      <c r="R2235" s="36" t="s">
        <v>248</v>
      </c>
      <c r="S2235" s="7">
        <f t="shared" si="187"/>
        <v>2</v>
      </c>
      <c r="T2235" s="15" t="str">
        <f>VLOOKUP(R2235,产品分类!$C$2:$D$1278,2,0)</f>
        <v>家具产品</v>
      </c>
    </row>
    <row r="2236" spans="1:20">
      <c r="A2236" s="8">
        <f>DATE(2012,12,31)-527</f>
        <v>40747</v>
      </c>
      <c r="B2236" s="8">
        <f>DATE(2012,12,31)-527</f>
        <v>40747</v>
      </c>
      <c r="C2236" s="9" t="s">
        <v>1932</v>
      </c>
      <c r="D2236">
        <v>10021444123</v>
      </c>
      <c r="E2236" t="s">
        <v>47</v>
      </c>
      <c r="F2236" t="s">
        <v>137</v>
      </c>
      <c r="G2236" t="s">
        <v>138</v>
      </c>
      <c r="H2236" t="s">
        <v>139</v>
      </c>
      <c r="I2236" t="s">
        <v>140</v>
      </c>
      <c r="J2236" t="s">
        <v>668</v>
      </c>
      <c r="K2236" s="3">
        <v>10095044151</v>
      </c>
      <c r="L2236" s="10">
        <v>40748</v>
      </c>
      <c r="M2236">
        <v>514.86</v>
      </c>
      <c r="N2236" s="11">
        <v>50</v>
      </c>
      <c r="O2236" s="12">
        <v>10.89</v>
      </c>
      <c r="P2236" s="12">
        <v>4.5</v>
      </c>
      <c r="Q2236" s="13">
        <v>-53.18</v>
      </c>
      <c r="R2236" s="36" t="s">
        <v>269</v>
      </c>
      <c r="S2236" s="7">
        <f t="shared" si="187"/>
        <v>1</v>
      </c>
      <c r="T2236" s="15" t="str">
        <f>VLOOKUP(R2236,产品分类!$C$2:$D$1278,2,0)</f>
        <v>办公用品</v>
      </c>
    </row>
    <row r="2237" spans="1:20">
      <c r="A2237" s="8">
        <f>DATE(2012,12,31)-156</f>
        <v>41118</v>
      </c>
      <c r="B2237" s="8">
        <f>DATE(2012,12,31)-156</f>
        <v>41118</v>
      </c>
      <c r="C2237" s="9" t="s">
        <v>1139</v>
      </c>
      <c r="D2237">
        <v>10021506368</v>
      </c>
      <c r="E2237" t="s">
        <v>47</v>
      </c>
      <c r="F2237" t="s">
        <v>137</v>
      </c>
      <c r="G2237" t="s">
        <v>138</v>
      </c>
      <c r="H2237" t="s">
        <v>139</v>
      </c>
      <c r="I2237" t="s">
        <v>601</v>
      </c>
      <c r="J2237" t="s">
        <v>668</v>
      </c>
      <c r="K2237" s="3">
        <v>100731431945</v>
      </c>
      <c r="L2237" s="10">
        <v>41119</v>
      </c>
      <c r="M2237">
        <v>2692.6895</v>
      </c>
      <c r="N2237" s="11">
        <v>49</v>
      </c>
      <c r="O2237" s="12">
        <v>65.99</v>
      </c>
      <c r="P2237" s="12">
        <v>4.2</v>
      </c>
      <c r="Q2237" s="13">
        <v>768.321</v>
      </c>
      <c r="R2237" s="36" t="s">
        <v>89</v>
      </c>
      <c r="S2237" s="7">
        <f t="shared" si="187"/>
        <v>1</v>
      </c>
      <c r="T2237" s="15" t="str">
        <f>VLOOKUP(R2237,产品分类!$C$2:$D$1278,2,0)</f>
        <v>家具产品</v>
      </c>
    </row>
    <row r="2238" spans="1:20">
      <c r="A2238" s="8">
        <f>DATE(2012,12,31)-156</f>
        <v>41118</v>
      </c>
      <c r="B2238" s="8">
        <f>DATE(2012,12,31)-156</f>
        <v>41118</v>
      </c>
      <c r="C2238" s="9" t="s">
        <v>1139</v>
      </c>
      <c r="D2238">
        <v>10021264397</v>
      </c>
      <c r="E2238" t="s">
        <v>47</v>
      </c>
      <c r="F2238" t="s">
        <v>102</v>
      </c>
      <c r="G2238" t="s">
        <v>103</v>
      </c>
      <c r="H2238" t="s">
        <v>1217</v>
      </c>
      <c r="I2238" t="s">
        <v>1218</v>
      </c>
      <c r="J2238" t="s">
        <v>668</v>
      </c>
      <c r="K2238" s="3">
        <v>100131056438</v>
      </c>
      <c r="L2238" s="10">
        <v>41120</v>
      </c>
      <c r="M2238">
        <v>151.19</v>
      </c>
      <c r="N2238" s="11">
        <v>38</v>
      </c>
      <c r="O2238" s="12">
        <v>3.78</v>
      </c>
      <c r="P2238" s="12">
        <v>0.71</v>
      </c>
      <c r="Q2238" s="13">
        <v>60.63</v>
      </c>
      <c r="R2238" s="36" t="s">
        <v>731</v>
      </c>
      <c r="S2238" s="7">
        <f t="shared" si="187"/>
        <v>2</v>
      </c>
      <c r="T2238" s="15" t="str">
        <f>VLOOKUP(R2238,产品分类!$C$2:$D$1278,2,0)</f>
        <v>家具产品</v>
      </c>
    </row>
    <row r="2239" spans="1:20">
      <c r="A2239" s="8">
        <f t="shared" ref="A2239:B2241" si="193">DATE(2012,12,31)-363</f>
        <v>40911</v>
      </c>
      <c r="B2239" s="8">
        <f t="shared" si="193"/>
        <v>40911</v>
      </c>
      <c r="C2239" s="9" t="s">
        <v>1424</v>
      </c>
      <c r="D2239">
        <v>10021502104</v>
      </c>
      <c r="E2239" t="s">
        <v>47</v>
      </c>
      <c r="F2239" t="s">
        <v>102</v>
      </c>
      <c r="G2239" t="s">
        <v>103</v>
      </c>
      <c r="H2239" t="s">
        <v>1217</v>
      </c>
      <c r="I2239" t="s">
        <v>1218</v>
      </c>
      <c r="J2239" t="s">
        <v>668</v>
      </c>
      <c r="K2239" s="3">
        <v>100828210872</v>
      </c>
      <c r="L2239" s="10">
        <v>40920</v>
      </c>
      <c r="M2239">
        <v>3353.54</v>
      </c>
      <c r="N2239" s="11">
        <v>22</v>
      </c>
      <c r="O2239" s="12">
        <v>162.93</v>
      </c>
      <c r="P2239" s="12">
        <v>19.99</v>
      </c>
      <c r="Q2239" s="13">
        <v>1189.96</v>
      </c>
      <c r="R2239" s="36" t="s">
        <v>778</v>
      </c>
      <c r="S2239" s="7">
        <f t="shared" si="187"/>
        <v>9</v>
      </c>
      <c r="T2239" s="15" t="str">
        <f>VLOOKUP(R2239,产品分类!$C$2:$D$1278,2,0)</f>
        <v>办公用品</v>
      </c>
    </row>
    <row r="2240" spans="1:20">
      <c r="A2240" s="8">
        <f t="shared" si="193"/>
        <v>40911</v>
      </c>
      <c r="B2240" s="8">
        <f t="shared" si="193"/>
        <v>40911</v>
      </c>
      <c r="C2240" s="9" t="s">
        <v>1424</v>
      </c>
      <c r="D2240">
        <v>10021269039</v>
      </c>
      <c r="E2240" t="s">
        <v>47</v>
      </c>
      <c r="F2240" t="s">
        <v>208</v>
      </c>
      <c r="G2240" t="s">
        <v>209</v>
      </c>
      <c r="H2240" t="s">
        <v>1492</v>
      </c>
      <c r="I2240" t="s">
        <v>1493</v>
      </c>
      <c r="J2240" t="s">
        <v>668</v>
      </c>
      <c r="K2240" s="3">
        <v>100732427345</v>
      </c>
      <c r="L2240" s="10">
        <v>40918</v>
      </c>
      <c r="M2240">
        <v>69.38</v>
      </c>
      <c r="N2240" s="11">
        <v>26</v>
      </c>
      <c r="O2240" s="12">
        <v>2.52</v>
      </c>
      <c r="P2240" s="12">
        <v>4.28</v>
      </c>
      <c r="Q2240" s="13">
        <v>-70.73</v>
      </c>
      <c r="R2240" s="36" t="s">
        <v>1653</v>
      </c>
      <c r="S2240" s="7">
        <f t="shared" si="187"/>
        <v>7</v>
      </c>
      <c r="T2240" s="15" t="str">
        <f>VLOOKUP(R2240,产品分类!$C$2:$D$1278,2,0)</f>
        <v>办公用品</v>
      </c>
    </row>
    <row r="2241" spans="1:20">
      <c r="A2241" s="8">
        <f t="shared" si="193"/>
        <v>40911</v>
      </c>
      <c r="B2241" s="8">
        <f t="shared" si="193"/>
        <v>40911</v>
      </c>
      <c r="C2241" s="9" t="s">
        <v>1424</v>
      </c>
      <c r="D2241">
        <v>10021502212</v>
      </c>
      <c r="E2241" t="s">
        <v>47</v>
      </c>
      <c r="F2241" t="s">
        <v>527</v>
      </c>
      <c r="G2241" t="s">
        <v>528</v>
      </c>
      <c r="H2241" t="s">
        <v>1913</v>
      </c>
      <c r="I2241" t="s">
        <v>1914</v>
      </c>
      <c r="J2241" t="s">
        <v>668</v>
      </c>
      <c r="K2241" s="3">
        <v>100821815012</v>
      </c>
      <c r="L2241" s="10">
        <v>40915</v>
      </c>
      <c r="M2241">
        <v>2354.15</v>
      </c>
      <c r="N2241" s="11">
        <v>26</v>
      </c>
      <c r="O2241" s="12">
        <v>90.97</v>
      </c>
      <c r="P2241" s="12">
        <v>14</v>
      </c>
      <c r="Q2241" s="13">
        <v>774.79</v>
      </c>
      <c r="R2241" s="36" t="s">
        <v>886</v>
      </c>
      <c r="S2241" s="7">
        <f t="shared" si="187"/>
        <v>4</v>
      </c>
      <c r="T2241" s="15" t="str">
        <f>VLOOKUP(R2241,产品分类!$C$2:$D$1278,2,0)</f>
        <v>办公用品</v>
      </c>
    </row>
    <row r="2242" spans="1:20">
      <c r="A2242" s="8">
        <f t="shared" ref="A2242:B2244" si="194">DATE(2012,12,31)-893</f>
        <v>40381</v>
      </c>
      <c r="B2242" s="8">
        <f t="shared" si="194"/>
        <v>40381</v>
      </c>
      <c r="C2242" s="9" t="s">
        <v>407</v>
      </c>
      <c r="D2242">
        <v>10021497762</v>
      </c>
      <c r="E2242" t="s">
        <v>47</v>
      </c>
      <c r="F2242" t="s">
        <v>171</v>
      </c>
      <c r="G2242" t="s">
        <v>172</v>
      </c>
      <c r="H2242" t="s">
        <v>1712</v>
      </c>
      <c r="I2242" t="s">
        <v>1713</v>
      </c>
      <c r="J2242" t="s">
        <v>668</v>
      </c>
      <c r="K2242" s="3">
        <v>100419784623</v>
      </c>
      <c r="L2242" s="10">
        <v>40383</v>
      </c>
      <c r="M2242">
        <v>136.68</v>
      </c>
      <c r="N2242" s="11">
        <v>4</v>
      </c>
      <c r="O2242" s="12">
        <v>30.73</v>
      </c>
      <c r="P2242" s="12">
        <v>4</v>
      </c>
      <c r="Q2242" s="13">
        <v>-125.16</v>
      </c>
      <c r="R2242" s="36" t="s">
        <v>1016</v>
      </c>
      <c r="S2242" s="7">
        <f t="shared" si="187"/>
        <v>2</v>
      </c>
      <c r="T2242" s="15" t="str">
        <f>VLOOKUP(R2242,产品分类!$C$2:$D$1278,2,0)</f>
        <v>办公用品</v>
      </c>
    </row>
    <row r="2243" spans="1:20">
      <c r="A2243" s="8">
        <f t="shared" si="194"/>
        <v>40381</v>
      </c>
      <c r="B2243" s="8">
        <f t="shared" si="194"/>
        <v>40381</v>
      </c>
      <c r="C2243" s="9" t="s">
        <v>407</v>
      </c>
      <c r="D2243">
        <v>10021351068</v>
      </c>
      <c r="E2243" t="s">
        <v>47</v>
      </c>
      <c r="F2243" t="s">
        <v>171</v>
      </c>
      <c r="G2243" t="s">
        <v>172</v>
      </c>
      <c r="H2243" t="s">
        <v>1712</v>
      </c>
      <c r="I2243" t="s">
        <v>1713</v>
      </c>
      <c r="J2243" t="s">
        <v>668</v>
      </c>
      <c r="K2243" s="3">
        <v>100332204649</v>
      </c>
      <c r="L2243" s="10">
        <v>40382</v>
      </c>
      <c r="M2243">
        <v>1452.48</v>
      </c>
      <c r="N2243" s="11">
        <v>24</v>
      </c>
      <c r="O2243" s="12">
        <v>62.18</v>
      </c>
      <c r="P2243" s="12">
        <v>10.84</v>
      </c>
      <c r="Q2243" s="13">
        <v>376.52</v>
      </c>
      <c r="R2243" s="36" t="s">
        <v>1933</v>
      </c>
      <c r="S2243" s="7">
        <f t="shared" ref="S2243:S2306" si="195">+L2243-B2243</f>
        <v>1</v>
      </c>
      <c r="T2243" s="15" t="str">
        <f>VLOOKUP(R2243,产品分类!$C$2:$D$1278,2,0)</f>
        <v>办公用品</v>
      </c>
    </row>
    <row r="2244" spans="1:20">
      <c r="A2244" s="8">
        <f t="shared" si="194"/>
        <v>40381</v>
      </c>
      <c r="B2244" s="8">
        <f t="shared" si="194"/>
        <v>40381</v>
      </c>
      <c r="C2244" s="9" t="s">
        <v>407</v>
      </c>
      <c r="D2244">
        <v>10021389315</v>
      </c>
      <c r="E2244" t="s">
        <v>47</v>
      </c>
      <c r="F2244" t="s">
        <v>171</v>
      </c>
      <c r="G2244" t="s">
        <v>172</v>
      </c>
      <c r="H2244" t="s">
        <v>1712</v>
      </c>
      <c r="I2244" t="s">
        <v>1713</v>
      </c>
      <c r="J2244" t="s">
        <v>668</v>
      </c>
      <c r="K2244" s="3">
        <v>100131810908</v>
      </c>
      <c r="L2244" s="10">
        <v>40381</v>
      </c>
      <c r="M2244">
        <v>3555.29</v>
      </c>
      <c r="N2244" s="11">
        <v>19</v>
      </c>
      <c r="O2244" s="12">
        <v>193.17</v>
      </c>
      <c r="P2244" s="12">
        <v>19.99</v>
      </c>
      <c r="Q2244" s="13">
        <v>183.28</v>
      </c>
      <c r="R2244" s="36" t="s">
        <v>212</v>
      </c>
      <c r="S2244" s="7">
        <f t="shared" si="195"/>
        <v>0</v>
      </c>
      <c r="T2244" s="15" t="str">
        <f>VLOOKUP(R2244,产品分类!$C$2:$D$1278,2,0)</f>
        <v>家具产品</v>
      </c>
    </row>
    <row r="2245" spans="1:20">
      <c r="A2245" s="8">
        <f>DATE(2012,12,31)-1065</f>
        <v>40209</v>
      </c>
      <c r="B2245" s="8">
        <f>DATE(2012,12,31)-1065</f>
        <v>40209</v>
      </c>
      <c r="C2245" s="9" t="s">
        <v>1741</v>
      </c>
      <c r="D2245">
        <v>10021264662</v>
      </c>
      <c r="E2245" t="s">
        <v>47</v>
      </c>
      <c r="F2245" t="s">
        <v>527</v>
      </c>
      <c r="G2245" t="s">
        <v>528</v>
      </c>
      <c r="H2245" t="s">
        <v>1913</v>
      </c>
      <c r="I2245" t="s">
        <v>1914</v>
      </c>
      <c r="J2245" t="s">
        <v>668</v>
      </c>
      <c r="K2245" s="3">
        <v>100931209861</v>
      </c>
      <c r="L2245" s="10">
        <v>40210</v>
      </c>
      <c r="M2245">
        <v>78.51</v>
      </c>
      <c r="N2245" s="11">
        <v>36</v>
      </c>
      <c r="O2245" s="12">
        <v>2.18</v>
      </c>
      <c r="P2245" s="12">
        <v>1.38</v>
      </c>
      <c r="Q2245" s="13">
        <v>-10.06</v>
      </c>
      <c r="R2245" s="36" t="s">
        <v>1839</v>
      </c>
      <c r="S2245" s="7">
        <f t="shared" si="195"/>
        <v>1</v>
      </c>
      <c r="T2245" s="15" t="str">
        <f>VLOOKUP(R2245,产品分类!$C$2:$D$1278,2,0)</f>
        <v>办公用品</v>
      </c>
    </row>
    <row r="2246" spans="1:20">
      <c r="A2246" s="8">
        <f>DATE(2012,12,31)-266</f>
        <v>41008</v>
      </c>
      <c r="B2246" s="8">
        <f>DATE(2012,12,31)-266</f>
        <v>41008</v>
      </c>
      <c r="C2246" s="9" t="s">
        <v>1119</v>
      </c>
      <c r="D2246">
        <v>10021495474</v>
      </c>
      <c r="E2246" t="s">
        <v>47</v>
      </c>
      <c r="F2246" t="s">
        <v>171</v>
      </c>
      <c r="G2246" t="s">
        <v>172</v>
      </c>
      <c r="H2246" t="s">
        <v>1712</v>
      </c>
      <c r="I2246" t="s">
        <v>1713</v>
      </c>
      <c r="J2246" t="s">
        <v>668</v>
      </c>
      <c r="K2246" s="3">
        <v>10097374811</v>
      </c>
      <c r="L2246" s="10">
        <v>41010</v>
      </c>
      <c r="M2246">
        <v>300.2</v>
      </c>
      <c r="N2246" s="11">
        <v>8</v>
      </c>
      <c r="O2246" s="12">
        <v>34.76</v>
      </c>
      <c r="P2246" s="12">
        <v>8.22</v>
      </c>
      <c r="Q2246" s="13">
        <v>6.41000000000001</v>
      </c>
      <c r="R2246" s="36" t="s">
        <v>732</v>
      </c>
      <c r="S2246" s="7">
        <f t="shared" si="195"/>
        <v>2</v>
      </c>
      <c r="T2246" s="15" t="str">
        <f>VLOOKUP(R2246,产品分类!$C$2:$D$1278,2,0)</f>
        <v>家具产品</v>
      </c>
    </row>
    <row r="2247" spans="1:20">
      <c r="A2247" s="8">
        <f>DATE(2012,12,31)-266</f>
        <v>41008</v>
      </c>
      <c r="B2247" s="8">
        <f>DATE(2012,12,31)-266</f>
        <v>41008</v>
      </c>
      <c r="C2247" s="9" t="s">
        <v>1119</v>
      </c>
      <c r="D2247">
        <v>10021477987</v>
      </c>
      <c r="E2247" t="s">
        <v>47</v>
      </c>
      <c r="F2247" t="s">
        <v>527</v>
      </c>
      <c r="G2247" t="s">
        <v>528</v>
      </c>
      <c r="H2247" t="s">
        <v>1913</v>
      </c>
      <c r="I2247" t="s">
        <v>1914</v>
      </c>
      <c r="J2247" t="s">
        <v>668</v>
      </c>
      <c r="K2247" s="3">
        <v>100330158139</v>
      </c>
      <c r="L2247" s="10">
        <v>41010</v>
      </c>
      <c r="M2247">
        <v>1364.8025</v>
      </c>
      <c r="N2247" s="11">
        <v>29</v>
      </c>
      <c r="O2247" s="12">
        <v>55.99</v>
      </c>
      <c r="P2247" s="12">
        <v>5</v>
      </c>
      <c r="Q2247" s="13">
        <v>-183.678</v>
      </c>
      <c r="R2247" s="36" t="s">
        <v>1453</v>
      </c>
      <c r="S2247" s="7">
        <f t="shared" si="195"/>
        <v>2</v>
      </c>
      <c r="T2247" s="15" t="str">
        <f>VLOOKUP(R2247,产品分类!$C$2:$D$1278,2,0)</f>
        <v>办公用品</v>
      </c>
    </row>
    <row r="2248" spans="1:20">
      <c r="A2248" s="8">
        <f>DATE(2012,12,31)-816</f>
        <v>40458</v>
      </c>
      <c r="B2248" s="8">
        <f>DATE(2012,12,31)-816</f>
        <v>40458</v>
      </c>
      <c r="C2248" s="9" t="s">
        <v>582</v>
      </c>
      <c r="D2248">
        <v>10021496211</v>
      </c>
      <c r="E2248" t="s">
        <v>47</v>
      </c>
      <c r="F2248" t="s">
        <v>177</v>
      </c>
      <c r="G2248" t="s">
        <v>178</v>
      </c>
      <c r="H2248" t="s">
        <v>1292</v>
      </c>
      <c r="I2248" t="s">
        <v>1293</v>
      </c>
      <c r="J2248" t="s">
        <v>668</v>
      </c>
      <c r="K2248" s="3">
        <v>10017125546</v>
      </c>
      <c r="L2248" s="10">
        <v>40460</v>
      </c>
      <c r="M2248">
        <v>2435.5135</v>
      </c>
      <c r="N2248" s="11">
        <v>24</v>
      </c>
      <c r="O2248" s="12">
        <v>125.99</v>
      </c>
      <c r="P2248" s="12">
        <v>4.2</v>
      </c>
      <c r="Q2248" s="13">
        <v>315.486</v>
      </c>
      <c r="R2248" s="36" t="s">
        <v>285</v>
      </c>
      <c r="S2248" s="7">
        <f t="shared" si="195"/>
        <v>2</v>
      </c>
      <c r="T2248" s="15" t="str">
        <f>VLOOKUP(R2248,产品分类!$C$2:$D$1278,2,0)</f>
        <v>家具产品</v>
      </c>
    </row>
    <row r="2249" spans="1:20">
      <c r="A2249" s="8">
        <f>DATE(2012,12,31)-1168</f>
        <v>40106</v>
      </c>
      <c r="B2249" s="8">
        <f>DATE(2012,12,31)-1168</f>
        <v>40106</v>
      </c>
      <c r="C2249" s="9" t="s">
        <v>1934</v>
      </c>
      <c r="D2249">
        <v>10021388133</v>
      </c>
      <c r="E2249" t="s">
        <v>47</v>
      </c>
      <c r="F2249" t="s">
        <v>177</v>
      </c>
      <c r="G2249" t="s">
        <v>178</v>
      </c>
      <c r="H2249" t="s">
        <v>1292</v>
      </c>
      <c r="I2249" t="s">
        <v>1293</v>
      </c>
      <c r="J2249" t="s">
        <v>668</v>
      </c>
      <c r="K2249" s="3">
        <v>100425227354</v>
      </c>
      <c r="L2249" s="10">
        <v>40108</v>
      </c>
      <c r="M2249">
        <v>14521.39</v>
      </c>
      <c r="N2249" s="11">
        <v>44</v>
      </c>
      <c r="O2249" s="12">
        <v>320.98</v>
      </c>
      <c r="P2249" s="12">
        <v>24.49</v>
      </c>
      <c r="Q2249" s="13">
        <v>5034.15</v>
      </c>
      <c r="R2249" s="36" t="s">
        <v>1574</v>
      </c>
      <c r="S2249" s="7">
        <f t="shared" si="195"/>
        <v>2</v>
      </c>
      <c r="T2249" s="15" t="str">
        <f>VLOOKUP(R2249,产品分类!$C$2:$D$1278,2,0)</f>
        <v>办公用品</v>
      </c>
    </row>
    <row r="2250" spans="1:20">
      <c r="A2250" s="8">
        <f>DATE(2012,12,31)-1168</f>
        <v>40106</v>
      </c>
      <c r="B2250" s="8">
        <f>DATE(2012,12,31)-1168</f>
        <v>40106</v>
      </c>
      <c r="C2250" s="9" t="s">
        <v>1934</v>
      </c>
      <c r="D2250">
        <v>10021293738</v>
      </c>
      <c r="E2250" t="s">
        <v>47</v>
      </c>
      <c r="F2250" t="s">
        <v>183</v>
      </c>
      <c r="G2250" t="s">
        <v>184</v>
      </c>
      <c r="H2250" t="s">
        <v>1716</v>
      </c>
      <c r="I2250" t="s">
        <v>1717</v>
      </c>
      <c r="J2250" t="s">
        <v>668</v>
      </c>
      <c r="K2250" s="3">
        <v>10076591865</v>
      </c>
      <c r="L2250" s="10">
        <v>40107</v>
      </c>
      <c r="M2250">
        <v>3925.9715</v>
      </c>
      <c r="N2250" s="11">
        <v>39</v>
      </c>
      <c r="O2250" s="12">
        <v>125.99</v>
      </c>
      <c r="P2250" s="12">
        <v>8.8</v>
      </c>
      <c r="Q2250" s="13">
        <v>671.949</v>
      </c>
      <c r="R2250" s="36" t="s">
        <v>570</v>
      </c>
      <c r="S2250" s="7">
        <f t="shared" si="195"/>
        <v>1</v>
      </c>
      <c r="T2250" s="15" t="str">
        <f>VLOOKUP(R2250,产品分类!$C$2:$D$1278,2,0)</f>
        <v>办公用品</v>
      </c>
    </row>
    <row r="2251" spans="1:20">
      <c r="A2251" s="16">
        <f>DATE(2012,12,31)-66</f>
        <v>41208</v>
      </c>
      <c r="B2251" s="16">
        <f>DATE(2012,12,31)-66</f>
        <v>41208</v>
      </c>
      <c r="C2251" s="9" t="s">
        <v>1935</v>
      </c>
      <c r="D2251">
        <v>10021510177</v>
      </c>
      <c r="E2251" t="s">
        <v>47</v>
      </c>
      <c r="F2251" t="s">
        <v>127</v>
      </c>
      <c r="G2251" t="s">
        <v>128</v>
      </c>
      <c r="H2251" t="s">
        <v>1936</v>
      </c>
      <c r="I2251" t="s">
        <v>1937</v>
      </c>
      <c r="J2251" t="s">
        <v>668</v>
      </c>
      <c r="K2251" s="3">
        <v>100410721333</v>
      </c>
      <c r="L2251" s="10">
        <v>41208</v>
      </c>
      <c r="M2251">
        <v>218.71</v>
      </c>
      <c r="N2251" s="17">
        <v>23</v>
      </c>
      <c r="O2251" s="5">
        <v>9.11</v>
      </c>
      <c r="P2251" s="5">
        <v>2.15</v>
      </c>
      <c r="Q2251" s="6">
        <v>67.23</v>
      </c>
      <c r="R2251" s="37" t="s">
        <v>1449</v>
      </c>
      <c r="S2251" s="7">
        <f t="shared" si="195"/>
        <v>0</v>
      </c>
      <c r="T2251" s="15" t="str">
        <f>VLOOKUP(R2251,产品分类!$C$2:$D$1278,2,0)</f>
        <v>家具产品</v>
      </c>
    </row>
    <row r="2252" spans="1:20">
      <c r="A2252" s="16">
        <f>DATE(2012,12,31)-66</f>
        <v>41208</v>
      </c>
      <c r="B2252" s="16">
        <f>DATE(2012,12,31)-66</f>
        <v>41208</v>
      </c>
      <c r="C2252" s="9" t="s">
        <v>1935</v>
      </c>
      <c r="D2252">
        <v>10021500399</v>
      </c>
      <c r="E2252" t="s">
        <v>47</v>
      </c>
      <c r="F2252" t="s">
        <v>127</v>
      </c>
      <c r="G2252" t="s">
        <v>128</v>
      </c>
      <c r="H2252" t="s">
        <v>1936</v>
      </c>
      <c r="I2252" t="s">
        <v>1937</v>
      </c>
      <c r="J2252" t="s">
        <v>668</v>
      </c>
      <c r="K2252" s="3">
        <v>100125883897</v>
      </c>
      <c r="L2252" s="10">
        <v>41209</v>
      </c>
      <c r="M2252">
        <v>103.68</v>
      </c>
      <c r="N2252" s="17">
        <v>19</v>
      </c>
      <c r="O2252" s="5">
        <v>5.28</v>
      </c>
      <c r="P2252" s="5">
        <v>5.85</v>
      </c>
      <c r="Q2252" s="6">
        <v>-58.16</v>
      </c>
      <c r="R2252" s="37" t="s">
        <v>1938</v>
      </c>
      <c r="S2252" s="7">
        <f t="shared" si="195"/>
        <v>1</v>
      </c>
      <c r="T2252" s="15" t="str">
        <f>VLOOKUP(R2252,产品分类!$C$2:$D$1278,2,0)</f>
        <v>办公用品</v>
      </c>
    </row>
    <row r="2253" spans="1:20">
      <c r="A2253" s="8">
        <f>DATE(2012,12,31)-1313</f>
        <v>39961</v>
      </c>
      <c r="B2253" s="8">
        <f>DATE(2012,12,31)-1313</f>
        <v>39961</v>
      </c>
      <c r="C2253" s="9" t="s">
        <v>448</v>
      </c>
      <c r="D2253">
        <v>10021370459</v>
      </c>
      <c r="E2253" t="s">
        <v>47</v>
      </c>
      <c r="F2253" t="s">
        <v>177</v>
      </c>
      <c r="G2253" t="s">
        <v>178</v>
      </c>
      <c r="H2253" t="s">
        <v>1292</v>
      </c>
      <c r="I2253" t="s">
        <v>1293</v>
      </c>
      <c r="J2253" t="s">
        <v>668</v>
      </c>
      <c r="K2253" s="3">
        <v>10017631797</v>
      </c>
      <c r="L2253" s="10">
        <v>39963</v>
      </c>
      <c r="M2253">
        <v>550.29</v>
      </c>
      <c r="N2253" s="11">
        <v>30</v>
      </c>
      <c r="O2253" s="12">
        <v>17.7</v>
      </c>
      <c r="P2253" s="12">
        <v>9.47</v>
      </c>
      <c r="Q2253" s="13">
        <v>-82.5</v>
      </c>
      <c r="R2253" s="36" t="s">
        <v>290</v>
      </c>
      <c r="S2253" s="7">
        <f t="shared" si="195"/>
        <v>2</v>
      </c>
      <c r="T2253" s="15" t="str">
        <f>VLOOKUP(R2253,产品分类!$C$2:$D$1278,2,0)</f>
        <v>办公用品</v>
      </c>
    </row>
    <row r="2254" spans="1:20">
      <c r="A2254" s="8">
        <f>DATE(2012,12,31)-1373</f>
        <v>39901</v>
      </c>
      <c r="B2254" s="8">
        <f>DATE(2012,12,31)-1373</f>
        <v>39901</v>
      </c>
      <c r="C2254" s="9" t="s">
        <v>617</v>
      </c>
      <c r="D2254">
        <v>10021349675</v>
      </c>
      <c r="E2254" t="s">
        <v>47</v>
      </c>
      <c r="F2254" t="s">
        <v>127</v>
      </c>
      <c r="G2254" t="s">
        <v>128</v>
      </c>
      <c r="H2254" t="s">
        <v>1936</v>
      </c>
      <c r="I2254" t="s">
        <v>1937</v>
      </c>
      <c r="J2254" t="s">
        <v>668</v>
      </c>
      <c r="K2254" s="3">
        <v>100431886284</v>
      </c>
      <c r="L2254" s="10">
        <v>39902</v>
      </c>
      <c r="M2254">
        <v>1068.7</v>
      </c>
      <c r="N2254" s="11">
        <v>27</v>
      </c>
      <c r="O2254" s="12">
        <v>40.98</v>
      </c>
      <c r="P2254" s="12">
        <v>6.5</v>
      </c>
      <c r="Q2254" s="13">
        <v>-89.5</v>
      </c>
      <c r="R2254" s="36" t="s">
        <v>1444</v>
      </c>
      <c r="S2254" s="7">
        <f t="shared" si="195"/>
        <v>1</v>
      </c>
      <c r="T2254" s="15" t="str">
        <f>VLOOKUP(R2254,产品分类!$C$2:$D$1278,2,0)</f>
        <v>数码电子</v>
      </c>
    </row>
    <row r="2255" spans="1:20">
      <c r="A2255" s="8">
        <f>DATE(2012,12,31)-1373</f>
        <v>39901</v>
      </c>
      <c r="B2255" s="8">
        <f>DATE(2012,12,31)-1373</f>
        <v>39901</v>
      </c>
      <c r="C2255" s="9" t="s">
        <v>617</v>
      </c>
      <c r="D2255">
        <v>10021349979</v>
      </c>
      <c r="E2255" t="s">
        <v>47</v>
      </c>
      <c r="F2255" t="s">
        <v>177</v>
      </c>
      <c r="G2255" t="s">
        <v>178</v>
      </c>
      <c r="H2255" t="s">
        <v>1292</v>
      </c>
      <c r="I2255" t="s">
        <v>1293</v>
      </c>
      <c r="J2255" t="s">
        <v>668</v>
      </c>
      <c r="K2255" s="3">
        <v>100432134854</v>
      </c>
      <c r="L2255" s="10">
        <v>39903</v>
      </c>
      <c r="M2255">
        <v>568.7435</v>
      </c>
      <c r="N2255" s="11">
        <v>19</v>
      </c>
      <c r="O2255" s="12">
        <v>35.99</v>
      </c>
      <c r="P2255" s="12">
        <v>3.3</v>
      </c>
      <c r="Q2255" s="13">
        <v>143.793</v>
      </c>
      <c r="R2255" s="36" t="s">
        <v>1817</v>
      </c>
      <c r="S2255" s="7">
        <f t="shared" si="195"/>
        <v>2</v>
      </c>
      <c r="T2255" s="15" t="str">
        <f>VLOOKUP(R2255,产品分类!$C$2:$D$1278,2,0)</f>
        <v>数码电子</v>
      </c>
    </row>
    <row r="2256" spans="1:20">
      <c r="A2256" s="8">
        <f t="shared" ref="A2256:B2259" si="196">DATE(2012,12,31)-1038</f>
        <v>40236</v>
      </c>
      <c r="B2256" s="8">
        <f t="shared" si="196"/>
        <v>40236</v>
      </c>
      <c r="C2256" s="9" t="s">
        <v>197</v>
      </c>
      <c r="D2256">
        <v>10021419281</v>
      </c>
      <c r="E2256" t="s">
        <v>47</v>
      </c>
      <c r="F2256" t="s">
        <v>122</v>
      </c>
      <c r="G2256" t="s">
        <v>123</v>
      </c>
      <c r="H2256" t="s">
        <v>124</v>
      </c>
      <c r="I2256" t="s">
        <v>125</v>
      </c>
      <c r="J2256" t="s">
        <v>668</v>
      </c>
      <c r="K2256" s="3">
        <v>100923409751</v>
      </c>
      <c r="L2256" s="10">
        <v>40238</v>
      </c>
      <c r="M2256">
        <v>13.3</v>
      </c>
      <c r="N2256" s="11">
        <v>2</v>
      </c>
      <c r="O2256" s="12">
        <v>7.31</v>
      </c>
      <c r="P2256" s="12">
        <v>0.49</v>
      </c>
      <c r="Q2256" s="13">
        <v>-7.86</v>
      </c>
      <c r="R2256" s="36" t="s">
        <v>694</v>
      </c>
      <c r="S2256" s="7">
        <f t="shared" si="195"/>
        <v>2</v>
      </c>
      <c r="T2256" s="15" t="str">
        <f>VLOOKUP(R2256,产品分类!$C$2:$D$1278,2,0)</f>
        <v>办公用品</v>
      </c>
    </row>
    <row r="2257" spans="1:20">
      <c r="A2257" s="8">
        <f t="shared" si="196"/>
        <v>40236</v>
      </c>
      <c r="B2257" s="8">
        <f t="shared" si="196"/>
        <v>40236</v>
      </c>
      <c r="C2257" s="9" t="s">
        <v>197</v>
      </c>
      <c r="D2257">
        <v>10021349097</v>
      </c>
      <c r="E2257" t="s">
        <v>47</v>
      </c>
      <c r="F2257" t="s">
        <v>167</v>
      </c>
      <c r="G2257" t="s">
        <v>168</v>
      </c>
      <c r="H2257" t="s">
        <v>169</v>
      </c>
      <c r="I2257" t="s">
        <v>168</v>
      </c>
      <c r="J2257" t="s">
        <v>668</v>
      </c>
      <c r="K2257" s="3">
        <v>100931825291</v>
      </c>
      <c r="L2257" s="10">
        <v>40238</v>
      </c>
      <c r="M2257">
        <v>3379.01</v>
      </c>
      <c r="N2257" s="11">
        <v>27</v>
      </c>
      <c r="O2257" s="12">
        <v>130.98</v>
      </c>
      <c r="P2257" s="12">
        <v>54.74</v>
      </c>
      <c r="Q2257" s="13">
        <v>-801.09</v>
      </c>
      <c r="R2257" s="36" t="s">
        <v>142</v>
      </c>
      <c r="S2257" s="7">
        <f t="shared" si="195"/>
        <v>2</v>
      </c>
      <c r="T2257" s="15" t="str">
        <f>VLOOKUP(R2257,产品分类!$C$2:$D$1278,2,0)</f>
        <v>数码电子</v>
      </c>
    </row>
    <row r="2258" spans="1:20">
      <c r="A2258" s="8">
        <f t="shared" si="196"/>
        <v>40236</v>
      </c>
      <c r="B2258" s="8">
        <f t="shared" si="196"/>
        <v>40236</v>
      </c>
      <c r="C2258" s="9" t="s">
        <v>197</v>
      </c>
      <c r="D2258">
        <v>10021497659</v>
      </c>
      <c r="E2258" t="s">
        <v>47</v>
      </c>
      <c r="F2258" t="s">
        <v>83</v>
      </c>
      <c r="G2258" t="s">
        <v>84</v>
      </c>
      <c r="H2258" t="s">
        <v>1928</v>
      </c>
      <c r="I2258" t="s">
        <v>1929</v>
      </c>
      <c r="J2258" t="s">
        <v>668</v>
      </c>
      <c r="K2258" s="3">
        <v>100318612309</v>
      </c>
      <c r="L2258" s="10">
        <v>40243</v>
      </c>
      <c r="M2258">
        <v>687.52</v>
      </c>
      <c r="N2258" s="11">
        <v>15</v>
      </c>
      <c r="O2258" s="12">
        <v>48.91</v>
      </c>
      <c r="P2258" s="12">
        <v>5.81</v>
      </c>
      <c r="Q2258" s="13">
        <v>223.76</v>
      </c>
      <c r="R2258" s="36" t="s">
        <v>700</v>
      </c>
      <c r="S2258" s="7">
        <f t="shared" si="195"/>
        <v>7</v>
      </c>
      <c r="T2258" s="15" t="str">
        <f>VLOOKUP(R2258,产品分类!$C$2:$D$1278,2,0)</f>
        <v>家具产品</v>
      </c>
    </row>
    <row r="2259" spans="1:20">
      <c r="A2259" s="8">
        <f t="shared" si="196"/>
        <v>40236</v>
      </c>
      <c r="B2259" s="8">
        <f t="shared" si="196"/>
        <v>40236</v>
      </c>
      <c r="C2259" s="9" t="s">
        <v>197</v>
      </c>
      <c r="D2259">
        <v>10021424782</v>
      </c>
      <c r="E2259" t="s">
        <v>47</v>
      </c>
      <c r="F2259" t="s">
        <v>61</v>
      </c>
      <c r="G2259" t="s">
        <v>62</v>
      </c>
      <c r="H2259" t="s">
        <v>47</v>
      </c>
      <c r="I2259" t="s">
        <v>1778</v>
      </c>
      <c r="J2259" t="s">
        <v>668</v>
      </c>
      <c r="K2259" s="3">
        <v>100728998185</v>
      </c>
      <c r="L2259" s="10">
        <v>40241</v>
      </c>
      <c r="M2259">
        <v>4538.66</v>
      </c>
      <c r="N2259" s="11">
        <v>40</v>
      </c>
      <c r="O2259" s="12">
        <v>111.03</v>
      </c>
      <c r="P2259" s="12">
        <v>8.64</v>
      </c>
      <c r="Q2259" s="13">
        <v>506.86</v>
      </c>
      <c r="R2259" s="36" t="s">
        <v>1646</v>
      </c>
      <c r="S2259" s="7">
        <f t="shared" si="195"/>
        <v>5</v>
      </c>
      <c r="T2259" s="15" t="str">
        <f>VLOOKUP(R2259,产品分类!$C$2:$D$1278,2,0)</f>
        <v>数码电子</v>
      </c>
    </row>
    <row r="2260" spans="1:20">
      <c r="A2260" s="8">
        <f>DATE(2012,12,31)-118</f>
        <v>41156</v>
      </c>
      <c r="B2260" s="8">
        <f>DATE(2012,12,31)-118</f>
        <v>41156</v>
      </c>
      <c r="C2260" s="9" t="s">
        <v>311</v>
      </c>
      <c r="D2260">
        <v>10021394785</v>
      </c>
      <c r="E2260" t="s">
        <v>47</v>
      </c>
      <c r="F2260" t="s">
        <v>83</v>
      </c>
      <c r="G2260" t="s">
        <v>84</v>
      </c>
      <c r="H2260" t="s">
        <v>1928</v>
      </c>
      <c r="I2260" t="s">
        <v>1929</v>
      </c>
      <c r="J2260" t="s">
        <v>668</v>
      </c>
      <c r="K2260" s="3">
        <v>1003767479</v>
      </c>
      <c r="L2260" s="10">
        <v>41161</v>
      </c>
      <c r="M2260">
        <v>2506.38</v>
      </c>
      <c r="N2260" s="11">
        <v>20</v>
      </c>
      <c r="O2260" s="12">
        <v>124.49</v>
      </c>
      <c r="P2260" s="12">
        <v>51.94</v>
      </c>
      <c r="Q2260" s="13">
        <v>-500.4571</v>
      </c>
      <c r="R2260" s="36" t="s">
        <v>237</v>
      </c>
      <c r="S2260" s="7">
        <f t="shared" si="195"/>
        <v>5</v>
      </c>
      <c r="T2260" s="15" t="str">
        <f>VLOOKUP(R2260,产品分类!$C$2:$D$1278,2,0)</f>
        <v>数码电子</v>
      </c>
    </row>
    <row r="2261" spans="1:20">
      <c r="A2261" s="8">
        <f>DATE(2012,12,31)-240</f>
        <v>41034</v>
      </c>
      <c r="B2261" s="8">
        <f>DATE(2012,12,31)-240</f>
        <v>41034</v>
      </c>
      <c r="C2261" s="9" t="s">
        <v>1939</v>
      </c>
      <c r="D2261">
        <v>10021368534</v>
      </c>
      <c r="E2261" t="s">
        <v>47</v>
      </c>
      <c r="F2261" t="s">
        <v>61</v>
      </c>
      <c r="G2261" t="s">
        <v>62</v>
      </c>
      <c r="H2261" t="s">
        <v>47</v>
      </c>
      <c r="I2261" t="s">
        <v>1778</v>
      </c>
      <c r="J2261" t="s">
        <v>668</v>
      </c>
      <c r="K2261" s="3">
        <v>100719860565</v>
      </c>
      <c r="L2261" s="10">
        <v>41035</v>
      </c>
      <c r="M2261">
        <v>102.73</v>
      </c>
      <c r="N2261" s="11">
        <v>16</v>
      </c>
      <c r="O2261" s="12">
        <v>5.98</v>
      </c>
      <c r="P2261" s="12">
        <v>2.5</v>
      </c>
      <c r="Q2261" s="13">
        <v>16.33</v>
      </c>
      <c r="R2261" s="36" t="s">
        <v>547</v>
      </c>
      <c r="S2261" s="7">
        <f t="shared" si="195"/>
        <v>1</v>
      </c>
      <c r="T2261" s="15" t="str">
        <f>VLOOKUP(R2261,产品分类!$C$2:$D$1278,2,0)</f>
        <v>数码电子</v>
      </c>
    </row>
    <row r="2262" spans="1:20">
      <c r="A2262" s="16">
        <f>DATE(2012,12,31)-544</f>
        <v>40730</v>
      </c>
      <c r="B2262" s="16">
        <f>DATE(2012,12,31)-544</f>
        <v>40730</v>
      </c>
      <c r="C2262" s="9" t="s">
        <v>538</v>
      </c>
      <c r="D2262">
        <v>10021495862</v>
      </c>
      <c r="E2262" t="s">
        <v>47</v>
      </c>
      <c r="F2262" t="s">
        <v>61</v>
      </c>
      <c r="G2262" t="s">
        <v>62</v>
      </c>
      <c r="H2262" t="s">
        <v>47</v>
      </c>
      <c r="I2262" t="s">
        <v>1778</v>
      </c>
      <c r="J2262" t="s">
        <v>668</v>
      </c>
      <c r="K2262" s="3">
        <v>100114100536</v>
      </c>
      <c r="L2262" s="10">
        <v>40731</v>
      </c>
      <c r="M2262">
        <v>9.69</v>
      </c>
      <c r="N2262" s="17">
        <v>1</v>
      </c>
      <c r="O2262" s="5">
        <v>4.98</v>
      </c>
      <c r="P2262" s="5">
        <v>4.72</v>
      </c>
      <c r="Q2262" s="6">
        <v>-6.78</v>
      </c>
      <c r="R2262" s="37" t="s">
        <v>331</v>
      </c>
      <c r="S2262" s="7">
        <f t="shared" si="195"/>
        <v>1</v>
      </c>
      <c r="T2262" s="15" t="str">
        <f>VLOOKUP(R2262,产品分类!$C$2:$D$1278,2,0)</f>
        <v>数码电子</v>
      </c>
    </row>
    <row r="2263" spans="1:20">
      <c r="A2263" s="16">
        <f>DATE(2012,12,31)-544</f>
        <v>40730</v>
      </c>
      <c r="B2263" s="16">
        <f>DATE(2012,12,31)-544</f>
        <v>40730</v>
      </c>
      <c r="C2263" s="9" t="s">
        <v>538</v>
      </c>
      <c r="D2263">
        <v>10021295680</v>
      </c>
      <c r="E2263" t="s">
        <v>47</v>
      </c>
      <c r="F2263" t="s">
        <v>61</v>
      </c>
      <c r="G2263" t="s">
        <v>62</v>
      </c>
      <c r="H2263" t="s">
        <v>47</v>
      </c>
      <c r="I2263" t="s">
        <v>1778</v>
      </c>
      <c r="J2263" t="s">
        <v>668</v>
      </c>
      <c r="K2263" s="3">
        <v>100411287623</v>
      </c>
      <c r="L2263" s="10">
        <v>40732</v>
      </c>
      <c r="M2263">
        <v>331.99</v>
      </c>
      <c r="N2263" s="17">
        <v>48</v>
      </c>
      <c r="O2263" s="5">
        <v>7.08</v>
      </c>
      <c r="P2263" s="5">
        <v>2.35</v>
      </c>
      <c r="Q2263" s="6">
        <v>45.31</v>
      </c>
      <c r="R2263" s="37" t="s">
        <v>1940</v>
      </c>
      <c r="S2263" s="7">
        <f t="shared" si="195"/>
        <v>2</v>
      </c>
      <c r="T2263" s="15" t="str">
        <f>VLOOKUP(R2263,产品分类!$C$2:$D$1278,2,0)</f>
        <v>数码电子</v>
      </c>
    </row>
    <row r="2264" spans="1:20">
      <c r="A2264" s="8">
        <f>DATE(2012,12,31)-414</f>
        <v>40860</v>
      </c>
      <c r="B2264" s="8">
        <f>DATE(2012,12,31)-414</f>
        <v>40860</v>
      </c>
      <c r="C2264" s="9" t="s">
        <v>1941</v>
      </c>
      <c r="D2264">
        <v>10021333058</v>
      </c>
      <c r="E2264" t="s">
        <v>47</v>
      </c>
      <c r="F2264" t="s">
        <v>61</v>
      </c>
      <c r="G2264" t="s">
        <v>62</v>
      </c>
      <c r="H2264" t="s">
        <v>47</v>
      </c>
      <c r="I2264" t="s">
        <v>1778</v>
      </c>
      <c r="J2264" t="s">
        <v>668</v>
      </c>
      <c r="K2264" s="3">
        <v>10035732409</v>
      </c>
      <c r="L2264" s="10">
        <v>40861</v>
      </c>
      <c r="M2264">
        <v>14960.096</v>
      </c>
      <c r="N2264" s="11">
        <v>47</v>
      </c>
      <c r="O2264" s="12">
        <v>400.98</v>
      </c>
      <c r="P2264" s="12">
        <v>42.52</v>
      </c>
      <c r="Q2264" s="13">
        <v>-969.048366</v>
      </c>
      <c r="R2264" s="36" t="s">
        <v>1048</v>
      </c>
      <c r="S2264" s="7">
        <f t="shared" si="195"/>
        <v>1</v>
      </c>
      <c r="T2264" s="15" t="str">
        <f>VLOOKUP(R2264,产品分类!$C$2:$D$1278,2,0)</f>
        <v>办公用品</v>
      </c>
    </row>
    <row r="2265" spans="1:20">
      <c r="A2265" s="8">
        <f>DATE(2012,12,31)-730</f>
        <v>40544</v>
      </c>
      <c r="B2265" s="8">
        <f>DATE(2012,12,31)-730</f>
        <v>40544</v>
      </c>
      <c r="C2265" s="9" t="s">
        <v>515</v>
      </c>
      <c r="D2265">
        <v>10021350134</v>
      </c>
      <c r="E2265" t="s">
        <v>47</v>
      </c>
      <c r="F2265" t="s">
        <v>72</v>
      </c>
      <c r="G2265" t="s">
        <v>73</v>
      </c>
      <c r="H2265" t="s">
        <v>1854</v>
      </c>
      <c r="I2265" t="s">
        <v>1855</v>
      </c>
      <c r="J2265" t="s">
        <v>668</v>
      </c>
      <c r="K2265" s="3">
        <v>100429940673</v>
      </c>
      <c r="L2265" s="10">
        <v>40551</v>
      </c>
      <c r="M2265">
        <v>62.84</v>
      </c>
      <c r="N2265" s="11">
        <v>11</v>
      </c>
      <c r="O2265" s="12">
        <v>5.18</v>
      </c>
      <c r="P2265" s="12">
        <v>2.04</v>
      </c>
      <c r="Q2265" s="13">
        <v>9.53</v>
      </c>
      <c r="R2265" s="36" t="s">
        <v>1522</v>
      </c>
      <c r="S2265" s="7">
        <f t="shared" si="195"/>
        <v>7</v>
      </c>
      <c r="T2265" s="15" t="str">
        <f>VLOOKUP(R2265,产品分类!$C$2:$D$1278,2,0)</f>
        <v>办公用品</v>
      </c>
    </row>
    <row r="2266" spans="1:20">
      <c r="A2266" s="8">
        <f>DATE(2012,12,31)-898</f>
        <v>40376</v>
      </c>
      <c r="B2266" s="8">
        <f>DATE(2012,12,31)-898</f>
        <v>40376</v>
      </c>
      <c r="C2266" s="9" t="s">
        <v>1882</v>
      </c>
      <c r="D2266">
        <v>10021445846</v>
      </c>
      <c r="E2266" t="s">
        <v>47</v>
      </c>
      <c r="F2266" t="s">
        <v>230</v>
      </c>
      <c r="G2266" t="s">
        <v>231</v>
      </c>
      <c r="H2266" t="s">
        <v>1798</v>
      </c>
      <c r="I2266" t="s">
        <v>1799</v>
      </c>
      <c r="J2266" t="s">
        <v>668</v>
      </c>
      <c r="K2266" s="3">
        <v>100714962305</v>
      </c>
      <c r="L2266" s="10">
        <v>40378</v>
      </c>
      <c r="M2266">
        <v>5610.612</v>
      </c>
      <c r="N2266" s="11">
        <v>49</v>
      </c>
      <c r="O2266" s="12">
        <v>125.99</v>
      </c>
      <c r="P2266" s="12">
        <v>2.5</v>
      </c>
      <c r="Q2266" s="13">
        <v>2040.867</v>
      </c>
      <c r="R2266" s="36" t="s">
        <v>1942</v>
      </c>
      <c r="S2266" s="7">
        <f t="shared" si="195"/>
        <v>2</v>
      </c>
      <c r="T2266" s="15" t="str">
        <f>VLOOKUP(R2266,产品分类!$C$2:$D$1278,2,0)</f>
        <v>家具产品</v>
      </c>
    </row>
    <row r="2267" spans="1:20">
      <c r="A2267" s="8">
        <f>DATE(2012,12,31)-898</f>
        <v>40376</v>
      </c>
      <c r="B2267" s="8">
        <f>DATE(2012,12,31)-898</f>
        <v>40376</v>
      </c>
      <c r="C2267" s="9" t="s">
        <v>1882</v>
      </c>
      <c r="D2267">
        <v>10021418909</v>
      </c>
      <c r="E2267" t="s">
        <v>47</v>
      </c>
      <c r="F2267" t="s">
        <v>132</v>
      </c>
      <c r="G2267" t="s">
        <v>133</v>
      </c>
      <c r="H2267" t="s">
        <v>134</v>
      </c>
      <c r="I2267" t="s">
        <v>133</v>
      </c>
      <c r="J2267" t="s">
        <v>668</v>
      </c>
      <c r="K2267" s="3">
        <v>100722335915</v>
      </c>
      <c r="L2267" s="10">
        <v>40378</v>
      </c>
      <c r="M2267">
        <v>426.64</v>
      </c>
      <c r="N2267" s="11">
        <v>37</v>
      </c>
      <c r="O2267" s="12">
        <v>12.22</v>
      </c>
      <c r="P2267" s="12">
        <v>2.85</v>
      </c>
      <c r="Q2267" s="13">
        <v>96.95</v>
      </c>
      <c r="R2267" s="36" t="s">
        <v>1125</v>
      </c>
      <c r="S2267" s="7">
        <f t="shared" si="195"/>
        <v>2</v>
      </c>
      <c r="T2267" s="15" t="str">
        <f>VLOOKUP(R2267,产品分类!$C$2:$D$1278,2,0)</f>
        <v>家具产品</v>
      </c>
    </row>
    <row r="2268" spans="1:20">
      <c r="A2268" s="8">
        <f>DATE(2012,12,31)-633</f>
        <v>40641</v>
      </c>
      <c r="B2268" s="8">
        <f>DATE(2012,12,31)-633</f>
        <v>40641</v>
      </c>
      <c r="C2268" s="9" t="s">
        <v>1124</v>
      </c>
      <c r="D2268">
        <v>10021433502</v>
      </c>
      <c r="E2268" t="s">
        <v>47</v>
      </c>
      <c r="F2268" t="s">
        <v>61</v>
      </c>
      <c r="G2268" t="s">
        <v>62</v>
      </c>
      <c r="H2268" t="s">
        <v>47</v>
      </c>
      <c r="I2268" t="s">
        <v>1778</v>
      </c>
      <c r="J2268" t="s">
        <v>668</v>
      </c>
      <c r="K2268" s="3">
        <v>100132618118</v>
      </c>
      <c r="L2268" s="10">
        <v>40642</v>
      </c>
      <c r="M2268">
        <v>894.64</v>
      </c>
      <c r="N2268" s="11">
        <v>31</v>
      </c>
      <c r="O2268" s="12">
        <v>27.42</v>
      </c>
      <c r="P2268" s="12">
        <v>19.46</v>
      </c>
      <c r="Q2268" s="13">
        <v>-27.79</v>
      </c>
      <c r="R2268" s="36" t="s">
        <v>1345</v>
      </c>
      <c r="S2268" s="7">
        <f t="shared" si="195"/>
        <v>1</v>
      </c>
      <c r="T2268" s="15" t="str">
        <f>VLOOKUP(R2268,产品分类!$C$2:$D$1278,2,0)</f>
        <v>家具产品</v>
      </c>
    </row>
    <row r="2269" spans="1:20">
      <c r="A2269" s="8">
        <f>DATE(2012,12,31)-438</f>
        <v>40836</v>
      </c>
      <c r="B2269" s="8">
        <f>DATE(2012,12,31)-438</f>
        <v>40836</v>
      </c>
      <c r="C2269" s="9" t="s">
        <v>1168</v>
      </c>
      <c r="D2269">
        <v>10021274281</v>
      </c>
      <c r="E2269" t="s">
        <v>47</v>
      </c>
      <c r="F2269" t="s">
        <v>66</v>
      </c>
      <c r="G2269" t="s">
        <v>67</v>
      </c>
      <c r="H2269" t="s">
        <v>1435</v>
      </c>
      <c r="I2269" t="s">
        <v>1436</v>
      </c>
      <c r="J2269" t="s">
        <v>668</v>
      </c>
      <c r="K2269" s="3">
        <v>100831900692</v>
      </c>
      <c r="L2269" s="10">
        <v>40838</v>
      </c>
      <c r="M2269">
        <v>1856.9695</v>
      </c>
      <c r="N2269" s="11">
        <v>17</v>
      </c>
      <c r="O2269" s="12">
        <v>125.99</v>
      </c>
      <c r="P2269" s="12">
        <v>8.08</v>
      </c>
      <c r="Q2269" s="13">
        <v>176.868</v>
      </c>
      <c r="R2269" s="36" t="s">
        <v>569</v>
      </c>
      <c r="S2269" s="7">
        <f t="shared" si="195"/>
        <v>2</v>
      </c>
      <c r="T2269" s="15" t="str">
        <f>VLOOKUP(R2269,产品分类!$C$2:$D$1278,2,0)</f>
        <v>家具产品</v>
      </c>
    </row>
    <row r="2270" spans="1:20">
      <c r="A2270" s="8">
        <f>DATE(2012,12,31)-1187</f>
        <v>40087</v>
      </c>
      <c r="B2270" s="8">
        <f>DATE(2012,12,31)-1187</f>
        <v>40087</v>
      </c>
      <c r="C2270" s="9" t="s">
        <v>861</v>
      </c>
      <c r="D2270">
        <v>10021439938</v>
      </c>
      <c r="E2270" t="s">
        <v>47</v>
      </c>
      <c r="F2270" t="s">
        <v>152</v>
      </c>
      <c r="G2270" t="s">
        <v>153</v>
      </c>
      <c r="H2270" t="s">
        <v>1860</v>
      </c>
      <c r="I2270" t="s">
        <v>1861</v>
      </c>
      <c r="J2270" t="s">
        <v>668</v>
      </c>
      <c r="K2270" s="3">
        <v>10091341831</v>
      </c>
      <c r="L2270" s="10">
        <v>40089</v>
      </c>
      <c r="M2270">
        <v>7156.56</v>
      </c>
      <c r="N2270" s="11">
        <v>50</v>
      </c>
      <c r="O2270" s="12">
        <v>142.86</v>
      </c>
      <c r="P2270" s="12">
        <v>19.99</v>
      </c>
      <c r="Q2270" s="13">
        <v>1871.26</v>
      </c>
      <c r="R2270" s="36" t="s">
        <v>1067</v>
      </c>
      <c r="S2270" s="7">
        <f t="shared" si="195"/>
        <v>2</v>
      </c>
      <c r="T2270" s="15" t="str">
        <f>VLOOKUP(R2270,产品分类!$C$2:$D$1278,2,0)</f>
        <v>办公用品</v>
      </c>
    </row>
    <row r="2271" spans="1:20">
      <c r="A2271" s="8">
        <f>DATE(2012,12,31)-966</f>
        <v>40308</v>
      </c>
      <c r="B2271" s="8">
        <f>DATE(2012,12,31)-966</f>
        <v>40308</v>
      </c>
      <c r="C2271" s="9" t="s">
        <v>1678</v>
      </c>
      <c r="D2271">
        <v>10021274409</v>
      </c>
      <c r="E2271" t="s">
        <v>47</v>
      </c>
      <c r="F2271" t="s">
        <v>127</v>
      </c>
      <c r="G2271" t="s">
        <v>128</v>
      </c>
      <c r="H2271" t="s">
        <v>1936</v>
      </c>
      <c r="I2271" t="s">
        <v>1937</v>
      </c>
      <c r="J2271" t="s">
        <v>668</v>
      </c>
      <c r="K2271" s="3">
        <v>10038587039</v>
      </c>
      <c r="L2271" s="10">
        <v>40310</v>
      </c>
      <c r="M2271">
        <v>1538.33</v>
      </c>
      <c r="N2271" s="11">
        <v>39</v>
      </c>
      <c r="O2271" s="12">
        <v>39.48</v>
      </c>
      <c r="P2271" s="12">
        <v>1.99</v>
      </c>
      <c r="Q2271" s="13">
        <v>471.35</v>
      </c>
      <c r="R2271" s="36" t="s">
        <v>235</v>
      </c>
      <c r="S2271" s="7">
        <f t="shared" si="195"/>
        <v>2</v>
      </c>
      <c r="T2271" s="15" t="str">
        <f>VLOOKUP(R2271,产品分类!$C$2:$D$1278,2,0)</f>
        <v>办公用品</v>
      </c>
    </row>
    <row r="2272" spans="1:20">
      <c r="A2272" s="16">
        <f>DATE(2012,12,31)-966</f>
        <v>40308</v>
      </c>
      <c r="B2272" s="16">
        <f>DATE(2012,12,31)-966</f>
        <v>40308</v>
      </c>
      <c r="C2272" s="9" t="s">
        <v>1678</v>
      </c>
      <c r="D2272">
        <v>10021514118</v>
      </c>
      <c r="E2272" t="s">
        <v>47</v>
      </c>
      <c r="F2272" t="s">
        <v>171</v>
      </c>
      <c r="G2272" t="s">
        <v>172</v>
      </c>
      <c r="H2272" t="s">
        <v>1712</v>
      </c>
      <c r="I2272" t="s">
        <v>1713</v>
      </c>
      <c r="J2272" t="s">
        <v>668</v>
      </c>
      <c r="K2272" s="3">
        <v>100312221859</v>
      </c>
      <c r="L2272" s="10">
        <v>40308</v>
      </c>
      <c r="M2272">
        <v>147.46</v>
      </c>
      <c r="N2272" s="17">
        <v>39</v>
      </c>
      <c r="O2272" s="5">
        <v>3.71</v>
      </c>
      <c r="P2272" s="5">
        <v>1.93</v>
      </c>
      <c r="Q2272" s="6">
        <v>14.13</v>
      </c>
      <c r="R2272" s="37" t="s">
        <v>1451</v>
      </c>
      <c r="S2272" s="7">
        <f t="shared" si="195"/>
        <v>0</v>
      </c>
      <c r="T2272" s="15" t="str">
        <f>VLOOKUP(R2272,产品分类!$C$2:$D$1278,2,0)</f>
        <v>办公用品</v>
      </c>
    </row>
    <row r="2273" spans="1:20">
      <c r="A2273" s="8">
        <f>DATE(2012,12,31)-154</f>
        <v>41120</v>
      </c>
      <c r="B2273" s="8">
        <f>DATE(2012,12,31)-154</f>
        <v>41120</v>
      </c>
      <c r="C2273" s="9" t="s">
        <v>877</v>
      </c>
      <c r="D2273">
        <v>10021490142</v>
      </c>
      <c r="E2273" t="s">
        <v>47</v>
      </c>
      <c r="F2273" t="s">
        <v>171</v>
      </c>
      <c r="G2273" t="s">
        <v>172</v>
      </c>
      <c r="H2273" t="s">
        <v>1712</v>
      </c>
      <c r="I2273" t="s">
        <v>1713</v>
      </c>
      <c r="J2273" t="s">
        <v>668</v>
      </c>
      <c r="K2273" s="3">
        <v>100332379259</v>
      </c>
      <c r="L2273" s="10">
        <v>41122</v>
      </c>
      <c r="M2273">
        <v>113.25</v>
      </c>
      <c r="N2273" s="11">
        <v>16</v>
      </c>
      <c r="O2273" s="12">
        <v>6.48</v>
      </c>
      <c r="P2273" s="12">
        <v>6.65</v>
      </c>
      <c r="Q2273" s="13">
        <v>-43.43</v>
      </c>
      <c r="R2273" s="36" t="s">
        <v>1103</v>
      </c>
      <c r="S2273" s="7">
        <f t="shared" si="195"/>
        <v>2</v>
      </c>
      <c r="T2273" s="15" t="str">
        <f>VLOOKUP(R2273,产品分类!$C$2:$D$1278,2,0)</f>
        <v>办公用品</v>
      </c>
    </row>
    <row r="2274" spans="1:20">
      <c r="A2274" s="8">
        <f>DATE(2012,12,31)-517</f>
        <v>40757</v>
      </c>
      <c r="B2274" s="8">
        <f>DATE(2012,12,31)-517</f>
        <v>40757</v>
      </c>
      <c r="C2274" s="9" t="s">
        <v>987</v>
      </c>
      <c r="D2274">
        <v>10021491945</v>
      </c>
      <c r="E2274" t="s">
        <v>47</v>
      </c>
      <c r="F2274" t="s">
        <v>342</v>
      </c>
      <c r="G2274" t="s">
        <v>343</v>
      </c>
      <c r="H2274" t="s">
        <v>1806</v>
      </c>
      <c r="I2274" t="s">
        <v>1807</v>
      </c>
      <c r="J2274" t="s">
        <v>668</v>
      </c>
      <c r="K2274" s="3">
        <v>100428659794</v>
      </c>
      <c r="L2274" s="10">
        <v>40758</v>
      </c>
      <c r="M2274">
        <v>157.94</v>
      </c>
      <c r="N2274" s="11">
        <v>6</v>
      </c>
      <c r="O2274" s="12">
        <v>22.98</v>
      </c>
      <c r="P2274" s="12">
        <v>4.5</v>
      </c>
      <c r="Q2274" s="13">
        <v>9.15</v>
      </c>
      <c r="R2274" s="36" t="s">
        <v>831</v>
      </c>
      <c r="S2274" s="7">
        <f t="shared" si="195"/>
        <v>1</v>
      </c>
      <c r="T2274" s="15" t="str">
        <f>VLOOKUP(R2274,产品分类!$C$2:$D$1278,2,0)</f>
        <v>家具产品</v>
      </c>
    </row>
    <row r="2275" spans="1:20">
      <c r="A2275" s="16">
        <f>DATE(2012,12,31)-231</f>
        <v>41043</v>
      </c>
      <c r="B2275" s="16">
        <f>DATE(2012,12,31)-231</f>
        <v>41043</v>
      </c>
      <c r="C2275" s="9" t="s">
        <v>651</v>
      </c>
      <c r="D2275">
        <v>10021377343</v>
      </c>
      <c r="E2275" t="s">
        <v>47</v>
      </c>
      <c r="F2275" t="s">
        <v>61</v>
      </c>
      <c r="G2275" t="s">
        <v>62</v>
      </c>
      <c r="H2275" t="s">
        <v>47</v>
      </c>
      <c r="I2275" t="s">
        <v>1778</v>
      </c>
      <c r="J2275" t="s">
        <v>668</v>
      </c>
      <c r="K2275" s="3">
        <v>100130437076</v>
      </c>
      <c r="L2275" s="10">
        <v>41044</v>
      </c>
      <c r="M2275">
        <v>1343.6</v>
      </c>
      <c r="N2275" s="17">
        <v>39</v>
      </c>
      <c r="O2275" s="5">
        <v>35.89</v>
      </c>
      <c r="P2275" s="5">
        <v>14.72</v>
      </c>
      <c r="Q2275" s="6">
        <v>137.86</v>
      </c>
      <c r="R2275" s="37" t="s">
        <v>1770</v>
      </c>
      <c r="S2275" s="7">
        <f t="shared" si="195"/>
        <v>1</v>
      </c>
      <c r="T2275" s="15" t="str">
        <f>VLOOKUP(R2275,产品分类!$C$2:$D$1278,2,0)</f>
        <v>数码电子</v>
      </c>
    </row>
    <row r="2276" spans="1:20">
      <c r="A2276" s="16">
        <f>DATE(2012,12,31)-231</f>
        <v>41043</v>
      </c>
      <c r="B2276" s="16">
        <f>DATE(2012,12,31)-231</f>
        <v>41043</v>
      </c>
      <c r="C2276" s="9" t="s">
        <v>651</v>
      </c>
      <c r="D2276">
        <v>10021277247</v>
      </c>
      <c r="E2276" t="s">
        <v>47</v>
      </c>
      <c r="F2276" t="s">
        <v>152</v>
      </c>
      <c r="G2276" t="s">
        <v>153</v>
      </c>
      <c r="H2276" t="s">
        <v>1860</v>
      </c>
      <c r="I2276" t="s">
        <v>1861</v>
      </c>
      <c r="J2276" t="s">
        <v>668</v>
      </c>
      <c r="K2276" s="3">
        <v>100721937125</v>
      </c>
      <c r="L2276" s="10">
        <v>41043</v>
      </c>
      <c r="M2276">
        <v>35.28</v>
      </c>
      <c r="N2276" s="17">
        <v>8</v>
      </c>
      <c r="O2276" s="5">
        <v>3.34</v>
      </c>
      <c r="P2276" s="5">
        <v>7.49</v>
      </c>
      <c r="Q2276" s="6">
        <v>-39.07</v>
      </c>
      <c r="R2276" s="37" t="s">
        <v>1943</v>
      </c>
      <c r="S2276" s="7">
        <f t="shared" si="195"/>
        <v>0</v>
      </c>
      <c r="T2276" s="15" t="str">
        <f>VLOOKUP(R2276,产品分类!$C$2:$D$1278,2,0)</f>
        <v>家具产品</v>
      </c>
    </row>
    <row r="2277" spans="1:20">
      <c r="A2277" s="8">
        <f>DATE(2012,12,31)-282</f>
        <v>40992</v>
      </c>
      <c r="B2277" s="8">
        <f>DATE(2012,12,31)-282</f>
        <v>40992</v>
      </c>
      <c r="C2277" s="9" t="s">
        <v>481</v>
      </c>
      <c r="D2277">
        <v>10021410546</v>
      </c>
      <c r="E2277" t="s">
        <v>47</v>
      </c>
      <c r="F2277" t="s">
        <v>66</v>
      </c>
      <c r="G2277" t="s">
        <v>67</v>
      </c>
      <c r="H2277" t="s">
        <v>1435</v>
      </c>
      <c r="I2277" t="s">
        <v>1436</v>
      </c>
      <c r="J2277" t="s">
        <v>668</v>
      </c>
      <c r="K2277" s="3">
        <v>100928725241</v>
      </c>
      <c r="L2277" s="10">
        <v>40994</v>
      </c>
      <c r="M2277">
        <v>86.38</v>
      </c>
      <c r="N2277" s="11">
        <v>8</v>
      </c>
      <c r="O2277" s="12">
        <v>10.98</v>
      </c>
      <c r="P2277" s="12">
        <v>3.37</v>
      </c>
      <c r="Q2277" s="13">
        <v>-12.61</v>
      </c>
      <c r="R2277" s="36" t="s">
        <v>1792</v>
      </c>
      <c r="S2277" s="7">
        <f t="shared" si="195"/>
        <v>2</v>
      </c>
      <c r="T2277" s="15" t="str">
        <f>VLOOKUP(R2277,产品分类!$C$2:$D$1278,2,0)</f>
        <v>办公用品</v>
      </c>
    </row>
    <row r="2278" spans="1:20">
      <c r="A2278" s="16">
        <f>DATE(2012,12,31)-1245</f>
        <v>40029</v>
      </c>
      <c r="B2278" s="16">
        <f>DATE(2012,12,31)-1245</f>
        <v>40029</v>
      </c>
      <c r="C2278" s="9" t="s">
        <v>1517</v>
      </c>
      <c r="D2278">
        <v>10021409967</v>
      </c>
      <c r="E2278" t="s">
        <v>47</v>
      </c>
      <c r="F2278" t="s">
        <v>132</v>
      </c>
      <c r="G2278" t="s">
        <v>133</v>
      </c>
      <c r="H2278" t="s">
        <v>134</v>
      </c>
      <c r="I2278" t="s">
        <v>133</v>
      </c>
      <c r="J2278" t="s">
        <v>668</v>
      </c>
      <c r="K2278" s="3">
        <v>100430784314</v>
      </c>
      <c r="L2278" s="10">
        <v>40030</v>
      </c>
      <c r="M2278">
        <v>241.19</v>
      </c>
      <c r="N2278" s="17">
        <v>43</v>
      </c>
      <c r="O2278" s="5">
        <v>5.78</v>
      </c>
      <c r="P2278" s="5">
        <v>5.67</v>
      </c>
      <c r="Q2278" s="6">
        <v>-103.65</v>
      </c>
      <c r="R2278" s="37" t="s">
        <v>591</v>
      </c>
      <c r="S2278" s="7">
        <f t="shared" si="195"/>
        <v>1</v>
      </c>
      <c r="T2278" s="15" t="str">
        <f>VLOOKUP(R2278,产品分类!$C$2:$D$1278,2,0)</f>
        <v>家具产品</v>
      </c>
    </row>
    <row r="2279" spans="1:20">
      <c r="A2279" s="8">
        <f>DATE(2012,12,31)-449</f>
        <v>40825</v>
      </c>
      <c r="B2279" s="8">
        <f>DATE(2012,12,31)-449</f>
        <v>40825</v>
      </c>
      <c r="C2279" s="9" t="s">
        <v>1944</v>
      </c>
      <c r="D2279">
        <v>10021410200</v>
      </c>
      <c r="E2279" t="s">
        <v>47</v>
      </c>
      <c r="F2279" t="s">
        <v>61</v>
      </c>
      <c r="G2279" t="s">
        <v>62</v>
      </c>
      <c r="H2279" t="s">
        <v>47</v>
      </c>
      <c r="I2279" t="s">
        <v>1778</v>
      </c>
      <c r="J2279" t="s">
        <v>668</v>
      </c>
      <c r="K2279" s="3">
        <v>100726973175</v>
      </c>
      <c r="L2279" s="10">
        <v>40826</v>
      </c>
      <c r="M2279">
        <v>272.01</v>
      </c>
      <c r="N2279" s="11">
        <v>40</v>
      </c>
      <c r="O2279" s="12">
        <v>6.48</v>
      </c>
      <c r="P2279" s="12">
        <v>5.14</v>
      </c>
      <c r="Q2279" s="13">
        <v>-42.45</v>
      </c>
      <c r="R2279" s="36" t="s">
        <v>325</v>
      </c>
      <c r="S2279" s="7">
        <f t="shared" si="195"/>
        <v>1</v>
      </c>
      <c r="T2279" s="15" t="str">
        <f>VLOOKUP(R2279,产品分类!$C$2:$D$1278,2,0)</f>
        <v>数码电子</v>
      </c>
    </row>
    <row r="2280" spans="1:20">
      <c r="A2280" s="8">
        <f>DATE(2012,12,31)-449</f>
        <v>40825</v>
      </c>
      <c r="B2280" s="8">
        <f>DATE(2012,12,31)-449</f>
        <v>40825</v>
      </c>
      <c r="C2280" s="9" t="s">
        <v>1944</v>
      </c>
      <c r="D2280">
        <v>10021481744</v>
      </c>
      <c r="E2280" t="s">
        <v>47</v>
      </c>
      <c r="F2280" t="s">
        <v>253</v>
      </c>
      <c r="G2280" t="s">
        <v>254</v>
      </c>
      <c r="H2280" t="s">
        <v>255</v>
      </c>
      <c r="I2280" t="s">
        <v>256</v>
      </c>
      <c r="J2280" t="s">
        <v>668</v>
      </c>
      <c r="K2280" s="3">
        <v>100113150596</v>
      </c>
      <c r="L2280" s="10">
        <v>40827</v>
      </c>
      <c r="M2280">
        <v>171.5</v>
      </c>
      <c r="N2280" s="11">
        <v>16</v>
      </c>
      <c r="O2280" s="12">
        <v>10.23</v>
      </c>
      <c r="P2280" s="12">
        <v>4.68</v>
      </c>
      <c r="Q2280" s="13">
        <v>-20.41</v>
      </c>
      <c r="R2280" s="36" t="s">
        <v>1222</v>
      </c>
      <c r="S2280" s="7">
        <f t="shared" si="195"/>
        <v>2</v>
      </c>
      <c r="T2280" s="15" t="str">
        <f>VLOOKUP(R2280,产品分类!$C$2:$D$1278,2,0)</f>
        <v>数码电子</v>
      </c>
    </row>
    <row r="2281" spans="1:20">
      <c r="A2281" s="8">
        <f>DATE(2012,12,31)-148</f>
        <v>41126</v>
      </c>
      <c r="B2281" s="8">
        <f>DATE(2012,12,31)-148</f>
        <v>41126</v>
      </c>
      <c r="C2281" s="9" t="s">
        <v>1496</v>
      </c>
      <c r="D2281">
        <v>10021254414</v>
      </c>
      <c r="E2281" t="s">
        <v>47</v>
      </c>
      <c r="F2281" t="s">
        <v>66</v>
      </c>
      <c r="G2281" t="s">
        <v>67</v>
      </c>
      <c r="H2281" t="s">
        <v>1435</v>
      </c>
      <c r="I2281" t="s">
        <v>1436</v>
      </c>
      <c r="J2281" t="s">
        <v>668</v>
      </c>
      <c r="K2281" s="3">
        <v>100121970696</v>
      </c>
      <c r="L2281" s="10">
        <v>41128</v>
      </c>
      <c r="M2281">
        <v>128.21</v>
      </c>
      <c r="N2281" s="11">
        <v>19</v>
      </c>
      <c r="O2281" s="12">
        <v>6.48</v>
      </c>
      <c r="P2281" s="12">
        <v>6.57</v>
      </c>
      <c r="Q2281" s="13">
        <v>-55.13</v>
      </c>
      <c r="R2281" s="36" t="s">
        <v>1945</v>
      </c>
      <c r="S2281" s="7">
        <f t="shared" si="195"/>
        <v>2</v>
      </c>
      <c r="T2281" s="15" t="str">
        <f>VLOOKUP(R2281,产品分类!$C$2:$D$1278,2,0)</f>
        <v>办公用品</v>
      </c>
    </row>
    <row r="2282" spans="1:20">
      <c r="A2282" s="16">
        <f>DATE(2012,12,31)-596</f>
        <v>40678</v>
      </c>
      <c r="B2282" s="16">
        <f>DATE(2012,12,31)-596</f>
        <v>40678</v>
      </c>
      <c r="C2282" s="9" t="s">
        <v>1006</v>
      </c>
      <c r="D2282">
        <v>10021426600</v>
      </c>
      <c r="E2282" t="s">
        <v>47</v>
      </c>
      <c r="F2282" t="s">
        <v>48</v>
      </c>
      <c r="G2282" t="s">
        <v>49</v>
      </c>
      <c r="H2282" t="s">
        <v>1812</v>
      </c>
      <c r="I2282" t="s">
        <v>1813</v>
      </c>
      <c r="J2282" t="s">
        <v>668</v>
      </c>
      <c r="K2282" s="3">
        <v>100930237131</v>
      </c>
      <c r="L2282" s="10">
        <v>40678</v>
      </c>
      <c r="M2282">
        <v>73.5</v>
      </c>
      <c r="N2282" s="17">
        <v>12</v>
      </c>
      <c r="O2282" s="5">
        <v>5.98</v>
      </c>
      <c r="P2282" s="5">
        <v>2.5</v>
      </c>
      <c r="Q2282" s="6">
        <v>5.71</v>
      </c>
      <c r="R2282" s="37" t="s">
        <v>547</v>
      </c>
      <c r="S2282" s="7">
        <f t="shared" si="195"/>
        <v>0</v>
      </c>
      <c r="T2282" s="15" t="str">
        <f>VLOOKUP(R2282,产品分类!$C$2:$D$1278,2,0)</f>
        <v>数码电子</v>
      </c>
    </row>
    <row r="2283" spans="1:20">
      <c r="A2283" s="8">
        <f>DATE(2012,12,31)-1258</f>
        <v>40016</v>
      </c>
      <c r="B2283" s="8">
        <f>DATE(2012,12,31)-1258</f>
        <v>40016</v>
      </c>
      <c r="C2283" s="9" t="s">
        <v>1097</v>
      </c>
      <c r="D2283">
        <v>10021414347</v>
      </c>
      <c r="E2283" t="s">
        <v>47</v>
      </c>
      <c r="F2283" t="s">
        <v>152</v>
      </c>
      <c r="G2283" t="s">
        <v>153</v>
      </c>
      <c r="H2283" t="s">
        <v>1860</v>
      </c>
      <c r="I2283" t="s">
        <v>1861</v>
      </c>
      <c r="J2283" t="s">
        <v>668</v>
      </c>
      <c r="K2283" s="3">
        <v>10019510456</v>
      </c>
      <c r="L2283" s="10">
        <v>40017</v>
      </c>
      <c r="M2283">
        <v>252.79</v>
      </c>
      <c r="N2283" s="11">
        <v>9</v>
      </c>
      <c r="O2283" s="12">
        <v>30.56</v>
      </c>
      <c r="P2283" s="12">
        <v>2.99</v>
      </c>
      <c r="Q2283" s="13">
        <v>58.225</v>
      </c>
      <c r="R2283" s="36" t="s">
        <v>1457</v>
      </c>
      <c r="S2283" s="7">
        <f t="shared" si="195"/>
        <v>1</v>
      </c>
      <c r="T2283" s="15" t="str">
        <f>VLOOKUP(R2283,产品分类!$C$2:$D$1278,2,0)</f>
        <v>办公用品</v>
      </c>
    </row>
    <row r="2284" spans="1:20">
      <c r="A2284" s="8">
        <f>DATE(2012,12,31)-130</f>
        <v>41144</v>
      </c>
      <c r="B2284" s="8">
        <f>DATE(2012,12,31)-130</f>
        <v>41144</v>
      </c>
      <c r="C2284" s="9" t="s">
        <v>1917</v>
      </c>
      <c r="D2284">
        <v>10021333370</v>
      </c>
      <c r="E2284" t="s">
        <v>47</v>
      </c>
      <c r="F2284" t="s">
        <v>48</v>
      </c>
      <c r="G2284" t="s">
        <v>49</v>
      </c>
      <c r="H2284" t="s">
        <v>1812</v>
      </c>
      <c r="I2284" t="s">
        <v>1813</v>
      </c>
      <c r="J2284" t="s">
        <v>668</v>
      </c>
      <c r="K2284" s="3">
        <v>100710355565</v>
      </c>
      <c r="L2284" s="10">
        <v>41145</v>
      </c>
      <c r="M2284">
        <v>134.42</v>
      </c>
      <c r="N2284" s="11">
        <v>46</v>
      </c>
      <c r="O2284" s="12">
        <v>2.88</v>
      </c>
      <c r="P2284" s="12">
        <v>1.01</v>
      </c>
      <c r="Q2284" s="13">
        <v>9.34</v>
      </c>
      <c r="R2284" s="36" t="s">
        <v>1540</v>
      </c>
      <c r="S2284" s="7">
        <f t="shared" si="195"/>
        <v>1</v>
      </c>
      <c r="T2284" s="15" t="str">
        <f>VLOOKUP(R2284,产品分类!$C$2:$D$1278,2,0)</f>
        <v>数码电子</v>
      </c>
    </row>
    <row r="2285" spans="1:20">
      <c r="A2285" s="16">
        <f>DATE(2012,12,31)-234</f>
        <v>41040</v>
      </c>
      <c r="B2285" s="16">
        <f>DATE(2012,12,31)-234</f>
        <v>41040</v>
      </c>
      <c r="C2285" s="9" t="s">
        <v>1946</v>
      </c>
      <c r="D2285">
        <v>10021431615</v>
      </c>
      <c r="E2285" t="s">
        <v>47</v>
      </c>
      <c r="F2285" t="s">
        <v>66</v>
      </c>
      <c r="G2285" t="s">
        <v>67</v>
      </c>
      <c r="H2285" t="s">
        <v>1435</v>
      </c>
      <c r="I2285" t="s">
        <v>1436</v>
      </c>
      <c r="J2285" t="s">
        <v>668</v>
      </c>
      <c r="K2285" s="3">
        <v>100132248308</v>
      </c>
      <c r="L2285" s="10">
        <v>41040</v>
      </c>
      <c r="M2285">
        <v>94.39</v>
      </c>
      <c r="N2285" s="17">
        <v>12</v>
      </c>
      <c r="O2285" s="5">
        <v>7.1</v>
      </c>
      <c r="P2285" s="5">
        <v>6.05</v>
      </c>
      <c r="Q2285" s="6">
        <v>-29.486</v>
      </c>
      <c r="R2285" s="37" t="s">
        <v>958</v>
      </c>
      <c r="S2285" s="7">
        <f t="shared" si="195"/>
        <v>0</v>
      </c>
      <c r="T2285" s="15" t="str">
        <f>VLOOKUP(R2285,产品分类!$C$2:$D$1278,2,0)</f>
        <v>办公用品</v>
      </c>
    </row>
    <row r="2286" spans="1:20">
      <c r="A2286" s="8">
        <f>DATE(2012,12,31)-1121</f>
        <v>40153</v>
      </c>
      <c r="B2286" s="8">
        <f>DATE(2012,12,31)-1121</f>
        <v>40153</v>
      </c>
      <c r="C2286" s="9" t="s">
        <v>1159</v>
      </c>
      <c r="D2286">
        <v>10021254227</v>
      </c>
      <c r="E2286" t="s">
        <v>47</v>
      </c>
      <c r="F2286" t="s">
        <v>152</v>
      </c>
      <c r="G2286" t="s">
        <v>153</v>
      </c>
      <c r="H2286" t="s">
        <v>1860</v>
      </c>
      <c r="I2286" t="s">
        <v>1861</v>
      </c>
      <c r="J2286" t="s">
        <v>668</v>
      </c>
      <c r="K2286" s="3">
        <v>100121413027</v>
      </c>
      <c r="L2286" s="10">
        <v>40155</v>
      </c>
      <c r="M2286">
        <v>87.23</v>
      </c>
      <c r="N2286" s="11">
        <v>14</v>
      </c>
      <c r="O2286" s="12">
        <v>5.4</v>
      </c>
      <c r="P2286" s="12">
        <v>7.78</v>
      </c>
      <c r="Q2286" s="13">
        <v>-69.529</v>
      </c>
      <c r="R2286" s="36" t="s">
        <v>200</v>
      </c>
      <c r="S2286" s="7">
        <f t="shared" si="195"/>
        <v>2</v>
      </c>
      <c r="T2286" s="15" t="str">
        <f>VLOOKUP(R2286,产品分类!$C$2:$D$1278,2,0)</f>
        <v>数码电子</v>
      </c>
    </row>
    <row r="2287" spans="1:20">
      <c r="A2287" s="8">
        <f>DATE(2012,12,31)-682</f>
        <v>40592</v>
      </c>
      <c r="B2287" s="8">
        <f>DATE(2012,12,31)-682</f>
        <v>40592</v>
      </c>
      <c r="C2287" s="9" t="s">
        <v>1947</v>
      </c>
      <c r="D2287">
        <v>10021352956</v>
      </c>
      <c r="E2287" t="s">
        <v>47</v>
      </c>
      <c r="F2287" t="s">
        <v>72</v>
      </c>
      <c r="G2287" t="s">
        <v>73</v>
      </c>
      <c r="H2287" t="s">
        <v>1854</v>
      </c>
      <c r="I2287" t="s">
        <v>1855</v>
      </c>
      <c r="J2287" t="s">
        <v>668</v>
      </c>
      <c r="K2287" s="3">
        <v>100432548783</v>
      </c>
      <c r="L2287" s="10">
        <v>40597</v>
      </c>
      <c r="M2287">
        <v>3089.06</v>
      </c>
      <c r="N2287" s="11">
        <v>50</v>
      </c>
      <c r="O2287" s="12">
        <v>56.96</v>
      </c>
      <c r="P2287" s="12">
        <v>13.22</v>
      </c>
      <c r="Q2287" s="13">
        <v>719.26</v>
      </c>
      <c r="R2287" s="36" t="s">
        <v>949</v>
      </c>
      <c r="S2287" s="7">
        <f t="shared" si="195"/>
        <v>5</v>
      </c>
      <c r="T2287" s="15" t="str">
        <f>VLOOKUP(R2287,产品分类!$C$2:$D$1278,2,0)</f>
        <v>家具产品</v>
      </c>
    </row>
    <row r="2288" spans="1:20">
      <c r="A2288" s="8">
        <f>DATE(2012,12,31)-682</f>
        <v>40592</v>
      </c>
      <c r="B2288" s="8">
        <f>DATE(2012,12,31)-682</f>
        <v>40592</v>
      </c>
      <c r="C2288" s="9" t="s">
        <v>1947</v>
      </c>
      <c r="D2288">
        <v>10021429799</v>
      </c>
      <c r="E2288" t="s">
        <v>47</v>
      </c>
      <c r="F2288" t="s">
        <v>72</v>
      </c>
      <c r="G2288" t="s">
        <v>73</v>
      </c>
      <c r="H2288" t="s">
        <v>1854</v>
      </c>
      <c r="I2288" t="s">
        <v>1855</v>
      </c>
      <c r="J2288" t="s">
        <v>668</v>
      </c>
      <c r="K2288" s="3">
        <v>100931671021</v>
      </c>
      <c r="L2288" s="10">
        <v>40597</v>
      </c>
      <c r="M2288">
        <v>20265.22</v>
      </c>
      <c r="N2288" s="11">
        <v>47</v>
      </c>
      <c r="O2288" s="12">
        <v>442.14</v>
      </c>
      <c r="P2288" s="12">
        <v>14.7</v>
      </c>
      <c r="Q2288" s="13">
        <v>6168.64</v>
      </c>
      <c r="R2288" s="36" t="s">
        <v>1214</v>
      </c>
      <c r="S2288" s="7">
        <f t="shared" si="195"/>
        <v>5</v>
      </c>
      <c r="T2288" s="15" t="str">
        <f>VLOOKUP(R2288,产品分类!$C$2:$D$1278,2,0)</f>
        <v>数码电子</v>
      </c>
    </row>
    <row r="2289" spans="1:20">
      <c r="A2289" s="8">
        <f>DATE(2012,12,31)-850</f>
        <v>40424</v>
      </c>
      <c r="B2289" s="8">
        <f>DATE(2012,12,31)-850</f>
        <v>40424</v>
      </c>
      <c r="C2289" s="9" t="s">
        <v>1129</v>
      </c>
      <c r="D2289">
        <v>10021260249</v>
      </c>
      <c r="E2289" t="s">
        <v>47</v>
      </c>
      <c r="F2289" t="s">
        <v>78</v>
      </c>
      <c r="G2289" t="s">
        <v>79</v>
      </c>
      <c r="H2289" t="s">
        <v>1887</v>
      </c>
      <c r="I2289" t="s">
        <v>1888</v>
      </c>
      <c r="J2289" t="s">
        <v>668</v>
      </c>
      <c r="K2289" s="3">
        <v>100828550802</v>
      </c>
      <c r="L2289" s="10">
        <v>40425</v>
      </c>
      <c r="M2289">
        <v>1642.43</v>
      </c>
      <c r="N2289" s="11">
        <v>10</v>
      </c>
      <c r="O2289" s="12">
        <v>150.89</v>
      </c>
      <c r="P2289" s="12">
        <v>60.2</v>
      </c>
      <c r="Q2289" s="13">
        <v>-423.2</v>
      </c>
      <c r="R2289" s="36" t="s">
        <v>274</v>
      </c>
      <c r="S2289" s="7">
        <f t="shared" si="195"/>
        <v>1</v>
      </c>
      <c r="T2289" s="15" t="str">
        <f>VLOOKUP(R2289,产品分类!$C$2:$D$1278,2,0)</f>
        <v>办公用品</v>
      </c>
    </row>
    <row r="2290" spans="1:20">
      <c r="A2290" s="8">
        <f>DATE(2012,12,31)-93</f>
        <v>41181</v>
      </c>
      <c r="B2290" s="8">
        <f>DATE(2012,12,31)-93</f>
        <v>41181</v>
      </c>
      <c r="C2290" s="9" t="s">
        <v>1703</v>
      </c>
      <c r="D2290">
        <v>10021261889</v>
      </c>
      <c r="E2290" t="s">
        <v>47</v>
      </c>
      <c r="F2290" t="s">
        <v>72</v>
      </c>
      <c r="G2290" t="s">
        <v>73</v>
      </c>
      <c r="H2290" t="s">
        <v>1854</v>
      </c>
      <c r="I2290" t="s">
        <v>1855</v>
      </c>
      <c r="J2290" t="s">
        <v>668</v>
      </c>
      <c r="K2290" s="3">
        <v>100429741223</v>
      </c>
      <c r="L2290" s="10">
        <v>41182</v>
      </c>
      <c r="M2290">
        <v>80.29</v>
      </c>
      <c r="N2290" s="11">
        <v>4</v>
      </c>
      <c r="O2290" s="12">
        <v>18.97</v>
      </c>
      <c r="P2290" s="12">
        <v>5.21</v>
      </c>
      <c r="Q2290" s="13">
        <v>-6.57</v>
      </c>
      <c r="R2290" s="36" t="s">
        <v>1516</v>
      </c>
      <c r="S2290" s="7">
        <f t="shared" si="195"/>
        <v>1</v>
      </c>
      <c r="T2290" s="15" t="str">
        <f>VLOOKUP(R2290,产品分类!$C$2:$D$1278,2,0)</f>
        <v>办公用品</v>
      </c>
    </row>
    <row r="2291" spans="1:20">
      <c r="A2291" s="8">
        <f>DATE(2012,12,31)-93</f>
        <v>41181</v>
      </c>
      <c r="B2291" s="8">
        <f>DATE(2012,12,31)-93</f>
        <v>41181</v>
      </c>
      <c r="C2291" s="9" t="s">
        <v>1703</v>
      </c>
      <c r="D2291">
        <v>10021503141</v>
      </c>
      <c r="E2291" t="s">
        <v>47</v>
      </c>
      <c r="F2291" t="s">
        <v>72</v>
      </c>
      <c r="G2291" t="s">
        <v>73</v>
      </c>
      <c r="H2291" t="s">
        <v>1854</v>
      </c>
      <c r="I2291" t="s">
        <v>1855</v>
      </c>
      <c r="J2291" t="s">
        <v>668</v>
      </c>
      <c r="K2291" s="3">
        <v>100129381458</v>
      </c>
      <c r="L2291" s="10">
        <v>41184</v>
      </c>
      <c r="M2291">
        <v>2628.9225</v>
      </c>
      <c r="N2291" s="11">
        <v>36</v>
      </c>
      <c r="O2291" s="12">
        <v>85.99</v>
      </c>
      <c r="P2291" s="12">
        <v>0.99</v>
      </c>
      <c r="Q2291" s="13">
        <v>832.194</v>
      </c>
      <c r="R2291" s="36" t="s">
        <v>1684</v>
      </c>
      <c r="S2291" s="7">
        <f t="shared" si="195"/>
        <v>3</v>
      </c>
      <c r="T2291" s="15" t="str">
        <f>VLOOKUP(R2291,产品分类!$C$2:$D$1278,2,0)</f>
        <v>办公用品</v>
      </c>
    </row>
    <row r="2292" spans="1:20">
      <c r="A2292" s="8">
        <f>DATE(2012,12,31)-570</f>
        <v>40704</v>
      </c>
      <c r="B2292" s="8">
        <f>DATE(2012,12,31)-570</f>
        <v>40704</v>
      </c>
      <c r="C2292" s="9" t="s">
        <v>598</v>
      </c>
      <c r="D2292">
        <v>10021254030</v>
      </c>
      <c r="E2292" t="s">
        <v>47</v>
      </c>
      <c r="F2292" t="s">
        <v>72</v>
      </c>
      <c r="G2292" t="s">
        <v>73</v>
      </c>
      <c r="H2292" t="s">
        <v>1854</v>
      </c>
      <c r="I2292" t="s">
        <v>1855</v>
      </c>
      <c r="J2292" t="s">
        <v>668</v>
      </c>
      <c r="K2292" s="3">
        <v>100921297711</v>
      </c>
      <c r="L2292" s="10">
        <v>40706</v>
      </c>
      <c r="M2292">
        <v>158.97</v>
      </c>
      <c r="N2292" s="11">
        <v>39</v>
      </c>
      <c r="O2292" s="12">
        <v>4.18</v>
      </c>
      <c r="P2292" s="12">
        <v>2.99</v>
      </c>
      <c r="Q2292" s="13">
        <v>-30.268</v>
      </c>
      <c r="R2292" s="36" t="s">
        <v>1531</v>
      </c>
      <c r="S2292" s="7">
        <f t="shared" si="195"/>
        <v>2</v>
      </c>
      <c r="T2292" s="15" t="str">
        <f>VLOOKUP(R2292,产品分类!$C$2:$D$1278,2,0)</f>
        <v>办公用品</v>
      </c>
    </row>
    <row r="2293" spans="1:20">
      <c r="A2293" s="8">
        <f>DATE(2012,12,31)-570</f>
        <v>40704</v>
      </c>
      <c r="B2293" s="8">
        <f>DATE(2012,12,31)-570</f>
        <v>40704</v>
      </c>
      <c r="C2293" s="9" t="s">
        <v>598</v>
      </c>
      <c r="D2293">
        <v>10021347223</v>
      </c>
      <c r="E2293" t="s">
        <v>47</v>
      </c>
      <c r="F2293" t="s">
        <v>72</v>
      </c>
      <c r="G2293" t="s">
        <v>73</v>
      </c>
      <c r="H2293" t="s">
        <v>1854</v>
      </c>
      <c r="I2293" t="s">
        <v>1855</v>
      </c>
      <c r="J2293" t="s">
        <v>668</v>
      </c>
      <c r="K2293" s="3">
        <v>100330978409</v>
      </c>
      <c r="L2293" s="10">
        <v>40706</v>
      </c>
      <c r="M2293">
        <v>138.96</v>
      </c>
      <c r="N2293" s="11">
        <v>49</v>
      </c>
      <c r="O2293" s="12">
        <v>2.88</v>
      </c>
      <c r="P2293" s="12">
        <v>0.7</v>
      </c>
      <c r="Q2293" s="13">
        <v>19.87</v>
      </c>
      <c r="R2293" s="36" t="s">
        <v>100</v>
      </c>
      <c r="S2293" s="7">
        <f t="shared" si="195"/>
        <v>2</v>
      </c>
      <c r="T2293" s="15" t="str">
        <f>VLOOKUP(R2293,产品分类!$C$2:$D$1278,2,0)</f>
        <v>数码电子</v>
      </c>
    </row>
    <row r="2294" spans="1:20">
      <c r="A2294" s="8">
        <f>DATE(2012,12,31)-967</f>
        <v>40307</v>
      </c>
      <c r="B2294" s="8">
        <f>DATE(2012,12,31)-967</f>
        <v>40307</v>
      </c>
      <c r="C2294" s="9" t="s">
        <v>275</v>
      </c>
      <c r="D2294">
        <v>10021497244</v>
      </c>
      <c r="E2294" t="s">
        <v>47</v>
      </c>
      <c r="F2294" t="s">
        <v>78</v>
      </c>
      <c r="G2294" t="s">
        <v>79</v>
      </c>
      <c r="H2294" t="s">
        <v>1887</v>
      </c>
      <c r="I2294" t="s">
        <v>1888</v>
      </c>
      <c r="J2294" t="s">
        <v>668</v>
      </c>
      <c r="K2294" s="3">
        <v>100914055771</v>
      </c>
      <c r="L2294" s="10">
        <v>40309</v>
      </c>
      <c r="M2294">
        <v>50.97</v>
      </c>
      <c r="N2294" s="11">
        <v>10</v>
      </c>
      <c r="O2294" s="12">
        <v>5.16</v>
      </c>
      <c r="P2294" s="12">
        <v>0.73</v>
      </c>
      <c r="Q2294" s="13">
        <v>4.45</v>
      </c>
      <c r="R2294" s="36" t="s">
        <v>1948</v>
      </c>
      <c r="S2294" s="7">
        <f t="shared" si="195"/>
        <v>2</v>
      </c>
      <c r="T2294" s="15" t="str">
        <f>VLOOKUP(R2294,产品分类!$C$2:$D$1278,2,0)</f>
        <v>数码电子</v>
      </c>
    </row>
    <row r="2295" spans="1:20">
      <c r="A2295" s="8">
        <f>DATE(2012,12,31)-967</f>
        <v>40307</v>
      </c>
      <c r="B2295" s="8">
        <f>DATE(2012,12,31)-967</f>
        <v>40307</v>
      </c>
      <c r="C2295" s="9" t="s">
        <v>275</v>
      </c>
      <c r="D2295">
        <v>10021452252</v>
      </c>
      <c r="E2295" t="s">
        <v>47</v>
      </c>
      <c r="F2295" t="s">
        <v>72</v>
      </c>
      <c r="G2295" t="s">
        <v>73</v>
      </c>
      <c r="H2295" t="s">
        <v>1949</v>
      </c>
      <c r="I2295" t="s">
        <v>1950</v>
      </c>
      <c r="J2295" t="s">
        <v>668</v>
      </c>
      <c r="K2295" s="3">
        <v>100831028222</v>
      </c>
      <c r="L2295" s="10">
        <v>40309</v>
      </c>
      <c r="M2295">
        <v>4.99</v>
      </c>
      <c r="N2295" s="11">
        <v>1</v>
      </c>
      <c r="O2295" s="12">
        <v>3.68</v>
      </c>
      <c r="P2295" s="12">
        <v>1.32</v>
      </c>
      <c r="Q2295" s="13">
        <v>-3.06</v>
      </c>
      <c r="R2295" s="36" t="s">
        <v>1061</v>
      </c>
      <c r="S2295" s="7">
        <f t="shared" si="195"/>
        <v>2</v>
      </c>
      <c r="T2295" s="15" t="str">
        <f>VLOOKUP(R2295,产品分类!$C$2:$D$1278,2,0)</f>
        <v>办公用品</v>
      </c>
    </row>
    <row r="2296" spans="1:20">
      <c r="A2296" s="8">
        <f>DATE(2012,12,31)-1412</f>
        <v>39862</v>
      </c>
      <c r="B2296" s="8">
        <f>DATE(2012,12,31)-1412</f>
        <v>39862</v>
      </c>
      <c r="C2296" s="9" t="s">
        <v>1703</v>
      </c>
      <c r="D2296">
        <v>10021404397</v>
      </c>
      <c r="E2296" t="s">
        <v>47</v>
      </c>
      <c r="F2296" t="s">
        <v>230</v>
      </c>
      <c r="G2296" t="s">
        <v>231</v>
      </c>
      <c r="H2296" t="s">
        <v>1798</v>
      </c>
      <c r="I2296" t="s">
        <v>1799</v>
      </c>
      <c r="J2296" t="s">
        <v>668</v>
      </c>
      <c r="K2296" s="3">
        <v>100432543733</v>
      </c>
      <c r="L2296" s="10">
        <v>39864</v>
      </c>
      <c r="M2296">
        <v>10554.63</v>
      </c>
      <c r="N2296" s="11">
        <v>30</v>
      </c>
      <c r="O2296" s="12">
        <v>355.98</v>
      </c>
      <c r="P2296" s="12">
        <v>58.92</v>
      </c>
      <c r="Q2296" s="13">
        <v>1240.25</v>
      </c>
      <c r="R2296" s="36" t="s">
        <v>1545</v>
      </c>
      <c r="S2296" s="7">
        <f t="shared" si="195"/>
        <v>2</v>
      </c>
      <c r="T2296" s="15" t="str">
        <f>VLOOKUP(R2296,产品分类!$C$2:$D$1278,2,0)</f>
        <v>办公用品</v>
      </c>
    </row>
    <row r="2297" spans="1:20">
      <c r="A2297" s="8">
        <f>DATE(2012,12,31)-1412</f>
        <v>39862</v>
      </c>
      <c r="B2297" s="8">
        <f>DATE(2012,12,31)-1412</f>
        <v>39862</v>
      </c>
      <c r="C2297" s="9" t="s">
        <v>1703</v>
      </c>
      <c r="D2297">
        <v>10021341314</v>
      </c>
      <c r="E2297" t="s">
        <v>47</v>
      </c>
      <c r="F2297" t="s">
        <v>114</v>
      </c>
      <c r="G2297" t="s">
        <v>115</v>
      </c>
      <c r="H2297" t="s">
        <v>1951</v>
      </c>
      <c r="I2297" t="s">
        <v>1952</v>
      </c>
      <c r="J2297" t="s">
        <v>668</v>
      </c>
      <c r="K2297" s="3">
        <v>100127018967</v>
      </c>
      <c r="L2297" s="10">
        <v>39862</v>
      </c>
      <c r="M2297">
        <v>1749.64</v>
      </c>
      <c r="N2297" s="11">
        <v>8</v>
      </c>
      <c r="O2297" s="12">
        <v>218.75</v>
      </c>
      <c r="P2297" s="12">
        <v>69.64</v>
      </c>
      <c r="Q2297" s="13">
        <v>-533.232</v>
      </c>
      <c r="R2297" s="36" t="s">
        <v>456</v>
      </c>
      <c r="S2297" s="7">
        <f t="shared" si="195"/>
        <v>0</v>
      </c>
      <c r="T2297" s="15" t="str">
        <f>VLOOKUP(R2297,产品分类!$C$2:$D$1278,2,0)</f>
        <v>办公用品</v>
      </c>
    </row>
    <row r="2298" spans="1:20">
      <c r="A2298" s="8">
        <f>DATE(2012,12,31)-330</f>
        <v>40944</v>
      </c>
      <c r="B2298" s="8">
        <f>DATE(2012,12,31)-330</f>
        <v>40944</v>
      </c>
      <c r="C2298" s="9" t="s">
        <v>1348</v>
      </c>
      <c r="D2298">
        <v>10021461579</v>
      </c>
      <c r="E2298" t="s">
        <v>47</v>
      </c>
      <c r="F2298" t="s">
        <v>122</v>
      </c>
      <c r="G2298" t="s">
        <v>123</v>
      </c>
      <c r="H2298" t="s">
        <v>124</v>
      </c>
      <c r="I2298" t="s">
        <v>125</v>
      </c>
      <c r="J2298" t="s">
        <v>668</v>
      </c>
      <c r="K2298" s="3">
        <v>100415794824</v>
      </c>
      <c r="L2298" s="10">
        <v>40946</v>
      </c>
      <c r="M2298">
        <v>75.19</v>
      </c>
      <c r="N2298" s="11">
        <v>22</v>
      </c>
      <c r="O2298" s="12">
        <v>3.28</v>
      </c>
      <c r="P2298" s="12">
        <v>3.97</v>
      </c>
      <c r="Q2298" s="13">
        <v>-59.12</v>
      </c>
      <c r="R2298" s="36" t="s">
        <v>1931</v>
      </c>
      <c r="S2298" s="7">
        <f t="shared" si="195"/>
        <v>2</v>
      </c>
      <c r="T2298" s="15" t="str">
        <f>VLOOKUP(R2298,产品分类!$C$2:$D$1278,2,0)</f>
        <v>办公用品</v>
      </c>
    </row>
    <row r="2299" spans="1:20">
      <c r="A2299" s="8">
        <f>DATE(2012,12,31)-330</f>
        <v>40944</v>
      </c>
      <c r="B2299" s="8">
        <f>DATE(2012,12,31)-330</f>
        <v>40944</v>
      </c>
      <c r="C2299" s="9" t="s">
        <v>1348</v>
      </c>
      <c r="D2299">
        <v>10021501649</v>
      </c>
      <c r="E2299" t="s">
        <v>47</v>
      </c>
      <c r="F2299" t="s">
        <v>55</v>
      </c>
      <c r="G2299" t="s">
        <v>56</v>
      </c>
      <c r="H2299" t="s">
        <v>1869</v>
      </c>
      <c r="I2299" t="s">
        <v>1870</v>
      </c>
      <c r="J2299" t="s">
        <v>668</v>
      </c>
      <c r="K2299" s="3">
        <v>100127393916</v>
      </c>
      <c r="L2299" s="10">
        <v>40946</v>
      </c>
      <c r="M2299">
        <v>3028.86</v>
      </c>
      <c r="N2299" s="11">
        <v>40</v>
      </c>
      <c r="O2299" s="12">
        <v>71.37</v>
      </c>
      <c r="P2299" s="12">
        <v>69</v>
      </c>
      <c r="Q2299" s="13">
        <v>-2595.6502</v>
      </c>
      <c r="R2299" s="36" t="s">
        <v>426</v>
      </c>
      <c r="S2299" s="7">
        <f t="shared" si="195"/>
        <v>2</v>
      </c>
      <c r="T2299" s="15" t="str">
        <f>VLOOKUP(R2299,产品分类!$C$2:$D$1278,2,0)</f>
        <v>家具产品</v>
      </c>
    </row>
    <row r="2300" spans="1:20">
      <c r="A2300" s="8">
        <f>DATE(2012,12,31)-750</f>
        <v>40524</v>
      </c>
      <c r="B2300" s="8">
        <f>DATE(2012,12,31)-750</f>
        <v>40524</v>
      </c>
      <c r="C2300" s="9" t="s">
        <v>1616</v>
      </c>
      <c r="D2300">
        <v>10021340133</v>
      </c>
      <c r="E2300" t="s">
        <v>47</v>
      </c>
      <c r="F2300" t="s">
        <v>122</v>
      </c>
      <c r="G2300" t="s">
        <v>123</v>
      </c>
      <c r="H2300" t="s">
        <v>124</v>
      </c>
      <c r="I2300" t="s">
        <v>125</v>
      </c>
      <c r="J2300" t="s">
        <v>668</v>
      </c>
      <c r="K2300" s="3">
        <v>100324303279</v>
      </c>
      <c r="L2300" s="10">
        <v>40525</v>
      </c>
      <c r="M2300">
        <v>63.96</v>
      </c>
      <c r="N2300" s="11">
        <v>33</v>
      </c>
      <c r="O2300" s="12">
        <v>1.88</v>
      </c>
      <c r="P2300" s="12">
        <v>1.49</v>
      </c>
      <c r="Q2300" s="13">
        <v>-13.708</v>
      </c>
      <c r="R2300" s="36" t="s">
        <v>1426</v>
      </c>
      <c r="S2300" s="7">
        <f t="shared" si="195"/>
        <v>1</v>
      </c>
      <c r="T2300" s="15" t="str">
        <f>VLOOKUP(R2300,产品分类!$C$2:$D$1278,2,0)</f>
        <v>办公用品</v>
      </c>
    </row>
    <row r="2301" spans="1:20">
      <c r="A2301" s="8">
        <f>DATE(2012,12,31)-750</f>
        <v>40524</v>
      </c>
      <c r="B2301" s="8">
        <f>DATE(2012,12,31)-750</f>
        <v>40524</v>
      </c>
      <c r="C2301" s="9" t="s">
        <v>1616</v>
      </c>
      <c r="D2301">
        <v>10021344394</v>
      </c>
      <c r="E2301" t="s">
        <v>47</v>
      </c>
      <c r="F2301" t="s">
        <v>122</v>
      </c>
      <c r="G2301" t="s">
        <v>123</v>
      </c>
      <c r="H2301" t="s">
        <v>124</v>
      </c>
      <c r="I2301" t="s">
        <v>125</v>
      </c>
      <c r="J2301" t="s">
        <v>668</v>
      </c>
      <c r="K2301" s="3">
        <v>100329523739</v>
      </c>
      <c r="L2301" s="10">
        <v>40525</v>
      </c>
      <c r="M2301">
        <v>177.23</v>
      </c>
      <c r="N2301" s="11">
        <v>23</v>
      </c>
      <c r="O2301" s="12">
        <v>8.14</v>
      </c>
      <c r="P2301" s="12">
        <v>3.12</v>
      </c>
      <c r="Q2301" s="13">
        <v>4.94</v>
      </c>
      <c r="R2301" s="36" t="s">
        <v>1953</v>
      </c>
      <c r="S2301" s="7">
        <f t="shared" si="195"/>
        <v>1</v>
      </c>
      <c r="T2301" s="15" t="str">
        <f>VLOOKUP(R2301,产品分类!$C$2:$D$1278,2,0)</f>
        <v>数码电子</v>
      </c>
    </row>
    <row r="2302" spans="1:20">
      <c r="A2302" s="8">
        <f>DATE(2012,12,31)-457</f>
        <v>40817</v>
      </c>
      <c r="B2302" s="8">
        <f>DATE(2012,12,31)-457</f>
        <v>40817</v>
      </c>
      <c r="C2302" s="9" t="s">
        <v>1809</v>
      </c>
      <c r="D2302">
        <v>10021253038</v>
      </c>
      <c r="E2302" t="s">
        <v>47</v>
      </c>
      <c r="F2302" t="s">
        <v>83</v>
      </c>
      <c r="G2302" t="s">
        <v>84</v>
      </c>
      <c r="H2302" t="s">
        <v>1928</v>
      </c>
      <c r="I2302" t="s">
        <v>1929</v>
      </c>
      <c r="J2302" t="s">
        <v>668</v>
      </c>
      <c r="K2302" s="3">
        <v>100417519214</v>
      </c>
      <c r="L2302" s="10">
        <v>40819</v>
      </c>
      <c r="M2302">
        <v>6766.856</v>
      </c>
      <c r="N2302" s="11">
        <v>26</v>
      </c>
      <c r="O2302" s="12">
        <v>320.64</v>
      </c>
      <c r="P2302" s="12">
        <v>43.57</v>
      </c>
      <c r="Q2302" s="13">
        <v>-774.890688</v>
      </c>
      <c r="R2302" s="36" t="s">
        <v>1346</v>
      </c>
      <c r="S2302" s="7">
        <f t="shared" si="195"/>
        <v>2</v>
      </c>
      <c r="T2302" s="15" t="str">
        <f>VLOOKUP(R2302,产品分类!$C$2:$D$1278,2,0)</f>
        <v>办公用品</v>
      </c>
    </row>
    <row r="2303" spans="1:20">
      <c r="A2303" s="8">
        <f>DATE(2012,12,31)-1178</f>
        <v>40096</v>
      </c>
      <c r="B2303" s="8">
        <f>DATE(2012,12,31)-1178</f>
        <v>40096</v>
      </c>
      <c r="C2303" s="9" t="s">
        <v>326</v>
      </c>
      <c r="D2303">
        <v>10021445266</v>
      </c>
      <c r="E2303" t="s">
        <v>47</v>
      </c>
      <c r="F2303" t="s">
        <v>122</v>
      </c>
      <c r="G2303" t="s">
        <v>123</v>
      </c>
      <c r="H2303" t="s">
        <v>124</v>
      </c>
      <c r="I2303" t="s">
        <v>125</v>
      </c>
      <c r="J2303" t="s">
        <v>668</v>
      </c>
      <c r="K2303" s="3">
        <v>100912217431</v>
      </c>
      <c r="L2303" s="10">
        <v>40098</v>
      </c>
      <c r="M2303">
        <v>659.13</v>
      </c>
      <c r="N2303" s="11">
        <v>19</v>
      </c>
      <c r="O2303" s="12">
        <v>35.94</v>
      </c>
      <c r="P2303" s="12">
        <v>6.66</v>
      </c>
      <c r="Q2303" s="13">
        <v>187.57</v>
      </c>
      <c r="R2303" s="36" t="s">
        <v>1954</v>
      </c>
      <c r="S2303" s="7">
        <f t="shared" si="195"/>
        <v>2</v>
      </c>
      <c r="T2303" s="15" t="str">
        <f>VLOOKUP(R2303,产品分类!$C$2:$D$1278,2,0)</f>
        <v>家具产品</v>
      </c>
    </row>
    <row r="2304" spans="1:20">
      <c r="A2304" s="8">
        <f>DATE(2012,12,31)-1417</f>
        <v>39857</v>
      </c>
      <c r="B2304" s="8">
        <f>DATE(2012,12,31)-1417</f>
        <v>39857</v>
      </c>
      <c r="C2304" s="9" t="s">
        <v>462</v>
      </c>
      <c r="D2304">
        <v>10021293077</v>
      </c>
      <c r="E2304" t="s">
        <v>47</v>
      </c>
      <c r="F2304" t="s">
        <v>91</v>
      </c>
      <c r="G2304" t="s">
        <v>92</v>
      </c>
      <c r="H2304" t="s">
        <v>1911</v>
      </c>
      <c r="I2304" t="s">
        <v>1912</v>
      </c>
      <c r="J2304" t="s">
        <v>668</v>
      </c>
      <c r="K2304" s="3">
        <v>10044366524</v>
      </c>
      <c r="L2304" s="10">
        <v>39858</v>
      </c>
      <c r="M2304">
        <v>3699.22</v>
      </c>
      <c r="N2304" s="11">
        <v>45</v>
      </c>
      <c r="O2304" s="12">
        <v>80.97</v>
      </c>
      <c r="P2304" s="12">
        <v>30.06</v>
      </c>
      <c r="Q2304" s="13">
        <v>565.18</v>
      </c>
      <c r="R2304" s="36" t="s">
        <v>1629</v>
      </c>
      <c r="S2304" s="7">
        <f t="shared" si="195"/>
        <v>1</v>
      </c>
      <c r="T2304" s="15" t="str">
        <f>VLOOKUP(R2304,产品分类!$C$2:$D$1278,2,0)</f>
        <v>办公用品</v>
      </c>
    </row>
    <row r="2305" spans="1:20">
      <c r="A2305" s="8">
        <f>DATE(2012,12,31)-1417</f>
        <v>39857</v>
      </c>
      <c r="B2305" s="8">
        <f>DATE(2012,12,31)-1417</f>
        <v>39857</v>
      </c>
      <c r="C2305" s="9" t="s">
        <v>462</v>
      </c>
      <c r="D2305">
        <v>10021496144</v>
      </c>
      <c r="E2305" t="s">
        <v>47</v>
      </c>
      <c r="F2305" t="s">
        <v>122</v>
      </c>
      <c r="G2305" t="s">
        <v>123</v>
      </c>
      <c r="H2305" t="s">
        <v>124</v>
      </c>
      <c r="I2305" t="s">
        <v>125</v>
      </c>
      <c r="J2305" t="s">
        <v>668</v>
      </c>
      <c r="K2305" s="3">
        <v>100916393981</v>
      </c>
      <c r="L2305" s="10">
        <v>39859</v>
      </c>
      <c r="M2305">
        <v>48.93</v>
      </c>
      <c r="N2305" s="11">
        <v>6</v>
      </c>
      <c r="O2305" s="12">
        <v>6.48</v>
      </c>
      <c r="P2305" s="12">
        <v>10.05</v>
      </c>
      <c r="Q2305" s="13">
        <v>-38.72</v>
      </c>
      <c r="R2305" s="36" t="s">
        <v>215</v>
      </c>
      <c r="S2305" s="7">
        <f t="shared" si="195"/>
        <v>2</v>
      </c>
      <c r="T2305" s="15" t="str">
        <f>VLOOKUP(R2305,产品分类!$C$2:$D$1278,2,0)</f>
        <v>数码电子</v>
      </c>
    </row>
    <row r="2306" spans="1:20">
      <c r="A2306" s="8">
        <f>DATE(2012,12,31)-738</f>
        <v>40536</v>
      </c>
      <c r="B2306" s="8">
        <f>DATE(2012,12,31)-738</f>
        <v>40536</v>
      </c>
      <c r="C2306" s="9" t="s">
        <v>1143</v>
      </c>
      <c r="D2306">
        <v>10021461767</v>
      </c>
      <c r="E2306" t="s">
        <v>47</v>
      </c>
      <c r="F2306" t="s">
        <v>55</v>
      </c>
      <c r="G2306" t="s">
        <v>56</v>
      </c>
      <c r="H2306" t="s">
        <v>1869</v>
      </c>
      <c r="I2306" t="s">
        <v>1870</v>
      </c>
      <c r="J2306" t="s">
        <v>668</v>
      </c>
      <c r="K2306" s="3">
        <v>100916820031</v>
      </c>
      <c r="L2306" s="10">
        <v>40538</v>
      </c>
      <c r="M2306">
        <v>51.14</v>
      </c>
      <c r="N2306" s="11">
        <v>28</v>
      </c>
      <c r="O2306" s="12">
        <v>1.74</v>
      </c>
      <c r="P2306" s="12">
        <v>4.08</v>
      </c>
      <c r="Q2306" s="13">
        <v>-81.96</v>
      </c>
      <c r="R2306" s="36" t="s">
        <v>980</v>
      </c>
      <c r="S2306" s="7">
        <f t="shared" si="195"/>
        <v>2</v>
      </c>
      <c r="T2306" s="15" t="str">
        <f>VLOOKUP(R2306,产品分类!$C$2:$D$1278,2,0)</f>
        <v>办公用品</v>
      </c>
    </row>
    <row r="2307" spans="1:20">
      <c r="A2307" s="8">
        <f>DATE(2012,12,31)-888</f>
        <v>40386</v>
      </c>
      <c r="B2307" s="8">
        <f>DATE(2012,12,31)-888</f>
        <v>40386</v>
      </c>
      <c r="C2307" s="9" t="s">
        <v>1472</v>
      </c>
      <c r="D2307">
        <v>10021253049</v>
      </c>
      <c r="E2307" t="s">
        <v>47</v>
      </c>
      <c r="F2307" t="s">
        <v>55</v>
      </c>
      <c r="G2307" t="s">
        <v>56</v>
      </c>
      <c r="H2307" t="s">
        <v>1869</v>
      </c>
      <c r="I2307" t="s">
        <v>1870</v>
      </c>
      <c r="J2307" t="s">
        <v>668</v>
      </c>
      <c r="K2307" s="3">
        <v>100117529998</v>
      </c>
      <c r="L2307" s="10">
        <v>40388</v>
      </c>
      <c r="M2307">
        <v>652.33</v>
      </c>
      <c r="N2307" s="11">
        <v>6</v>
      </c>
      <c r="O2307" s="12">
        <v>113.98</v>
      </c>
      <c r="P2307" s="12">
        <v>30</v>
      </c>
      <c r="Q2307" s="13">
        <v>-227.51</v>
      </c>
      <c r="R2307" s="36" t="s">
        <v>556</v>
      </c>
      <c r="S2307" s="7">
        <f t="shared" ref="S2307:S2370" si="197">+L2307-B2307</f>
        <v>2</v>
      </c>
      <c r="T2307" s="15" t="str">
        <f>VLOOKUP(R2307,产品分类!$C$2:$D$1278,2,0)</f>
        <v>办公用品</v>
      </c>
    </row>
    <row r="2308" spans="1:20">
      <c r="A2308" s="8">
        <f>DATE(2012,12,31)-966</f>
        <v>40308</v>
      </c>
      <c r="B2308" s="8">
        <f>DATE(2012,12,31)-966</f>
        <v>40308</v>
      </c>
      <c r="C2308" s="9" t="s">
        <v>825</v>
      </c>
      <c r="D2308">
        <v>10021292659</v>
      </c>
      <c r="E2308" t="s">
        <v>47</v>
      </c>
      <c r="F2308" t="s">
        <v>91</v>
      </c>
      <c r="G2308" t="s">
        <v>92</v>
      </c>
      <c r="H2308" t="s">
        <v>1911</v>
      </c>
      <c r="I2308" t="s">
        <v>1912</v>
      </c>
      <c r="J2308" t="s">
        <v>668</v>
      </c>
      <c r="K2308" s="3">
        <v>1003528069</v>
      </c>
      <c r="L2308" s="10">
        <v>40309</v>
      </c>
      <c r="M2308">
        <v>1209.168</v>
      </c>
      <c r="N2308" s="11">
        <v>33</v>
      </c>
      <c r="O2308" s="12">
        <v>44.43</v>
      </c>
      <c r="P2308" s="12">
        <v>46.59</v>
      </c>
      <c r="Q2308" s="13">
        <v>-1052.79</v>
      </c>
      <c r="R2308" s="36" t="s">
        <v>1384</v>
      </c>
      <c r="S2308" s="7">
        <f t="shared" si="197"/>
        <v>1</v>
      </c>
      <c r="T2308" s="15" t="str">
        <f>VLOOKUP(R2308,产品分类!$C$2:$D$1278,2,0)</f>
        <v>家具产品</v>
      </c>
    </row>
    <row r="2309" spans="1:20">
      <c r="A2309" s="8">
        <f>DATE(2012,12,31)-670</f>
        <v>40604</v>
      </c>
      <c r="B2309" s="8">
        <f>DATE(2012,12,31)-670</f>
        <v>40604</v>
      </c>
      <c r="C2309" s="9" t="s">
        <v>681</v>
      </c>
      <c r="D2309">
        <v>10021507925</v>
      </c>
      <c r="E2309" t="s">
        <v>47</v>
      </c>
      <c r="F2309" t="s">
        <v>91</v>
      </c>
      <c r="G2309" t="s">
        <v>92</v>
      </c>
      <c r="H2309" t="s">
        <v>1911</v>
      </c>
      <c r="I2309" t="s">
        <v>1912</v>
      </c>
      <c r="J2309" t="s">
        <v>668</v>
      </c>
      <c r="K2309" s="3">
        <v>100132025387</v>
      </c>
      <c r="L2309" s="10">
        <v>40606</v>
      </c>
      <c r="M2309">
        <v>7640.225</v>
      </c>
      <c r="N2309" s="11">
        <v>46</v>
      </c>
      <c r="O2309" s="12">
        <v>205.99</v>
      </c>
      <c r="P2309" s="12">
        <v>2.5</v>
      </c>
      <c r="Q2309" s="13">
        <v>2027.682</v>
      </c>
      <c r="R2309" s="36" t="s">
        <v>1613</v>
      </c>
      <c r="S2309" s="7">
        <f t="shared" si="197"/>
        <v>2</v>
      </c>
      <c r="T2309" s="15" t="str">
        <f>VLOOKUP(R2309,产品分类!$C$2:$D$1278,2,0)</f>
        <v>数码电子</v>
      </c>
    </row>
    <row r="2310" spans="1:20">
      <c r="A2310" s="8">
        <f>DATE(2012,12,31)-995</f>
        <v>40279</v>
      </c>
      <c r="B2310" s="8">
        <f>DATE(2012,12,31)-995</f>
        <v>40279</v>
      </c>
      <c r="C2310" s="9" t="s">
        <v>686</v>
      </c>
      <c r="D2310">
        <v>10021498850</v>
      </c>
      <c r="E2310" t="s">
        <v>47</v>
      </c>
      <c r="F2310" t="s">
        <v>91</v>
      </c>
      <c r="G2310" t="s">
        <v>92</v>
      </c>
      <c r="H2310" t="s">
        <v>1911</v>
      </c>
      <c r="I2310" t="s">
        <v>1912</v>
      </c>
      <c r="J2310" t="s">
        <v>668</v>
      </c>
      <c r="K2310" s="3">
        <v>100323587519</v>
      </c>
      <c r="L2310" s="10">
        <v>40283</v>
      </c>
      <c r="M2310">
        <v>312.63</v>
      </c>
      <c r="N2310" s="11">
        <v>40</v>
      </c>
      <c r="O2310" s="12">
        <v>7.31</v>
      </c>
      <c r="P2310" s="12">
        <v>0.49</v>
      </c>
      <c r="Q2310" s="13">
        <v>167.3</v>
      </c>
      <c r="R2310" s="36" t="s">
        <v>694</v>
      </c>
      <c r="S2310" s="7">
        <f t="shared" si="197"/>
        <v>4</v>
      </c>
      <c r="T2310" s="15" t="str">
        <f>VLOOKUP(R2310,产品分类!$C$2:$D$1278,2,0)</f>
        <v>办公用品</v>
      </c>
    </row>
    <row r="2311" spans="1:20">
      <c r="A2311" s="8">
        <f>DATE(2012,12,31)-995</f>
        <v>40279</v>
      </c>
      <c r="B2311" s="8">
        <f>DATE(2012,12,31)-995</f>
        <v>40279</v>
      </c>
      <c r="C2311" s="9" t="s">
        <v>686</v>
      </c>
      <c r="D2311">
        <v>10021264153</v>
      </c>
      <c r="E2311" t="s">
        <v>47</v>
      </c>
      <c r="F2311" t="s">
        <v>122</v>
      </c>
      <c r="G2311" t="s">
        <v>123</v>
      </c>
      <c r="H2311" t="s">
        <v>124</v>
      </c>
      <c r="I2311" t="s">
        <v>125</v>
      </c>
      <c r="J2311" t="s">
        <v>668</v>
      </c>
      <c r="K2311" s="3">
        <v>100315782359</v>
      </c>
      <c r="L2311" s="10">
        <v>40283</v>
      </c>
      <c r="M2311">
        <v>441.4</v>
      </c>
      <c r="N2311" s="11">
        <v>46</v>
      </c>
      <c r="O2311" s="12">
        <v>10.06</v>
      </c>
      <c r="P2311" s="12">
        <v>2.06</v>
      </c>
      <c r="Q2311" s="13">
        <v>146.04</v>
      </c>
      <c r="R2311" s="36" t="s">
        <v>880</v>
      </c>
      <c r="S2311" s="7">
        <f t="shared" si="197"/>
        <v>4</v>
      </c>
      <c r="T2311" s="15" t="str">
        <f>VLOOKUP(R2311,产品分类!$C$2:$D$1278,2,0)</f>
        <v>办公用品</v>
      </c>
    </row>
    <row r="2312" spans="1:20">
      <c r="A2312" s="8">
        <f>DATE(2012,12,31)-612</f>
        <v>40662</v>
      </c>
      <c r="B2312" s="8">
        <f>DATE(2012,12,31)-612</f>
        <v>40662</v>
      </c>
      <c r="C2312" s="9" t="s">
        <v>247</v>
      </c>
      <c r="D2312">
        <v>10021369476</v>
      </c>
      <c r="E2312" t="s">
        <v>47</v>
      </c>
      <c r="F2312" t="s">
        <v>91</v>
      </c>
      <c r="G2312" t="s">
        <v>92</v>
      </c>
      <c r="H2312" t="s">
        <v>1911</v>
      </c>
      <c r="I2312" t="s">
        <v>1912</v>
      </c>
      <c r="J2312" t="s">
        <v>668</v>
      </c>
      <c r="K2312" s="3">
        <v>10039365999</v>
      </c>
      <c r="L2312" s="10">
        <v>40669</v>
      </c>
      <c r="M2312">
        <v>1959.43</v>
      </c>
      <c r="N2312" s="11">
        <v>49</v>
      </c>
      <c r="O2312" s="12">
        <v>42.98</v>
      </c>
      <c r="P2312" s="12">
        <v>4.62</v>
      </c>
      <c r="Q2312" s="13">
        <v>467.72</v>
      </c>
      <c r="R2312" s="36" t="s">
        <v>1763</v>
      </c>
      <c r="S2312" s="7">
        <f t="shared" si="197"/>
        <v>7</v>
      </c>
      <c r="T2312" s="15" t="str">
        <f>VLOOKUP(R2312,产品分类!$C$2:$D$1278,2,0)</f>
        <v>数码电子</v>
      </c>
    </row>
    <row r="2313" spans="1:20">
      <c r="A2313" s="8">
        <f>DATE(2012,12,31)-612</f>
        <v>40662</v>
      </c>
      <c r="B2313" s="8">
        <f>DATE(2012,12,31)-612</f>
        <v>40662</v>
      </c>
      <c r="C2313" s="9" t="s">
        <v>247</v>
      </c>
      <c r="D2313">
        <v>10021259700</v>
      </c>
      <c r="E2313" t="s">
        <v>47</v>
      </c>
      <c r="F2313" t="s">
        <v>122</v>
      </c>
      <c r="G2313" t="s">
        <v>123</v>
      </c>
      <c r="H2313" t="s">
        <v>124</v>
      </c>
      <c r="I2313" t="s">
        <v>125</v>
      </c>
      <c r="J2313" t="s">
        <v>668</v>
      </c>
      <c r="K2313" s="3">
        <v>100728030115</v>
      </c>
      <c r="L2313" s="10">
        <v>40671</v>
      </c>
      <c r="M2313">
        <v>14072.64</v>
      </c>
      <c r="N2313" s="11">
        <v>39</v>
      </c>
      <c r="O2313" s="12">
        <v>355.98</v>
      </c>
      <c r="P2313" s="12">
        <v>58.92</v>
      </c>
      <c r="Q2313" s="13">
        <v>2177.54</v>
      </c>
      <c r="R2313" s="36" t="s">
        <v>1545</v>
      </c>
      <c r="S2313" s="7">
        <f t="shared" si="197"/>
        <v>9</v>
      </c>
      <c r="T2313" s="15" t="str">
        <f>VLOOKUP(R2313,产品分类!$C$2:$D$1278,2,0)</f>
        <v>办公用品</v>
      </c>
    </row>
    <row r="2314" spans="1:20">
      <c r="A2314" s="8">
        <f>DATE(2012,12,31)-1383</f>
        <v>39891</v>
      </c>
      <c r="B2314" s="8">
        <f>DATE(2012,12,31)-1383</f>
        <v>39891</v>
      </c>
      <c r="C2314" s="9" t="s">
        <v>675</v>
      </c>
      <c r="D2314">
        <v>10021421047</v>
      </c>
      <c r="E2314" t="s">
        <v>47</v>
      </c>
      <c r="F2314" t="s">
        <v>132</v>
      </c>
      <c r="G2314" t="s">
        <v>133</v>
      </c>
      <c r="H2314" t="s">
        <v>134</v>
      </c>
      <c r="I2314" t="s">
        <v>133</v>
      </c>
      <c r="J2314" t="s">
        <v>668</v>
      </c>
      <c r="K2314" s="3">
        <v>100425550463</v>
      </c>
      <c r="L2314" s="10">
        <v>39891</v>
      </c>
      <c r="M2314">
        <v>936.802</v>
      </c>
      <c r="N2314" s="11">
        <v>39</v>
      </c>
      <c r="O2314" s="12">
        <v>28.99</v>
      </c>
      <c r="P2314" s="12">
        <v>8.59</v>
      </c>
      <c r="Q2314" s="13">
        <v>-12.078</v>
      </c>
      <c r="R2314" s="36" t="s">
        <v>1695</v>
      </c>
      <c r="S2314" s="7">
        <f t="shared" si="197"/>
        <v>0</v>
      </c>
      <c r="T2314" s="15" t="str">
        <f>VLOOKUP(R2314,产品分类!$C$2:$D$1278,2,0)</f>
        <v>办公用品</v>
      </c>
    </row>
    <row r="2315" spans="1:20">
      <c r="A2315" s="8">
        <f>DATE(2012,12,31)-1149</f>
        <v>40125</v>
      </c>
      <c r="B2315" s="8">
        <f>DATE(2012,12,31)-1149</f>
        <v>40125</v>
      </c>
      <c r="C2315" s="9" t="s">
        <v>1001</v>
      </c>
      <c r="D2315">
        <v>10021434138</v>
      </c>
      <c r="E2315" t="s">
        <v>47</v>
      </c>
      <c r="F2315" t="s">
        <v>132</v>
      </c>
      <c r="G2315" t="s">
        <v>133</v>
      </c>
      <c r="H2315" t="s">
        <v>134</v>
      </c>
      <c r="I2315" t="s">
        <v>133</v>
      </c>
      <c r="J2315" t="s">
        <v>668</v>
      </c>
      <c r="K2315" s="3">
        <v>100832651472</v>
      </c>
      <c r="L2315" s="10">
        <v>40130</v>
      </c>
      <c r="M2315">
        <v>6481.95</v>
      </c>
      <c r="N2315" s="11">
        <v>29</v>
      </c>
      <c r="O2315" s="12">
        <v>243.98</v>
      </c>
      <c r="P2315" s="12">
        <v>43.32</v>
      </c>
      <c r="Q2315" s="13">
        <v>846.23</v>
      </c>
      <c r="R2315" s="36" t="s">
        <v>704</v>
      </c>
      <c r="S2315" s="7">
        <f t="shared" si="197"/>
        <v>5</v>
      </c>
      <c r="T2315" s="15" t="str">
        <f>VLOOKUP(R2315,产品分类!$C$2:$D$1278,2,0)</f>
        <v>数码电子</v>
      </c>
    </row>
    <row r="2316" spans="1:20">
      <c r="A2316" s="8">
        <f t="shared" ref="A2316:B2318" si="198">DATE(2012,12,31)-187</f>
        <v>41087</v>
      </c>
      <c r="B2316" s="8">
        <f t="shared" si="198"/>
        <v>41087</v>
      </c>
      <c r="C2316" s="9" t="s">
        <v>1109</v>
      </c>
      <c r="D2316">
        <v>10021296747</v>
      </c>
      <c r="E2316" t="s">
        <v>47</v>
      </c>
      <c r="F2316" t="s">
        <v>132</v>
      </c>
      <c r="G2316" t="s">
        <v>133</v>
      </c>
      <c r="H2316" t="s">
        <v>134</v>
      </c>
      <c r="I2316" t="s">
        <v>133</v>
      </c>
      <c r="J2316" t="s">
        <v>668</v>
      </c>
      <c r="K2316" s="3">
        <v>100422608093</v>
      </c>
      <c r="L2316" s="10">
        <v>41088</v>
      </c>
      <c r="M2316">
        <v>1943.72</v>
      </c>
      <c r="N2316" s="11">
        <v>47</v>
      </c>
      <c r="O2316" s="12">
        <v>41.47</v>
      </c>
      <c r="P2316" s="12">
        <v>34.2</v>
      </c>
      <c r="Q2316" s="13">
        <v>-1003.58</v>
      </c>
      <c r="R2316" s="36" t="s">
        <v>1610</v>
      </c>
      <c r="S2316" s="7">
        <f t="shared" si="197"/>
        <v>1</v>
      </c>
      <c r="T2316" s="15" t="str">
        <f>VLOOKUP(R2316,产品分类!$C$2:$D$1278,2,0)</f>
        <v>办公用品</v>
      </c>
    </row>
    <row r="2317" spans="1:20">
      <c r="A2317" s="8">
        <f t="shared" si="198"/>
        <v>41087</v>
      </c>
      <c r="B2317" s="8">
        <f t="shared" si="198"/>
        <v>41087</v>
      </c>
      <c r="C2317" s="9" t="s">
        <v>1109</v>
      </c>
      <c r="D2317">
        <v>10021510356</v>
      </c>
      <c r="E2317" t="s">
        <v>47</v>
      </c>
      <c r="F2317" t="s">
        <v>97</v>
      </c>
      <c r="G2317" t="s">
        <v>98</v>
      </c>
      <c r="H2317" t="s">
        <v>99</v>
      </c>
      <c r="I2317" t="s">
        <v>98</v>
      </c>
      <c r="J2317" t="s">
        <v>668</v>
      </c>
      <c r="K2317" s="3">
        <v>100932674521</v>
      </c>
      <c r="L2317" s="10">
        <v>41088</v>
      </c>
      <c r="M2317">
        <v>18.37</v>
      </c>
      <c r="N2317" s="11">
        <v>6</v>
      </c>
      <c r="O2317" s="12">
        <v>2.78</v>
      </c>
      <c r="P2317" s="12">
        <v>1.2</v>
      </c>
      <c r="Q2317" s="13">
        <v>-4.06</v>
      </c>
      <c r="R2317" s="36" t="s">
        <v>452</v>
      </c>
      <c r="S2317" s="7">
        <f t="shared" si="197"/>
        <v>1</v>
      </c>
      <c r="T2317" s="15" t="str">
        <f>VLOOKUP(R2317,产品分类!$C$2:$D$1278,2,0)</f>
        <v>家具产品</v>
      </c>
    </row>
    <row r="2318" spans="1:20">
      <c r="A2318" s="8">
        <f t="shared" si="198"/>
        <v>41087</v>
      </c>
      <c r="B2318" s="8">
        <f t="shared" si="198"/>
        <v>41087</v>
      </c>
      <c r="C2318" s="9" t="s">
        <v>1109</v>
      </c>
      <c r="D2318">
        <v>10021420591</v>
      </c>
      <c r="E2318" t="s">
        <v>47</v>
      </c>
      <c r="F2318" t="s">
        <v>132</v>
      </c>
      <c r="G2318" t="s">
        <v>133</v>
      </c>
      <c r="H2318" t="s">
        <v>134</v>
      </c>
      <c r="I2318" t="s">
        <v>133</v>
      </c>
      <c r="J2318" t="s">
        <v>668</v>
      </c>
      <c r="K2318" s="3">
        <v>100421371213</v>
      </c>
      <c r="L2318" s="10">
        <v>41089</v>
      </c>
      <c r="M2318">
        <v>6175.777</v>
      </c>
      <c r="N2318" s="11">
        <v>49</v>
      </c>
      <c r="O2318" s="12">
        <v>155.99</v>
      </c>
      <c r="P2318" s="12">
        <v>3.9</v>
      </c>
      <c r="Q2318" s="13">
        <v>1881.576</v>
      </c>
      <c r="R2318" s="36" t="s">
        <v>724</v>
      </c>
      <c r="S2318" s="7">
        <f t="shared" si="197"/>
        <v>2</v>
      </c>
      <c r="T2318" s="15" t="str">
        <f>VLOOKUP(R2318,产品分类!$C$2:$D$1278,2,0)</f>
        <v>家具产品</v>
      </c>
    </row>
    <row r="2319" spans="1:20">
      <c r="A2319" s="8">
        <f>DATE(2012,12,31)-86</f>
        <v>41188</v>
      </c>
      <c r="B2319" s="8">
        <f>DATE(2012,12,31)-86</f>
        <v>41188</v>
      </c>
      <c r="C2319" s="9" t="s">
        <v>1054</v>
      </c>
      <c r="D2319">
        <v>10021288421</v>
      </c>
      <c r="E2319" t="s">
        <v>47</v>
      </c>
      <c r="F2319" t="s">
        <v>132</v>
      </c>
      <c r="G2319" t="s">
        <v>133</v>
      </c>
      <c r="H2319" t="s">
        <v>134</v>
      </c>
      <c r="I2319" t="s">
        <v>133</v>
      </c>
      <c r="J2319" t="s">
        <v>668</v>
      </c>
      <c r="K2319" s="3">
        <v>100124193236</v>
      </c>
      <c r="L2319" s="10">
        <v>41190</v>
      </c>
      <c r="M2319">
        <v>24.36</v>
      </c>
      <c r="N2319" s="11">
        <v>3</v>
      </c>
      <c r="O2319" s="12">
        <v>6.48</v>
      </c>
      <c r="P2319" s="12">
        <v>5.74</v>
      </c>
      <c r="Q2319" s="13">
        <v>-13.01</v>
      </c>
      <c r="R2319" s="36" t="s">
        <v>1644</v>
      </c>
      <c r="S2319" s="7">
        <f t="shared" si="197"/>
        <v>2</v>
      </c>
      <c r="T2319" s="15" t="str">
        <f>VLOOKUP(R2319,产品分类!$C$2:$D$1278,2,0)</f>
        <v>数码电子</v>
      </c>
    </row>
    <row r="2320" spans="1:20">
      <c r="A2320" s="8">
        <f>DATE(2012,12,31)-617</f>
        <v>40657</v>
      </c>
      <c r="B2320" s="8">
        <f>DATE(2012,12,31)-617</f>
        <v>40657</v>
      </c>
      <c r="C2320" s="9" t="s">
        <v>845</v>
      </c>
      <c r="D2320">
        <v>10021510446</v>
      </c>
      <c r="E2320" t="s">
        <v>47</v>
      </c>
      <c r="F2320" t="s">
        <v>208</v>
      </c>
      <c r="G2320" t="s">
        <v>209</v>
      </c>
      <c r="H2320" t="s">
        <v>1492</v>
      </c>
      <c r="I2320" t="s">
        <v>1493</v>
      </c>
      <c r="J2320" t="s">
        <v>668</v>
      </c>
      <c r="K2320" s="3">
        <v>100932677311</v>
      </c>
      <c r="L2320" s="10">
        <v>40659</v>
      </c>
      <c r="M2320">
        <v>5549.79</v>
      </c>
      <c r="N2320" s="11">
        <v>47</v>
      </c>
      <c r="O2320" s="12">
        <v>145.45</v>
      </c>
      <c r="P2320" s="12">
        <v>17.85</v>
      </c>
      <c r="Q2320" s="13">
        <v>1300.8</v>
      </c>
      <c r="R2320" s="36" t="s">
        <v>322</v>
      </c>
      <c r="S2320" s="7">
        <f t="shared" si="197"/>
        <v>2</v>
      </c>
      <c r="T2320" s="15" t="str">
        <f>VLOOKUP(R2320,产品分类!$C$2:$D$1278,2,0)</f>
        <v>家具产品</v>
      </c>
    </row>
    <row r="2321" spans="1:20">
      <c r="A2321" s="8">
        <f>DATE(2012,12,31)-250</f>
        <v>41024</v>
      </c>
      <c r="B2321" s="8">
        <f>DATE(2012,12,31)-250</f>
        <v>41024</v>
      </c>
      <c r="C2321" s="9" t="s">
        <v>1955</v>
      </c>
      <c r="D2321">
        <v>10021446395</v>
      </c>
      <c r="E2321" t="s">
        <v>47</v>
      </c>
      <c r="F2321" t="s">
        <v>137</v>
      </c>
      <c r="G2321" t="s">
        <v>138</v>
      </c>
      <c r="H2321" t="s">
        <v>139</v>
      </c>
      <c r="I2321" t="s">
        <v>601</v>
      </c>
      <c r="J2321" t="s">
        <v>668</v>
      </c>
      <c r="K2321" s="3">
        <v>100418244263</v>
      </c>
      <c r="L2321" s="10">
        <v>41026</v>
      </c>
      <c r="M2321">
        <v>3.96</v>
      </c>
      <c r="N2321" s="11">
        <v>3</v>
      </c>
      <c r="O2321" s="12">
        <v>1.14</v>
      </c>
      <c r="P2321" s="12">
        <v>0.7</v>
      </c>
      <c r="Q2321" s="13">
        <v>-1.72</v>
      </c>
      <c r="R2321" s="36" t="s">
        <v>1635</v>
      </c>
      <c r="S2321" s="7">
        <f t="shared" si="197"/>
        <v>2</v>
      </c>
      <c r="T2321" s="15" t="str">
        <f>VLOOKUP(R2321,产品分类!$C$2:$D$1278,2,0)</f>
        <v>家具产品</v>
      </c>
    </row>
    <row r="2322" spans="1:20">
      <c r="A2322" s="8">
        <f>DATE(2012,12,31)-560</f>
        <v>40714</v>
      </c>
      <c r="B2322" s="8">
        <f>DATE(2012,12,31)-560</f>
        <v>40714</v>
      </c>
      <c r="C2322" s="9" t="s">
        <v>1178</v>
      </c>
      <c r="D2322">
        <v>10021348140</v>
      </c>
      <c r="E2322" t="s">
        <v>47</v>
      </c>
      <c r="F2322" t="s">
        <v>208</v>
      </c>
      <c r="G2322" t="s">
        <v>209</v>
      </c>
      <c r="H2322" t="s">
        <v>1956</v>
      </c>
      <c r="I2322" t="s">
        <v>1957</v>
      </c>
      <c r="J2322" t="s">
        <v>668</v>
      </c>
      <c r="K2322" s="3">
        <v>100830437012</v>
      </c>
      <c r="L2322" s="10">
        <v>40715</v>
      </c>
      <c r="M2322">
        <v>1390.49</v>
      </c>
      <c r="N2322" s="11">
        <v>15</v>
      </c>
      <c r="O2322" s="12">
        <v>90.48</v>
      </c>
      <c r="P2322" s="12">
        <v>19.99</v>
      </c>
      <c r="Q2322" s="13">
        <v>366.8</v>
      </c>
      <c r="R2322" s="36" t="s">
        <v>1008</v>
      </c>
      <c r="S2322" s="7">
        <f t="shared" si="197"/>
        <v>1</v>
      </c>
      <c r="T2322" s="15" t="str">
        <f>VLOOKUP(R2322,产品分类!$C$2:$D$1278,2,0)</f>
        <v>办公用品</v>
      </c>
    </row>
    <row r="2323" spans="1:20">
      <c r="A2323" s="8">
        <f>DATE(2012,12,31)-823</f>
        <v>40451</v>
      </c>
      <c r="B2323" s="8">
        <f>DATE(2012,12,31)-823</f>
        <v>40451</v>
      </c>
      <c r="C2323" s="9" t="s">
        <v>867</v>
      </c>
      <c r="D2323">
        <v>10021418736</v>
      </c>
      <c r="E2323" t="s">
        <v>47</v>
      </c>
      <c r="F2323" t="s">
        <v>208</v>
      </c>
      <c r="G2323" t="s">
        <v>209</v>
      </c>
      <c r="H2323" t="s">
        <v>1956</v>
      </c>
      <c r="I2323" t="s">
        <v>1957</v>
      </c>
      <c r="J2323" t="s">
        <v>668</v>
      </c>
      <c r="K2323" s="3">
        <v>100122009476</v>
      </c>
      <c r="L2323" s="10">
        <v>40452</v>
      </c>
      <c r="M2323">
        <v>157.97</v>
      </c>
      <c r="N2323" s="11">
        <v>6</v>
      </c>
      <c r="O2323" s="12">
        <v>22.84</v>
      </c>
      <c r="P2323" s="12">
        <v>16.87</v>
      </c>
      <c r="Q2323" s="13">
        <v>-42.38</v>
      </c>
      <c r="R2323" s="36" t="s">
        <v>1958</v>
      </c>
      <c r="S2323" s="7">
        <f t="shared" si="197"/>
        <v>1</v>
      </c>
      <c r="T2323" s="15" t="str">
        <f>VLOOKUP(R2323,产品分类!$C$2:$D$1278,2,0)</f>
        <v>数码电子</v>
      </c>
    </row>
    <row r="2324" spans="1:20">
      <c r="A2324" s="8">
        <f>DATE(2012,12,31)-1255</f>
        <v>40019</v>
      </c>
      <c r="B2324" s="8">
        <f>DATE(2012,12,31)-1255</f>
        <v>40019</v>
      </c>
      <c r="C2324" s="9" t="s">
        <v>683</v>
      </c>
      <c r="D2324">
        <v>10021498544</v>
      </c>
      <c r="E2324" t="s">
        <v>47</v>
      </c>
      <c r="F2324" t="s">
        <v>137</v>
      </c>
      <c r="G2324" t="s">
        <v>138</v>
      </c>
      <c r="H2324" t="s">
        <v>139</v>
      </c>
      <c r="I2324" t="s">
        <v>140</v>
      </c>
      <c r="J2324" t="s">
        <v>668</v>
      </c>
      <c r="K2324" s="3">
        <v>100422603214</v>
      </c>
      <c r="L2324" s="10">
        <v>40020</v>
      </c>
      <c r="M2324">
        <v>101.47</v>
      </c>
      <c r="N2324" s="11">
        <v>9</v>
      </c>
      <c r="O2324" s="12">
        <v>10.89</v>
      </c>
      <c r="P2324" s="12">
        <v>4.5</v>
      </c>
      <c r="Q2324" s="13">
        <v>-18.64</v>
      </c>
      <c r="R2324" s="36" t="s">
        <v>269</v>
      </c>
      <c r="S2324" s="7">
        <f t="shared" si="197"/>
        <v>1</v>
      </c>
      <c r="T2324" s="15" t="str">
        <f>VLOOKUP(R2324,产品分类!$C$2:$D$1278,2,0)</f>
        <v>办公用品</v>
      </c>
    </row>
    <row r="2325" spans="1:20">
      <c r="A2325" s="16">
        <f>DATE(2012,12,31)-1455</f>
        <v>39819</v>
      </c>
      <c r="B2325" s="16">
        <f>DATE(2012,12,31)-1455</f>
        <v>39819</v>
      </c>
      <c r="C2325" s="9" t="s">
        <v>419</v>
      </c>
      <c r="D2325">
        <v>10021460772</v>
      </c>
      <c r="E2325" t="s">
        <v>47</v>
      </c>
      <c r="F2325" t="s">
        <v>171</v>
      </c>
      <c r="G2325" t="s">
        <v>172</v>
      </c>
      <c r="H2325" t="s">
        <v>1712</v>
      </c>
      <c r="I2325" t="s">
        <v>1713</v>
      </c>
      <c r="J2325" t="s">
        <v>668</v>
      </c>
      <c r="K2325" s="3">
        <v>100711146025</v>
      </c>
      <c r="L2325" s="10">
        <v>39820</v>
      </c>
      <c r="M2325">
        <v>37.06</v>
      </c>
      <c r="N2325" s="17">
        <v>17</v>
      </c>
      <c r="O2325" s="5">
        <v>2.1</v>
      </c>
      <c r="P2325" s="5">
        <v>0.7</v>
      </c>
      <c r="Q2325" s="6">
        <v>0.609999999999999</v>
      </c>
      <c r="R2325" s="37" t="s">
        <v>1959</v>
      </c>
      <c r="S2325" s="7">
        <f t="shared" si="197"/>
        <v>1</v>
      </c>
      <c r="T2325" s="15" t="str">
        <f>VLOOKUP(R2325,产品分类!$C$2:$D$1278,2,0)</f>
        <v>办公用品</v>
      </c>
    </row>
    <row r="2326" spans="1:20">
      <c r="A2326" s="8">
        <f>DATE(2012,12,31)-1190</f>
        <v>40084</v>
      </c>
      <c r="B2326" s="8">
        <f>DATE(2012,12,31)-1190</f>
        <v>40084</v>
      </c>
      <c r="C2326" s="9" t="s">
        <v>1726</v>
      </c>
      <c r="D2326">
        <v>10021421072</v>
      </c>
      <c r="E2326" t="s">
        <v>47</v>
      </c>
      <c r="F2326" t="s">
        <v>171</v>
      </c>
      <c r="G2326" t="s">
        <v>172</v>
      </c>
      <c r="H2326" t="s">
        <v>1712</v>
      </c>
      <c r="I2326" t="s">
        <v>1713</v>
      </c>
      <c r="J2326" t="s">
        <v>668</v>
      </c>
      <c r="K2326" s="3">
        <v>100925606381</v>
      </c>
      <c r="L2326" s="10">
        <v>40086</v>
      </c>
      <c r="M2326">
        <v>1737.06</v>
      </c>
      <c r="N2326" s="11">
        <v>42</v>
      </c>
      <c r="O2326" s="12">
        <v>39.98</v>
      </c>
      <c r="P2326" s="12">
        <v>9.2</v>
      </c>
      <c r="Q2326" s="13">
        <v>339.17</v>
      </c>
      <c r="R2326" s="36" t="s">
        <v>1787</v>
      </c>
      <c r="S2326" s="7">
        <f t="shared" si="197"/>
        <v>2</v>
      </c>
      <c r="T2326" s="15" t="str">
        <f>VLOOKUP(R2326,产品分类!$C$2:$D$1278,2,0)</f>
        <v>办公用品</v>
      </c>
    </row>
    <row r="2327" spans="1:20">
      <c r="A2327" s="8">
        <f>DATE(2012,12,31)-5</f>
        <v>41269</v>
      </c>
      <c r="B2327" s="8">
        <f>DATE(2012,12,31)-5</f>
        <v>41269</v>
      </c>
      <c r="C2327" s="9" t="s">
        <v>1362</v>
      </c>
      <c r="D2327">
        <v>10021425324</v>
      </c>
      <c r="E2327" t="s">
        <v>47</v>
      </c>
      <c r="F2327" t="s">
        <v>171</v>
      </c>
      <c r="G2327" t="s">
        <v>172</v>
      </c>
      <c r="H2327" t="s">
        <v>1712</v>
      </c>
      <c r="I2327" t="s">
        <v>1713</v>
      </c>
      <c r="J2327" t="s">
        <v>668</v>
      </c>
      <c r="K2327" s="3">
        <v>100129542396</v>
      </c>
      <c r="L2327" s="10">
        <v>41271</v>
      </c>
      <c r="M2327">
        <v>95.71</v>
      </c>
      <c r="N2327" s="11">
        <v>38</v>
      </c>
      <c r="O2327" s="12">
        <v>2.61</v>
      </c>
      <c r="P2327" s="12">
        <v>0.5</v>
      </c>
      <c r="Q2327" s="13">
        <v>32.81</v>
      </c>
      <c r="R2327" s="36" t="s">
        <v>624</v>
      </c>
      <c r="S2327" s="7">
        <f t="shared" si="197"/>
        <v>2</v>
      </c>
      <c r="T2327" s="15" t="str">
        <f>VLOOKUP(R2327,产品分类!$C$2:$D$1278,2,0)</f>
        <v>数码电子</v>
      </c>
    </row>
    <row r="2328" spans="1:20">
      <c r="A2328" s="8">
        <f>DATE(2012,12,31)-39</f>
        <v>41235</v>
      </c>
      <c r="B2328" s="8">
        <f>DATE(2012,12,31)-39</f>
        <v>41235</v>
      </c>
      <c r="C2328" s="9" t="s">
        <v>1247</v>
      </c>
      <c r="D2328">
        <v>10021430724</v>
      </c>
      <c r="E2328" t="s">
        <v>47</v>
      </c>
      <c r="F2328" t="s">
        <v>527</v>
      </c>
      <c r="G2328" t="s">
        <v>528</v>
      </c>
      <c r="H2328" t="s">
        <v>1913</v>
      </c>
      <c r="I2328" t="s">
        <v>1914</v>
      </c>
      <c r="J2328" t="s">
        <v>668</v>
      </c>
      <c r="K2328" s="3">
        <v>100131943046</v>
      </c>
      <c r="L2328" s="10">
        <v>41239</v>
      </c>
      <c r="M2328">
        <v>2469.15</v>
      </c>
      <c r="N2328" s="11">
        <v>49</v>
      </c>
      <c r="O2328" s="12">
        <v>48.94</v>
      </c>
      <c r="P2328" s="12">
        <v>5.86</v>
      </c>
      <c r="Q2328" s="13">
        <v>1244.81</v>
      </c>
      <c r="R2328" s="36" t="s">
        <v>1200</v>
      </c>
      <c r="S2328" s="7">
        <f t="shared" si="197"/>
        <v>4</v>
      </c>
      <c r="T2328" s="15" t="str">
        <f>VLOOKUP(R2328,产品分类!$C$2:$D$1278,2,0)</f>
        <v>数码电子</v>
      </c>
    </row>
    <row r="2329" spans="1:20">
      <c r="A2329" s="16">
        <f>DATE(2012,12,31)-621</f>
        <v>40653</v>
      </c>
      <c r="B2329" s="16">
        <f>DATE(2012,12,31)-621</f>
        <v>40653</v>
      </c>
      <c r="C2329" s="9" t="s">
        <v>766</v>
      </c>
      <c r="D2329">
        <v>10021371793</v>
      </c>
      <c r="E2329" t="s">
        <v>47</v>
      </c>
      <c r="F2329" t="s">
        <v>171</v>
      </c>
      <c r="G2329" t="s">
        <v>172</v>
      </c>
      <c r="H2329" t="s">
        <v>1712</v>
      </c>
      <c r="I2329" t="s">
        <v>1713</v>
      </c>
      <c r="J2329" t="s">
        <v>668</v>
      </c>
      <c r="K2329" s="3">
        <v>100132212037</v>
      </c>
      <c r="L2329" s="10">
        <v>40654</v>
      </c>
      <c r="M2329">
        <v>302.59</v>
      </c>
      <c r="N2329" s="17">
        <v>44</v>
      </c>
      <c r="O2329" s="5">
        <v>6.68</v>
      </c>
      <c r="P2329" s="5">
        <v>6.93</v>
      </c>
      <c r="Q2329" s="6">
        <v>-124.44</v>
      </c>
      <c r="R2329" s="37" t="s">
        <v>1002</v>
      </c>
      <c r="S2329" s="7">
        <f t="shared" si="197"/>
        <v>1</v>
      </c>
      <c r="T2329" s="15" t="str">
        <f>VLOOKUP(R2329,产品分类!$C$2:$D$1278,2,0)</f>
        <v>办公用品</v>
      </c>
    </row>
    <row r="2330" spans="1:20">
      <c r="A2330" s="16">
        <f>DATE(2012,12,31)-621</f>
        <v>40653</v>
      </c>
      <c r="B2330" s="16">
        <f>DATE(2012,12,31)-621</f>
        <v>40653</v>
      </c>
      <c r="C2330" s="9" t="s">
        <v>766</v>
      </c>
      <c r="D2330">
        <v>10021420744</v>
      </c>
      <c r="E2330" t="s">
        <v>47</v>
      </c>
      <c r="F2330" t="s">
        <v>171</v>
      </c>
      <c r="G2330" t="s">
        <v>172</v>
      </c>
      <c r="H2330" t="s">
        <v>1712</v>
      </c>
      <c r="I2330" t="s">
        <v>1713</v>
      </c>
      <c r="J2330" t="s">
        <v>668</v>
      </c>
      <c r="K2330" s="3">
        <v>100925184271</v>
      </c>
      <c r="L2330" s="10">
        <v>40655</v>
      </c>
      <c r="M2330">
        <v>2703.45</v>
      </c>
      <c r="N2330" s="17">
        <v>26</v>
      </c>
      <c r="O2330" s="5">
        <v>95.99</v>
      </c>
      <c r="P2330" s="5">
        <v>35</v>
      </c>
      <c r="Q2330" s="6">
        <v>-445.04</v>
      </c>
      <c r="R2330" s="37" t="s">
        <v>144</v>
      </c>
      <c r="S2330" s="7">
        <f t="shared" si="197"/>
        <v>2</v>
      </c>
      <c r="T2330" s="15" t="str">
        <f>VLOOKUP(R2330,产品分类!$C$2:$D$1278,2,0)</f>
        <v>办公用品</v>
      </c>
    </row>
    <row r="2331" spans="1:20">
      <c r="A2331" s="8">
        <f>DATE(2012,12,31)-296</f>
        <v>40978</v>
      </c>
      <c r="B2331" s="8">
        <f>DATE(2012,12,31)-296</f>
        <v>40978</v>
      </c>
      <c r="C2331" s="9" t="s">
        <v>540</v>
      </c>
      <c r="D2331">
        <v>10021387330</v>
      </c>
      <c r="E2331" t="s">
        <v>47</v>
      </c>
      <c r="F2331" t="s">
        <v>177</v>
      </c>
      <c r="G2331" t="s">
        <v>178</v>
      </c>
      <c r="H2331" t="s">
        <v>1292</v>
      </c>
      <c r="I2331" t="s">
        <v>1293</v>
      </c>
      <c r="J2331" t="s">
        <v>668</v>
      </c>
      <c r="K2331" s="3">
        <v>100118436918</v>
      </c>
      <c r="L2331" s="10">
        <v>40980</v>
      </c>
      <c r="M2331">
        <v>2430.34</v>
      </c>
      <c r="N2331" s="11">
        <v>46</v>
      </c>
      <c r="O2331" s="12">
        <v>55.98</v>
      </c>
      <c r="P2331" s="12">
        <v>13.88</v>
      </c>
      <c r="Q2331" s="13">
        <v>752.87</v>
      </c>
      <c r="R2331" s="36" t="s">
        <v>1180</v>
      </c>
      <c r="S2331" s="7">
        <f t="shared" si="197"/>
        <v>2</v>
      </c>
      <c r="T2331" s="15" t="str">
        <f>VLOOKUP(R2331,产品分类!$C$2:$D$1278,2,0)</f>
        <v>办公用品</v>
      </c>
    </row>
    <row r="2332" spans="1:20">
      <c r="A2332" s="8">
        <f>DATE(2012,12,31)-296</f>
        <v>40978</v>
      </c>
      <c r="B2332" s="8">
        <f>DATE(2012,12,31)-296</f>
        <v>40978</v>
      </c>
      <c r="C2332" s="9" t="s">
        <v>540</v>
      </c>
      <c r="D2332">
        <v>10021507835</v>
      </c>
      <c r="E2332" t="s">
        <v>47</v>
      </c>
      <c r="F2332" t="s">
        <v>177</v>
      </c>
      <c r="G2332" t="s">
        <v>178</v>
      </c>
      <c r="H2332" t="s">
        <v>1292</v>
      </c>
      <c r="I2332" t="s">
        <v>1293</v>
      </c>
      <c r="J2332" t="s">
        <v>668</v>
      </c>
      <c r="K2332" s="3">
        <v>100932019861</v>
      </c>
      <c r="L2332" s="10">
        <v>40979</v>
      </c>
      <c r="M2332">
        <v>218.6</v>
      </c>
      <c r="N2332" s="11">
        <v>36</v>
      </c>
      <c r="O2332" s="12">
        <v>5.78</v>
      </c>
      <c r="P2332" s="12">
        <v>4.96</v>
      </c>
      <c r="Q2332" s="13">
        <v>-46.43</v>
      </c>
      <c r="R2332" s="36" t="s">
        <v>674</v>
      </c>
      <c r="S2332" s="7">
        <f t="shared" si="197"/>
        <v>1</v>
      </c>
      <c r="T2332" s="15" t="str">
        <f>VLOOKUP(R2332,产品分类!$C$2:$D$1278,2,0)</f>
        <v>家具产品</v>
      </c>
    </row>
    <row r="2333" spans="1:20">
      <c r="A2333" s="8">
        <f>DATE(2012,12,31)-367</f>
        <v>40907</v>
      </c>
      <c r="B2333" s="8">
        <f>DATE(2012,12,31)-367</f>
        <v>40907</v>
      </c>
      <c r="C2333" s="9" t="s">
        <v>355</v>
      </c>
      <c r="D2333">
        <v>10021505313</v>
      </c>
      <c r="E2333" t="s">
        <v>47</v>
      </c>
      <c r="F2333" t="s">
        <v>167</v>
      </c>
      <c r="G2333" t="s">
        <v>168</v>
      </c>
      <c r="H2333" t="s">
        <v>169</v>
      </c>
      <c r="I2333" t="s">
        <v>168</v>
      </c>
      <c r="J2333" t="s">
        <v>668</v>
      </c>
      <c r="K2333" s="3">
        <v>100130786286</v>
      </c>
      <c r="L2333" s="10">
        <v>40909</v>
      </c>
      <c r="M2333">
        <v>852.75</v>
      </c>
      <c r="N2333" s="11">
        <v>29</v>
      </c>
      <c r="O2333" s="12">
        <v>30.44</v>
      </c>
      <c r="P2333" s="12">
        <v>1.49</v>
      </c>
      <c r="Q2333" s="13">
        <v>358.734</v>
      </c>
      <c r="R2333" s="36" t="s">
        <v>1960</v>
      </c>
      <c r="S2333" s="7">
        <f t="shared" si="197"/>
        <v>2</v>
      </c>
      <c r="T2333" s="15" t="str">
        <f>VLOOKUP(R2333,产品分类!$C$2:$D$1278,2,0)</f>
        <v>数码电子</v>
      </c>
    </row>
    <row r="2334" spans="1:20">
      <c r="A2334" s="8">
        <f>DATE(2012,12,31)-367</f>
        <v>40907</v>
      </c>
      <c r="B2334" s="8">
        <f>DATE(2012,12,31)-367</f>
        <v>40907</v>
      </c>
      <c r="C2334" s="9" t="s">
        <v>355</v>
      </c>
      <c r="D2334">
        <v>10021339101</v>
      </c>
      <c r="E2334" t="s">
        <v>47</v>
      </c>
      <c r="F2334" t="s">
        <v>177</v>
      </c>
      <c r="G2334" t="s">
        <v>178</v>
      </c>
      <c r="H2334" t="s">
        <v>1292</v>
      </c>
      <c r="I2334" t="s">
        <v>1293</v>
      </c>
      <c r="J2334" t="s">
        <v>668</v>
      </c>
      <c r="K2334" s="3">
        <v>100420180973</v>
      </c>
      <c r="L2334" s="10">
        <v>40909</v>
      </c>
      <c r="M2334">
        <v>172.33</v>
      </c>
      <c r="N2334" s="11">
        <v>26</v>
      </c>
      <c r="O2334" s="12">
        <v>6.48</v>
      </c>
      <c r="P2334" s="12">
        <v>5.74</v>
      </c>
      <c r="Q2334" s="13">
        <v>-52.21</v>
      </c>
      <c r="R2334" s="36" t="s">
        <v>1644</v>
      </c>
      <c r="S2334" s="7">
        <f t="shared" si="197"/>
        <v>2</v>
      </c>
      <c r="T2334" s="15" t="str">
        <f>VLOOKUP(R2334,产品分类!$C$2:$D$1278,2,0)</f>
        <v>数码电子</v>
      </c>
    </row>
    <row r="2335" spans="1:20">
      <c r="A2335" s="8">
        <f>DATE(2012,12,31)-928</f>
        <v>40346</v>
      </c>
      <c r="B2335" s="8">
        <f>DATE(2012,12,31)-928</f>
        <v>40346</v>
      </c>
      <c r="C2335" s="9" t="s">
        <v>1511</v>
      </c>
      <c r="D2335">
        <v>10021318559</v>
      </c>
      <c r="E2335" t="s">
        <v>47</v>
      </c>
      <c r="F2335" t="s">
        <v>177</v>
      </c>
      <c r="G2335" t="s">
        <v>178</v>
      </c>
      <c r="H2335" t="s">
        <v>1292</v>
      </c>
      <c r="I2335" t="s">
        <v>1293</v>
      </c>
      <c r="J2335" t="s">
        <v>668</v>
      </c>
      <c r="K2335" s="3">
        <v>10032313669</v>
      </c>
      <c r="L2335" s="10">
        <v>40347</v>
      </c>
      <c r="M2335">
        <v>167.37</v>
      </c>
      <c r="N2335" s="11">
        <v>4</v>
      </c>
      <c r="O2335" s="12">
        <v>43.22</v>
      </c>
      <c r="P2335" s="12">
        <v>4</v>
      </c>
      <c r="Q2335" s="13">
        <v>-132.15</v>
      </c>
      <c r="R2335" s="36" t="s">
        <v>1525</v>
      </c>
      <c r="S2335" s="7">
        <f t="shared" si="197"/>
        <v>1</v>
      </c>
      <c r="T2335" s="15" t="str">
        <f>VLOOKUP(R2335,产品分类!$C$2:$D$1278,2,0)</f>
        <v>数码电子</v>
      </c>
    </row>
    <row r="2336" spans="1:20">
      <c r="A2336" s="8">
        <f>DATE(2012,12,31)-928</f>
        <v>40346</v>
      </c>
      <c r="B2336" s="8">
        <f>DATE(2012,12,31)-928</f>
        <v>40346</v>
      </c>
      <c r="C2336" s="9" t="s">
        <v>1511</v>
      </c>
      <c r="D2336">
        <v>10021459403</v>
      </c>
      <c r="E2336" t="s">
        <v>47</v>
      </c>
      <c r="F2336" t="s">
        <v>342</v>
      </c>
      <c r="G2336" t="s">
        <v>343</v>
      </c>
      <c r="H2336" t="s">
        <v>1806</v>
      </c>
      <c r="I2336" t="s">
        <v>1807</v>
      </c>
      <c r="J2336" t="s">
        <v>668</v>
      </c>
      <c r="K2336" s="3">
        <v>1007578695</v>
      </c>
      <c r="L2336" s="10">
        <v>40348</v>
      </c>
      <c r="M2336">
        <v>1026.6385</v>
      </c>
      <c r="N2336" s="11">
        <v>18</v>
      </c>
      <c r="O2336" s="12">
        <v>65.99</v>
      </c>
      <c r="P2336" s="12">
        <v>19.99</v>
      </c>
      <c r="Q2336" s="13">
        <v>-201.047</v>
      </c>
      <c r="R2336" s="36" t="s">
        <v>257</v>
      </c>
      <c r="S2336" s="7">
        <f t="shared" si="197"/>
        <v>2</v>
      </c>
      <c r="T2336" s="15" t="str">
        <f>VLOOKUP(R2336,产品分类!$C$2:$D$1278,2,0)</f>
        <v>办公用品</v>
      </c>
    </row>
    <row r="2337" spans="1:20">
      <c r="A2337" s="8">
        <f>DATE(2012,12,31)-351</f>
        <v>40923</v>
      </c>
      <c r="B2337" s="8">
        <f>DATE(2012,12,31)-351</f>
        <v>40923</v>
      </c>
      <c r="C2337" s="9" t="s">
        <v>686</v>
      </c>
      <c r="D2337">
        <v>10021318520</v>
      </c>
      <c r="E2337" t="s">
        <v>47</v>
      </c>
      <c r="F2337" t="s">
        <v>55</v>
      </c>
      <c r="G2337" t="s">
        <v>56</v>
      </c>
      <c r="H2337" t="s">
        <v>1869</v>
      </c>
      <c r="I2337" t="s">
        <v>1870</v>
      </c>
      <c r="J2337" t="s">
        <v>668</v>
      </c>
      <c r="K2337" s="3">
        <v>10032139609</v>
      </c>
      <c r="L2337" s="10">
        <v>40924</v>
      </c>
      <c r="M2337">
        <v>1585.6</v>
      </c>
      <c r="N2337" s="11">
        <v>48</v>
      </c>
      <c r="O2337" s="12">
        <v>35.44</v>
      </c>
      <c r="P2337" s="12">
        <v>4.92</v>
      </c>
      <c r="Q2337" s="13">
        <v>632.13</v>
      </c>
      <c r="R2337" s="36" t="s">
        <v>1961</v>
      </c>
      <c r="S2337" s="7">
        <f t="shared" si="197"/>
        <v>1</v>
      </c>
      <c r="T2337" s="15" t="str">
        <f>VLOOKUP(R2337,产品分类!$C$2:$D$1278,2,0)</f>
        <v>数码电子</v>
      </c>
    </row>
    <row r="2338" spans="1:20">
      <c r="A2338" s="8">
        <f>DATE(2012,12,31)-351</f>
        <v>40923</v>
      </c>
      <c r="B2338" s="8">
        <f>DATE(2012,12,31)-351</f>
        <v>40923</v>
      </c>
      <c r="C2338" s="9" t="s">
        <v>686</v>
      </c>
      <c r="D2338">
        <v>10021496806</v>
      </c>
      <c r="E2338" t="s">
        <v>47</v>
      </c>
      <c r="F2338" t="s">
        <v>253</v>
      </c>
      <c r="G2338" t="s">
        <v>254</v>
      </c>
      <c r="H2338" t="s">
        <v>255</v>
      </c>
      <c r="I2338" t="s">
        <v>256</v>
      </c>
      <c r="J2338" t="s">
        <v>668</v>
      </c>
      <c r="K2338" s="3">
        <v>100415290274</v>
      </c>
      <c r="L2338" s="10">
        <v>40925</v>
      </c>
      <c r="M2338">
        <v>215.85</v>
      </c>
      <c r="N2338" s="11">
        <v>30</v>
      </c>
      <c r="O2338" s="12">
        <v>7.4</v>
      </c>
      <c r="P2338" s="12">
        <v>1.71</v>
      </c>
      <c r="Q2338" s="13">
        <v>60.95</v>
      </c>
      <c r="R2338" s="36" t="s">
        <v>1645</v>
      </c>
      <c r="S2338" s="7">
        <f t="shared" si="197"/>
        <v>2</v>
      </c>
      <c r="T2338" s="15" t="str">
        <f>VLOOKUP(R2338,产品分类!$C$2:$D$1278,2,0)</f>
        <v>办公用品</v>
      </c>
    </row>
    <row r="2339" spans="1:20">
      <c r="A2339" s="8">
        <f>DATE(2012,12,31)-800</f>
        <v>40474</v>
      </c>
      <c r="B2339" s="8">
        <f>DATE(2012,12,31)-800</f>
        <v>40474</v>
      </c>
      <c r="C2339" s="9" t="s">
        <v>1533</v>
      </c>
      <c r="D2339">
        <v>10021387397</v>
      </c>
      <c r="E2339" t="s">
        <v>47</v>
      </c>
      <c r="F2339" t="s">
        <v>61</v>
      </c>
      <c r="G2339" t="s">
        <v>62</v>
      </c>
      <c r="H2339" t="s">
        <v>47</v>
      </c>
      <c r="I2339" t="s">
        <v>1778</v>
      </c>
      <c r="J2339" t="s">
        <v>668</v>
      </c>
      <c r="K2339" s="3">
        <v>100419611363</v>
      </c>
      <c r="L2339" s="10">
        <v>40481</v>
      </c>
      <c r="M2339">
        <v>158.78</v>
      </c>
      <c r="N2339" s="11">
        <v>23</v>
      </c>
      <c r="O2339" s="12">
        <v>7.04</v>
      </c>
      <c r="P2339" s="12">
        <v>2.17</v>
      </c>
      <c r="Q2339" s="13">
        <v>33.26</v>
      </c>
      <c r="R2339" s="36" t="s">
        <v>1920</v>
      </c>
      <c r="S2339" s="7">
        <f t="shared" si="197"/>
        <v>7</v>
      </c>
      <c r="T2339" s="15" t="str">
        <f>VLOOKUP(R2339,产品分类!$C$2:$D$1278,2,0)</f>
        <v>家具产品</v>
      </c>
    </row>
    <row r="2340" spans="1:20">
      <c r="A2340" s="8">
        <f>DATE(2012,12,31)-800</f>
        <v>40474</v>
      </c>
      <c r="B2340" s="8">
        <f>DATE(2012,12,31)-800</f>
        <v>40474</v>
      </c>
      <c r="C2340" s="9" t="s">
        <v>1533</v>
      </c>
      <c r="D2340">
        <v>10021389472</v>
      </c>
      <c r="E2340" t="s">
        <v>47</v>
      </c>
      <c r="F2340" t="s">
        <v>61</v>
      </c>
      <c r="G2340" t="s">
        <v>62</v>
      </c>
      <c r="H2340" t="s">
        <v>47</v>
      </c>
      <c r="I2340" t="s">
        <v>1778</v>
      </c>
      <c r="J2340" t="s">
        <v>668</v>
      </c>
      <c r="K2340" s="3">
        <v>100132127348</v>
      </c>
      <c r="L2340" s="10">
        <v>40476</v>
      </c>
      <c r="M2340">
        <v>463.42</v>
      </c>
      <c r="N2340" s="11">
        <v>33</v>
      </c>
      <c r="O2340" s="12">
        <v>14.45</v>
      </c>
      <c r="P2340" s="12">
        <v>7.17</v>
      </c>
      <c r="Q2340" s="13">
        <v>14.2035</v>
      </c>
      <c r="R2340" s="36" t="s">
        <v>1317</v>
      </c>
      <c r="S2340" s="7">
        <f t="shared" si="197"/>
        <v>2</v>
      </c>
      <c r="T2340" s="15" t="str">
        <f>VLOOKUP(R2340,产品分类!$C$2:$D$1278,2,0)</f>
        <v>家具产品</v>
      </c>
    </row>
    <row r="2341" spans="1:20">
      <c r="A2341" s="8">
        <f>DATE(2012,12,31)-710</f>
        <v>40564</v>
      </c>
      <c r="B2341" s="8">
        <f>DATE(2012,12,31)-710</f>
        <v>40564</v>
      </c>
      <c r="C2341" s="9" t="s">
        <v>1330</v>
      </c>
      <c r="D2341">
        <v>10021344627</v>
      </c>
      <c r="E2341" t="s">
        <v>47</v>
      </c>
      <c r="F2341" t="s">
        <v>61</v>
      </c>
      <c r="G2341" t="s">
        <v>62</v>
      </c>
      <c r="H2341" t="s">
        <v>47</v>
      </c>
      <c r="I2341" t="s">
        <v>1778</v>
      </c>
      <c r="J2341" t="s">
        <v>668</v>
      </c>
      <c r="K2341" s="3">
        <v>100129790067</v>
      </c>
      <c r="L2341" s="10">
        <v>40565</v>
      </c>
      <c r="M2341">
        <v>997</v>
      </c>
      <c r="N2341" s="11">
        <v>4</v>
      </c>
      <c r="O2341" s="12">
        <v>258.98</v>
      </c>
      <c r="P2341" s="12">
        <v>54.31</v>
      </c>
      <c r="Q2341" s="13">
        <v>-307.96</v>
      </c>
      <c r="R2341" s="36" t="s">
        <v>1820</v>
      </c>
      <c r="S2341" s="7">
        <f t="shared" si="197"/>
        <v>1</v>
      </c>
      <c r="T2341" s="15" t="str">
        <f>VLOOKUP(R2341,产品分类!$C$2:$D$1278,2,0)</f>
        <v>数码电子</v>
      </c>
    </row>
    <row r="2342" spans="1:20">
      <c r="A2342" s="8">
        <f>DATE(2012,12,31)-63</f>
        <v>41211</v>
      </c>
      <c r="B2342" s="8">
        <f>DATE(2012,12,31)-63</f>
        <v>41211</v>
      </c>
      <c r="C2342" s="9" t="s">
        <v>697</v>
      </c>
      <c r="D2342">
        <v>10021350833</v>
      </c>
      <c r="E2342" t="s">
        <v>47</v>
      </c>
      <c r="F2342" t="s">
        <v>61</v>
      </c>
      <c r="G2342" t="s">
        <v>62</v>
      </c>
      <c r="H2342" t="s">
        <v>47</v>
      </c>
      <c r="I2342" t="s">
        <v>1778</v>
      </c>
      <c r="J2342" t="s">
        <v>668</v>
      </c>
      <c r="K2342" s="3">
        <v>100132182888</v>
      </c>
      <c r="L2342" s="10">
        <v>41211</v>
      </c>
      <c r="M2342">
        <v>12837.11</v>
      </c>
      <c r="N2342" s="11">
        <v>42</v>
      </c>
      <c r="O2342" s="12">
        <v>320.64</v>
      </c>
      <c r="P2342" s="12">
        <v>43.57</v>
      </c>
      <c r="Q2342" s="13">
        <v>1881.76</v>
      </c>
      <c r="R2342" s="36" t="s">
        <v>1346</v>
      </c>
      <c r="S2342" s="7">
        <f t="shared" si="197"/>
        <v>0</v>
      </c>
      <c r="T2342" s="15" t="str">
        <f>VLOOKUP(R2342,产品分类!$C$2:$D$1278,2,0)</f>
        <v>办公用品</v>
      </c>
    </row>
    <row r="2343" spans="1:20">
      <c r="A2343" s="8">
        <f>DATE(2012,12,31)-329</f>
        <v>40945</v>
      </c>
      <c r="B2343" s="8">
        <f>DATE(2012,12,31)-329</f>
        <v>40945</v>
      </c>
      <c r="C2343" s="9" t="s">
        <v>160</v>
      </c>
      <c r="D2343">
        <v>10021339188</v>
      </c>
      <c r="E2343" t="s">
        <v>47</v>
      </c>
      <c r="F2343" t="s">
        <v>61</v>
      </c>
      <c r="G2343" t="s">
        <v>62</v>
      </c>
      <c r="H2343" t="s">
        <v>47</v>
      </c>
      <c r="I2343" t="s">
        <v>1778</v>
      </c>
      <c r="J2343" t="s">
        <v>668</v>
      </c>
      <c r="K2343" s="3">
        <v>100924837411</v>
      </c>
      <c r="L2343" s="10">
        <v>40946</v>
      </c>
      <c r="M2343">
        <v>2357.9085</v>
      </c>
      <c r="N2343" s="11">
        <v>43</v>
      </c>
      <c r="O2343" s="12">
        <v>65.99</v>
      </c>
      <c r="P2343" s="12">
        <v>3.99</v>
      </c>
      <c r="Q2343" s="13">
        <v>538.488</v>
      </c>
      <c r="R2343" s="36" t="s">
        <v>727</v>
      </c>
      <c r="S2343" s="7">
        <f t="shared" si="197"/>
        <v>1</v>
      </c>
      <c r="T2343" s="15" t="str">
        <f>VLOOKUP(R2343,产品分类!$C$2:$D$1278,2,0)</f>
        <v>家具产品</v>
      </c>
    </row>
    <row r="2344" spans="1:20">
      <c r="A2344" s="8">
        <f>DATE(2012,12,31)-199</f>
        <v>41075</v>
      </c>
      <c r="B2344" s="8">
        <f>DATE(2012,12,31)-199</f>
        <v>41075</v>
      </c>
      <c r="C2344" s="9" t="s">
        <v>675</v>
      </c>
      <c r="D2344">
        <v>10021497063</v>
      </c>
      <c r="E2344" t="s">
        <v>47</v>
      </c>
      <c r="F2344" t="s">
        <v>61</v>
      </c>
      <c r="G2344" t="s">
        <v>62</v>
      </c>
      <c r="H2344" t="s">
        <v>47</v>
      </c>
      <c r="I2344" t="s">
        <v>1778</v>
      </c>
      <c r="J2344" t="s">
        <v>668</v>
      </c>
      <c r="K2344" s="3">
        <v>100816563892</v>
      </c>
      <c r="L2344" s="10">
        <v>41077</v>
      </c>
      <c r="M2344">
        <v>379.8</v>
      </c>
      <c r="N2344" s="11">
        <v>1</v>
      </c>
      <c r="O2344" s="12">
        <v>320.98</v>
      </c>
      <c r="P2344" s="12">
        <v>58.95</v>
      </c>
      <c r="Q2344" s="13">
        <v>-183.09</v>
      </c>
      <c r="R2344" s="36" t="s">
        <v>310</v>
      </c>
      <c r="S2344" s="7">
        <f t="shared" si="197"/>
        <v>2</v>
      </c>
      <c r="T2344" s="15" t="str">
        <f>VLOOKUP(R2344,产品分类!$C$2:$D$1278,2,0)</f>
        <v>办公用品</v>
      </c>
    </row>
    <row r="2345" spans="1:20">
      <c r="A2345" s="16">
        <f>DATE(2012,12,31)-199</f>
        <v>41075</v>
      </c>
      <c r="B2345" s="16">
        <f>DATE(2012,12,31)-199</f>
        <v>41075</v>
      </c>
      <c r="C2345" s="9" t="s">
        <v>675</v>
      </c>
      <c r="D2345">
        <v>10021334753</v>
      </c>
      <c r="E2345" t="s">
        <v>47</v>
      </c>
      <c r="F2345" t="s">
        <v>61</v>
      </c>
      <c r="G2345" t="s">
        <v>62</v>
      </c>
      <c r="H2345" t="s">
        <v>47</v>
      </c>
      <c r="I2345" t="s">
        <v>1778</v>
      </c>
      <c r="J2345" t="s">
        <v>668</v>
      </c>
      <c r="K2345" s="3">
        <v>100116392018</v>
      </c>
      <c r="L2345" s="10">
        <v>41077</v>
      </c>
      <c r="M2345">
        <v>107.7</v>
      </c>
      <c r="N2345" s="17">
        <v>48</v>
      </c>
      <c r="O2345" s="5">
        <v>2.21</v>
      </c>
      <c r="P2345" s="5">
        <v>1</v>
      </c>
      <c r="Q2345" s="6">
        <v>14.97</v>
      </c>
      <c r="R2345" s="37" t="s">
        <v>226</v>
      </c>
      <c r="S2345" s="7">
        <f t="shared" si="197"/>
        <v>2</v>
      </c>
      <c r="T2345" s="15" t="str">
        <f>VLOOKUP(R2345,产品分类!$C$2:$D$1278,2,0)</f>
        <v>家具产品</v>
      </c>
    </row>
    <row r="2346" spans="1:20">
      <c r="A2346" s="8">
        <f>DATE(2012,12,31)-991</f>
        <v>40283</v>
      </c>
      <c r="B2346" s="8">
        <f>DATE(2012,12,31)-991</f>
        <v>40283</v>
      </c>
      <c r="C2346" s="9" t="s">
        <v>275</v>
      </c>
      <c r="D2346">
        <v>10021425590</v>
      </c>
      <c r="E2346" t="s">
        <v>47</v>
      </c>
      <c r="F2346" t="s">
        <v>253</v>
      </c>
      <c r="G2346" t="s">
        <v>254</v>
      </c>
      <c r="H2346" t="s">
        <v>255</v>
      </c>
      <c r="I2346" t="s">
        <v>256</v>
      </c>
      <c r="J2346" t="s">
        <v>668</v>
      </c>
      <c r="K2346" s="3">
        <v>100129589917</v>
      </c>
      <c r="L2346" s="10">
        <v>40284</v>
      </c>
      <c r="M2346">
        <v>144.84</v>
      </c>
      <c r="N2346" s="11">
        <v>25</v>
      </c>
      <c r="O2346" s="12">
        <v>5.78</v>
      </c>
      <c r="P2346" s="12">
        <v>8.09</v>
      </c>
      <c r="Q2346" s="13">
        <v>-120.99</v>
      </c>
      <c r="R2346" s="36" t="s">
        <v>642</v>
      </c>
      <c r="S2346" s="7">
        <f t="shared" si="197"/>
        <v>1</v>
      </c>
      <c r="T2346" s="15" t="str">
        <f>VLOOKUP(R2346,产品分类!$C$2:$D$1278,2,0)</f>
        <v>家具产品</v>
      </c>
    </row>
    <row r="2347" spans="1:20">
      <c r="A2347" s="8">
        <f>DATE(2012,12,31)-991</f>
        <v>40283</v>
      </c>
      <c r="B2347" s="8">
        <f>DATE(2012,12,31)-991</f>
        <v>40283</v>
      </c>
      <c r="C2347" s="9" t="s">
        <v>275</v>
      </c>
      <c r="D2347">
        <v>10021456942</v>
      </c>
      <c r="E2347" t="s">
        <v>47</v>
      </c>
      <c r="F2347" t="s">
        <v>152</v>
      </c>
      <c r="G2347" t="s">
        <v>153</v>
      </c>
      <c r="H2347" t="s">
        <v>1860</v>
      </c>
      <c r="I2347" t="s">
        <v>1861</v>
      </c>
      <c r="J2347" t="s">
        <v>668</v>
      </c>
      <c r="K2347" s="3">
        <v>100332995679</v>
      </c>
      <c r="L2347" s="10">
        <v>40283</v>
      </c>
      <c r="M2347">
        <v>127.16</v>
      </c>
      <c r="N2347" s="11">
        <v>20</v>
      </c>
      <c r="O2347" s="12">
        <v>6.7</v>
      </c>
      <c r="P2347" s="12">
        <v>1.56</v>
      </c>
      <c r="Q2347" s="13">
        <v>12.88</v>
      </c>
      <c r="R2347" s="36" t="s">
        <v>1878</v>
      </c>
      <c r="S2347" s="7">
        <f t="shared" si="197"/>
        <v>0</v>
      </c>
      <c r="T2347" s="15" t="str">
        <f>VLOOKUP(R2347,产品分类!$C$2:$D$1278,2,0)</f>
        <v>办公用品</v>
      </c>
    </row>
    <row r="2348" spans="1:20">
      <c r="A2348" s="8">
        <f>DATE(2012,12,31)-16</f>
        <v>41258</v>
      </c>
      <c r="B2348" s="8">
        <f>DATE(2012,12,31)-16</f>
        <v>41258</v>
      </c>
      <c r="C2348" s="9" t="s">
        <v>1594</v>
      </c>
      <c r="D2348">
        <v>10021325100</v>
      </c>
      <c r="E2348" t="s">
        <v>47</v>
      </c>
      <c r="F2348" t="s">
        <v>177</v>
      </c>
      <c r="G2348" t="s">
        <v>178</v>
      </c>
      <c r="H2348" t="s">
        <v>1292</v>
      </c>
      <c r="I2348" t="s">
        <v>1293</v>
      </c>
      <c r="J2348" t="s">
        <v>668</v>
      </c>
      <c r="K2348" s="3">
        <v>100132843307</v>
      </c>
      <c r="L2348" s="10">
        <v>41259</v>
      </c>
      <c r="M2348">
        <v>14.74</v>
      </c>
      <c r="N2348" s="11">
        <v>3</v>
      </c>
      <c r="O2348" s="12">
        <v>4.48</v>
      </c>
      <c r="P2348" s="12">
        <v>1.22</v>
      </c>
      <c r="Q2348" s="13">
        <v>-2.72</v>
      </c>
      <c r="R2348" s="36" t="s">
        <v>1771</v>
      </c>
      <c r="S2348" s="7">
        <f t="shared" si="197"/>
        <v>1</v>
      </c>
      <c r="T2348" s="15" t="str">
        <f>VLOOKUP(R2348,产品分类!$C$2:$D$1278,2,0)</f>
        <v>办公用品</v>
      </c>
    </row>
    <row r="2349" spans="1:20">
      <c r="A2349" s="8">
        <f>DATE(2012,12,31)-16</f>
        <v>41258</v>
      </c>
      <c r="B2349" s="8">
        <f>DATE(2012,12,31)-16</f>
        <v>41258</v>
      </c>
      <c r="C2349" s="9" t="s">
        <v>1594</v>
      </c>
      <c r="D2349">
        <v>10021351748</v>
      </c>
      <c r="E2349" t="s">
        <v>47</v>
      </c>
      <c r="F2349" t="s">
        <v>208</v>
      </c>
      <c r="G2349" t="s">
        <v>209</v>
      </c>
      <c r="H2349" t="s">
        <v>1956</v>
      </c>
      <c r="I2349" t="s">
        <v>1957</v>
      </c>
      <c r="J2349" t="s">
        <v>668</v>
      </c>
      <c r="K2349" s="3">
        <v>100932501621</v>
      </c>
      <c r="L2349" s="10">
        <v>41260</v>
      </c>
      <c r="M2349">
        <v>117.68</v>
      </c>
      <c r="N2349" s="11">
        <v>43</v>
      </c>
      <c r="O2349" s="12">
        <v>2.88</v>
      </c>
      <c r="P2349" s="12">
        <v>0.7</v>
      </c>
      <c r="Q2349" s="13">
        <v>12.47</v>
      </c>
      <c r="R2349" s="36" t="s">
        <v>100</v>
      </c>
      <c r="S2349" s="7">
        <f t="shared" si="197"/>
        <v>2</v>
      </c>
      <c r="T2349" s="15" t="str">
        <f>VLOOKUP(R2349,产品分类!$C$2:$D$1278,2,0)</f>
        <v>数码电子</v>
      </c>
    </row>
    <row r="2350" spans="1:20">
      <c r="A2350" s="8">
        <f>DATE(2012,12,31)-1455</f>
        <v>39819</v>
      </c>
      <c r="B2350" s="8">
        <f>DATE(2012,12,31)-1455</f>
        <v>39819</v>
      </c>
      <c r="C2350" s="9" t="s">
        <v>1866</v>
      </c>
      <c r="D2350">
        <v>10021315732</v>
      </c>
      <c r="E2350" t="s">
        <v>47</v>
      </c>
      <c r="F2350" t="s">
        <v>66</v>
      </c>
      <c r="G2350" t="s">
        <v>67</v>
      </c>
      <c r="H2350" t="s">
        <v>1435</v>
      </c>
      <c r="I2350" t="s">
        <v>1436</v>
      </c>
      <c r="J2350" t="s">
        <v>668</v>
      </c>
      <c r="K2350" s="3">
        <v>100132824407</v>
      </c>
      <c r="L2350" s="10">
        <v>39820</v>
      </c>
      <c r="M2350">
        <v>46.86</v>
      </c>
      <c r="N2350" s="11">
        <v>27</v>
      </c>
      <c r="O2350" s="12">
        <v>1.7</v>
      </c>
      <c r="P2350" s="12">
        <v>1.99</v>
      </c>
      <c r="Q2350" s="13">
        <v>-37.08</v>
      </c>
      <c r="R2350" s="36" t="s">
        <v>1962</v>
      </c>
      <c r="S2350" s="7">
        <f t="shared" si="197"/>
        <v>1</v>
      </c>
      <c r="T2350" s="15" t="str">
        <f>VLOOKUP(R2350,产品分类!$C$2:$D$1278,2,0)</f>
        <v>数码电子</v>
      </c>
    </row>
    <row r="2351" spans="1:20">
      <c r="A2351" s="16">
        <f>DATE(2012,12,31)-1455</f>
        <v>39819</v>
      </c>
      <c r="B2351" s="16">
        <f>DATE(2012,12,31)-1455</f>
        <v>39819</v>
      </c>
      <c r="C2351" s="9" t="s">
        <v>1866</v>
      </c>
      <c r="D2351">
        <v>10021407373</v>
      </c>
      <c r="E2351" t="s">
        <v>47</v>
      </c>
      <c r="F2351" t="s">
        <v>171</v>
      </c>
      <c r="G2351" t="s">
        <v>172</v>
      </c>
      <c r="H2351" t="s">
        <v>1712</v>
      </c>
      <c r="I2351" t="s">
        <v>1713</v>
      </c>
      <c r="J2351" t="s">
        <v>668</v>
      </c>
      <c r="K2351" s="3">
        <v>100432946033</v>
      </c>
      <c r="L2351" s="10">
        <v>39821</v>
      </c>
      <c r="M2351">
        <v>1089.59</v>
      </c>
      <c r="N2351" s="17">
        <v>34</v>
      </c>
      <c r="O2351" s="5">
        <v>30.98</v>
      </c>
      <c r="P2351" s="5">
        <v>5.09</v>
      </c>
      <c r="Q2351" s="6">
        <v>433.24</v>
      </c>
      <c r="R2351" s="37" t="s">
        <v>1461</v>
      </c>
      <c r="S2351" s="7">
        <f t="shared" si="197"/>
        <v>2</v>
      </c>
      <c r="T2351" s="15" t="str">
        <f>VLOOKUP(R2351,产品分类!$C$2:$D$1278,2,0)</f>
        <v>办公用品</v>
      </c>
    </row>
    <row r="2352" spans="1:20">
      <c r="A2352" s="8">
        <f>DATE(2012,12,31)-500</f>
        <v>40774</v>
      </c>
      <c r="B2352" s="8">
        <f>DATE(2012,12,31)-500</f>
        <v>40774</v>
      </c>
      <c r="C2352" s="9" t="s">
        <v>1725</v>
      </c>
      <c r="D2352">
        <v>10021456620</v>
      </c>
      <c r="E2352" t="s">
        <v>47</v>
      </c>
      <c r="F2352" t="s">
        <v>122</v>
      </c>
      <c r="G2352" t="s">
        <v>123</v>
      </c>
      <c r="H2352" t="s">
        <v>124</v>
      </c>
      <c r="I2352" t="s">
        <v>125</v>
      </c>
      <c r="J2352" t="s">
        <v>668</v>
      </c>
      <c r="K2352" s="3">
        <v>100732995165</v>
      </c>
      <c r="L2352" s="10">
        <v>40776</v>
      </c>
      <c r="M2352">
        <v>397.55</v>
      </c>
      <c r="N2352" s="11">
        <v>5</v>
      </c>
      <c r="O2352" s="12">
        <v>83.1</v>
      </c>
      <c r="P2352" s="12">
        <v>6.13</v>
      </c>
      <c r="Q2352" s="13">
        <v>-152.47</v>
      </c>
      <c r="R2352" s="36" t="s">
        <v>1148</v>
      </c>
      <c r="S2352" s="7">
        <f t="shared" si="197"/>
        <v>2</v>
      </c>
      <c r="T2352" s="15" t="str">
        <f>VLOOKUP(R2352,产品分类!$C$2:$D$1278,2,0)</f>
        <v>家具产品</v>
      </c>
    </row>
    <row r="2353" spans="1:20">
      <c r="A2353" s="8">
        <f>DATE(2012,12,31)-500</f>
        <v>40774</v>
      </c>
      <c r="B2353" s="8">
        <f>DATE(2012,12,31)-500</f>
        <v>40774</v>
      </c>
      <c r="C2353" s="9" t="s">
        <v>1725</v>
      </c>
      <c r="D2353">
        <v>10021328746</v>
      </c>
      <c r="E2353" t="s">
        <v>47</v>
      </c>
      <c r="F2353" t="s">
        <v>122</v>
      </c>
      <c r="G2353" t="s">
        <v>123</v>
      </c>
      <c r="H2353" t="s">
        <v>124</v>
      </c>
      <c r="I2353" t="s">
        <v>125</v>
      </c>
      <c r="J2353" t="s">
        <v>668</v>
      </c>
      <c r="K2353" s="3">
        <v>100132853027</v>
      </c>
      <c r="L2353" s="10">
        <v>40774</v>
      </c>
      <c r="M2353">
        <v>676.26</v>
      </c>
      <c r="N2353" s="11">
        <v>34</v>
      </c>
      <c r="O2353" s="12">
        <v>19.98</v>
      </c>
      <c r="P2353" s="12">
        <v>5.77</v>
      </c>
      <c r="Q2353" s="13">
        <v>181.98</v>
      </c>
      <c r="R2353" s="36" t="s">
        <v>1619</v>
      </c>
      <c r="S2353" s="7">
        <f t="shared" si="197"/>
        <v>0</v>
      </c>
      <c r="T2353" s="15" t="str">
        <f>VLOOKUP(R2353,产品分类!$C$2:$D$1278,2,0)</f>
        <v>数码电子</v>
      </c>
    </row>
    <row r="2354" spans="1:20">
      <c r="A2354" s="8">
        <f>DATE(2012,12,31)-750</f>
        <v>40524</v>
      </c>
      <c r="B2354" s="8">
        <f>DATE(2012,12,31)-750</f>
        <v>40524</v>
      </c>
      <c r="C2354" s="9" t="s">
        <v>483</v>
      </c>
      <c r="D2354">
        <v>10021515189</v>
      </c>
      <c r="E2354" t="s">
        <v>47</v>
      </c>
      <c r="F2354" t="s">
        <v>102</v>
      </c>
      <c r="G2354" t="s">
        <v>103</v>
      </c>
      <c r="H2354" t="s">
        <v>1217</v>
      </c>
      <c r="I2354" t="s">
        <v>1218</v>
      </c>
      <c r="J2354" t="s">
        <v>668</v>
      </c>
      <c r="K2354" s="3">
        <v>100133064888</v>
      </c>
      <c r="L2354" s="10">
        <v>40525</v>
      </c>
      <c r="M2354">
        <v>126.74</v>
      </c>
      <c r="N2354" s="11">
        <v>15</v>
      </c>
      <c r="O2354" s="12">
        <v>8.67</v>
      </c>
      <c r="P2354" s="12">
        <v>3.5</v>
      </c>
      <c r="Q2354" s="13">
        <v>-18.53</v>
      </c>
      <c r="R2354" s="36" t="s">
        <v>884</v>
      </c>
      <c r="S2354" s="7">
        <f t="shared" si="197"/>
        <v>1</v>
      </c>
      <c r="T2354" s="15" t="str">
        <f>VLOOKUP(R2354,产品分类!$C$2:$D$1278,2,0)</f>
        <v>办公用品</v>
      </c>
    </row>
    <row r="2355" spans="1:20">
      <c r="A2355" s="8">
        <f>DATE(2012,12,31)-411</f>
        <v>40863</v>
      </c>
      <c r="B2355" s="8">
        <f>DATE(2012,12,31)-411</f>
        <v>40863</v>
      </c>
      <c r="C2355" s="9" t="s">
        <v>1930</v>
      </c>
      <c r="D2355">
        <v>10021518141</v>
      </c>
      <c r="E2355" t="s">
        <v>47</v>
      </c>
      <c r="F2355" t="s">
        <v>171</v>
      </c>
      <c r="G2355" t="s">
        <v>172</v>
      </c>
      <c r="H2355" t="s">
        <v>1712</v>
      </c>
      <c r="I2355" t="s">
        <v>1713</v>
      </c>
      <c r="J2355" t="s">
        <v>668</v>
      </c>
      <c r="K2355" s="3">
        <v>100733075255</v>
      </c>
      <c r="L2355" s="10">
        <v>40863</v>
      </c>
      <c r="M2355">
        <v>1383.919</v>
      </c>
      <c r="N2355" s="11">
        <v>8</v>
      </c>
      <c r="O2355" s="12">
        <v>205.99</v>
      </c>
      <c r="P2355" s="12">
        <v>2.5</v>
      </c>
      <c r="Q2355" s="13">
        <v>-433.488</v>
      </c>
      <c r="R2355" s="36" t="s">
        <v>1613</v>
      </c>
      <c r="S2355" s="7">
        <f t="shared" si="197"/>
        <v>0</v>
      </c>
      <c r="T2355" s="15" t="str">
        <f>VLOOKUP(R2355,产品分类!$C$2:$D$1278,2,0)</f>
        <v>数码电子</v>
      </c>
    </row>
    <row r="2356" spans="1:20">
      <c r="A2356" s="8">
        <f>DATE(2012,12,31)-744</f>
        <v>40530</v>
      </c>
      <c r="B2356" s="8">
        <f>DATE(2012,12,31)-744</f>
        <v>40530</v>
      </c>
      <c r="C2356" s="9" t="s">
        <v>1894</v>
      </c>
      <c r="D2356">
        <v>10021363219</v>
      </c>
      <c r="E2356" t="s">
        <v>47</v>
      </c>
      <c r="F2356" t="s">
        <v>61</v>
      </c>
      <c r="G2356" t="s">
        <v>62</v>
      </c>
      <c r="H2356" t="s">
        <v>47</v>
      </c>
      <c r="I2356" t="s">
        <v>1778</v>
      </c>
      <c r="J2356" t="s">
        <v>668</v>
      </c>
      <c r="K2356" s="3">
        <v>100132888876</v>
      </c>
      <c r="L2356" s="10">
        <v>40532</v>
      </c>
      <c r="M2356">
        <v>48.41</v>
      </c>
      <c r="N2356" s="11">
        <v>42</v>
      </c>
      <c r="O2356" s="12">
        <v>1.14</v>
      </c>
      <c r="P2356" s="12">
        <v>0.7</v>
      </c>
      <c r="Q2356" s="13">
        <v>-1.46</v>
      </c>
      <c r="R2356" s="36" t="s">
        <v>1635</v>
      </c>
      <c r="S2356" s="7">
        <f t="shared" si="197"/>
        <v>2</v>
      </c>
      <c r="T2356" s="15" t="str">
        <f>VLOOKUP(R2356,产品分类!$C$2:$D$1278,2,0)</f>
        <v>家具产品</v>
      </c>
    </row>
    <row r="2357" spans="1:20">
      <c r="A2357" s="16">
        <f>DATE(2012,12,31)-1442</f>
        <v>39832</v>
      </c>
      <c r="B2357" s="16">
        <f>DATE(2012,12,31)-1442</f>
        <v>39832</v>
      </c>
      <c r="C2357" s="9" t="s">
        <v>245</v>
      </c>
      <c r="D2357">
        <v>10021459136</v>
      </c>
      <c r="E2357" t="s">
        <v>47</v>
      </c>
      <c r="F2357" t="s">
        <v>171</v>
      </c>
      <c r="G2357" t="s">
        <v>172</v>
      </c>
      <c r="H2357" t="s">
        <v>1712</v>
      </c>
      <c r="I2357" t="s">
        <v>1713</v>
      </c>
      <c r="J2357" t="s">
        <v>668</v>
      </c>
      <c r="K2357" s="3">
        <v>100124916657</v>
      </c>
      <c r="L2357" s="10">
        <v>39834</v>
      </c>
      <c r="M2357">
        <v>3568.45</v>
      </c>
      <c r="N2357" s="17">
        <v>18</v>
      </c>
      <c r="O2357" s="5">
        <v>207.48</v>
      </c>
      <c r="P2357" s="5">
        <v>0.99</v>
      </c>
      <c r="Q2357" s="6">
        <v>1081.62</v>
      </c>
      <c r="R2357" s="37" t="s">
        <v>376</v>
      </c>
      <c r="S2357" s="7">
        <f t="shared" si="197"/>
        <v>2</v>
      </c>
      <c r="T2357" s="15" t="str">
        <f>VLOOKUP(R2357,产品分类!$C$2:$D$1278,2,0)</f>
        <v>办公用品</v>
      </c>
    </row>
    <row r="2358" spans="1:20">
      <c r="A2358" s="8">
        <f>DATE(2012,12,31)-1175</f>
        <v>40099</v>
      </c>
      <c r="B2358" s="8">
        <f>DATE(2012,12,31)-1175</f>
        <v>40099</v>
      </c>
      <c r="C2358" s="9" t="s">
        <v>90</v>
      </c>
      <c r="D2358">
        <v>10021345631</v>
      </c>
      <c r="E2358" t="s">
        <v>47</v>
      </c>
      <c r="F2358" t="s">
        <v>152</v>
      </c>
      <c r="G2358" t="s">
        <v>153</v>
      </c>
      <c r="H2358" t="s">
        <v>1860</v>
      </c>
      <c r="I2358" t="s">
        <v>1861</v>
      </c>
      <c r="J2358" t="s">
        <v>668</v>
      </c>
      <c r="K2358" s="3">
        <v>100130197866</v>
      </c>
      <c r="L2358" s="10">
        <v>40101</v>
      </c>
      <c r="M2358">
        <v>1401.75</v>
      </c>
      <c r="N2358" s="11">
        <v>31</v>
      </c>
      <c r="O2358" s="12">
        <v>42.98</v>
      </c>
      <c r="P2358" s="12">
        <v>4.62</v>
      </c>
      <c r="Q2358" s="13">
        <v>426.44</v>
      </c>
      <c r="R2358" s="36" t="s">
        <v>1763</v>
      </c>
      <c r="S2358" s="7">
        <f t="shared" si="197"/>
        <v>2</v>
      </c>
      <c r="T2358" s="15" t="str">
        <f>VLOOKUP(R2358,产品分类!$C$2:$D$1278,2,0)</f>
        <v>数码电子</v>
      </c>
    </row>
    <row r="2359" spans="1:20">
      <c r="A2359" s="8">
        <f>DATE(2012,12,31)-1173</f>
        <v>40101</v>
      </c>
      <c r="B2359" s="8">
        <f>DATE(2012,12,31)-1173</f>
        <v>40101</v>
      </c>
      <c r="C2359" s="9" t="s">
        <v>1761</v>
      </c>
      <c r="D2359">
        <v>10021260292</v>
      </c>
      <c r="E2359" t="s">
        <v>47</v>
      </c>
      <c r="F2359" t="s">
        <v>61</v>
      </c>
      <c r="G2359" t="s">
        <v>62</v>
      </c>
      <c r="H2359" t="s">
        <v>47</v>
      </c>
      <c r="I2359" t="s">
        <v>1778</v>
      </c>
      <c r="J2359" t="s">
        <v>668</v>
      </c>
      <c r="K2359" s="3">
        <v>100128563916</v>
      </c>
      <c r="L2359" s="10">
        <v>40103</v>
      </c>
      <c r="M2359">
        <v>513.5</v>
      </c>
      <c r="N2359" s="11">
        <v>19</v>
      </c>
      <c r="O2359" s="12">
        <v>25.99</v>
      </c>
      <c r="P2359" s="12">
        <v>5.37</v>
      </c>
      <c r="Q2359" s="13">
        <v>82.96</v>
      </c>
      <c r="R2359" s="36" t="s">
        <v>1963</v>
      </c>
      <c r="S2359" s="7">
        <f t="shared" si="197"/>
        <v>2</v>
      </c>
      <c r="T2359" s="15" t="str">
        <f>VLOOKUP(R2359,产品分类!$C$2:$D$1278,2,0)</f>
        <v>数码电子</v>
      </c>
    </row>
    <row r="2360" spans="1:20">
      <c r="A2360" s="8">
        <f>DATE(2012,12,31)-730</f>
        <v>40544</v>
      </c>
      <c r="B2360" s="8">
        <f>DATE(2012,12,31)-730</f>
        <v>40544</v>
      </c>
      <c r="C2360" s="9" t="s">
        <v>1407</v>
      </c>
      <c r="D2360">
        <v>10021517317</v>
      </c>
      <c r="E2360" t="s">
        <v>47</v>
      </c>
      <c r="F2360" t="s">
        <v>66</v>
      </c>
      <c r="G2360" t="s">
        <v>67</v>
      </c>
      <c r="H2360" t="s">
        <v>1435</v>
      </c>
      <c r="I2360" t="s">
        <v>1436</v>
      </c>
      <c r="J2360" t="s">
        <v>668</v>
      </c>
      <c r="K2360" s="3">
        <v>10042476984</v>
      </c>
      <c r="L2360" s="10">
        <v>40545</v>
      </c>
      <c r="M2360">
        <v>72.67</v>
      </c>
      <c r="N2360" s="11">
        <v>15</v>
      </c>
      <c r="O2360" s="12">
        <v>4.28</v>
      </c>
      <c r="P2360" s="12">
        <v>6.72</v>
      </c>
      <c r="Q2360" s="13">
        <v>-62.37</v>
      </c>
      <c r="R2360" s="36" t="s">
        <v>833</v>
      </c>
      <c r="S2360" s="7">
        <f t="shared" si="197"/>
        <v>1</v>
      </c>
      <c r="T2360" s="15" t="str">
        <f>VLOOKUP(R2360,产品分类!$C$2:$D$1278,2,0)</f>
        <v>家具产品</v>
      </c>
    </row>
    <row r="2361" spans="1:20">
      <c r="A2361" s="8">
        <f>DATE(2012,12,31)-62</f>
        <v>41212</v>
      </c>
      <c r="B2361" s="8">
        <f>DATE(2012,12,31)-62</f>
        <v>41212</v>
      </c>
      <c r="C2361" s="9" t="s">
        <v>1710</v>
      </c>
      <c r="D2361">
        <v>10021407045</v>
      </c>
      <c r="E2361" t="s">
        <v>47</v>
      </c>
      <c r="F2361" t="s">
        <v>114</v>
      </c>
      <c r="G2361" t="s">
        <v>115</v>
      </c>
      <c r="H2361" t="s">
        <v>1951</v>
      </c>
      <c r="I2361" t="s">
        <v>1952</v>
      </c>
      <c r="J2361" t="s">
        <v>668</v>
      </c>
      <c r="K2361" s="3">
        <v>100432502134</v>
      </c>
      <c r="L2361" s="10">
        <v>41214</v>
      </c>
      <c r="M2361">
        <v>80.53</v>
      </c>
      <c r="N2361" s="11">
        <v>28</v>
      </c>
      <c r="O2361" s="12">
        <v>2.88</v>
      </c>
      <c r="P2361" s="12">
        <v>0.7</v>
      </c>
      <c r="Q2361" s="13">
        <v>10.01</v>
      </c>
      <c r="R2361" s="36" t="s">
        <v>100</v>
      </c>
      <c r="S2361" s="7">
        <f t="shared" si="197"/>
        <v>2</v>
      </c>
      <c r="T2361" s="15" t="str">
        <f>VLOOKUP(R2361,产品分类!$C$2:$D$1278,2,0)</f>
        <v>数码电子</v>
      </c>
    </row>
    <row r="2362" spans="1:20">
      <c r="A2362" s="8">
        <f>DATE(2012,12,31)-978</f>
        <v>40296</v>
      </c>
      <c r="B2362" s="8">
        <f>DATE(2012,12,31)-978</f>
        <v>40296</v>
      </c>
      <c r="C2362" s="9" t="s">
        <v>1764</v>
      </c>
      <c r="D2362">
        <v>10021480661</v>
      </c>
      <c r="E2362" t="s">
        <v>47</v>
      </c>
      <c r="F2362" t="s">
        <v>91</v>
      </c>
      <c r="G2362" t="s">
        <v>92</v>
      </c>
      <c r="H2362" t="s">
        <v>1911</v>
      </c>
      <c r="I2362" t="s">
        <v>1912</v>
      </c>
      <c r="J2362" t="s">
        <v>668</v>
      </c>
      <c r="K2362" s="3">
        <v>10012323226</v>
      </c>
      <c r="L2362" s="10">
        <v>40298</v>
      </c>
      <c r="M2362">
        <v>4177.52</v>
      </c>
      <c r="N2362" s="11">
        <v>30</v>
      </c>
      <c r="O2362" s="12">
        <v>140.98</v>
      </c>
      <c r="P2362" s="12">
        <v>36.09</v>
      </c>
      <c r="Q2362" s="13">
        <v>-443.78</v>
      </c>
      <c r="R2362" s="36" t="s">
        <v>1090</v>
      </c>
      <c r="S2362" s="7">
        <f t="shared" si="197"/>
        <v>2</v>
      </c>
      <c r="T2362" s="15" t="str">
        <f>VLOOKUP(R2362,产品分类!$C$2:$D$1278,2,0)</f>
        <v>办公用品</v>
      </c>
    </row>
    <row r="2363" spans="1:20">
      <c r="A2363" s="8">
        <f>DATE(2012,12,31)-978</f>
        <v>40296</v>
      </c>
      <c r="B2363" s="8">
        <f>DATE(2012,12,31)-978</f>
        <v>40296</v>
      </c>
      <c r="C2363" s="9" t="s">
        <v>1764</v>
      </c>
      <c r="D2363">
        <v>10021392689</v>
      </c>
      <c r="E2363" t="s">
        <v>47</v>
      </c>
      <c r="F2363" t="s">
        <v>91</v>
      </c>
      <c r="G2363" t="s">
        <v>92</v>
      </c>
      <c r="H2363" t="s">
        <v>1911</v>
      </c>
      <c r="I2363" t="s">
        <v>1912</v>
      </c>
      <c r="J2363" t="s">
        <v>668</v>
      </c>
      <c r="K2363" s="3">
        <v>100431464174</v>
      </c>
      <c r="L2363" s="10">
        <v>40301</v>
      </c>
      <c r="M2363">
        <v>3351.08</v>
      </c>
      <c r="N2363" s="11">
        <v>26</v>
      </c>
      <c r="O2363" s="12">
        <v>122.99</v>
      </c>
      <c r="P2363" s="12">
        <v>70.2</v>
      </c>
      <c r="Q2363" s="13">
        <v>-1086.43</v>
      </c>
      <c r="R2363" s="36" t="s">
        <v>860</v>
      </c>
      <c r="S2363" s="7">
        <f t="shared" si="197"/>
        <v>5</v>
      </c>
      <c r="T2363" s="15" t="str">
        <f>VLOOKUP(R2363,产品分类!$C$2:$D$1278,2,0)</f>
        <v>办公用品</v>
      </c>
    </row>
    <row r="2364" spans="1:20">
      <c r="A2364" s="8">
        <f>DATE(2012,12,31)-163</f>
        <v>41111</v>
      </c>
      <c r="B2364" s="8">
        <f>DATE(2012,12,31)-163</f>
        <v>41111</v>
      </c>
      <c r="C2364" s="9" t="s">
        <v>347</v>
      </c>
      <c r="D2364">
        <v>10021457474</v>
      </c>
      <c r="E2364" t="s">
        <v>47</v>
      </c>
      <c r="F2364" t="s">
        <v>83</v>
      </c>
      <c r="G2364" t="s">
        <v>84</v>
      </c>
      <c r="H2364" t="s">
        <v>1928</v>
      </c>
      <c r="I2364" t="s">
        <v>1929</v>
      </c>
      <c r="J2364" t="s">
        <v>668</v>
      </c>
      <c r="K2364" s="3">
        <v>100925431321</v>
      </c>
      <c r="L2364" s="10">
        <v>41112</v>
      </c>
      <c r="M2364">
        <v>2604.315</v>
      </c>
      <c r="N2364" s="11">
        <v>45</v>
      </c>
      <c r="O2364" s="12">
        <v>65.99</v>
      </c>
      <c r="P2364" s="12">
        <v>5.26</v>
      </c>
      <c r="Q2364" s="13">
        <v>750.87</v>
      </c>
      <c r="R2364" s="36" t="s">
        <v>522</v>
      </c>
      <c r="S2364" s="7">
        <f t="shared" si="197"/>
        <v>1</v>
      </c>
      <c r="T2364" s="15" t="str">
        <f>VLOOKUP(R2364,产品分类!$C$2:$D$1278,2,0)</f>
        <v>家具产品</v>
      </c>
    </row>
    <row r="2365" spans="1:20">
      <c r="A2365" s="8">
        <f>DATE(2012,12,31)-324</f>
        <v>40950</v>
      </c>
      <c r="B2365" s="8">
        <f>DATE(2012,12,31)-324</f>
        <v>40950</v>
      </c>
      <c r="C2365" s="9" t="s">
        <v>1964</v>
      </c>
      <c r="D2365">
        <v>10021435234</v>
      </c>
      <c r="E2365" t="s">
        <v>47</v>
      </c>
      <c r="F2365" t="s">
        <v>177</v>
      </c>
      <c r="G2365" t="s">
        <v>178</v>
      </c>
      <c r="H2365" t="s">
        <v>1292</v>
      </c>
      <c r="I2365" t="s">
        <v>1293</v>
      </c>
      <c r="J2365" t="s">
        <v>668</v>
      </c>
      <c r="K2365" s="3">
        <v>100132444706</v>
      </c>
      <c r="L2365" s="10">
        <v>40952</v>
      </c>
      <c r="M2365">
        <v>4550.06</v>
      </c>
      <c r="N2365" s="11">
        <v>50</v>
      </c>
      <c r="O2365" s="12">
        <v>95.98</v>
      </c>
      <c r="P2365" s="12">
        <v>58.2</v>
      </c>
      <c r="Q2365" s="13">
        <v>-1335.32</v>
      </c>
      <c r="R2365" s="36" t="s">
        <v>1341</v>
      </c>
      <c r="S2365" s="7">
        <f t="shared" si="197"/>
        <v>2</v>
      </c>
      <c r="T2365" s="15" t="str">
        <f>VLOOKUP(R2365,产品分类!$C$2:$D$1278,2,0)</f>
        <v>办公用品</v>
      </c>
    </row>
    <row r="2366" spans="1:20">
      <c r="A2366" s="8">
        <f>DATE(2012,12,31)-1163</f>
        <v>40111</v>
      </c>
      <c r="B2366" s="8">
        <f>DATE(2012,12,31)-1163</f>
        <v>40111</v>
      </c>
      <c r="C2366" s="9" t="s">
        <v>1083</v>
      </c>
      <c r="D2366">
        <v>10021329665</v>
      </c>
      <c r="E2366" t="s">
        <v>47</v>
      </c>
      <c r="F2366" t="s">
        <v>61</v>
      </c>
      <c r="G2366" t="s">
        <v>62</v>
      </c>
      <c r="H2366" t="s">
        <v>47</v>
      </c>
      <c r="I2366" t="s">
        <v>1778</v>
      </c>
      <c r="J2366" t="s">
        <v>668</v>
      </c>
      <c r="K2366" s="3">
        <v>100432856033</v>
      </c>
      <c r="L2366" s="10">
        <v>40112</v>
      </c>
      <c r="M2366">
        <v>128.31</v>
      </c>
      <c r="N2366" s="11">
        <v>39</v>
      </c>
      <c r="O2366" s="12">
        <v>3.14</v>
      </c>
      <c r="P2366" s="12">
        <v>1.92</v>
      </c>
      <c r="Q2366" s="13">
        <v>-55.72</v>
      </c>
      <c r="R2366" s="36" t="s">
        <v>157</v>
      </c>
      <c r="S2366" s="7">
        <f t="shared" si="197"/>
        <v>1</v>
      </c>
      <c r="T2366" s="15" t="str">
        <f>VLOOKUP(R2366,产品分类!$C$2:$D$1278,2,0)</f>
        <v>数码电子</v>
      </c>
    </row>
    <row r="2367" spans="1:20">
      <c r="A2367" s="8">
        <f>DATE(2012,12,31)-294</f>
        <v>40980</v>
      </c>
      <c r="B2367" s="8">
        <f>DATE(2012,12,31)-294</f>
        <v>40980</v>
      </c>
      <c r="C2367" s="9" t="s">
        <v>297</v>
      </c>
      <c r="D2367">
        <v>10021442820</v>
      </c>
      <c r="E2367" t="s">
        <v>47</v>
      </c>
      <c r="F2367" t="s">
        <v>61</v>
      </c>
      <c r="G2367" t="s">
        <v>62</v>
      </c>
      <c r="H2367" t="s">
        <v>47</v>
      </c>
      <c r="I2367" t="s">
        <v>1778</v>
      </c>
      <c r="J2367" t="s">
        <v>668</v>
      </c>
      <c r="K2367" s="3">
        <v>100131260558</v>
      </c>
      <c r="L2367" s="10">
        <v>40981</v>
      </c>
      <c r="M2367">
        <v>236.45</v>
      </c>
      <c r="N2367" s="11">
        <v>32</v>
      </c>
      <c r="O2367" s="12">
        <v>6.98</v>
      </c>
      <c r="P2367" s="12">
        <v>9.69</v>
      </c>
      <c r="Q2367" s="13">
        <v>-259.02</v>
      </c>
      <c r="R2367" s="36" t="s">
        <v>1965</v>
      </c>
      <c r="S2367" s="7">
        <f t="shared" si="197"/>
        <v>1</v>
      </c>
      <c r="T2367" s="15" t="str">
        <f>VLOOKUP(R2367,产品分类!$C$2:$D$1278,2,0)</f>
        <v>数码电子</v>
      </c>
    </row>
    <row r="2368" spans="1:20">
      <c r="A2368" s="8">
        <f>DATE(2012,12,31)-1433</f>
        <v>39841</v>
      </c>
      <c r="B2368" s="8">
        <f>DATE(2012,12,31)-1433</f>
        <v>39841</v>
      </c>
      <c r="C2368" s="9" t="s">
        <v>236</v>
      </c>
      <c r="D2368">
        <v>10021329679</v>
      </c>
      <c r="E2368" t="s">
        <v>47</v>
      </c>
      <c r="F2368" t="s">
        <v>61</v>
      </c>
      <c r="G2368" t="s">
        <v>62</v>
      </c>
      <c r="H2368" t="s">
        <v>47</v>
      </c>
      <c r="I2368" t="s">
        <v>1778</v>
      </c>
      <c r="J2368" t="s">
        <v>668</v>
      </c>
      <c r="K2368" s="3">
        <v>10095090051</v>
      </c>
      <c r="L2368" s="10">
        <v>39842</v>
      </c>
      <c r="M2368">
        <v>267.53</v>
      </c>
      <c r="N2368" s="11">
        <v>36</v>
      </c>
      <c r="O2368" s="12">
        <v>6.88</v>
      </c>
      <c r="P2368" s="12">
        <v>2</v>
      </c>
      <c r="Q2368" s="13">
        <v>85.17</v>
      </c>
      <c r="R2368" s="36" t="s">
        <v>383</v>
      </c>
      <c r="S2368" s="7">
        <f t="shared" si="197"/>
        <v>1</v>
      </c>
      <c r="T2368" s="15" t="str">
        <f>VLOOKUP(R2368,产品分类!$C$2:$D$1278,2,0)</f>
        <v>办公用品</v>
      </c>
    </row>
    <row r="2369" spans="1:20">
      <c r="A2369" s="8">
        <f>DATE(2012,12,31)-1433</f>
        <v>39841</v>
      </c>
      <c r="B2369" s="8">
        <f>DATE(2012,12,31)-1433</f>
        <v>39841</v>
      </c>
      <c r="C2369" s="9" t="s">
        <v>236</v>
      </c>
      <c r="D2369">
        <v>10021318187</v>
      </c>
      <c r="E2369" t="s">
        <v>47</v>
      </c>
      <c r="F2369" t="s">
        <v>72</v>
      </c>
      <c r="G2369" t="s">
        <v>73</v>
      </c>
      <c r="H2369" t="s">
        <v>1949</v>
      </c>
      <c r="I2369" t="s">
        <v>1950</v>
      </c>
      <c r="J2369" t="s">
        <v>668</v>
      </c>
      <c r="K2369" s="3">
        <v>100932481481</v>
      </c>
      <c r="L2369" s="10">
        <v>39841</v>
      </c>
      <c r="M2369">
        <v>1065.26</v>
      </c>
      <c r="N2369" s="11">
        <v>31</v>
      </c>
      <c r="O2369" s="12">
        <v>32.48</v>
      </c>
      <c r="P2369" s="12">
        <v>35</v>
      </c>
      <c r="Q2369" s="13">
        <v>-900.27</v>
      </c>
      <c r="R2369" s="36" t="s">
        <v>1966</v>
      </c>
      <c r="S2369" s="7">
        <f t="shared" si="197"/>
        <v>0</v>
      </c>
      <c r="T2369" s="15" t="str">
        <f>VLOOKUP(R2369,产品分类!$C$2:$D$1278,2,0)</f>
        <v>数码电子</v>
      </c>
    </row>
    <row r="2370" spans="1:20">
      <c r="A2370" s="8">
        <f>DATE(2012,12,31)-103</f>
        <v>41171</v>
      </c>
      <c r="B2370" s="8">
        <f>DATE(2012,12,31)-103</f>
        <v>41171</v>
      </c>
      <c r="C2370" s="9" t="s">
        <v>1857</v>
      </c>
      <c r="D2370">
        <v>10021482334</v>
      </c>
      <c r="E2370" t="s">
        <v>47</v>
      </c>
      <c r="F2370" t="s">
        <v>55</v>
      </c>
      <c r="G2370" t="s">
        <v>56</v>
      </c>
      <c r="H2370" t="s">
        <v>1869</v>
      </c>
      <c r="I2370" t="s">
        <v>1870</v>
      </c>
      <c r="J2370" t="s">
        <v>668</v>
      </c>
      <c r="K2370" s="3">
        <v>100419132004</v>
      </c>
      <c r="L2370" s="10">
        <v>41175</v>
      </c>
      <c r="M2370">
        <v>3081.471</v>
      </c>
      <c r="N2370" s="11">
        <v>31</v>
      </c>
      <c r="O2370" s="12">
        <v>125.99</v>
      </c>
      <c r="P2370" s="12">
        <v>4.2</v>
      </c>
      <c r="Q2370" s="13">
        <v>574.983</v>
      </c>
      <c r="R2370" s="36" t="s">
        <v>1458</v>
      </c>
      <c r="S2370" s="7">
        <f t="shared" si="197"/>
        <v>4</v>
      </c>
      <c r="T2370" s="15" t="str">
        <f>VLOOKUP(R2370,产品分类!$C$2:$D$1278,2,0)</f>
        <v>家具产品</v>
      </c>
    </row>
    <row r="2371" spans="1:20">
      <c r="A2371" s="8">
        <f>DATE(2012,12,31)-1435</f>
        <v>39839</v>
      </c>
      <c r="B2371" s="8">
        <f>DATE(2012,12,31)-1435</f>
        <v>39839</v>
      </c>
      <c r="C2371" s="9" t="s">
        <v>286</v>
      </c>
      <c r="D2371">
        <v>10021401417</v>
      </c>
      <c r="E2371" t="s">
        <v>47</v>
      </c>
      <c r="F2371" t="s">
        <v>61</v>
      </c>
      <c r="G2371" t="s">
        <v>62</v>
      </c>
      <c r="H2371" t="s">
        <v>47</v>
      </c>
      <c r="I2371" t="s">
        <v>1778</v>
      </c>
      <c r="J2371" t="s">
        <v>668</v>
      </c>
      <c r="K2371" s="3">
        <v>100914330811</v>
      </c>
      <c r="L2371" s="10">
        <v>39841</v>
      </c>
      <c r="M2371">
        <v>4321.63</v>
      </c>
      <c r="N2371" s="11">
        <v>49</v>
      </c>
      <c r="O2371" s="12">
        <v>90.98</v>
      </c>
      <c r="P2371" s="12">
        <v>56.2</v>
      </c>
      <c r="Q2371" s="13">
        <v>-1549.14</v>
      </c>
      <c r="R2371" s="36" t="s">
        <v>1089</v>
      </c>
      <c r="S2371" s="7">
        <f t="shared" ref="S2371:S2434" si="199">+L2371-B2371</f>
        <v>2</v>
      </c>
      <c r="T2371" s="15" t="str">
        <f>VLOOKUP(R2371,产品分类!$C$2:$D$1278,2,0)</f>
        <v>办公用品</v>
      </c>
    </row>
    <row r="2372" spans="1:20">
      <c r="A2372" s="16">
        <f>DATE(2012,12,31)-1435</f>
        <v>39839</v>
      </c>
      <c r="B2372" s="16">
        <f>DATE(2012,12,31)-1435</f>
        <v>39839</v>
      </c>
      <c r="C2372" s="9" t="s">
        <v>286</v>
      </c>
      <c r="D2372">
        <v>10021319990</v>
      </c>
      <c r="E2372" t="s">
        <v>47</v>
      </c>
      <c r="F2372" t="s">
        <v>97</v>
      </c>
      <c r="G2372" t="s">
        <v>98</v>
      </c>
      <c r="H2372" t="s">
        <v>99</v>
      </c>
      <c r="I2372" t="s">
        <v>98</v>
      </c>
      <c r="J2372" t="s">
        <v>668</v>
      </c>
      <c r="K2372" s="3">
        <v>100817216742</v>
      </c>
      <c r="L2372" s="10">
        <v>39841</v>
      </c>
      <c r="M2372">
        <v>67.14</v>
      </c>
      <c r="N2372" s="17">
        <v>11</v>
      </c>
      <c r="O2372" s="5">
        <v>5.98</v>
      </c>
      <c r="P2372" s="5">
        <v>5.35</v>
      </c>
      <c r="Q2372" s="6">
        <v>-29.98</v>
      </c>
      <c r="R2372" s="37" t="s">
        <v>978</v>
      </c>
      <c r="S2372" s="7">
        <f t="shared" si="199"/>
        <v>2</v>
      </c>
      <c r="T2372" s="15" t="str">
        <f>VLOOKUP(R2372,产品分类!$C$2:$D$1278,2,0)</f>
        <v>家具产品</v>
      </c>
    </row>
    <row r="2373" spans="1:20">
      <c r="A2373" s="8">
        <f>DATE(2012,12,31)-99</f>
        <v>41175</v>
      </c>
      <c r="B2373" s="8">
        <f>DATE(2012,12,31)-99</f>
        <v>41175</v>
      </c>
      <c r="C2373" s="9" t="s">
        <v>1389</v>
      </c>
      <c r="D2373">
        <v>10021310760</v>
      </c>
      <c r="E2373" t="s">
        <v>47</v>
      </c>
      <c r="F2373" t="s">
        <v>66</v>
      </c>
      <c r="G2373" t="s">
        <v>67</v>
      </c>
      <c r="H2373" t="s">
        <v>1435</v>
      </c>
      <c r="I2373" t="s">
        <v>1436</v>
      </c>
      <c r="J2373" t="s">
        <v>668</v>
      </c>
      <c r="K2373" s="3">
        <v>10014751427</v>
      </c>
      <c r="L2373" s="10">
        <v>41177</v>
      </c>
      <c r="M2373">
        <v>2951.97</v>
      </c>
      <c r="N2373" s="11">
        <v>4</v>
      </c>
      <c r="O2373" s="12">
        <v>810.98</v>
      </c>
      <c r="P2373" s="12">
        <v>16.06</v>
      </c>
      <c r="Q2373" s="13">
        <v>-1890.3273</v>
      </c>
      <c r="R2373" s="36" t="s">
        <v>1967</v>
      </c>
      <c r="S2373" s="7">
        <f t="shared" si="199"/>
        <v>2</v>
      </c>
      <c r="T2373" s="15" t="str">
        <f>VLOOKUP(R2373,产品分类!$C$2:$D$1278,2,0)</f>
        <v>数码电子</v>
      </c>
    </row>
    <row r="2374" spans="1:20">
      <c r="A2374" s="8">
        <f>DATE(2012,12,31)-218</f>
        <v>41056</v>
      </c>
      <c r="B2374" s="8">
        <f>DATE(2012,12,31)-218</f>
        <v>41056</v>
      </c>
      <c r="C2374" s="9" t="s">
        <v>667</v>
      </c>
      <c r="D2374">
        <v>10021504828</v>
      </c>
      <c r="E2374" t="s">
        <v>47</v>
      </c>
      <c r="F2374" t="s">
        <v>48</v>
      </c>
      <c r="G2374" t="s">
        <v>49</v>
      </c>
      <c r="H2374" t="s">
        <v>1812</v>
      </c>
      <c r="I2374" t="s">
        <v>1813</v>
      </c>
      <c r="J2374" t="s">
        <v>668</v>
      </c>
      <c r="K2374" s="3">
        <v>100930721161</v>
      </c>
      <c r="L2374" s="10">
        <v>41057</v>
      </c>
      <c r="M2374">
        <v>2236.16</v>
      </c>
      <c r="N2374" s="11">
        <v>7</v>
      </c>
      <c r="O2374" s="12">
        <v>320.98</v>
      </c>
      <c r="P2374" s="12">
        <v>58.95</v>
      </c>
      <c r="Q2374" s="13">
        <v>-99.1600000000001</v>
      </c>
      <c r="R2374" s="36" t="s">
        <v>310</v>
      </c>
      <c r="S2374" s="7">
        <f t="shared" si="199"/>
        <v>1</v>
      </c>
      <c r="T2374" s="15" t="str">
        <f>VLOOKUP(R2374,产品分类!$C$2:$D$1278,2,0)</f>
        <v>办公用品</v>
      </c>
    </row>
    <row r="2375" spans="1:20">
      <c r="A2375" s="8">
        <f>DATE(2012,12,31)-161</f>
        <v>41113</v>
      </c>
      <c r="B2375" s="8">
        <f>DATE(2012,12,31)-161</f>
        <v>41113</v>
      </c>
      <c r="C2375" s="9" t="s">
        <v>1968</v>
      </c>
      <c r="D2375">
        <v>10021522251</v>
      </c>
      <c r="E2375" t="s">
        <v>47</v>
      </c>
      <c r="F2375" t="s">
        <v>152</v>
      </c>
      <c r="G2375" t="s">
        <v>153</v>
      </c>
      <c r="H2375" t="s">
        <v>1860</v>
      </c>
      <c r="I2375" t="s">
        <v>1861</v>
      </c>
      <c r="J2375" t="s">
        <v>668</v>
      </c>
      <c r="K2375" s="3">
        <v>10011183368</v>
      </c>
      <c r="L2375" s="10">
        <v>41115</v>
      </c>
      <c r="M2375">
        <v>157.85</v>
      </c>
      <c r="N2375" s="11">
        <v>32</v>
      </c>
      <c r="O2375" s="12">
        <v>5.18</v>
      </c>
      <c r="P2375" s="12">
        <v>2.04</v>
      </c>
      <c r="Q2375" s="13">
        <v>22.54</v>
      </c>
      <c r="R2375" s="36" t="s">
        <v>1522</v>
      </c>
      <c r="S2375" s="7">
        <f t="shared" si="199"/>
        <v>2</v>
      </c>
      <c r="T2375" s="15" t="str">
        <f>VLOOKUP(R2375,产品分类!$C$2:$D$1278,2,0)</f>
        <v>办公用品</v>
      </c>
    </row>
    <row r="2376" spans="1:20">
      <c r="A2376" s="8">
        <f>DATE(2012,12,31)-828</f>
        <v>40446</v>
      </c>
      <c r="B2376" s="8">
        <f>DATE(2012,12,31)-828</f>
        <v>40446</v>
      </c>
      <c r="C2376" s="9" t="s">
        <v>1669</v>
      </c>
      <c r="D2376">
        <v>10021530290</v>
      </c>
      <c r="E2376" t="s">
        <v>47</v>
      </c>
      <c r="F2376" t="s">
        <v>152</v>
      </c>
      <c r="G2376" t="s">
        <v>153</v>
      </c>
      <c r="H2376" t="s">
        <v>1860</v>
      </c>
      <c r="I2376" t="s">
        <v>1861</v>
      </c>
      <c r="J2376" t="s">
        <v>668</v>
      </c>
      <c r="K2376" s="3">
        <v>10018498786</v>
      </c>
      <c r="L2376" s="10">
        <v>40448</v>
      </c>
      <c r="M2376">
        <v>2911.64</v>
      </c>
      <c r="N2376" s="11">
        <v>37</v>
      </c>
      <c r="O2376" s="12">
        <v>73.98</v>
      </c>
      <c r="P2376" s="12">
        <v>14.52</v>
      </c>
      <c r="Q2376" s="13">
        <v>225.28</v>
      </c>
      <c r="R2376" s="36" t="s">
        <v>885</v>
      </c>
      <c r="S2376" s="7">
        <f t="shared" si="199"/>
        <v>2</v>
      </c>
      <c r="T2376" s="15" t="str">
        <f>VLOOKUP(R2376,产品分类!$C$2:$D$1278,2,0)</f>
        <v>办公用品</v>
      </c>
    </row>
    <row r="2377" spans="1:20">
      <c r="A2377" s="8">
        <f>DATE(2012,12,31)-1161</f>
        <v>40113</v>
      </c>
      <c r="B2377" s="8">
        <f>DATE(2012,12,31)-1161</f>
        <v>40113</v>
      </c>
      <c r="C2377" s="9" t="s">
        <v>649</v>
      </c>
      <c r="D2377">
        <v>10021259982</v>
      </c>
      <c r="E2377" t="s">
        <v>47</v>
      </c>
      <c r="F2377" t="s">
        <v>152</v>
      </c>
      <c r="G2377" t="s">
        <v>153</v>
      </c>
      <c r="H2377" t="s">
        <v>1860</v>
      </c>
      <c r="I2377" t="s">
        <v>1861</v>
      </c>
      <c r="J2377" t="s">
        <v>668</v>
      </c>
      <c r="K2377" s="3">
        <v>100928212771</v>
      </c>
      <c r="L2377" s="10">
        <v>40115</v>
      </c>
      <c r="M2377">
        <v>2951.438</v>
      </c>
      <c r="N2377" s="11">
        <v>26</v>
      </c>
      <c r="O2377" s="12">
        <v>125.99</v>
      </c>
      <c r="P2377" s="12">
        <v>8.99</v>
      </c>
      <c r="Q2377" s="13">
        <v>667.278</v>
      </c>
      <c r="R2377" s="36" t="s">
        <v>1772</v>
      </c>
      <c r="S2377" s="7">
        <f t="shared" si="199"/>
        <v>2</v>
      </c>
      <c r="T2377" s="15" t="str">
        <f>VLOOKUP(R2377,产品分类!$C$2:$D$1278,2,0)</f>
        <v>家具产品</v>
      </c>
    </row>
    <row r="2378" spans="1:20">
      <c r="A2378" s="8">
        <f>DATE(2012,12,31)-612</f>
        <v>40662</v>
      </c>
      <c r="B2378" s="8">
        <f>DATE(2012,12,31)-612</f>
        <v>40662</v>
      </c>
      <c r="C2378" s="9" t="s">
        <v>1710</v>
      </c>
      <c r="D2378">
        <v>10021333752</v>
      </c>
      <c r="E2378" t="s">
        <v>47</v>
      </c>
      <c r="F2378" t="s">
        <v>48</v>
      </c>
      <c r="G2378" t="s">
        <v>49</v>
      </c>
      <c r="H2378" t="s">
        <v>1812</v>
      </c>
      <c r="I2378" t="s">
        <v>1813</v>
      </c>
      <c r="J2378" t="s">
        <v>668</v>
      </c>
      <c r="K2378" s="3">
        <v>100114074978</v>
      </c>
      <c r="L2378" s="10">
        <v>40663</v>
      </c>
      <c r="M2378">
        <v>2283.22</v>
      </c>
      <c r="N2378" s="11">
        <v>48</v>
      </c>
      <c r="O2378" s="12">
        <v>48.91</v>
      </c>
      <c r="P2378" s="12">
        <v>5.97</v>
      </c>
      <c r="Q2378" s="13">
        <v>1006.72</v>
      </c>
      <c r="R2378" s="36" t="s">
        <v>1890</v>
      </c>
      <c r="S2378" s="7">
        <f t="shared" si="199"/>
        <v>1</v>
      </c>
      <c r="T2378" s="15" t="str">
        <f>VLOOKUP(R2378,产品分类!$C$2:$D$1278,2,0)</f>
        <v>家具产品</v>
      </c>
    </row>
    <row r="2379" spans="1:20">
      <c r="A2379" s="8">
        <f>DATE(2012,12,31)-612</f>
        <v>40662</v>
      </c>
      <c r="B2379" s="8">
        <f>DATE(2012,12,31)-612</f>
        <v>40662</v>
      </c>
      <c r="C2379" s="9" t="s">
        <v>1710</v>
      </c>
      <c r="D2379">
        <v>10021510004</v>
      </c>
      <c r="E2379" t="s">
        <v>47</v>
      </c>
      <c r="F2379" t="s">
        <v>72</v>
      </c>
      <c r="G2379" t="s">
        <v>73</v>
      </c>
      <c r="H2379" t="s">
        <v>1949</v>
      </c>
      <c r="I2379" t="s">
        <v>1950</v>
      </c>
      <c r="J2379" t="s">
        <v>668</v>
      </c>
      <c r="K2379" s="3">
        <v>100932665441</v>
      </c>
      <c r="L2379" s="10">
        <v>40664</v>
      </c>
      <c r="M2379">
        <v>11365.616</v>
      </c>
      <c r="N2379" s="11">
        <v>49</v>
      </c>
      <c r="O2379" s="12">
        <v>296.18</v>
      </c>
      <c r="P2379" s="12">
        <v>54.12</v>
      </c>
      <c r="Q2379" s="13">
        <v>229.22</v>
      </c>
      <c r="R2379" s="36" t="s">
        <v>372</v>
      </c>
      <c r="S2379" s="7">
        <f t="shared" si="199"/>
        <v>2</v>
      </c>
      <c r="T2379" s="15" t="str">
        <f>VLOOKUP(R2379,产品分类!$C$2:$D$1278,2,0)</f>
        <v>办公用品</v>
      </c>
    </row>
    <row r="2380" spans="1:20">
      <c r="A2380" s="8">
        <f>DATE(2012,12,31)-502</f>
        <v>40772</v>
      </c>
      <c r="B2380" s="8">
        <f>DATE(2012,12,31)-502</f>
        <v>40772</v>
      </c>
      <c r="C2380" s="9" t="s">
        <v>571</v>
      </c>
      <c r="D2380">
        <v>10021500135</v>
      </c>
      <c r="E2380" t="s">
        <v>47</v>
      </c>
      <c r="F2380" t="s">
        <v>78</v>
      </c>
      <c r="G2380" t="s">
        <v>79</v>
      </c>
      <c r="H2380" t="s">
        <v>1887</v>
      </c>
      <c r="I2380" t="s">
        <v>1888</v>
      </c>
      <c r="J2380" t="s">
        <v>668</v>
      </c>
      <c r="K2380" s="3">
        <v>100425818114</v>
      </c>
      <c r="L2380" s="10">
        <v>40774</v>
      </c>
      <c r="M2380">
        <v>50.19</v>
      </c>
      <c r="N2380" s="11">
        <v>13</v>
      </c>
      <c r="O2380" s="12">
        <v>3.52</v>
      </c>
      <c r="P2380" s="12">
        <v>6.83</v>
      </c>
      <c r="Q2380" s="13">
        <v>-64.3885</v>
      </c>
      <c r="R2380" s="36" t="s">
        <v>1969</v>
      </c>
      <c r="S2380" s="7">
        <f t="shared" si="199"/>
        <v>2</v>
      </c>
      <c r="T2380" s="15" t="str">
        <f>VLOOKUP(R2380,产品分类!$C$2:$D$1278,2,0)</f>
        <v>办公用品</v>
      </c>
    </row>
    <row r="2381" spans="1:20">
      <c r="A2381" s="8">
        <f>DATE(2012,12,31)-901</f>
        <v>40373</v>
      </c>
      <c r="B2381" s="8">
        <f>DATE(2012,12,31)-901</f>
        <v>40373</v>
      </c>
      <c r="C2381" s="9" t="s">
        <v>201</v>
      </c>
      <c r="D2381">
        <v>10021260649</v>
      </c>
      <c r="E2381" t="s">
        <v>47</v>
      </c>
      <c r="F2381" t="s">
        <v>78</v>
      </c>
      <c r="G2381" t="s">
        <v>79</v>
      </c>
      <c r="H2381" t="s">
        <v>1887</v>
      </c>
      <c r="I2381" t="s">
        <v>1888</v>
      </c>
      <c r="J2381" t="s">
        <v>668</v>
      </c>
      <c r="K2381" s="3">
        <v>100128830388</v>
      </c>
      <c r="L2381" s="10">
        <v>40374</v>
      </c>
      <c r="M2381">
        <v>158.19</v>
      </c>
      <c r="N2381" s="11">
        <v>17</v>
      </c>
      <c r="O2381" s="12">
        <v>9.38</v>
      </c>
      <c r="P2381" s="12">
        <v>7.28</v>
      </c>
      <c r="Q2381" s="13">
        <v>-75.22</v>
      </c>
      <c r="R2381" s="36" t="s">
        <v>1970</v>
      </c>
      <c r="S2381" s="7">
        <f t="shared" si="199"/>
        <v>1</v>
      </c>
      <c r="T2381" s="15" t="str">
        <f>VLOOKUP(R2381,产品分类!$C$2:$D$1278,2,0)</f>
        <v>办公用品</v>
      </c>
    </row>
    <row r="2382" spans="1:20">
      <c r="A2382" s="8">
        <f>DATE(2012,12,31)-1139</f>
        <v>40135</v>
      </c>
      <c r="B2382" s="8">
        <f>DATE(2012,12,31)-1139</f>
        <v>40135</v>
      </c>
      <c r="C2382" s="9" t="s">
        <v>897</v>
      </c>
      <c r="D2382">
        <v>10021413882</v>
      </c>
      <c r="E2382" t="s">
        <v>47</v>
      </c>
      <c r="F2382" t="s">
        <v>78</v>
      </c>
      <c r="G2382" t="s">
        <v>79</v>
      </c>
      <c r="H2382" t="s">
        <v>1887</v>
      </c>
      <c r="I2382" t="s">
        <v>1888</v>
      </c>
      <c r="J2382" t="s">
        <v>668</v>
      </c>
      <c r="K2382" s="3">
        <v>10083175752</v>
      </c>
      <c r="L2382" s="10">
        <v>40137</v>
      </c>
      <c r="M2382">
        <v>988.42</v>
      </c>
      <c r="N2382" s="11">
        <v>37</v>
      </c>
      <c r="O2382" s="12">
        <v>29.17</v>
      </c>
      <c r="P2382" s="12">
        <v>6.27</v>
      </c>
      <c r="Q2382" s="13">
        <v>253.9375</v>
      </c>
      <c r="R2382" s="36" t="s">
        <v>1115</v>
      </c>
      <c r="S2382" s="7">
        <f t="shared" si="199"/>
        <v>2</v>
      </c>
      <c r="T2382" s="15" t="str">
        <f>VLOOKUP(R2382,产品分类!$C$2:$D$1278,2,0)</f>
        <v>家具产品</v>
      </c>
    </row>
    <row r="2383" spans="1:20">
      <c r="A2383" s="8">
        <f>DATE(2012,12,31)-474</f>
        <v>40800</v>
      </c>
      <c r="B2383" s="8">
        <f>DATE(2012,12,31)-474</f>
        <v>40800</v>
      </c>
      <c r="C2383" s="9" t="s">
        <v>315</v>
      </c>
      <c r="D2383">
        <v>10021345558</v>
      </c>
      <c r="E2383" t="s">
        <v>47</v>
      </c>
      <c r="F2383" t="s">
        <v>72</v>
      </c>
      <c r="G2383" t="s">
        <v>73</v>
      </c>
      <c r="H2383" t="s">
        <v>1949</v>
      </c>
      <c r="I2383" t="s">
        <v>1950</v>
      </c>
      <c r="J2383" t="s">
        <v>668</v>
      </c>
      <c r="K2383" s="3">
        <v>100130182637</v>
      </c>
      <c r="L2383" s="10">
        <v>40801</v>
      </c>
      <c r="M2383">
        <v>5472.12</v>
      </c>
      <c r="N2383" s="11">
        <v>4</v>
      </c>
      <c r="O2383" s="12">
        <v>1360.14</v>
      </c>
      <c r="P2383" s="12">
        <v>14.7</v>
      </c>
      <c r="Q2383" s="13">
        <v>-2816.3379</v>
      </c>
      <c r="R2383" s="36" t="s">
        <v>494</v>
      </c>
      <c r="S2383" s="7">
        <f t="shared" si="199"/>
        <v>1</v>
      </c>
      <c r="T2383" s="15" t="str">
        <f>VLOOKUP(R2383,产品分类!$C$2:$D$1278,2,0)</f>
        <v>数码电子</v>
      </c>
    </row>
    <row r="2384" spans="1:20">
      <c r="A2384" s="8">
        <f>DATE(2012,12,31)-832</f>
        <v>40442</v>
      </c>
      <c r="B2384" s="8">
        <f>DATE(2012,12,31)-832</f>
        <v>40442</v>
      </c>
      <c r="C2384" s="9" t="s">
        <v>46</v>
      </c>
      <c r="D2384">
        <v>10021422435</v>
      </c>
      <c r="E2384" t="s">
        <v>47</v>
      </c>
      <c r="F2384" t="s">
        <v>230</v>
      </c>
      <c r="G2384" t="s">
        <v>231</v>
      </c>
      <c r="H2384" t="s">
        <v>1798</v>
      </c>
      <c r="I2384" t="s">
        <v>1799</v>
      </c>
      <c r="J2384" t="s">
        <v>668</v>
      </c>
      <c r="K2384" s="3">
        <v>100127123258</v>
      </c>
      <c r="L2384" s="10">
        <v>40443</v>
      </c>
      <c r="M2384">
        <v>1810.67</v>
      </c>
      <c r="N2384" s="11">
        <v>7</v>
      </c>
      <c r="O2384" s="12">
        <v>270.98</v>
      </c>
      <c r="P2384" s="12">
        <v>50</v>
      </c>
      <c r="Q2384" s="13">
        <v>-541.87</v>
      </c>
      <c r="R2384" s="36" t="s">
        <v>1777</v>
      </c>
      <c r="S2384" s="7">
        <f t="shared" si="199"/>
        <v>1</v>
      </c>
      <c r="T2384" s="15" t="str">
        <f>VLOOKUP(R2384,产品分类!$C$2:$D$1278,2,0)</f>
        <v>办公用品</v>
      </c>
    </row>
    <row r="2385" spans="1:20">
      <c r="A2385" s="8">
        <f t="shared" ref="A2385:B2387" si="200">DATE(2012,12,31)-636</f>
        <v>40638</v>
      </c>
      <c r="B2385" s="8">
        <f t="shared" si="200"/>
        <v>40638</v>
      </c>
      <c r="C2385" s="9" t="s">
        <v>1971</v>
      </c>
      <c r="D2385">
        <v>10021295951</v>
      </c>
      <c r="E2385" t="s">
        <v>47</v>
      </c>
      <c r="F2385" t="s">
        <v>230</v>
      </c>
      <c r="G2385" t="s">
        <v>231</v>
      </c>
      <c r="H2385" t="s">
        <v>1798</v>
      </c>
      <c r="I2385" t="s">
        <v>1799</v>
      </c>
      <c r="J2385" t="s">
        <v>668</v>
      </c>
      <c r="K2385" s="3">
        <v>100319415749</v>
      </c>
      <c r="L2385" s="10">
        <v>40639</v>
      </c>
      <c r="M2385">
        <v>5793.46</v>
      </c>
      <c r="N2385" s="11">
        <v>38</v>
      </c>
      <c r="O2385" s="12">
        <v>150.98</v>
      </c>
      <c r="P2385" s="12">
        <v>13.99</v>
      </c>
      <c r="Q2385" s="13">
        <v>2477.77</v>
      </c>
      <c r="R2385" s="36" t="s">
        <v>126</v>
      </c>
      <c r="S2385" s="7">
        <f t="shared" si="199"/>
        <v>1</v>
      </c>
      <c r="T2385" s="15" t="str">
        <f>VLOOKUP(R2385,产品分类!$C$2:$D$1278,2,0)</f>
        <v>家具产品</v>
      </c>
    </row>
    <row r="2386" spans="1:20">
      <c r="A2386" s="8">
        <f t="shared" si="200"/>
        <v>40638</v>
      </c>
      <c r="B2386" s="8">
        <f t="shared" si="200"/>
        <v>40638</v>
      </c>
      <c r="C2386" s="9" t="s">
        <v>1971</v>
      </c>
      <c r="D2386">
        <v>10021366858</v>
      </c>
      <c r="E2386" t="s">
        <v>47</v>
      </c>
      <c r="F2386" t="s">
        <v>230</v>
      </c>
      <c r="G2386" t="s">
        <v>231</v>
      </c>
      <c r="H2386" t="s">
        <v>1798</v>
      </c>
      <c r="I2386" t="s">
        <v>1799</v>
      </c>
      <c r="J2386" t="s">
        <v>668</v>
      </c>
      <c r="K2386" s="3">
        <v>100126303736</v>
      </c>
      <c r="L2386" s="10">
        <v>40640</v>
      </c>
      <c r="M2386">
        <v>4558.21</v>
      </c>
      <c r="N2386" s="11">
        <v>11</v>
      </c>
      <c r="O2386" s="12">
        <v>415.88</v>
      </c>
      <c r="P2386" s="12">
        <v>11.37</v>
      </c>
      <c r="Q2386" s="13">
        <v>993.81</v>
      </c>
      <c r="R2386" s="36" t="s">
        <v>482</v>
      </c>
      <c r="S2386" s="7">
        <f t="shared" si="199"/>
        <v>2</v>
      </c>
      <c r="T2386" s="15" t="str">
        <f>VLOOKUP(R2386,产品分类!$C$2:$D$1278,2,0)</f>
        <v>家具产品</v>
      </c>
    </row>
    <row r="2387" spans="1:20">
      <c r="A2387" s="8">
        <f t="shared" si="200"/>
        <v>40638</v>
      </c>
      <c r="B2387" s="8">
        <f t="shared" si="200"/>
        <v>40638</v>
      </c>
      <c r="C2387" s="9" t="s">
        <v>1971</v>
      </c>
      <c r="D2387">
        <v>10021341009</v>
      </c>
      <c r="E2387" t="s">
        <v>47</v>
      </c>
      <c r="F2387" t="s">
        <v>230</v>
      </c>
      <c r="G2387" t="s">
        <v>231</v>
      </c>
      <c r="H2387" t="s">
        <v>1798</v>
      </c>
      <c r="I2387" t="s">
        <v>1799</v>
      </c>
      <c r="J2387" t="s">
        <v>668</v>
      </c>
      <c r="K2387" s="3">
        <v>10034132389</v>
      </c>
      <c r="L2387" s="10">
        <v>40640</v>
      </c>
      <c r="M2387">
        <v>4361.6985</v>
      </c>
      <c r="N2387" s="11">
        <v>26</v>
      </c>
      <c r="O2387" s="12">
        <v>195.99</v>
      </c>
      <c r="P2387" s="12">
        <v>4.2</v>
      </c>
      <c r="Q2387" s="13">
        <v>1069.785</v>
      </c>
      <c r="R2387" s="36" t="s">
        <v>1279</v>
      </c>
      <c r="S2387" s="7">
        <f t="shared" si="199"/>
        <v>2</v>
      </c>
      <c r="T2387" s="15" t="str">
        <f>VLOOKUP(R2387,产品分类!$C$2:$D$1278,2,0)</f>
        <v>家具产品</v>
      </c>
    </row>
    <row r="2388" spans="1:20">
      <c r="A2388" s="8">
        <f>DATE(2012,12,31)-591</f>
        <v>40683</v>
      </c>
      <c r="B2388" s="8">
        <f>DATE(2012,12,31)-591</f>
        <v>40683</v>
      </c>
      <c r="C2388" s="9" t="s">
        <v>1143</v>
      </c>
      <c r="D2388">
        <v>10021493636</v>
      </c>
      <c r="E2388" t="s">
        <v>47</v>
      </c>
      <c r="F2388" t="s">
        <v>230</v>
      </c>
      <c r="G2388" t="s">
        <v>231</v>
      </c>
      <c r="H2388" t="s">
        <v>1798</v>
      </c>
      <c r="I2388" t="s">
        <v>1799</v>
      </c>
      <c r="J2388" t="s">
        <v>668</v>
      </c>
      <c r="K2388" s="3">
        <v>10043676404</v>
      </c>
      <c r="L2388" s="10">
        <v>40684</v>
      </c>
      <c r="M2388">
        <v>258.54</v>
      </c>
      <c r="N2388" s="11">
        <v>37</v>
      </c>
      <c r="O2388" s="12">
        <v>6.68</v>
      </c>
      <c r="P2388" s="12">
        <v>7.3</v>
      </c>
      <c r="Q2388" s="13">
        <v>-116.37</v>
      </c>
      <c r="R2388" s="36" t="s">
        <v>1972</v>
      </c>
      <c r="S2388" s="7">
        <f t="shared" si="199"/>
        <v>1</v>
      </c>
      <c r="T2388" s="15" t="str">
        <f>VLOOKUP(R2388,产品分类!$C$2:$D$1278,2,0)</f>
        <v>办公用品</v>
      </c>
    </row>
    <row r="2389" spans="1:20">
      <c r="A2389" s="8">
        <f>DATE(2012,12,31)-591</f>
        <v>40683</v>
      </c>
      <c r="B2389" s="8">
        <f>DATE(2012,12,31)-591</f>
        <v>40683</v>
      </c>
      <c r="C2389" s="9" t="s">
        <v>1143</v>
      </c>
      <c r="D2389">
        <v>10021336324</v>
      </c>
      <c r="E2389" t="s">
        <v>47</v>
      </c>
      <c r="F2389" t="s">
        <v>114</v>
      </c>
      <c r="G2389" t="s">
        <v>115</v>
      </c>
      <c r="H2389" t="s">
        <v>1951</v>
      </c>
      <c r="I2389" t="s">
        <v>1952</v>
      </c>
      <c r="J2389" t="s">
        <v>668</v>
      </c>
      <c r="K2389" s="3">
        <v>100117849498</v>
      </c>
      <c r="L2389" s="10">
        <v>40684</v>
      </c>
      <c r="M2389">
        <v>4610.2895</v>
      </c>
      <c r="N2389" s="11">
        <v>41</v>
      </c>
      <c r="O2389" s="12">
        <v>125.99</v>
      </c>
      <c r="P2389" s="12">
        <v>2.5</v>
      </c>
      <c r="Q2389" s="13">
        <v>1432.863</v>
      </c>
      <c r="R2389" s="36" t="s">
        <v>1411</v>
      </c>
      <c r="S2389" s="7">
        <f t="shared" si="199"/>
        <v>1</v>
      </c>
      <c r="T2389" s="15" t="str">
        <f>VLOOKUP(R2389,产品分类!$C$2:$D$1278,2,0)</f>
        <v>办公用品</v>
      </c>
    </row>
    <row r="2390" spans="1:20">
      <c r="A2390" s="8">
        <f>DATE(2012,12,31)-1334</f>
        <v>39940</v>
      </c>
      <c r="B2390" s="8">
        <f>DATE(2012,12,31)-1334</f>
        <v>39940</v>
      </c>
      <c r="C2390" s="9" t="s">
        <v>991</v>
      </c>
      <c r="D2390">
        <v>10021493549</v>
      </c>
      <c r="E2390" t="s">
        <v>47</v>
      </c>
      <c r="F2390" t="s">
        <v>91</v>
      </c>
      <c r="G2390" t="s">
        <v>92</v>
      </c>
      <c r="H2390" t="s">
        <v>1911</v>
      </c>
      <c r="I2390" t="s">
        <v>1912</v>
      </c>
      <c r="J2390" t="s">
        <v>668</v>
      </c>
      <c r="K2390" s="3">
        <v>10012984647</v>
      </c>
      <c r="L2390" s="10">
        <v>39942</v>
      </c>
      <c r="M2390">
        <v>130.49</v>
      </c>
      <c r="N2390" s="11">
        <v>27</v>
      </c>
      <c r="O2390" s="12">
        <v>4.76</v>
      </c>
      <c r="P2390" s="12">
        <v>0.88</v>
      </c>
      <c r="Q2390" s="13">
        <v>47.09</v>
      </c>
      <c r="R2390" s="36" t="s">
        <v>636</v>
      </c>
      <c r="S2390" s="7">
        <f t="shared" si="199"/>
        <v>2</v>
      </c>
      <c r="T2390" s="15" t="str">
        <f>VLOOKUP(R2390,产品分类!$C$2:$D$1278,2,0)</f>
        <v>数码电子</v>
      </c>
    </row>
    <row r="2391" spans="1:20">
      <c r="A2391" s="16">
        <f>DATE(2012,12,31)-1349</f>
        <v>39925</v>
      </c>
      <c r="B2391" s="16">
        <f>DATE(2012,12,31)-1349</f>
        <v>39925</v>
      </c>
      <c r="C2391" s="9" t="s">
        <v>1517</v>
      </c>
      <c r="D2391">
        <v>10021299484</v>
      </c>
      <c r="E2391" t="s">
        <v>47</v>
      </c>
      <c r="F2391" t="s">
        <v>55</v>
      </c>
      <c r="G2391" t="s">
        <v>56</v>
      </c>
      <c r="H2391" t="s">
        <v>1869</v>
      </c>
      <c r="I2391" t="s">
        <v>1870</v>
      </c>
      <c r="J2391" t="s">
        <v>668</v>
      </c>
      <c r="K2391" s="3">
        <v>100128079518</v>
      </c>
      <c r="L2391" s="10">
        <v>39929</v>
      </c>
      <c r="M2391">
        <v>159.11</v>
      </c>
      <c r="N2391" s="17">
        <v>29</v>
      </c>
      <c r="O2391" s="5">
        <v>5.43</v>
      </c>
      <c r="P2391" s="5">
        <v>0.95</v>
      </c>
      <c r="Q2391" s="6">
        <v>64.01</v>
      </c>
      <c r="R2391" s="37" t="s">
        <v>1308</v>
      </c>
      <c r="S2391" s="7">
        <f t="shared" si="199"/>
        <v>4</v>
      </c>
      <c r="T2391" s="15" t="str">
        <f>VLOOKUP(R2391,产品分类!$C$2:$D$1278,2,0)</f>
        <v>办公用品</v>
      </c>
    </row>
    <row r="2392" spans="1:20">
      <c r="A2392" s="8">
        <f>DATE(2012,12,31)-1124</f>
        <v>40150</v>
      </c>
      <c r="B2392" s="8">
        <f>DATE(2012,12,31)-1124</f>
        <v>40150</v>
      </c>
      <c r="C2392" s="9" t="s">
        <v>1774</v>
      </c>
      <c r="D2392">
        <v>10021337493</v>
      </c>
      <c r="E2392" t="s">
        <v>47</v>
      </c>
      <c r="F2392" t="s">
        <v>55</v>
      </c>
      <c r="G2392" t="s">
        <v>56</v>
      </c>
      <c r="H2392" t="s">
        <v>1869</v>
      </c>
      <c r="I2392" t="s">
        <v>1870</v>
      </c>
      <c r="J2392" t="s">
        <v>668</v>
      </c>
      <c r="K2392" s="3">
        <v>100822103462</v>
      </c>
      <c r="L2392" s="10">
        <v>40152</v>
      </c>
      <c r="M2392">
        <v>34.66</v>
      </c>
      <c r="N2392" s="11">
        <v>7</v>
      </c>
      <c r="O2392" s="12">
        <v>4.42</v>
      </c>
      <c r="P2392" s="12">
        <v>4.99</v>
      </c>
      <c r="Q2392" s="13">
        <v>-20.87</v>
      </c>
      <c r="R2392" s="36" t="s">
        <v>432</v>
      </c>
      <c r="S2392" s="7">
        <f t="shared" si="199"/>
        <v>2</v>
      </c>
      <c r="T2392" s="15" t="str">
        <f>VLOOKUP(R2392,产品分类!$C$2:$D$1278,2,0)</f>
        <v>数码电子</v>
      </c>
    </row>
    <row r="2393" spans="1:20">
      <c r="A2393" s="8">
        <f>DATE(2012,12,31)-896</f>
        <v>40378</v>
      </c>
      <c r="B2393" s="8">
        <f>DATE(2012,12,31)-896</f>
        <v>40378</v>
      </c>
      <c r="C2393" s="9" t="s">
        <v>1066</v>
      </c>
      <c r="D2393">
        <v>10021420878</v>
      </c>
      <c r="E2393" t="s">
        <v>47</v>
      </c>
      <c r="F2393" t="s">
        <v>91</v>
      </c>
      <c r="G2393" t="s">
        <v>92</v>
      </c>
      <c r="H2393" t="s">
        <v>1911</v>
      </c>
      <c r="I2393" t="s">
        <v>1912</v>
      </c>
      <c r="J2393" t="s">
        <v>668</v>
      </c>
      <c r="K2393" s="3">
        <v>100125234716</v>
      </c>
      <c r="L2393" s="10">
        <v>40380</v>
      </c>
      <c r="M2393">
        <v>2405.4575</v>
      </c>
      <c r="N2393" s="11">
        <v>40</v>
      </c>
      <c r="O2393" s="12">
        <v>65.99</v>
      </c>
      <c r="P2393" s="12">
        <v>7.69</v>
      </c>
      <c r="Q2393" s="13">
        <v>571.536</v>
      </c>
      <c r="R2393" s="36" t="s">
        <v>246</v>
      </c>
      <c r="S2393" s="7">
        <f t="shared" si="199"/>
        <v>2</v>
      </c>
      <c r="T2393" s="15" t="str">
        <f>VLOOKUP(R2393,产品分类!$C$2:$D$1278,2,0)</f>
        <v>办公用品</v>
      </c>
    </row>
    <row r="2394" spans="1:20">
      <c r="A2394" s="8">
        <f>DATE(2012,12,31)-517</f>
        <v>40757</v>
      </c>
      <c r="B2394" s="8">
        <f>DATE(2012,12,31)-517</f>
        <v>40757</v>
      </c>
      <c r="C2394" s="9" t="s">
        <v>1233</v>
      </c>
      <c r="D2394">
        <v>10021522403</v>
      </c>
      <c r="E2394" t="s">
        <v>47</v>
      </c>
      <c r="F2394" t="s">
        <v>55</v>
      </c>
      <c r="G2394" t="s">
        <v>56</v>
      </c>
      <c r="H2394" t="s">
        <v>1869</v>
      </c>
      <c r="I2394" t="s">
        <v>1870</v>
      </c>
      <c r="J2394" t="s">
        <v>668</v>
      </c>
      <c r="K2394" s="3">
        <v>10035710359</v>
      </c>
      <c r="L2394" s="10">
        <v>40759</v>
      </c>
      <c r="M2394">
        <v>195.61</v>
      </c>
      <c r="N2394" s="11">
        <v>23</v>
      </c>
      <c r="O2394" s="12">
        <v>7.64</v>
      </c>
      <c r="P2394" s="12">
        <v>5.83</v>
      </c>
      <c r="Q2394" s="13">
        <v>-17.02</v>
      </c>
      <c r="R2394" s="36" t="s">
        <v>202</v>
      </c>
      <c r="S2394" s="7">
        <f t="shared" si="199"/>
        <v>2</v>
      </c>
      <c r="T2394" s="15" t="str">
        <f>VLOOKUP(R2394,产品分类!$C$2:$D$1278,2,0)</f>
        <v>办公用品</v>
      </c>
    </row>
    <row r="2395" spans="1:20">
      <c r="A2395" s="8">
        <f>DATE(2012,12,31)-393</f>
        <v>40881</v>
      </c>
      <c r="B2395" s="8">
        <f>DATE(2012,12,31)-393</f>
        <v>40881</v>
      </c>
      <c r="C2395" s="9" t="s">
        <v>1517</v>
      </c>
      <c r="D2395">
        <v>10021523450</v>
      </c>
      <c r="E2395" t="s">
        <v>47</v>
      </c>
      <c r="F2395" t="s">
        <v>91</v>
      </c>
      <c r="G2395" t="s">
        <v>92</v>
      </c>
      <c r="H2395" t="s">
        <v>1911</v>
      </c>
      <c r="I2395" t="s">
        <v>1912</v>
      </c>
      <c r="J2395" t="s">
        <v>668</v>
      </c>
      <c r="K2395" s="3">
        <v>10098359311</v>
      </c>
      <c r="L2395" s="10">
        <v>40883</v>
      </c>
      <c r="M2395">
        <v>1127.81</v>
      </c>
      <c r="N2395" s="11">
        <v>44</v>
      </c>
      <c r="O2395" s="12">
        <v>28.48</v>
      </c>
      <c r="P2395" s="12">
        <v>1.99</v>
      </c>
      <c r="Q2395" s="13">
        <v>425.08</v>
      </c>
      <c r="R2395" s="36" t="s">
        <v>409</v>
      </c>
      <c r="S2395" s="7">
        <f t="shared" si="199"/>
        <v>2</v>
      </c>
      <c r="T2395" s="15" t="str">
        <f>VLOOKUP(R2395,产品分类!$C$2:$D$1278,2,0)</f>
        <v>办公用品</v>
      </c>
    </row>
    <row r="2396" spans="1:20">
      <c r="A2396" s="8">
        <f>DATE(2012,12,31)-430</f>
        <v>40844</v>
      </c>
      <c r="B2396" s="8">
        <f>DATE(2012,12,31)-430</f>
        <v>40844</v>
      </c>
      <c r="C2396" s="9" t="s">
        <v>188</v>
      </c>
      <c r="D2396">
        <v>10021254971</v>
      </c>
      <c r="E2396" t="s">
        <v>47</v>
      </c>
      <c r="F2396" t="s">
        <v>122</v>
      </c>
      <c r="G2396" t="s">
        <v>123</v>
      </c>
      <c r="H2396" t="s">
        <v>124</v>
      </c>
      <c r="I2396" t="s">
        <v>125</v>
      </c>
      <c r="J2396" t="s">
        <v>668</v>
      </c>
      <c r="K2396" s="3">
        <v>100923329101</v>
      </c>
      <c r="L2396" s="10">
        <v>40846</v>
      </c>
      <c r="M2396">
        <v>110.38</v>
      </c>
      <c r="N2396" s="11">
        <v>39</v>
      </c>
      <c r="O2396" s="12">
        <v>2.78</v>
      </c>
      <c r="P2396" s="12">
        <v>1.2</v>
      </c>
      <c r="Q2396" s="13">
        <v>-4.86</v>
      </c>
      <c r="R2396" s="36" t="s">
        <v>452</v>
      </c>
      <c r="S2396" s="7">
        <f t="shared" si="199"/>
        <v>2</v>
      </c>
      <c r="T2396" s="15" t="str">
        <f>VLOOKUP(R2396,产品分类!$C$2:$D$1278,2,0)</f>
        <v>家具产品</v>
      </c>
    </row>
    <row r="2397" spans="1:20">
      <c r="A2397" s="8">
        <f>DATE(2012,12,31)-505</f>
        <v>40769</v>
      </c>
      <c r="B2397" s="8">
        <f>DATE(2012,12,31)-505</f>
        <v>40769</v>
      </c>
      <c r="C2397" s="9" t="s">
        <v>1865</v>
      </c>
      <c r="D2397">
        <v>10021494253</v>
      </c>
      <c r="E2397" t="s">
        <v>47</v>
      </c>
      <c r="F2397" t="s">
        <v>91</v>
      </c>
      <c r="G2397" t="s">
        <v>92</v>
      </c>
      <c r="H2397" t="s">
        <v>1911</v>
      </c>
      <c r="I2397" t="s">
        <v>1912</v>
      </c>
      <c r="J2397" t="s">
        <v>668</v>
      </c>
      <c r="K2397" s="3">
        <v>10012721468</v>
      </c>
      <c r="L2397" s="10">
        <v>40771</v>
      </c>
      <c r="M2397">
        <v>3218.42</v>
      </c>
      <c r="N2397" s="11">
        <v>29</v>
      </c>
      <c r="O2397" s="12">
        <v>114.98</v>
      </c>
      <c r="P2397" s="12">
        <v>58.72</v>
      </c>
      <c r="Q2397" s="13">
        <v>-1248.58</v>
      </c>
      <c r="R2397" s="36" t="s">
        <v>1575</v>
      </c>
      <c r="S2397" s="7">
        <f t="shared" si="199"/>
        <v>2</v>
      </c>
      <c r="T2397" s="15" t="str">
        <f>VLOOKUP(R2397,产品分类!$C$2:$D$1278,2,0)</f>
        <v>办公用品</v>
      </c>
    </row>
    <row r="2398" spans="1:20">
      <c r="A2398" s="8">
        <f>DATE(2012,12,31)-870</f>
        <v>40404</v>
      </c>
      <c r="B2398" s="8">
        <f>DATE(2012,12,31)-870</f>
        <v>40404</v>
      </c>
      <c r="C2398" s="9" t="s">
        <v>525</v>
      </c>
      <c r="D2398">
        <v>10021352114</v>
      </c>
      <c r="E2398" t="s">
        <v>47</v>
      </c>
      <c r="F2398" t="s">
        <v>91</v>
      </c>
      <c r="G2398" t="s">
        <v>92</v>
      </c>
      <c r="H2398" t="s">
        <v>1911</v>
      </c>
      <c r="I2398" t="s">
        <v>1912</v>
      </c>
      <c r="J2398" t="s">
        <v>668</v>
      </c>
      <c r="K2398" s="3">
        <v>100131285218</v>
      </c>
      <c r="L2398" s="10">
        <v>40405</v>
      </c>
      <c r="M2398">
        <v>101.25</v>
      </c>
      <c r="N2398" s="11">
        <v>28</v>
      </c>
      <c r="O2398" s="12">
        <v>3.75</v>
      </c>
      <c r="P2398" s="12">
        <v>0.5</v>
      </c>
      <c r="Q2398" s="13">
        <v>40.9</v>
      </c>
      <c r="R2398" s="36" t="s">
        <v>1759</v>
      </c>
      <c r="S2398" s="7">
        <f t="shared" si="199"/>
        <v>1</v>
      </c>
      <c r="T2398" s="15" t="str">
        <f>VLOOKUP(R2398,产品分类!$C$2:$D$1278,2,0)</f>
        <v>家具产品</v>
      </c>
    </row>
    <row r="2399" spans="1:20">
      <c r="A2399" s="8">
        <f>DATE(2012,12,31)-546</f>
        <v>40728</v>
      </c>
      <c r="B2399" s="8">
        <f>DATE(2012,12,31)-546</f>
        <v>40728</v>
      </c>
      <c r="C2399" s="9" t="s">
        <v>1867</v>
      </c>
      <c r="D2399">
        <v>10021500384</v>
      </c>
      <c r="E2399" t="s">
        <v>47</v>
      </c>
      <c r="F2399" t="s">
        <v>55</v>
      </c>
      <c r="G2399" t="s">
        <v>56</v>
      </c>
      <c r="H2399" t="s">
        <v>1869</v>
      </c>
      <c r="I2399" t="s">
        <v>1870</v>
      </c>
      <c r="J2399" t="s">
        <v>668</v>
      </c>
      <c r="K2399" s="3">
        <v>100425875274</v>
      </c>
      <c r="L2399" s="10">
        <v>40729</v>
      </c>
      <c r="M2399">
        <v>2162.8165</v>
      </c>
      <c r="N2399" s="11">
        <v>20</v>
      </c>
      <c r="O2399" s="12">
        <v>125.99</v>
      </c>
      <c r="P2399" s="12">
        <v>8.99</v>
      </c>
      <c r="Q2399" s="13">
        <v>223.254</v>
      </c>
      <c r="R2399" s="36" t="s">
        <v>1637</v>
      </c>
      <c r="S2399" s="7">
        <f t="shared" si="199"/>
        <v>1</v>
      </c>
      <c r="T2399" s="15" t="str">
        <f>VLOOKUP(R2399,产品分类!$C$2:$D$1278,2,0)</f>
        <v>数码电子</v>
      </c>
    </row>
    <row r="2400" spans="1:20">
      <c r="A2400" s="8">
        <f>DATE(2012,12,31)-1314</f>
        <v>39960</v>
      </c>
      <c r="B2400" s="8">
        <f>DATE(2012,12,31)-1314</f>
        <v>39960</v>
      </c>
      <c r="C2400" s="9" t="s">
        <v>1661</v>
      </c>
      <c r="D2400">
        <v>10021270434</v>
      </c>
      <c r="E2400" t="s">
        <v>47</v>
      </c>
      <c r="F2400" t="s">
        <v>91</v>
      </c>
      <c r="G2400" t="s">
        <v>92</v>
      </c>
      <c r="H2400" t="s">
        <v>1911</v>
      </c>
      <c r="I2400" t="s">
        <v>1912</v>
      </c>
      <c r="J2400" t="s">
        <v>668</v>
      </c>
      <c r="K2400" s="3">
        <v>10041512083</v>
      </c>
      <c r="L2400" s="10">
        <v>39962</v>
      </c>
      <c r="M2400">
        <v>149.7</v>
      </c>
      <c r="N2400" s="11">
        <v>26</v>
      </c>
      <c r="O2400" s="12">
        <v>5.4</v>
      </c>
      <c r="P2400" s="12">
        <v>7.78</v>
      </c>
      <c r="Q2400" s="13">
        <v>-132.6295</v>
      </c>
      <c r="R2400" s="36" t="s">
        <v>200</v>
      </c>
      <c r="S2400" s="7">
        <f t="shared" si="199"/>
        <v>2</v>
      </c>
      <c r="T2400" s="15" t="str">
        <f>VLOOKUP(R2400,产品分类!$C$2:$D$1278,2,0)</f>
        <v>数码电子</v>
      </c>
    </row>
    <row r="2401" spans="1:20">
      <c r="A2401" s="8">
        <f>DATE(2012,12,31)-1314</f>
        <v>39960</v>
      </c>
      <c r="B2401" s="8">
        <f>DATE(2012,12,31)-1314</f>
        <v>39960</v>
      </c>
      <c r="C2401" s="9" t="s">
        <v>1661</v>
      </c>
      <c r="D2401">
        <v>10021255171</v>
      </c>
      <c r="E2401" t="s">
        <v>47</v>
      </c>
      <c r="F2401" t="s">
        <v>91</v>
      </c>
      <c r="G2401" t="s">
        <v>92</v>
      </c>
      <c r="H2401" t="s">
        <v>1911</v>
      </c>
      <c r="I2401" t="s">
        <v>1912</v>
      </c>
      <c r="J2401" t="s">
        <v>668</v>
      </c>
      <c r="K2401" s="3">
        <v>100716650255</v>
      </c>
      <c r="L2401" s="10">
        <v>39962</v>
      </c>
      <c r="M2401">
        <v>728.127</v>
      </c>
      <c r="N2401" s="11">
        <v>41</v>
      </c>
      <c r="O2401" s="12">
        <v>20.99</v>
      </c>
      <c r="P2401" s="12">
        <v>4.81</v>
      </c>
      <c r="Q2401" s="13">
        <v>49.788</v>
      </c>
      <c r="R2401" s="36" t="s">
        <v>692</v>
      </c>
      <c r="S2401" s="7">
        <f t="shared" si="199"/>
        <v>2</v>
      </c>
      <c r="T2401" s="15" t="str">
        <f>VLOOKUP(R2401,产品分类!$C$2:$D$1278,2,0)</f>
        <v>办公用品</v>
      </c>
    </row>
    <row r="2402" spans="1:20">
      <c r="A2402" s="8">
        <f>DATE(2012,12,31)-867</f>
        <v>40407</v>
      </c>
      <c r="B2402" s="8">
        <f>DATE(2012,12,31)-867</f>
        <v>40407</v>
      </c>
      <c r="C2402" s="9" t="s">
        <v>46</v>
      </c>
      <c r="D2402">
        <v>10021343110</v>
      </c>
      <c r="E2402" t="s">
        <v>47</v>
      </c>
      <c r="F2402" t="s">
        <v>91</v>
      </c>
      <c r="G2402" t="s">
        <v>92</v>
      </c>
      <c r="H2402" t="s">
        <v>1911</v>
      </c>
      <c r="I2402" t="s">
        <v>1912</v>
      </c>
      <c r="J2402" t="s">
        <v>668</v>
      </c>
      <c r="K2402" s="3">
        <v>100927905341</v>
      </c>
      <c r="L2402" s="10">
        <v>40409</v>
      </c>
      <c r="M2402">
        <v>633.56</v>
      </c>
      <c r="N2402" s="11">
        <v>31</v>
      </c>
      <c r="O2402" s="12">
        <v>20.97</v>
      </c>
      <c r="P2402" s="12">
        <v>6.5</v>
      </c>
      <c r="Q2402" s="13">
        <v>-158.87</v>
      </c>
      <c r="R2402" s="36" t="s">
        <v>420</v>
      </c>
      <c r="S2402" s="7">
        <f t="shared" si="199"/>
        <v>2</v>
      </c>
      <c r="T2402" s="15" t="str">
        <f>VLOOKUP(R2402,产品分类!$C$2:$D$1278,2,0)</f>
        <v>数码电子</v>
      </c>
    </row>
    <row r="2403" spans="1:20">
      <c r="A2403" s="8">
        <f>DATE(2012,12,31)-852</f>
        <v>40422</v>
      </c>
      <c r="B2403" s="8">
        <f>DATE(2012,12,31)-852</f>
        <v>40422</v>
      </c>
      <c r="C2403" s="9" t="s">
        <v>492</v>
      </c>
      <c r="D2403">
        <v>10021493254</v>
      </c>
      <c r="E2403" t="s">
        <v>47</v>
      </c>
      <c r="F2403" t="s">
        <v>91</v>
      </c>
      <c r="G2403" t="s">
        <v>92</v>
      </c>
      <c r="H2403" t="s">
        <v>1911</v>
      </c>
      <c r="I2403" t="s">
        <v>1912</v>
      </c>
      <c r="J2403" t="s">
        <v>668</v>
      </c>
      <c r="K2403" s="3">
        <v>1001867658</v>
      </c>
      <c r="L2403" s="10">
        <v>40427</v>
      </c>
      <c r="M2403">
        <v>284.6735</v>
      </c>
      <c r="N2403" s="11">
        <v>5</v>
      </c>
      <c r="O2403" s="12">
        <v>65.99</v>
      </c>
      <c r="P2403" s="12">
        <v>8.99</v>
      </c>
      <c r="Q2403" s="13">
        <v>-247.236</v>
      </c>
      <c r="R2403" s="36" t="s">
        <v>730</v>
      </c>
      <c r="S2403" s="7">
        <f t="shared" si="199"/>
        <v>5</v>
      </c>
      <c r="T2403" s="15" t="str">
        <f>VLOOKUP(R2403,产品分类!$C$2:$D$1278,2,0)</f>
        <v>办公用品</v>
      </c>
    </row>
    <row r="2404" spans="1:20">
      <c r="A2404" s="8">
        <f>DATE(2012,12,31)-852</f>
        <v>40422</v>
      </c>
      <c r="B2404" s="8">
        <f>DATE(2012,12,31)-852</f>
        <v>40422</v>
      </c>
      <c r="C2404" s="9" t="s">
        <v>492</v>
      </c>
      <c r="D2404">
        <v>10021343448</v>
      </c>
      <c r="E2404" t="s">
        <v>47</v>
      </c>
      <c r="F2404" t="s">
        <v>91</v>
      </c>
      <c r="G2404" t="s">
        <v>92</v>
      </c>
      <c r="H2404" t="s">
        <v>1911</v>
      </c>
      <c r="I2404" t="s">
        <v>1912</v>
      </c>
      <c r="J2404" t="s">
        <v>668</v>
      </c>
      <c r="K2404" s="3">
        <v>100928777631</v>
      </c>
      <c r="L2404" s="10">
        <v>40427</v>
      </c>
      <c r="M2404">
        <v>372.01</v>
      </c>
      <c r="N2404" s="11">
        <v>45</v>
      </c>
      <c r="O2404" s="12">
        <v>8.45</v>
      </c>
      <c r="P2404" s="12">
        <v>7.77</v>
      </c>
      <c r="Q2404" s="13">
        <v>-203.68</v>
      </c>
      <c r="R2404" s="36" t="s">
        <v>1973</v>
      </c>
      <c r="S2404" s="7">
        <f t="shared" si="199"/>
        <v>5</v>
      </c>
      <c r="T2404" s="15" t="str">
        <f>VLOOKUP(R2404,产品分类!$C$2:$D$1278,2,0)</f>
        <v>家具产品</v>
      </c>
    </row>
    <row r="2405" spans="1:20">
      <c r="A2405" s="8">
        <f>DATE(2012,12,31)-185</f>
        <v>41089</v>
      </c>
      <c r="B2405" s="8">
        <f>DATE(2012,12,31)-185</f>
        <v>41089</v>
      </c>
      <c r="C2405" s="9" t="s">
        <v>1809</v>
      </c>
      <c r="D2405">
        <v>10021387146</v>
      </c>
      <c r="E2405" t="s">
        <v>47</v>
      </c>
      <c r="F2405" t="s">
        <v>55</v>
      </c>
      <c r="G2405" t="s">
        <v>56</v>
      </c>
      <c r="H2405" t="s">
        <v>1869</v>
      </c>
      <c r="I2405" t="s">
        <v>1870</v>
      </c>
      <c r="J2405" t="s">
        <v>668</v>
      </c>
      <c r="K2405" s="3">
        <v>100116320008</v>
      </c>
      <c r="L2405" s="10">
        <v>41091</v>
      </c>
      <c r="M2405">
        <v>3755.43</v>
      </c>
      <c r="N2405" s="11">
        <v>39</v>
      </c>
      <c r="O2405" s="12">
        <v>99.99</v>
      </c>
      <c r="P2405" s="12">
        <v>19.99</v>
      </c>
      <c r="Q2405" s="13">
        <v>448.07</v>
      </c>
      <c r="R2405" s="36" t="s">
        <v>532</v>
      </c>
      <c r="S2405" s="7">
        <f t="shared" si="199"/>
        <v>2</v>
      </c>
      <c r="T2405" s="15" t="str">
        <f>VLOOKUP(R2405,产品分类!$C$2:$D$1278,2,0)</f>
        <v>办公用品</v>
      </c>
    </row>
    <row r="2406" spans="1:20">
      <c r="A2406" s="8">
        <f>DATE(2012,12,31)-185</f>
        <v>41089</v>
      </c>
      <c r="B2406" s="8">
        <f>DATE(2012,12,31)-185</f>
        <v>41089</v>
      </c>
      <c r="C2406" s="9" t="s">
        <v>1809</v>
      </c>
      <c r="D2406">
        <v>10021268912</v>
      </c>
      <c r="E2406" t="s">
        <v>47</v>
      </c>
      <c r="F2406" t="s">
        <v>122</v>
      </c>
      <c r="G2406" t="s">
        <v>123</v>
      </c>
      <c r="H2406" t="s">
        <v>124</v>
      </c>
      <c r="I2406" t="s">
        <v>125</v>
      </c>
      <c r="J2406" t="s">
        <v>668</v>
      </c>
      <c r="K2406" s="3">
        <v>100832419182</v>
      </c>
      <c r="L2406" s="10">
        <v>41091</v>
      </c>
      <c r="M2406">
        <v>347.93</v>
      </c>
      <c r="N2406" s="11">
        <v>32</v>
      </c>
      <c r="O2406" s="12">
        <v>11.34</v>
      </c>
      <c r="P2406" s="12">
        <v>5.01</v>
      </c>
      <c r="Q2406" s="13">
        <v>34.29</v>
      </c>
      <c r="R2406" s="36" t="s">
        <v>1504</v>
      </c>
      <c r="S2406" s="7">
        <f t="shared" si="199"/>
        <v>2</v>
      </c>
      <c r="T2406" s="15" t="str">
        <f>VLOOKUP(R2406,产品分类!$C$2:$D$1278,2,0)</f>
        <v>家具产品</v>
      </c>
    </row>
    <row r="2407" spans="1:20">
      <c r="A2407" s="8">
        <f>DATE(2012,12,31)-498</f>
        <v>40776</v>
      </c>
      <c r="B2407" s="8">
        <f>DATE(2012,12,31)-498</f>
        <v>40776</v>
      </c>
      <c r="C2407" s="9" t="s">
        <v>1334</v>
      </c>
      <c r="D2407">
        <v>10021258115</v>
      </c>
      <c r="E2407" t="s">
        <v>47</v>
      </c>
      <c r="F2407" t="s">
        <v>91</v>
      </c>
      <c r="G2407" t="s">
        <v>92</v>
      </c>
      <c r="H2407" t="s">
        <v>1911</v>
      </c>
      <c r="I2407" t="s">
        <v>1912</v>
      </c>
      <c r="J2407" t="s">
        <v>668</v>
      </c>
      <c r="K2407" s="3">
        <v>10071090505</v>
      </c>
      <c r="L2407" s="10">
        <v>40779</v>
      </c>
      <c r="M2407">
        <v>249.48</v>
      </c>
      <c r="N2407" s="11">
        <v>33</v>
      </c>
      <c r="O2407" s="12">
        <v>8.32</v>
      </c>
      <c r="P2407" s="12">
        <v>2.38</v>
      </c>
      <c r="Q2407" s="13">
        <v>-73.83</v>
      </c>
      <c r="R2407" s="36" t="s">
        <v>920</v>
      </c>
      <c r="S2407" s="7">
        <f t="shared" si="199"/>
        <v>3</v>
      </c>
      <c r="T2407" s="15" t="str">
        <f>VLOOKUP(R2407,产品分类!$C$2:$D$1278,2,0)</f>
        <v>家具产品</v>
      </c>
    </row>
    <row r="2408" spans="1:20">
      <c r="A2408" s="8">
        <f>DATE(2012,12,31)-1301</f>
        <v>39973</v>
      </c>
      <c r="B2408" s="8">
        <f>DATE(2012,12,31)-1301</f>
        <v>39973</v>
      </c>
      <c r="C2408" s="9" t="s">
        <v>1034</v>
      </c>
      <c r="D2408">
        <v>10021388498</v>
      </c>
      <c r="E2408" t="s">
        <v>47</v>
      </c>
      <c r="F2408" t="s">
        <v>91</v>
      </c>
      <c r="G2408" t="s">
        <v>92</v>
      </c>
      <c r="H2408" t="s">
        <v>1911</v>
      </c>
      <c r="I2408" t="s">
        <v>1912</v>
      </c>
      <c r="J2408" t="s">
        <v>668</v>
      </c>
      <c r="K2408" s="3">
        <v>100129125407</v>
      </c>
      <c r="L2408" s="10">
        <v>39975</v>
      </c>
      <c r="M2408">
        <v>138.84</v>
      </c>
      <c r="N2408" s="11">
        <v>15</v>
      </c>
      <c r="O2408" s="12">
        <v>8.34</v>
      </c>
      <c r="P2408" s="12">
        <v>2.64</v>
      </c>
      <c r="Q2408" s="13">
        <v>8.75</v>
      </c>
      <c r="R2408" s="36" t="s">
        <v>1974</v>
      </c>
      <c r="S2408" s="7">
        <f t="shared" si="199"/>
        <v>2</v>
      </c>
      <c r="T2408" s="15" t="str">
        <f>VLOOKUP(R2408,产品分类!$C$2:$D$1278,2,0)</f>
        <v>办公用品</v>
      </c>
    </row>
    <row r="2409" spans="1:20">
      <c r="A2409" s="8">
        <f>DATE(2012,12,31)-227</f>
        <v>41047</v>
      </c>
      <c r="B2409" s="8">
        <f>DATE(2012,12,31)-227</f>
        <v>41047</v>
      </c>
      <c r="C2409" s="9" t="s">
        <v>488</v>
      </c>
      <c r="D2409">
        <v>10021293709</v>
      </c>
      <c r="E2409" t="s">
        <v>47</v>
      </c>
      <c r="F2409" t="s">
        <v>91</v>
      </c>
      <c r="G2409" t="s">
        <v>92</v>
      </c>
      <c r="H2409" t="s">
        <v>1911</v>
      </c>
      <c r="I2409" t="s">
        <v>1912</v>
      </c>
      <c r="J2409" t="s">
        <v>668</v>
      </c>
      <c r="K2409" s="3">
        <v>10016428127</v>
      </c>
      <c r="L2409" s="10">
        <v>41049</v>
      </c>
      <c r="M2409">
        <v>861.41</v>
      </c>
      <c r="N2409" s="11">
        <v>42</v>
      </c>
      <c r="O2409" s="12">
        <v>18.97</v>
      </c>
      <c r="P2409" s="12">
        <v>9.54</v>
      </c>
      <c r="Q2409" s="13">
        <v>128</v>
      </c>
      <c r="R2409" s="36" t="s">
        <v>302</v>
      </c>
      <c r="S2409" s="7">
        <f t="shared" si="199"/>
        <v>2</v>
      </c>
      <c r="T2409" s="15" t="str">
        <f>VLOOKUP(R2409,产品分类!$C$2:$D$1278,2,0)</f>
        <v>家具产品</v>
      </c>
    </row>
    <row r="2410" spans="1:20">
      <c r="A2410" s="8">
        <f>DATE(2012,12,31)-1037</f>
        <v>40237</v>
      </c>
      <c r="B2410" s="8">
        <f>DATE(2012,12,31)-1037</f>
        <v>40237</v>
      </c>
      <c r="C2410" s="9" t="s">
        <v>562</v>
      </c>
      <c r="D2410">
        <v>10021464408</v>
      </c>
      <c r="E2410" t="s">
        <v>47</v>
      </c>
      <c r="F2410" t="s">
        <v>55</v>
      </c>
      <c r="G2410" t="s">
        <v>56</v>
      </c>
      <c r="H2410" t="s">
        <v>1869</v>
      </c>
      <c r="I2410" t="s">
        <v>1870</v>
      </c>
      <c r="J2410" t="s">
        <v>668</v>
      </c>
      <c r="K2410" s="3">
        <v>10088584212</v>
      </c>
      <c r="L2410" s="10">
        <v>40241</v>
      </c>
      <c r="M2410">
        <v>9473.31</v>
      </c>
      <c r="N2410" s="11">
        <v>33</v>
      </c>
      <c r="O2410" s="12">
        <v>294.62</v>
      </c>
      <c r="P2410" s="12">
        <v>42.52</v>
      </c>
      <c r="Q2410" s="13">
        <v>1939.11</v>
      </c>
      <c r="R2410" s="36" t="s">
        <v>607</v>
      </c>
      <c r="S2410" s="7">
        <f t="shared" si="199"/>
        <v>4</v>
      </c>
      <c r="T2410" s="15" t="str">
        <f>VLOOKUP(R2410,产品分类!$C$2:$D$1278,2,0)</f>
        <v>家具产品</v>
      </c>
    </row>
    <row r="2411" spans="1:20">
      <c r="A2411" s="8">
        <f>DATE(2012,12,31)-202</f>
        <v>41072</v>
      </c>
      <c r="B2411" s="8">
        <f>DATE(2012,12,31)-202</f>
        <v>41072</v>
      </c>
      <c r="C2411" s="9" t="s">
        <v>442</v>
      </c>
      <c r="D2411">
        <v>10021445313</v>
      </c>
      <c r="E2411" t="s">
        <v>47</v>
      </c>
      <c r="F2411" t="s">
        <v>122</v>
      </c>
      <c r="G2411" t="s">
        <v>123</v>
      </c>
      <c r="H2411" t="s">
        <v>124</v>
      </c>
      <c r="I2411" t="s">
        <v>125</v>
      </c>
      <c r="J2411" t="s">
        <v>668</v>
      </c>
      <c r="K2411" s="3">
        <v>100812333332</v>
      </c>
      <c r="L2411" s="10">
        <v>41072</v>
      </c>
      <c r="M2411">
        <v>399.76</v>
      </c>
      <c r="N2411" s="11">
        <v>27</v>
      </c>
      <c r="O2411" s="12">
        <v>14.56</v>
      </c>
      <c r="P2411" s="12">
        <v>3.5</v>
      </c>
      <c r="Q2411" s="13">
        <v>48.13</v>
      </c>
      <c r="R2411" s="36" t="s">
        <v>1017</v>
      </c>
      <c r="S2411" s="7">
        <f t="shared" si="199"/>
        <v>0</v>
      </c>
      <c r="T2411" s="15" t="str">
        <f>VLOOKUP(R2411,产品分类!$C$2:$D$1278,2,0)</f>
        <v>家具产品</v>
      </c>
    </row>
    <row r="2412" spans="1:20">
      <c r="A2412" s="8">
        <f>DATE(2012,12,31)-202</f>
        <v>41072</v>
      </c>
      <c r="B2412" s="8">
        <f>DATE(2012,12,31)-202</f>
        <v>41072</v>
      </c>
      <c r="C2412" s="9" t="s">
        <v>442</v>
      </c>
      <c r="D2412">
        <v>10021386428</v>
      </c>
      <c r="E2412" t="s">
        <v>47</v>
      </c>
      <c r="F2412" t="s">
        <v>132</v>
      </c>
      <c r="G2412" t="s">
        <v>133</v>
      </c>
      <c r="H2412" t="s">
        <v>134</v>
      </c>
      <c r="I2412" t="s">
        <v>133</v>
      </c>
      <c r="J2412" t="s">
        <v>668</v>
      </c>
      <c r="K2412" s="3">
        <v>10089724882</v>
      </c>
      <c r="L2412" s="10">
        <v>41074</v>
      </c>
      <c r="M2412">
        <v>5393.27</v>
      </c>
      <c r="N2412" s="11">
        <v>22</v>
      </c>
      <c r="O2412" s="12">
        <v>270.97</v>
      </c>
      <c r="P2412" s="12">
        <v>28.06</v>
      </c>
      <c r="Q2412" s="13">
        <v>353.72</v>
      </c>
      <c r="R2412" s="36" t="s">
        <v>1975</v>
      </c>
      <c r="S2412" s="7">
        <f t="shared" si="199"/>
        <v>2</v>
      </c>
      <c r="T2412" s="15" t="str">
        <f>VLOOKUP(R2412,产品分类!$C$2:$D$1278,2,0)</f>
        <v>办公用品</v>
      </c>
    </row>
    <row r="2413" spans="1:20">
      <c r="A2413" s="8">
        <f>DATE(2012,12,31)-187</f>
        <v>41087</v>
      </c>
      <c r="B2413" s="8">
        <f>DATE(2012,12,31)-187</f>
        <v>41087</v>
      </c>
      <c r="C2413" s="9" t="s">
        <v>861</v>
      </c>
      <c r="D2413">
        <v>10021363495</v>
      </c>
      <c r="E2413" t="s">
        <v>47</v>
      </c>
      <c r="F2413" t="s">
        <v>102</v>
      </c>
      <c r="G2413" t="s">
        <v>103</v>
      </c>
      <c r="H2413" t="s">
        <v>1217</v>
      </c>
      <c r="I2413" t="s">
        <v>1218</v>
      </c>
      <c r="J2413" t="s">
        <v>668</v>
      </c>
      <c r="K2413" s="3">
        <v>10041828344</v>
      </c>
      <c r="L2413" s="10">
        <v>41089</v>
      </c>
      <c r="M2413">
        <v>99.08</v>
      </c>
      <c r="N2413" s="11">
        <v>50</v>
      </c>
      <c r="O2413" s="12">
        <v>1.76</v>
      </c>
      <c r="P2413" s="12">
        <v>0.7</v>
      </c>
      <c r="Q2413" s="13">
        <v>11.28</v>
      </c>
      <c r="R2413" s="36" t="s">
        <v>561</v>
      </c>
      <c r="S2413" s="7">
        <f t="shared" si="199"/>
        <v>2</v>
      </c>
      <c r="T2413" s="15" t="str">
        <f>VLOOKUP(R2413,产品分类!$C$2:$D$1278,2,0)</f>
        <v>数码电子</v>
      </c>
    </row>
    <row r="2414" spans="1:20">
      <c r="A2414" s="8">
        <f>DATE(2012,12,31)-62</f>
        <v>41212</v>
      </c>
      <c r="B2414" s="8">
        <f>DATE(2012,12,31)-62</f>
        <v>41212</v>
      </c>
      <c r="C2414" s="9" t="s">
        <v>739</v>
      </c>
      <c r="D2414">
        <v>10021269785</v>
      </c>
      <c r="E2414" t="s">
        <v>47</v>
      </c>
      <c r="F2414" t="s">
        <v>208</v>
      </c>
      <c r="G2414" t="s">
        <v>209</v>
      </c>
      <c r="H2414" t="s">
        <v>1956</v>
      </c>
      <c r="I2414" t="s">
        <v>1957</v>
      </c>
      <c r="J2414" t="s">
        <v>668</v>
      </c>
      <c r="K2414" s="3">
        <v>100332461059</v>
      </c>
      <c r="L2414" s="10">
        <v>41213</v>
      </c>
      <c r="M2414">
        <v>462.12</v>
      </c>
      <c r="N2414" s="11">
        <v>28</v>
      </c>
      <c r="O2414" s="12">
        <v>15.57</v>
      </c>
      <c r="P2414" s="12">
        <v>1.39</v>
      </c>
      <c r="Q2414" s="13">
        <v>226.4</v>
      </c>
      <c r="R2414" s="36" t="s">
        <v>843</v>
      </c>
      <c r="S2414" s="7">
        <f t="shared" si="199"/>
        <v>1</v>
      </c>
      <c r="T2414" s="15" t="str">
        <f>VLOOKUP(R2414,产品分类!$C$2:$D$1278,2,0)</f>
        <v>办公用品</v>
      </c>
    </row>
    <row r="2415" spans="1:20">
      <c r="A2415" s="8">
        <f>DATE(2012,12,31)-473</f>
        <v>40801</v>
      </c>
      <c r="B2415" s="8">
        <f>DATE(2012,12,31)-473</f>
        <v>40801</v>
      </c>
      <c r="C2415" s="9" t="s">
        <v>1976</v>
      </c>
      <c r="D2415">
        <v>10021415636</v>
      </c>
      <c r="E2415" t="s">
        <v>47</v>
      </c>
      <c r="F2415" t="s">
        <v>102</v>
      </c>
      <c r="G2415" t="s">
        <v>103</v>
      </c>
      <c r="H2415" t="s">
        <v>1217</v>
      </c>
      <c r="I2415" t="s">
        <v>1218</v>
      </c>
      <c r="J2415" t="s">
        <v>668</v>
      </c>
      <c r="K2415" s="3">
        <v>10017148866</v>
      </c>
      <c r="L2415" s="10">
        <v>40802</v>
      </c>
      <c r="M2415">
        <v>381.79</v>
      </c>
      <c r="N2415" s="11">
        <v>28</v>
      </c>
      <c r="O2415" s="12">
        <v>14.34</v>
      </c>
      <c r="P2415" s="12">
        <v>5</v>
      </c>
      <c r="Q2415" s="13">
        <v>73.73</v>
      </c>
      <c r="R2415" s="36" t="s">
        <v>298</v>
      </c>
      <c r="S2415" s="7">
        <f t="shared" si="199"/>
        <v>1</v>
      </c>
      <c r="T2415" s="15" t="str">
        <f>VLOOKUP(R2415,产品分类!$C$2:$D$1278,2,0)</f>
        <v>办公用品</v>
      </c>
    </row>
    <row r="2416" spans="1:20">
      <c r="A2416" s="8">
        <f>DATE(2012,12,31)-473</f>
        <v>40801</v>
      </c>
      <c r="B2416" s="8">
        <f>DATE(2012,12,31)-473</f>
        <v>40801</v>
      </c>
      <c r="C2416" s="9" t="s">
        <v>1976</v>
      </c>
      <c r="D2416">
        <v>10021254457</v>
      </c>
      <c r="E2416" t="s">
        <v>47</v>
      </c>
      <c r="F2416" t="s">
        <v>102</v>
      </c>
      <c r="G2416" t="s">
        <v>103</v>
      </c>
      <c r="H2416" t="s">
        <v>1217</v>
      </c>
      <c r="I2416" t="s">
        <v>1218</v>
      </c>
      <c r="J2416" t="s">
        <v>668</v>
      </c>
      <c r="K2416" s="3">
        <v>100422144773</v>
      </c>
      <c r="L2416" s="10">
        <v>40802</v>
      </c>
      <c r="M2416">
        <v>1529.3115</v>
      </c>
      <c r="N2416" s="11">
        <v>10</v>
      </c>
      <c r="O2416" s="12">
        <v>195.99</v>
      </c>
      <c r="P2416" s="12">
        <v>8.99</v>
      </c>
      <c r="Q2416" s="13">
        <v>-491.26</v>
      </c>
      <c r="R2416" s="36" t="s">
        <v>414</v>
      </c>
      <c r="S2416" s="7">
        <f t="shared" si="199"/>
        <v>1</v>
      </c>
      <c r="T2416" s="15" t="str">
        <f>VLOOKUP(R2416,产品分类!$C$2:$D$1278,2,0)</f>
        <v>数码电子</v>
      </c>
    </row>
    <row r="2417" spans="1:20">
      <c r="A2417" s="8">
        <f>DATE(2012,12,31)-853</f>
        <v>40421</v>
      </c>
      <c r="B2417" s="8">
        <f>DATE(2012,12,31)-853</f>
        <v>40421</v>
      </c>
      <c r="C2417" s="9" t="s">
        <v>780</v>
      </c>
      <c r="D2417">
        <v>10021347075</v>
      </c>
      <c r="E2417" t="s">
        <v>47</v>
      </c>
      <c r="F2417" t="s">
        <v>208</v>
      </c>
      <c r="G2417" t="s">
        <v>209</v>
      </c>
      <c r="H2417" t="s">
        <v>1956</v>
      </c>
      <c r="I2417" t="s">
        <v>1957</v>
      </c>
      <c r="J2417" t="s">
        <v>668</v>
      </c>
      <c r="K2417" s="3">
        <v>100125496077</v>
      </c>
      <c r="L2417" s="10">
        <v>40423</v>
      </c>
      <c r="M2417">
        <v>105.99</v>
      </c>
      <c r="N2417" s="11">
        <v>37</v>
      </c>
      <c r="O2417" s="12">
        <v>2.88</v>
      </c>
      <c r="P2417" s="12">
        <v>0.5</v>
      </c>
      <c r="Q2417" s="13">
        <v>43.37</v>
      </c>
      <c r="R2417" s="36" t="s">
        <v>967</v>
      </c>
      <c r="S2417" s="7">
        <f t="shared" si="199"/>
        <v>2</v>
      </c>
      <c r="T2417" s="15" t="str">
        <f>VLOOKUP(R2417,产品分类!$C$2:$D$1278,2,0)</f>
        <v>数码电子</v>
      </c>
    </row>
    <row r="2418" spans="1:20">
      <c r="A2418" s="16">
        <f t="shared" ref="A2418:B2420" si="201">DATE(2012,12,31)-220</f>
        <v>41054</v>
      </c>
      <c r="B2418" s="16">
        <f t="shared" si="201"/>
        <v>41054</v>
      </c>
      <c r="C2418" s="9" t="s">
        <v>1866</v>
      </c>
      <c r="D2418">
        <v>10021509211</v>
      </c>
      <c r="E2418" t="s">
        <v>47</v>
      </c>
      <c r="F2418" t="s">
        <v>208</v>
      </c>
      <c r="G2418" t="s">
        <v>209</v>
      </c>
      <c r="H2418" t="s">
        <v>1956</v>
      </c>
      <c r="I2418" t="s">
        <v>1957</v>
      </c>
      <c r="J2418" t="s">
        <v>668</v>
      </c>
      <c r="K2418" s="3">
        <v>100832350502</v>
      </c>
      <c r="L2418" s="10">
        <v>41054</v>
      </c>
      <c r="M2418">
        <v>15.73</v>
      </c>
      <c r="N2418" s="17">
        <v>1</v>
      </c>
      <c r="O2418" s="5">
        <v>6.48</v>
      </c>
      <c r="P2418" s="5">
        <v>9.54</v>
      </c>
      <c r="Q2418" s="6">
        <v>-9.17</v>
      </c>
      <c r="R2418" s="37" t="s">
        <v>722</v>
      </c>
      <c r="S2418" s="7">
        <f t="shared" si="199"/>
        <v>0</v>
      </c>
      <c r="T2418" s="15" t="str">
        <f>VLOOKUP(R2418,产品分类!$C$2:$D$1278,2,0)</f>
        <v>办公用品</v>
      </c>
    </row>
    <row r="2419" spans="1:20">
      <c r="A2419" s="16">
        <f t="shared" si="201"/>
        <v>41054</v>
      </c>
      <c r="B2419" s="16">
        <f t="shared" si="201"/>
        <v>41054</v>
      </c>
      <c r="C2419" s="9" t="s">
        <v>1866</v>
      </c>
      <c r="D2419">
        <v>10021368573</v>
      </c>
      <c r="E2419" t="s">
        <v>47</v>
      </c>
      <c r="F2419" t="s">
        <v>137</v>
      </c>
      <c r="G2419" t="s">
        <v>138</v>
      </c>
      <c r="H2419" t="s">
        <v>139</v>
      </c>
      <c r="I2419" t="s">
        <v>601</v>
      </c>
      <c r="J2419" t="s">
        <v>668</v>
      </c>
      <c r="K2419" s="3">
        <v>100125056237</v>
      </c>
      <c r="L2419" s="10">
        <v>41056</v>
      </c>
      <c r="M2419">
        <v>1041.74</v>
      </c>
      <c r="N2419" s="17">
        <v>35</v>
      </c>
      <c r="O2419" s="5">
        <v>30.98</v>
      </c>
      <c r="P2419" s="5">
        <v>17.08</v>
      </c>
      <c r="Q2419" s="6">
        <v>-51.74</v>
      </c>
      <c r="R2419" s="37" t="s">
        <v>1977</v>
      </c>
      <c r="S2419" s="7">
        <f t="shared" si="199"/>
        <v>2</v>
      </c>
      <c r="T2419" s="15" t="str">
        <f>VLOOKUP(R2419,产品分类!$C$2:$D$1278,2,0)</f>
        <v>数码电子</v>
      </c>
    </row>
    <row r="2420" spans="1:20">
      <c r="A2420" s="8">
        <f t="shared" si="201"/>
        <v>41054</v>
      </c>
      <c r="B2420" s="8">
        <f t="shared" si="201"/>
        <v>41054</v>
      </c>
      <c r="C2420" s="9" t="s">
        <v>1866</v>
      </c>
      <c r="D2420">
        <v>10021452164</v>
      </c>
      <c r="E2420" t="s">
        <v>47</v>
      </c>
      <c r="F2420" t="s">
        <v>102</v>
      </c>
      <c r="G2420" t="s">
        <v>103</v>
      </c>
      <c r="H2420" t="s">
        <v>1217</v>
      </c>
      <c r="I2420" t="s">
        <v>1218</v>
      </c>
      <c r="J2420" t="s">
        <v>668</v>
      </c>
      <c r="K2420" s="3">
        <v>100130901197</v>
      </c>
      <c r="L2420" s="10">
        <v>41056</v>
      </c>
      <c r="M2420">
        <v>4300.626</v>
      </c>
      <c r="N2420" s="11">
        <v>26</v>
      </c>
      <c r="O2420" s="12">
        <v>200.99</v>
      </c>
      <c r="P2420" s="12">
        <v>8.08</v>
      </c>
      <c r="Q2420" s="13">
        <v>685.206</v>
      </c>
      <c r="R2420" s="36" t="s">
        <v>1199</v>
      </c>
      <c r="S2420" s="7">
        <f t="shared" si="199"/>
        <v>2</v>
      </c>
      <c r="T2420" s="15" t="str">
        <f>VLOOKUP(R2420,产品分类!$C$2:$D$1278,2,0)</f>
        <v>数码电子</v>
      </c>
    </row>
    <row r="2421" spans="1:20">
      <c r="A2421" s="8">
        <f>DATE(2012,12,31)-815</f>
        <v>40459</v>
      </c>
      <c r="B2421" s="8">
        <f>DATE(2012,12,31)-815</f>
        <v>40459</v>
      </c>
      <c r="C2421" s="9" t="s">
        <v>158</v>
      </c>
      <c r="D2421">
        <v>10021261972</v>
      </c>
      <c r="E2421" t="s">
        <v>47</v>
      </c>
      <c r="F2421" t="s">
        <v>208</v>
      </c>
      <c r="G2421" t="s">
        <v>209</v>
      </c>
      <c r="H2421" t="s">
        <v>1956</v>
      </c>
      <c r="I2421" t="s">
        <v>1957</v>
      </c>
      <c r="J2421" t="s">
        <v>668</v>
      </c>
      <c r="K2421" s="3">
        <v>100729756795</v>
      </c>
      <c r="L2421" s="10">
        <v>40460</v>
      </c>
      <c r="M2421">
        <v>512.87</v>
      </c>
      <c r="N2421" s="11">
        <v>31</v>
      </c>
      <c r="O2421" s="12">
        <v>16.48</v>
      </c>
      <c r="P2421" s="12">
        <v>1.99</v>
      </c>
      <c r="Q2421" s="13">
        <v>170.69</v>
      </c>
      <c r="R2421" s="36" t="s">
        <v>1675</v>
      </c>
      <c r="S2421" s="7">
        <f t="shared" si="199"/>
        <v>1</v>
      </c>
      <c r="T2421" s="15" t="str">
        <f>VLOOKUP(R2421,产品分类!$C$2:$D$1278,2,0)</f>
        <v>数码电子</v>
      </c>
    </row>
    <row r="2422" spans="1:20">
      <c r="A2422" s="8">
        <f>DATE(2012,12,31)-291</f>
        <v>40983</v>
      </c>
      <c r="B2422" s="8">
        <f>DATE(2012,12,31)-291</f>
        <v>40983</v>
      </c>
      <c r="C2422" s="9" t="s">
        <v>926</v>
      </c>
      <c r="D2422">
        <v>10021252027</v>
      </c>
      <c r="E2422" t="s">
        <v>47</v>
      </c>
      <c r="F2422" t="s">
        <v>171</v>
      </c>
      <c r="G2422" t="s">
        <v>172</v>
      </c>
      <c r="H2422" t="s">
        <v>1712</v>
      </c>
      <c r="I2422" t="s">
        <v>1713</v>
      </c>
      <c r="J2422" t="s">
        <v>668</v>
      </c>
      <c r="K2422" s="3">
        <v>100117103008</v>
      </c>
      <c r="L2422" s="10">
        <v>40984</v>
      </c>
      <c r="M2422">
        <v>102.59</v>
      </c>
      <c r="N2422" s="11">
        <v>32</v>
      </c>
      <c r="O2422" s="12">
        <v>2.98</v>
      </c>
      <c r="P2422" s="12">
        <v>1.58</v>
      </c>
      <c r="Q2422" s="13">
        <v>8.88</v>
      </c>
      <c r="R2422" s="36" t="s">
        <v>1923</v>
      </c>
      <c r="S2422" s="7">
        <f t="shared" si="199"/>
        <v>1</v>
      </c>
      <c r="T2422" s="15" t="str">
        <f>VLOOKUP(R2422,产品分类!$C$2:$D$1278,2,0)</f>
        <v>数码电子</v>
      </c>
    </row>
    <row r="2423" spans="1:20">
      <c r="A2423" s="8">
        <f>DATE(2012,12,31)-291</f>
        <v>40983</v>
      </c>
      <c r="B2423" s="8">
        <f>DATE(2012,12,31)-291</f>
        <v>40983</v>
      </c>
      <c r="C2423" s="9" t="s">
        <v>926</v>
      </c>
      <c r="D2423">
        <v>10021347184</v>
      </c>
      <c r="E2423" t="s">
        <v>47</v>
      </c>
      <c r="F2423" t="s">
        <v>171</v>
      </c>
      <c r="G2423" t="s">
        <v>172</v>
      </c>
      <c r="H2423" t="s">
        <v>1712</v>
      </c>
      <c r="I2423" t="s">
        <v>1713</v>
      </c>
      <c r="J2423" t="s">
        <v>668</v>
      </c>
      <c r="K2423" s="3">
        <v>100130974908</v>
      </c>
      <c r="L2423" s="10">
        <v>40985</v>
      </c>
      <c r="M2423">
        <v>1695.65</v>
      </c>
      <c r="N2423" s="11">
        <v>50</v>
      </c>
      <c r="O2423" s="12">
        <v>32.98</v>
      </c>
      <c r="P2423" s="12">
        <v>5.5</v>
      </c>
      <c r="Q2423" s="13">
        <v>51.98</v>
      </c>
      <c r="R2423" s="36" t="s">
        <v>1040</v>
      </c>
      <c r="S2423" s="7">
        <f t="shared" si="199"/>
        <v>2</v>
      </c>
      <c r="T2423" s="15" t="str">
        <f>VLOOKUP(R2423,产品分类!$C$2:$D$1278,2,0)</f>
        <v>数码电子</v>
      </c>
    </row>
    <row r="2424" spans="1:20">
      <c r="A2424" s="8">
        <f>DATE(2012,12,31)-484</f>
        <v>40790</v>
      </c>
      <c r="B2424" s="8">
        <f>DATE(2012,12,31)-484</f>
        <v>40790</v>
      </c>
      <c r="C2424" s="9" t="s">
        <v>1015</v>
      </c>
      <c r="D2424">
        <v>10021495105</v>
      </c>
      <c r="E2424" t="s">
        <v>47</v>
      </c>
      <c r="F2424" t="s">
        <v>171</v>
      </c>
      <c r="G2424" t="s">
        <v>172</v>
      </c>
      <c r="H2424" t="s">
        <v>1712</v>
      </c>
      <c r="I2424" t="s">
        <v>1713</v>
      </c>
      <c r="J2424" t="s">
        <v>668</v>
      </c>
      <c r="K2424" s="3">
        <v>100813937502</v>
      </c>
      <c r="L2424" s="10">
        <v>40794</v>
      </c>
      <c r="M2424">
        <v>220.97</v>
      </c>
      <c r="N2424" s="11">
        <v>23</v>
      </c>
      <c r="O2424" s="12">
        <v>9.48</v>
      </c>
      <c r="P2424" s="12">
        <v>7.29</v>
      </c>
      <c r="Q2424" s="13">
        <v>-25.86</v>
      </c>
      <c r="R2424" s="36" t="s">
        <v>839</v>
      </c>
      <c r="S2424" s="7">
        <f t="shared" si="199"/>
        <v>4</v>
      </c>
      <c r="T2424" s="15" t="str">
        <f>VLOOKUP(R2424,产品分类!$C$2:$D$1278,2,0)</f>
        <v>办公用品</v>
      </c>
    </row>
    <row r="2425" spans="1:20">
      <c r="A2425" s="8">
        <f>DATE(2012,12,31)-484</f>
        <v>40790</v>
      </c>
      <c r="B2425" s="8">
        <f>DATE(2012,12,31)-484</f>
        <v>40790</v>
      </c>
      <c r="C2425" s="9" t="s">
        <v>1015</v>
      </c>
      <c r="D2425">
        <v>10021523712</v>
      </c>
      <c r="E2425" t="s">
        <v>47</v>
      </c>
      <c r="F2425" t="s">
        <v>527</v>
      </c>
      <c r="G2425" t="s">
        <v>528</v>
      </c>
      <c r="H2425" t="s">
        <v>1913</v>
      </c>
      <c r="I2425" t="s">
        <v>1914</v>
      </c>
      <c r="J2425" t="s">
        <v>668</v>
      </c>
      <c r="K2425" s="3">
        <v>100112421307</v>
      </c>
      <c r="L2425" s="10">
        <v>40792</v>
      </c>
      <c r="M2425">
        <v>21555.6</v>
      </c>
      <c r="N2425" s="11">
        <v>47</v>
      </c>
      <c r="O2425" s="12">
        <v>449.99</v>
      </c>
      <c r="P2425" s="12">
        <v>49</v>
      </c>
      <c r="Q2425" s="13">
        <v>8965.83</v>
      </c>
      <c r="R2425" s="36" t="s">
        <v>545</v>
      </c>
      <c r="S2425" s="7">
        <f t="shared" si="199"/>
        <v>2</v>
      </c>
      <c r="T2425" s="15" t="str">
        <f>VLOOKUP(R2425,产品分类!$C$2:$D$1278,2,0)</f>
        <v>办公用品</v>
      </c>
    </row>
    <row r="2426" spans="1:20">
      <c r="A2426" s="8">
        <f>DATE(2012,12,31)-1044</f>
        <v>40230</v>
      </c>
      <c r="B2426" s="8">
        <f>DATE(2012,12,31)-1044</f>
        <v>40230</v>
      </c>
      <c r="C2426" s="9" t="s">
        <v>664</v>
      </c>
      <c r="D2426">
        <v>10021256648</v>
      </c>
      <c r="E2426" t="s">
        <v>47</v>
      </c>
      <c r="F2426" t="s">
        <v>527</v>
      </c>
      <c r="G2426" t="s">
        <v>528</v>
      </c>
      <c r="H2426" t="s">
        <v>1913</v>
      </c>
      <c r="I2426" t="s">
        <v>1914</v>
      </c>
      <c r="J2426" t="s">
        <v>668</v>
      </c>
      <c r="K2426" s="3">
        <v>100425452354</v>
      </c>
      <c r="L2426" s="10">
        <v>40231</v>
      </c>
      <c r="M2426">
        <v>71.12</v>
      </c>
      <c r="N2426" s="11">
        <v>38</v>
      </c>
      <c r="O2426" s="12">
        <v>1.98</v>
      </c>
      <c r="P2426" s="12">
        <v>0.7</v>
      </c>
      <c r="Q2426" s="13">
        <v>-21.89</v>
      </c>
      <c r="R2426" s="36" t="s">
        <v>1320</v>
      </c>
      <c r="S2426" s="7">
        <f t="shared" si="199"/>
        <v>1</v>
      </c>
      <c r="T2426" s="15" t="str">
        <f>VLOOKUP(R2426,产品分类!$C$2:$D$1278,2,0)</f>
        <v>办公用品</v>
      </c>
    </row>
    <row r="2427" spans="1:20">
      <c r="A2427" s="8">
        <f>DATE(2012,12,31)-163</f>
        <v>41111</v>
      </c>
      <c r="B2427" s="8">
        <f>DATE(2012,12,31)-163</f>
        <v>41111</v>
      </c>
      <c r="C2427" s="9" t="s">
        <v>598</v>
      </c>
      <c r="D2427">
        <v>10021338731</v>
      </c>
      <c r="E2427" t="s">
        <v>47</v>
      </c>
      <c r="F2427" t="s">
        <v>171</v>
      </c>
      <c r="G2427" t="s">
        <v>172</v>
      </c>
      <c r="H2427" t="s">
        <v>1712</v>
      </c>
      <c r="I2427" t="s">
        <v>1713</v>
      </c>
      <c r="J2427" t="s">
        <v>668</v>
      </c>
      <c r="K2427" s="3">
        <v>100424452733</v>
      </c>
      <c r="L2427" s="10">
        <v>41111</v>
      </c>
      <c r="M2427">
        <v>489.07</v>
      </c>
      <c r="N2427" s="11">
        <v>5</v>
      </c>
      <c r="O2427" s="12">
        <v>89.99</v>
      </c>
      <c r="P2427" s="12">
        <v>42</v>
      </c>
      <c r="Q2427" s="13">
        <v>-197.88</v>
      </c>
      <c r="R2427" s="36" t="s">
        <v>891</v>
      </c>
      <c r="S2427" s="7">
        <f t="shared" si="199"/>
        <v>0</v>
      </c>
      <c r="T2427" s="15" t="str">
        <f>VLOOKUP(R2427,产品分类!$C$2:$D$1278,2,0)</f>
        <v>家具产品</v>
      </c>
    </row>
    <row r="2428" spans="1:20">
      <c r="A2428" s="8">
        <f>DATE(2012,12,31)-1426</f>
        <v>39848</v>
      </c>
      <c r="B2428" s="8">
        <f>DATE(2012,12,31)-1426</f>
        <v>39848</v>
      </c>
      <c r="C2428" s="9" t="s">
        <v>1280</v>
      </c>
      <c r="D2428">
        <v>10021428000</v>
      </c>
      <c r="E2428" t="s">
        <v>47</v>
      </c>
      <c r="F2428" t="s">
        <v>177</v>
      </c>
      <c r="G2428" t="s">
        <v>178</v>
      </c>
      <c r="H2428" t="s">
        <v>1292</v>
      </c>
      <c r="I2428" t="s">
        <v>1293</v>
      </c>
      <c r="J2428" t="s">
        <v>668</v>
      </c>
      <c r="K2428" s="3">
        <v>100431009403</v>
      </c>
      <c r="L2428" s="10">
        <v>39852</v>
      </c>
      <c r="M2428">
        <v>7.01</v>
      </c>
      <c r="N2428" s="11">
        <v>2</v>
      </c>
      <c r="O2428" s="12">
        <v>2.94</v>
      </c>
      <c r="P2428" s="12">
        <v>0.96</v>
      </c>
      <c r="Q2428" s="13">
        <v>-4.2</v>
      </c>
      <c r="R2428" s="36" t="s">
        <v>872</v>
      </c>
      <c r="S2428" s="7">
        <f t="shared" si="199"/>
        <v>4</v>
      </c>
      <c r="T2428" s="15" t="str">
        <f>VLOOKUP(R2428,产品分类!$C$2:$D$1278,2,0)</f>
        <v>数码电子</v>
      </c>
    </row>
    <row r="2429" spans="1:20">
      <c r="A2429" s="8">
        <f>DATE(2012,12,31)-845</f>
        <v>40429</v>
      </c>
      <c r="B2429" s="8">
        <f>DATE(2012,12,31)-845</f>
        <v>40429</v>
      </c>
      <c r="C2429" s="9" t="s">
        <v>270</v>
      </c>
      <c r="D2429">
        <v>10021498776</v>
      </c>
      <c r="E2429" t="s">
        <v>47</v>
      </c>
      <c r="F2429" t="s">
        <v>127</v>
      </c>
      <c r="G2429" t="s">
        <v>128</v>
      </c>
      <c r="H2429" t="s">
        <v>1936</v>
      </c>
      <c r="I2429" t="s">
        <v>1937</v>
      </c>
      <c r="J2429" t="s">
        <v>668</v>
      </c>
      <c r="K2429" s="3">
        <v>100923470491</v>
      </c>
      <c r="L2429" s="10">
        <v>40431</v>
      </c>
      <c r="M2429">
        <v>82.56</v>
      </c>
      <c r="N2429" s="11">
        <v>19</v>
      </c>
      <c r="O2429" s="12">
        <v>4</v>
      </c>
      <c r="P2429" s="12">
        <v>1.3</v>
      </c>
      <c r="Q2429" s="13">
        <v>21.74</v>
      </c>
      <c r="R2429" s="36" t="s">
        <v>1003</v>
      </c>
      <c r="S2429" s="7">
        <f t="shared" si="199"/>
        <v>2</v>
      </c>
      <c r="T2429" s="15" t="str">
        <f>VLOOKUP(R2429,产品分类!$C$2:$D$1278,2,0)</f>
        <v>数码电子</v>
      </c>
    </row>
    <row r="2430" spans="1:20">
      <c r="A2430" s="8">
        <f>DATE(2012,12,31)-845</f>
        <v>40429</v>
      </c>
      <c r="B2430" s="8">
        <f>DATE(2012,12,31)-845</f>
        <v>40429</v>
      </c>
      <c r="C2430" s="9" t="s">
        <v>270</v>
      </c>
      <c r="D2430">
        <v>10021500699</v>
      </c>
      <c r="E2430" t="s">
        <v>47</v>
      </c>
      <c r="F2430" t="s">
        <v>342</v>
      </c>
      <c r="G2430" t="s">
        <v>343</v>
      </c>
      <c r="H2430" t="s">
        <v>1806</v>
      </c>
      <c r="I2430" t="s">
        <v>1807</v>
      </c>
      <c r="J2430" t="s">
        <v>668</v>
      </c>
      <c r="K2430" s="3">
        <v>100426423193</v>
      </c>
      <c r="L2430" s="10">
        <v>40429</v>
      </c>
      <c r="M2430">
        <v>141.07</v>
      </c>
      <c r="N2430" s="11">
        <v>11</v>
      </c>
      <c r="O2430" s="12">
        <v>12.98</v>
      </c>
      <c r="P2430" s="12">
        <v>3.14</v>
      </c>
      <c r="Q2430" s="13">
        <v>-5.1</v>
      </c>
      <c r="R2430" s="36" t="s">
        <v>161</v>
      </c>
      <c r="S2430" s="7">
        <f t="shared" si="199"/>
        <v>0</v>
      </c>
      <c r="T2430" s="15" t="str">
        <f>VLOOKUP(R2430,产品分类!$C$2:$D$1278,2,0)</f>
        <v>办公用品</v>
      </c>
    </row>
    <row r="2431" spans="1:20">
      <c r="A2431" s="8">
        <f t="shared" ref="A2431:B2433" si="202">DATE(2012,12,31)-1132</f>
        <v>40142</v>
      </c>
      <c r="B2431" s="8">
        <f t="shared" si="202"/>
        <v>40142</v>
      </c>
      <c r="C2431" s="9" t="s">
        <v>188</v>
      </c>
      <c r="D2431">
        <v>10021444655</v>
      </c>
      <c r="E2431" t="s">
        <v>47</v>
      </c>
      <c r="F2431" t="s">
        <v>83</v>
      </c>
      <c r="G2431" t="s">
        <v>84</v>
      </c>
      <c r="H2431" t="s">
        <v>1928</v>
      </c>
      <c r="I2431" t="s">
        <v>1929</v>
      </c>
      <c r="J2431" t="s">
        <v>668</v>
      </c>
      <c r="K2431" s="3">
        <v>10016274317</v>
      </c>
      <c r="L2431" s="10">
        <v>40144</v>
      </c>
      <c r="M2431">
        <v>848.92</v>
      </c>
      <c r="N2431" s="11">
        <v>49</v>
      </c>
      <c r="O2431" s="12">
        <v>17.48</v>
      </c>
      <c r="P2431" s="12">
        <v>1.99</v>
      </c>
      <c r="Q2431" s="13">
        <v>296.06</v>
      </c>
      <c r="R2431" s="36" t="s">
        <v>1327</v>
      </c>
      <c r="S2431" s="7">
        <f t="shared" si="199"/>
        <v>2</v>
      </c>
      <c r="T2431" s="15" t="str">
        <f>VLOOKUP(R2431,产品分类!$C$2:$D$1278,2,0)</f>
        <v>数码电子</v>
      </c>
    </row>
    <row r="2432" spans="1:20">
      <c r="A2432" s="8">
        <f t="shared" si="202"/>
        <v>40142</v>
      </c>
      <c r="B2432" s="8">
        <f t="shared" si="202"/>
        <v>40142</v>
      </c>
      <c r="C2432" s="9" t="s">
        <v>188</v>
      </c>
      <c r="D2432">
        <v>10021255132</v>
      </c>
      <c r="E2432" t="s">
        <v>47</v>
      </c>
      <c r="F2432" t="s">
        <v>61</v>
      </c>
      <c r="G2432" t="s">
        <v>62</v>
      </c>
      <c r="H2432" t="s">
        <v>47</v>
      </c>
      <c r="I2432" t="s">
        <v>1778</v>
      </c>
      <c r="J2432" t="s">
        <v>668</v>
      </c>
      <c r="K2432" s="3">
        <v>10097492341</v>
      </c>
      <c r="L2432" s="10">
        <v>40143</v>
      </c>
      <c r="M2432">
        <v>6930.97</v>
      </c>
      <c r="N2432" s="11">
        <v>24</v>
      </c>
      <c r="O2432" s="12">
        <v>300.98</v>
      </c>
      <c r="P2432" s="12">
        <v>13.99</v>
      </c>
      <c r="Q2432" s="13">
        <v>2574.12</v>
      </c>
      <c r="R2432" s="36" t="s">
        <v>1978</v>
      </c>
      <c r="S2432" s="7">
        <f t="shared" si="199"/>
        <v>1</v>
      </c>
      <c r="T2432" s="15" t="str">
        <f>VLOOKUP(R2432,产品分类!$C$2:$D$1278,2,0)</f>
        <v>家具产品</v>
      </c>
    </row>
    <row r="2433" spans="1:20">
      <c r="A2433" s="8">
        <f t="shared" si="202"/>
        <v>40142</v>
      </c>
      <c r="B2433" s="8">
        <f t="shared" si="202"/>
        <v>40142</v>
      </c>
      <c r="C2433" s="9" t="s">
        <v>188</v>
      </c>
      <c r="D2433">
        <v>10021261728</v>
      </c>
      <c r="E2433" t="s">
        <v>47</v>
      </c>
      <c r="F2433" t="s">
        <v>61</v>
      </c>
      <c r="G2433" t="s">
        <v>62</v>
      </c>
      <c r="H2433" t="s">
        <v>47</v>
      </c>
      <c r="I2433" t="s">
        <v>1778</v>
      </c>
      <c r="J2433" t="s">
        <v>668</v>
      </c>
      <c r="K2433" s="3">
        <v>100429714034</v>
      </c>
      <c r="L2433" s="10">
        <v>40143</v>
      </c>
      <c r="M2433">
        <v>2219.7325</v>
      </c>
      <c r="N2433" s="11">
        <v>13</v>
      </c>
      <c r="O2433" s="12">
        <v>205.99</v>
      </c>
      <c r="P2433" s="12">
        <v>5</v>
      </c>
      <c r="Q2433" s="13">
        <v>-69.784</v>
      </c>
      <c r="R2433" s="36" t="s">
        <v>1979</v>
      </c>
      <c r="S2433" s="7">
        <f t="shared" si="199"/>
        <v>1</v>
      </c>
      <c r="T2433" s="15" t="str">
        <f>VLOOKUP(R2433,产品分类!$C$2:$D$1278,2,0)</f>
        <v>办公用品</v>
      </c>
    </row>
    <row r="2434" spans="1:20">
      <c r="A2434" s="8">
        <f>DATE(2012,12,31)-1342</f>
        <v>39932</v>
      </c>
      <c r="B2434" s="8">
        <f>DATE(2012,12,31)-1342</f>
        <v>39932</v>
      </c>
      <c r="C2434" s="9" t="s">
        <v>1980</v>
      </c>
      <c r="D2434">
        <v>10021347422</v>
      </c>
      <c r="E2434" t="s">
        <v>47</v>
      </c>
      <c r="F2434" t="s">
        <v>61</v>
      </c>
      <c r="G2434" t="s">
        <v>62</v>
      </c>
      <c r="H2434" t="s">
        <v>47</v>
      </c>
      <c r="I2434" t="s">
        <v>1778</v>
      </c>
      <c r="J2434" t="s">
        <v>668</v>
      </c>
      <c r="K2434" s="3">
        <v>100131108098</v>
      </c>
      <c r="L2434" s="10">
        <v>39933</v>
      </c>
      <c r="M2434">
        <v>1116.03</v>
      </c>
      <c r="N2434" s="11">
        <v>32</v>
      </c>
      <c r="O2434" s="12">
        <v>34.76</v>
      </c>
      <c r="P2434" s="12">
        <v>5.49</v>
      </c>
      <c r="Q2434" s="13">
        <v>203.44</v>
      </c>
      <c r="R2434" s="36" t="s">
        <v>951</v>
      </c>
      <c r="S2434" s="7">
        <f t="shared" si="199"/>
        <v>1</v>
      </c>
      <c r="T2434" s="15" t="str">
        <f>VLOOKUP(R2434,产品分类!$C$2:$D$1278,2,0)</f>
        <v>数码电子</v>
      </c>
    </row>
    <row r="2435" spans="1:20">
      <c r="A2435" s="16">
        <f>DATE(2012,12,31)-1224</f>
        <v>40050</v>
      </c>
      <c r="B2435" s="16">
        <f>DATE(2012,12,31)-1224</f>
        <v>40050</v>
      </c>
      <c r="C2435" s="9" t="s">
        <v>359</v>
      </c>
      <c r="D2435">
        <v>10021450010</v>
      </c>
      <c r="E2435" t="s">
        <v>47</v>
      </c>
      <c r="F2435" t="s">
        <v>61</v>
      </c>
      <c r="G2435" t="s">
        <v>62</v>
      </c>
      <c r="H2435" t="s">
        <v>47</v>
      </c>
      <c r="I2435" t="s">
        <v>1778</v>
      </c>
      <c r="J2435" t="s">
        <v>668</v>
      </c>
      <c r="K2435" s="3">
        <v>100728535025</v>
      </c>
      <c r="L2435" s="10">
        <v>40052</v>
      </c>
      <c r="M2435">
        <v>36.52</v>
      </c>
      <c r="N2435" s="17">
        <v>14</v>
      </c>
      <c r="O2435" s="5">
        <v>2.61</v>
      </c>
      <c r="P2435" s="5">
        <v>0.5</v>
      </c>
      <c r="Q2435" s="6">
        <v>10.05</v>
      </c>
      <c r="R2435" s="37" t="s">
        <v>630</v>
      </c>
      <c r="S2435" s="7">
        <f t="shared" ref="S2435:S2498" si="203">+L2435-B2435</f>
        <v>2</v>
      </c>
      <c r="T2435" s="15" t="str">
        <f>VLOOKUP(R2435,产品分类!$C$2:$D$1278,2,0)</f>
        <v>数码电子</v>
      </c>
    </row>
    <row r="2436" spans="1:20">
      <c r="A2436" s="16">
        <f t="shared" ref="A2436:B2438" si="204">DATE(2012,12,31)-232</f>
        <v>41042</v>
      </c>
      <c r="B2436" s="16">
        <f t="shared" si="204"/>
        <v>41042</v>
      </c>
      <c r="C2436" s="9" t="s">
        <v>1188</v>
      </c>
      <c r="D2436">
        <v>10021345581</v>
      </c>
      <c r="E2436" t="s">
        <v>47</v>
      </c>
      <c r="F2436" t="s">
        <v>61</v>
      </c>
      <c r="G2436" t="s">
        <v>62</v>
      </c>
      <c r="H2436" t="s">
        <v>47</v>
      </c>
      <c r="I2436" t="s">
        <v>1778</v>
      </c>
      <c r="J2436" t="s">
        <v>668</v>
      </c>
      <c r="K2436" s="3">
        <v>100430185184</v>
      </c>
      <c r="L2436" s="10">
        <v>41044</v>
      </c>
      <c r="M2436">
        <v>1883.82</v>
      </c>
      <c r="N2436" s="17">
        <v>43</v>
      </c>
      <c r="O2436" s="5">
        <v>44.01</v>
      </c>
      <c r="P2436" s="5">
        <v>3.5</v>
      </c>
      <c r="Q2436" s="6">
        <v>528.77</v>
      </c>
      <c r="R2436" s="37" t="s">
        <v>1590</v>
      </c>
      <c r="S2436" s="7">
        <f t="shared" si="203"/>
        <v>2</v>
      </c>
      <c r="T2436" s="15" t="str">
        <f>VLOOKUP(R2436,产品分类!$C$2:$D$1278,2,0)</f>
        <v>办公用品</v>
      </c>
    </row>
    <row r="2437" spans="1:20">
      <c r="A2437" s="8">
        <f t="shared" si="204"/>
        <v>41042</v>
      </c>
      <c r="B2437" s="8">
        <f t="shared" si="204"/>
        <v>41042</v>
      </c>
      <c r="C2437" s="9" t="s">
        <v>1188</v>
      </c>
      <c r="D2437">
        <v>10021418832</v>
      </c>
      <c r="E2437" t="s">
        <v>47</v>
      </c>
      <c r="F2437" t="s">
        <v>61</v>
      </c>
      <c r="G2437" t="s">
        <v>62</v>
      </c>
      <c r="H2437" t="s">
        <v>47</v>
      </c>
      <c r="I2437" t="s">
        <v>1778</v>
      </c>
      <c r="J2437" t="s">
        <v>668</v>
      </c>
      <c r="K2437" s="3">
        <v>100122217457</v>
      </c>
      <c r="L2437" s="10">
        <v>41044</v>
      </c>
      <c r="M2437">
        <v>1118.2515</v>
      </c>
      <c r="N2437" s="11">
        <v>22</v>
      </c>
      <c r="O2437" s="12">
        <v>65.99</v>
      </c>
      <c r="P2437" s="12">
        <v>8.99</v>
      </c>
      <c r="Q2437" s="13">
        <v>-59.587</v>
      </c>
      <c r="R2437" s="36" t="s">
        <v>1298</v>
      </c>
      <c r="S2437" s="7">
        <f t="shared" si="203"/>
        <v>2</v>
      </c>
      <c r="T2437" s="15" t="str">
        <f>VLOOKUP(R2437,产品分类!$C$2:$D$1278,2,0)</f>
        <v>办公用品</v>
      </c>
    </row>
    <row r="2438" spans="1:20">
      <c r="A2438" s="8">
        <f t="shared" si="204"/>
        <v>41042</v>
      </c>
      <c r="B2438" s="8">
        <f t="shared" si="204"/>
        <v>41042</v>
      </c>
      <c r="C2438" s="9" t="s">
        <v>1188</v>
      </c>
      <c r="D2438">
        <v>10021254545</v>
      </c>
      <c r="E2438" t="s">
        <v>47</v>
      </c>
      <c r="F2438" t="s">
        <v>61</v>
      </c>
      <c r="G2438" t="s">
        <v>62</v>
      </c>
      <c r="H2438" t="s">
        <v>47</v>
      </c>
      <c r="I2438" t="s">
        <v>1778</v>
      </c>
      <c r="J2438" t="s">
        <v>668</v>
      </c>
      <c r="K2438" s="3">
        <v>100122482868</v>
      </c>
      <c r="L2438" s="10">
        <v>41043</v>
      </c>
      <c r="M2438">
        <v>609.4</v>
      </c>
      <c r="N2438" s="11">
        <v>40</v>
      </c>
      <c r="O2438" s="12">
        <v>15.28</v>
      </c>
      <c r="P2438" s="12">
        <v>10.91</v>
      </c>
      <c r="Q2438" s="13">
        <v>-89.2285</v>
      </c>
      <c r="R2438" s="36" t="s">
        <v>1624</v>
      </c>
      <c r="S2438" s="7">
        <f t="shared" si="203"/>
        <v>1</v>
      </c>
      <c r="T2438" s="15" t="str">
        <f>VLOOKUP(R2438,产品分类!$C$2:$D$1278,2,0)</f>
        <v>办公用品</v>
      </c>
    </row>
    <row r="2439" spans="1:20">
      <c r="A2439" s="8">
        <f>DATE(2012,12,31)-65</f>
        <v>41209</v>
      </c>
      <c r="B2439" s="8">
        <f>DATE(2012,12,31)-65</f>
        <v>41209</v>
      </c>
      <c r="C2439" s="9" t="s">
        <v>1348</v>
      </c>
      <c r="D2439">
        <v>10021451614</v>
      </c>
      <c r="E2439" t="s">
        <v>47</v>
      </c>
      <c r="F2439" t="s">
        <v>61</v>
      </c>
      <c r="G2439" t="s">
        <v>62</v>
      </c>
      <c r="H2439" t="s">
        <v>47</v>
      </c>
      <c r="I2439" t="s">
        <v>1778</v>
      </c>
      <c r="J2439" t="s">
        <v>668</v>
      </c>
      <c r="K2439" s="3">
        <v>10041554843</v>
      </c>
      <c r="L2439" s="10">
        <v>41210</v>
      </c>
      <c r="M2439">
        <v>2305.75</v>
      </c>
      <c r="N2439" s="11">
        <v>20</v>
      </c>
      <c r="O2439" s="12">
        <v>113.64</v>
      </c>
      <c r="P2439" s="12">
        <v>35</v>
      </c>
      <c r="Q2439" s="13">
        <v>-530.68</v>
      </c>
      <c r="R2439" s="36" t="s">
        <v>368</v>
      </c>
      <c r="S2439" s="7">
        <f t="shared" si="203"/>
        <v>1</v>
      </c>
      <c r="T2439" s="15" t="str">
        <f>VLOOKUP(R2439,产品分类!$C$2:$D$1278,2,0)</f>
        <v>办公用品</v>
      </c>
    </row>
    <row r="2440" spans="1:20">
      <c r="A2440" s="8">
        <f>DATE(2012,12,31)-224</f>
        <v>41050</v>
      </c>
      <c r="B2440" s="8">
        <f>DATE(2012,12,31)-224</f>
        <v>41050</v>
      </c>
      <c r="C2440" s="9" t="s">
        <v>158</v>
      </c>
      <c r="D2440">
        <v>10021419137</v>
      </c>
      <c r="E2440" t="s">
        <v>47</v>
      </c>
      <c r="F2440" t="s">
        <v>61</v>
      </c>
      <c r="G2440" t="s">
        <v>62</v>
      </c>
      <c r="H2440" t="s">
        <v>47</v>
      </c>
      <c r="I2440" t="s">
        <v>1778</v>
      </c>
      <c r="J2440" t="s">
        <v>668</v>
      </c>
      <c r="K2440" s="3">
        <v>100823023532</v>
      </c>
      <c r="L2440" s="10">
        <v>41051</v>
      </c>
      <c r="M2440">
        <v>80.45</v>
      </c>
      <c r="N2440" s="11">
        <v>21</v>
      </c>
      <c r="O2440" s="12">
        <v>3.74</v>
      </c>
      <c r="P2440" s="12">
        <v>4.69</v>
      </c>
      <c r="Q2440" s="13">
        <v>-60.9615</v>
      </c>
      <c r="R2440" s="36" t="s">
        <v>1981</v>
      </c>
      <c r="S2440" s="7">
        <f t="shared" si="203"/>
        <v>1</v>
      </c>
      <c r="T2440" s="15" t="str">
        <f>VLOOKUP(R2440,产品分类!$C$2:$D$1278,2,0)</f>
        <v>数码电子</v>
      </c>
    </row>
    <row r="2441" spans="1:20">
      <c r="A2441" s="16">
        <f>DATE(2012,12,31)-262</f>
        <v>41012</v>
      </c>
      <c r="B2441" s="16">
        <f>DATE(2012,12,31)-262</f>
        <v>41012</v>
      </c>
      <c r="C2441" s="9" t="s">
        <v>1696</v>
      </c>
      <c r="D2441">
        <v>10021444555</v>
      </c>
      <c r="E2441" t="s">
        <v>47</v>
      </c>
      <c r="F2441" t="s">
        <v>61</v>
      </c>
      <c r="G2441" t="s">
        <v>62</v>
      </c>
      <c r="H2441" t="s">
        <v>47</v>
      </c>
      <c r="I2441" t="s">
        <v>1778</v>
      </c>
      <c r="J2441" t="s">
        <v>668</v>
      </c>
      <c r="K2441" s="3">
        <v>10019672286</v>
      </c>
      <c r="L2441" s="10">
        <v>41013</v>
      </c>
      <c r="M2441">
        <v>368.99</v>
      </c>
      <c r="N2441" s="17">
        <v>48</v>
      </c>
      <c r="O2441" s="5">
        <v>7.77</v>
      </c>
      <c r="P2441" s="5">
        <v>9.23</v>
      </c>
      <c r="Q2441" s="6">
        <v>-305.91</v>
      </c>
      <c r="R2441" s="37" t="s">
        <v>1440</v>
      </c>
      <c r="S2441" s="7">
        <f t="shared" si="203"/>
        <v>1</v>
      </c>
      <c r="T2441" s="15" t="str">
        <f>VLOOKUP(R2441,产品分类!$C$2:$D$1278,2,0)</f>
        <v>家具产品</v>
      </c>
    </row>
    <row r="2442" spans="1:20">
      <c r="A2442" s="8">
        <f>DATE(2012,12,31)-262</f>
        <v>41012</v>
      </c>
      <c r="B2442" s="8">
        <f>DATE(2012,12,31)-262</f>
        <v>41012</v>
      </c>
      <c r="C2442" s="9" t="s">
        <v>1696</v>
      </c>
      <c r="D2442">
        <v>10021367557</v>
      </c>
      <c r="E2442" t="s">
        <v>47</v>
      </c>
      <c r="F2442" t="s">
        <v>61</v>
      </c>
      <c r="G2442" t="s">
        <v>62</v>
      </c>
      <c r="H2442" t="s">
        <v>47</v>
      </c>
      <c r="I2442" t="s">
        <v>1778</v>
      </c>
      <c r="J2442" t="s">
        <v>668</v>
      </c>
      <c r="K2442" s="3">
        <v>100924766131</v>
      </c>
      <c r="L2442" s="10">
        <v>41012</v>
      </c>
      <c r="M2442">
        <v>264.63</v>
      </c>
      <c r="N2442" s="11">
        <v>9</v>
      </c>
      <c r="O2442" s="12">
        <v>27.48</v>
      </c>
      <c r="P2442" s="12">
        <v>4</v>
      </c>
      <c r="Q2442" s="13">
        <v>-66.78</v>
      </c>
      <c r="R2442" s="36" t="s">
        <v>1392</v>
      </c>
      <c r="S2442" s="7">
        <f t="shared" si="203"/>
        <v>0</v>
      </c>
      <c r="T2442" s="15" t="str">
        <f>VLOOKUP(R2442,产品分类!$C$2:$D$1278,2,0)</f>
        <v>办公用品</v>
      </c>
    </row>
    <row r="2443" spans="1:20">
      <c r="A2443" s="8">
        <f>DATE(2012,12,31)-172</f>
        <v>41102</v>
      </c>
      <c r="B2443" s="8">
        <f>DATE(2012,12,31)-172</f>
        <v>41102</v>
      </c>
      <c r="C2443" s="9" t="s">
        <v>540</v>
      </c>
      <c r="D2443">
        <v>10021343185</v>
      </c>
      <c r="E2443" t="s">
        <v>47</v>
      </c>
      <c r="F2443" t="s">
        <v>72</v>
      </c>
      <c r="G2443" t="s">
        <v>73</v>
      </c>
      <c r="H2443" t="s">
        <v>1949</v>
      </c>
      <c r="I2443" t="s">
        <v>1950</v>
      </c>
      <c r="J2443" t="s">
        <v>668</v>
      </c>
      <c r="K2443" s="3">
        <v>100128699088</v>
      </c>
      <c r="L2443" s="10">
        <v>41107</v>
      </c>
      <c r="M2443">
        <v>311.65</v>
      </c>
      <c r="N2443" s="11">
        <v>45</v>
      </c>
      <c r="O2443" s="12">
        <v>6.81</v>
      </c>
      <c r="P2443" s="12">
        <v>5.48</v>
      </c>
      <c r="Q2443" s="13">
        <v>-71.254</v>
      </c>
      <c r="R2443" s="36" t="s">
        <v>1617</v>
      </c>
      <c r="S2443" s="7">
        <f t="shared" si="203"/>
        <v>5</v>
      </c>
      <c r="T2443" s="15" t="str">
        <f>VLOOKUP(R2443,产品分类!$C$2:$D$1278,2,0)</f>
        <v>办公用品</v>
      </c>
    </row>
    <row r="2444" spans="1:20">
      <c r="A2444" s="8">
        <f>DATE(2012,12,31)-172</f>
        <v>41102</v>
      </c>
      <c r="B2444" s="8">
        <f>DATE(2012,12,31)-172</f>
        <v>41102</v>
      </c>
      <c r="C2444" s="9" t="s">
        <v>540</v>
      </c>
      <c r="D2444">
        <v>10021501260</v>
      </c>
      <c r="E2444" t="s">
        <v>47</v>
      </c>
      <c r="F2444" t="s">
        <v>122</v>
      </c>
      <c r="G2444" t="s">
        <v>123</v>
      </c>
      <c r="H2444" t="s">
        <v>124</v>
      </c>
      <c r="I2444" t="s">
        <v>125</v>
      </c>
      <c r="J2444" t="s">
        <v>668</v>
      </c>
      <c r="K2444" s="3">
        <v>100123665756</v>
      </c>
      <c r="L2444" s="10">
        <v>41107</v>
      </c>
      <c r="M2444">
        <v>101.19</v>
      </c>
      <c r="N2444" s="11">
        <v>28</v>
      </c>
      <c r="O2444" s="12">
        <v>3.78</v>
      </c>
      <c r="P2444" s="12">
        <v>0.71</v>
      </c>
      <c r="Q2444" s="13">
        <v>32.47</v>
      </c>
      <c r="R2444" s="36" t="s">
        <v>731</v>
      </c>
      <c r="S2444" s="7">
        <f t="shared" si="203"/>
        <v>5</v>
      </c>
      <c r="T2444" s="15" t="str">
        <f>VLOOKUP(R2444,产品分类!$C$2:$D$1278,2,0)</f>
        <v>家具产品</v>
      </c>
    </row>
    <row r="2445" spans="1:20">
      <c r="A2445" s="8">
        <f>DATE(2012,12,31)-1202</f>
        <v>40072</v>
      </c>
      <c r="B2445" s="8">
        <f>DATE(2012,12,31)-1202</f>
        <v>40072</v>
      </c>
      <c r="C2445" s="9" t="s">
        <v>513</v>
      </c>
      <c r="D2445">
        <v>10021428074</v>
      </c>
      <c r="E2445" t="s">
        <v>47</v>
      </c>
      <c r="F2445" t="s">
        <v>132</v>
      </c>
      <c r="G2445" t="s">
        <v>133</v>
      </c>
      <c r="H2445" t="s">
        <v>134</v>
      </c>
      <c r="I2445" t="s">
        <v>133</v>
      </c>
      <c r="J2445" t="s">
        <v>668</v>
      </c>
      <c r="K2445" s="3">
        <v>100131017297</v>
      </c>
      <c r="L2445" s="10">
        <v>40072</v>
      </c>
      <c r="M2445">
        <v>644.4</v>
      </c>
      <c r="N2445" s="11">
        <v>27</v>
      </c>
      <c r="O2445" s="12">
        <v>22.84</v>
      </c>
      <c r="P2445" s="12">
        <v>16.87</v>
      </c>
      <c r="Q2445" s="13">
        <v>-97.28</v>
      </c>
      <c r="R2445" s="36" t="s">
        <v>1958</v>
      </c>
      <c r="S2445" s="7">
        <f t="shared" si="203"/>
        <v>0</v>
      </c>
      <c r="T2445" s="15" t="str">
        <f>VLOOKUP(R2445,产品分类!$C$2:$D$1278,2,0)</f>
        <v>数码电子</v>
      </c>
    </row>
    <row r="2446" spans="1:20">
      <c r="A2446" s="8">
        <f>DATE(2012,12,31)-473</f>
        <v>40801</v>
      </c>
      <c r="B2446" s="8">
        <f>DATE(2012,12,31)-473</f>
        <v>40801</v>
      </c>
      <c r="C2446" s="9" t="s">
        <v>1129</v>
      </c>
      <c r="D2446">
        <v>10021433654</v>
      </c>
      <c r="E2446" t="s">
        <v>47</v>
      </c>
      <c r="F2446" t="s">
        <v>171</v>
      </c>
      <c r="G2446" t="s">
        <v>172</v>
      </c>
      <c r="H2446" t="s">
        <v>1712</v>
      </c>
      <c r="I2446" t="s">
        <v>1713</v>
      </c>
      <c r="J2446" t="s">
        <v>668</v>
      </c>
      <c r="K2446" s="3">
        <v>100732626795</v>
      </c>
      <c r="L2446" s="10">
        <v>40801</v>
      </c>
      <c r="M2446">
        <v>79.02</v>
      </c>
      <c r="N2446" s="11">
        <v>36</v>
      </c>
      <c r="O2446" s="12">
        <v>2.16</v>
      </c>
      <c r="P2446" s="12">
        <v>6.05</v>
      </c>
      <c r="Q2446" s="13">
        <v>-192.6825</v>
      </c>
      <c r="R2446" s="36" t="s">
        <v>507</v>
      </c>
      <c r="S2446" s="7">
        <f t="shared" si="203"/>
        <v>0</v>
      </c>
      <c r="T2446" s="15" t="str">
        <f>VLOOKUP(R2446,产品分类!$C$2:$D$1278,2,0)</f>
        <v>家具产品</v>
      </c>
    </row>
    <row r="2447" spans="1:20">
      <c r="A2447" s="16">
        <f>DATE(2012,12,31)-1370</f>
        <v>39904</v>
      </c>
      <c r="B2447" s="16">
        <f>DATE(2012,12,31)-1370</f>
        <v>39904</v>
      </c>
      <c r="C2447" s="9" t="s">
        <v>1730</v>
      </c>
      <c r="D2447">
        <v>10021462903</v>
      </c>
      <c r="E2447" t="s">
        <v>47</v>
      </c>
      <c r="F2447" t="s">
        <v>171</v>
      </c>
      <c r="G2447" t="s">
        <v>172</v>
      </c>
      <c r="H2447" t="s">
        <v>1712</v>
      </c>
      <c r="I2447" t="s">
        <v>1713</v>
      </c>
      <c r="J2447" t="s">
        <v>668</v>
      </c>
      <c r="K2447" s="3">
        <v>100922966781</v>
      </c>
      <c r="L2447" s="10">
        <v>39906</v>
      </c>
      <c r="M2447">
        <v>17.62</v>
      </c>
      <c r="N2447" s="17">
        <v>1</v>
      </c>
      <c r="O2447" s="5">
        <v>11.33</v>
      </c>
      <c r="P2447" s="5">
        <v>6.12</v>
      </c>
      <c r="Q2447" s="6">
        <v>-15.92</v>
      </c>
      <c r="R2447" s="37" t="s">
        <v>1093</v>
      </c>
      <c r="S2447" s="7">
        <f t="shared" si="203"/>
        <v>2</v>
      </c>
      <c r="T2447" s="15" t="str">
        <f>VLOOKUP(R2447,产品分类!$C$2:$D$1278,2,0)</f>
        <v>家具产品</v>
      </c>
    </row>
    <row r="2448" spans="1:20">
      <c r="A2448" s="8">
        <f>DATE(2012,12,31)-174</f>
        <v>41100</v>
      </c>
      <c r="B2448" s="8">
        <f>DATE(2012,12,31)-174</f>
        <v>41100</v>
      </c>
      <c r="C2448" s="9" t="s">
        <v>1751</v>
      </c>
      <c r="D2448">
        <v>10021432989</v>
      </c>
      <c r="E2448" t="s">
        <v>47</v>
      </c>
      <c r="F2448" t="s">
        <v>171</v>
      </c>
      <c r="G2448" t="s">
        <v>172</v>
      </c>
      <c r="H2448" t="s">
        <v>1712</v>
      </c>
      <c r="I2448" t="s">
        <v>1713</v>
      </c>
      <c r="J2448" t="s">
        <v>668</v>
      </c>
      <c r="K2448" s="3">
        <v>100432590254</v>
      </c>
      <c r="L2448" s="10">
        <v>41102</v>
      </c>
      <c r="M2448">
        <v>1077.28</v>
      </c>
      <c r="N2448" s="11">
        <v>10</v>
      </c>
      <c r="O2448" s="12">
        <v>100.98</v>
      </c>
      <c r="P2448" s="12">
        <v>57.38</v>
      </c>
      <c r="Q2448" s="13">
        <v>-486.12</v>
      </c>
      <c r="R2448" s="36" t="s">
        <v>661</v>
      </c>
      <c r="S2448" s="7">
        <f t="shared" si="203"/>
        <v>2</v>
      </c>
      <c r="T2448" s="15" t="str">
        <f>VLOOKUP(R2448,产品分类!$C$2:$D$1278,2,0)</f>
        <v>办公用品</v>
      </c>
    </row>
    <row r="2449" spans="1:20">
      <c r="A2449" s="16">
        <f>DATE(2012,12,31)-174</f>
        <v>41100</v>
      </c>
      <c r="B2449" s="16">
        <f>DATE(2012,12,31)-174</f>
        <v>41100</v>
      </c>
      <c r="C2449" s="9" t="s">
        <v>1751</v>
      </c>
      <c r="D2449">
        <v>10021278441</v>
      </c>
      <c r="E2449" t="s">
        <v>47</v>
      </c>
      <c r="F2449" t="s">
        <v>66</v>
      </c>
      <c r="G2449" t="s">
        <v>67</v>
      </c>
      <c r="H2449" t="s">
        <v>1435</v>
      </c>
      <c r="I2449" t="s">
        <v>1436</v>
      </c>
      <c r="J2449" t="s">
        <v>668</v>
      </c>
      <c r="K2449" s="3">
        <v>100110284357</v>
      </c>
      <c r="L2449" s="10">
        <v>41104</v>
      </c>
      <c r="M2449">
        <v>61.52</v>
      </c>
      <c r="N2449" s="17">
        <v>16</v>
      </c>
      <c r="O2449" s="5">
        <v>3.69</v>
      </c>
      <c r="P2449" s="5">
        <v>2.5</v>
      </c>
      <c r="Q2449" s="6">
        <v>-8.89</v>
      </c>
      <c r="R2449" s="37" t="s">
        <v>1982</v>
      </c>
      <c r="S2449" s="7">
        <f t="shared" si="203"/>
        <v>4</v>
      </c>
      <c r="T2449" s="15" t="str">
        <f>VLOOKUP(R2449,产品分类!$C$2:$D$1278,2,0)</f>
        <v>办公用品</v>
      </c>
    </row>
    <row r="2450" spans="1:20">
      <c r="A2450" s="8">
        <f>DATE(2012,12,31)-102</f>
        <v>41172</v>
      </c>
      <c r="B2450" s="8">
        <f>DATE(2012,12,31)-102</f>
        <v>41172</v>
      </c>
      <c r="C2450" s="9" t="s">
        <v>1348</v>
      </c>
      <c r="D2450">
        <v>10021493154</v>
      </c>
      <c r="E2450" t="s">
        <v>47</v>
      </c>
      <c r="F2450" t="s">
        <v>230</v>
      </c>
      <c r="G2450" t="s">
        <v>231</v>
      </c>
      <c r="H2450" t="s">
        <v>1798</v>
      </c>
      <c r="I2450" t="s">
        <v>1799</v>
      </c>
      <c r="J2450" t="s">
        <v>668</v>
      </c>
      <c r="K2450" s="3">
        <v>100716844025</v>
      </c>
      <c r="L2450" s="10">
        <v>41174</v>
      </c>
      <c r="M2450">
        <v>149.51</v>
      </c>
      <c r="N2450" s="11">
        <v>8</v>
      </c>
      <c r="O2450" s="12">
        <v>16.98</v>
      </c>
      <c r="P2450" s="12">
        <v>12.39</v>
      </c>
      <c r="Q2450" s="13">
        <v>-31.11</v>
      </c>
      <c r="R2450" s="36" t="s">
        <v>1441</v>
      </c>
      <c r="S2450" s="7">
        <f t="shared" si="203"/>
        <v>2</v>
      </c>
      <c r="T2450" s="15" t="str">
        <f>VLOOKUP(R2450,产品分类!$C$2:$D$1278,2,0)</f>
        <v>办公用品</v>
      </c>
    </row>
    <row r="2451" spans="1:20">
      <c r="A2451" s="8">
        <f>DATE(2012,12,31)-1083</f>
        <v>40191</v>
      </c>
      <c r="B2451" s="8">
        <f>DATE(2012,12,31)-1083</f>
        <v>40191</v>
      </c>
      <c r="C2451" s="9" t="s">
        <v>1932</v>
      </c>
      <c r="D2451">
        <v>10021274402</v>
      </c>
      <c r="E2451" t="s">
        <v>47</v>
      </c>
      <c r="F2451" t="s">
        <v>127</v>
      </c>
      <c r="G2451" t="s">
        <v>128</v>
      </c>
      <c r="H2451" t="s">
        <v>1936</v>
      </c>
      <c r="I2451" t="s">
        <v>1937</v>
      </c>
      <c r="J2451" t="s">
        <v>668</v>
      </c>
      <c r="K2451" s="3">
        <v>10038587039</v>
      </c>
      <c r="L2451" s="10">
        <v>40194</v>
      </c>
      <c r="M2451">
        <v>981.9</v>
      </c>
      <c r="N2451" s="11">
        <v>26</v>
      </c>
      <c r="O2451" s="12">
        <v>37.76</v>
      </c>
      <c r="P2451" s="12">
        <v>12.9</v>
      </c>
      <c r="Q2451" s="13">
        <v>11.38</v>
      </c>
      <c r="R2451" s="36" t="s">
        <v>1506</v>
      </c>
      <c r="S2451" s="7">
        <f t="shared" si="203"/>
        <v>3</v>
      </c>
      <c r="T2451" s="15" t="str">
        <f>VLOOKUP(R2451,产品分类!$C$2:$D$1278,2,0)</f>
        <v>办公用品</v>
      </c>
    </row>
    <row r="2452" spans="1:20">
      <c r="A2452" s="8">
        <f>DATE(2012,12,31)-184</f>
        <v>41090</v>
      </c>
      <c r="B2452" s="8">
        <f>DATE(2012,12,31)-184</f>
        <v>41090</v>
      </c>
      <c r="C2452" s="9" t="s">
        <v>1983</v>
      </c>
      <c r="D2452">
        <v>10021362933</v>
      </c>
      <c r="E2452" t="s">
        <v>47</v>
      </c>
      <c r="F2452" t="s">
        <v>137</v>
      </c>
      <c r="G2452" t="s">
        <v>138</v>
      </c>
      <c r="H2452" t="s">
        <v>139</v>
      </c>
      <c r="I2452" t="s">
        <v>601</v>
      </c>
      <c r="J2452" t="s">
        <v>668</v>
      </c>
      <c r="K2452" s="3">
        <v>100114973998</v>
      </c>
      <c r="L2452" s="10">
        <v>41091</v>
      </c>
      <c r="M2452">
        <v>78.93</v>
      </c>
      <c r="N2452" s="11">
        <v>18</v>
      </c>
      <c r="O2452" s="12">
        <v>3.89</v>
      </c>
      <c r="P2452" s="12">
        <v>7.01</v>
      </c>
      <c r="Q2452" s="13">
        <v>-88.6075</v>
      </c>
      <c r="R2452" s="36" t="s">
        <v>749</v>
      </c>
      <c r="S2452" s="7">
        <f t="shared" si="203"/>
        <v>1</v>
      </c>
      <c r="T2452" s="15" t="str">
        <f>VLOOKUP(R2452,产品分类!$C$2:$D$1278,2,0)</f>
        <v>办公用品</v>
      </c>
    </row>
    <row r="2453" spans="1:20">
      <c r="A2453" s="8">
        <f>DATE(2012,12,31)-67</f>
        <v>41207</v>
      </c>
      <c r="B2453" s="8">
        <f>DATE(2012,12,31)-67</f>
        <v>41207</v>
      </c>
      <c r="C2453" s="9" t="s">
        <v>1216</v>
      </c>
      <c r="D2453">
        <v>10021305041</v>
      </c>
      <c r="E2453" t="s">
        <v>47</v>
      </c>
      <c r="F2453" t="s">
        <v>102</v>
      </c>
      <c r="G2453" t="s">
        <v>103</v>
      </c>
      <c r="H2453" t="s">
        <v>1217</v>
      </c>
      <c r="I2453" t="s">
        <v>1218</v>
      </c>
      <c r="J2453" t="s">
        <v>668</v>
      </c>
      <c r="K2453" s="3">
        <v>100132641897</v>
      </c>
      <c r="L2453" s="10">
        <v>41208</v>
      </c>
      <c r="M2453">
        <v>239.3</v>
      </c>
      <c r="N2453" s="11">
        <v>34</v>
      </c>
      <c r="O2453" s="12">
        <v>6.98</v>
      </c>
      <c r="P2453" s="12">
        <v>2.83</v>
      </c>
      <c r="Q2453" s="13">
        <v>41.31</v>
      </c>
      <c r="R2453" s="36" t="s">
        <v>1984</v>
      </c>
      <c r="S2453" s="7">
        <f t="shared" si="203"/>
        <v>1</v>
      </c>
      <c r="T2453" s="15" t="str">
        <f>VLOOKUP(R2453,产品分类!$C$2:$D$1278,2,0)</f>
        <v>办公用品</v>
      </c>
    </row>
    <row r="2454" spans="1:20">
      <c r="A2454" s="8">
        <f>DATE(2012,12,31)-67</f>
        <v>41207</v>
      </c>
      <c r="B2454" s="8">
        <f>DATE(2012,12,31)-67</f>
        <v>41207</v>
      </c>
      <c r="C2454" s="9" t="s">
        <v>1216</v>
      </c>
      <c r="D2454">
        <v>10021487157</v>
      </c>
      <c r="E2454" t="s">
        <v>47</v>
      </c>
      <c r="F2454" t="s">
        <v>304</v>
      </c>
      <c r="G2454" t="s">
        <v>305</v>
      </c>
      <c r="H2454" t="s">
        <v>1550</v>
      </c>
      <c r="I2454" t="s">
        <v>1551</v>
      </c>
      <c r="J2454" t="s">
        <v>668</v>
      </c>
      <c r="K2454" s="3">
        <v>100310947739</v>
      </c>
      <c r="L2454" s="10">
        <v>41210</v>
      </c>
      <c r="M2454">
        <v>260.41</v>
      </c>
      <c r="N2454" s="11">
        <v>38</v>
      </c>
      <c r="O2454" s="12">
        <v>5.98</v>
      </c>
      <c r="P2454" s="12">
        <v>5.35</v>
      </c>
      <c r="Q2454" s="13">
        <v>-45.75</v>
      </c>
      <c r="R2454" s="36" t="s">
        <v>978</v>
      </c>
      <c r="S2454" s="7">
        <f t="shared" si="203"/>
        <v>3</v>
      </c>
      <c r="T2454" s="15" t="str">
        <f>VLOOKUP(R2454,产品分类!$C$2:$D$1278,2,0)</f>
        <v>家具产品</v>
      </c>
    </row>
    <row r="2455" spans="1:20">
      <c r="A2455" s="8">
        <f t="shared" ref="A2455:B2457" si="205">DATE(2012,12,31)-828</f>
        <v>40446</v>
      </c>
      <c r="B2455" s="8">
        <f t="shared" si="205"/>
        <v>40446</v>
      </c>
      <c r="C2455" s="9" t="s">
        <v>1985</v>
      </c>
      <c r="D2455">
        <v>10021436189</v>
      </c>
      <c r="E2455" t="s">
        <v>47</v>
      </c>
      <c r="F2455" t="s">
        <v>527</v>
      </c>
      <c r="G2455" t="s">
        <v>528</v>
      </c>
      <c r="H2455" t="s">
        <v>1913</v>
      </c>
      <c r="I2455" t="s">
        <v>1914</v>
      </c>
      <c r="J2455" t="s">
        <v>668</v>
      </c>
      <c r="K2455" s="3">
        <v>100932848771</v>
      </c>
      <c r="L2455" s="10">
        <v>40448</v>
      </c>
      <c r="M2455">
        <v>187.14</v>
      </c>
      <c r="N2455" s="11">
        <v>21</v>
      </c>
      <c r="O2455" s="12">
        <v>8.33</v>
      </c>
      <c r="P2455" s="12">
        <v>1.99</v>
      </c>
      <c r="Q2455" s="13">
        <v>21.07</v>
      </c>
      <c r="R2455" s="36" t="s">
        <v>1011</v>
      </c>
      <c r="S2455" s="7">
        <f t="shared" si="203"/>
        <v>2</v>
      </c>
      <c r="T2455" s="15" t="str">
        <f>VLOOKUP(R2455,产品分类!$C$2:$D$1278,2,0)</f>
        <v>家具产品</v>
      </c>
    </row>
    <row r="2456" spans="1:20">
      <c r="A2456" s="8">
        <f t="shared" si="205"/>
        <v>40446</v>
      </c>
      <c r="B2456" s="8">
        <f t="shared" si="205"/>
        <v>40446</v>
      </c>
      <c r="C2456" s="9" t="s">
        <v>1985</v>
      </c>
      <c r="D2456">
        <v>10021271749</v>
      </c>
      <c r="E2456" t="s">
        <v>47</v>
      </c>
      <c r="F2456" t="s">
        <v>127</v>
      </c>
      <c r="G2456" t="s">
        <v>128</v>
      </c>
      <c r="H2456" t="s">
        <v>1936</v>
      </c>
      <c r="I2456" t="s">
        <v>1937</v>
      </c>
      <c r="J2456" t="s">
        <v>668</v>
      </c>
      <c r="K2456" s="3">
        <v>100932294731</v>
      </c>
      <c r="L2456" s="10">
        <v>40447</v>
      </c>
      <c r="M2456">
        <v>385.7</v>
      </c>
      <c r="N2456" s="11">
        <v>12</v>
      </c>
      <c r="O2456" s="12">
        <v>30.98</v>
      </c>
      <c r="P2456" s="12">
        <v>6.5</v>
      </c>
      <c r="Q2456" s="13">
        <v>-109.91</v>
      </c>
      <c r="R2456" s="36" t="s">
        <v>1418</v>
      </c>
      <c r="S2456" s="7">
        <f t="shared" si="203"/>
        <v>1</v>
      </c>
      <c r="T2456" s="15" t="str">
        <f>VLOOKUP(R2456,产品分类!$C$2:$D$1278,2,0)</f>
        <v>家具产品</v>
      </c>
    </row>
    <row r="2457" spans="1:20">
      <c r="A2457" s="8">
        <f t="shared" si="205"/>
        <v>40446</v>
      </c>
      <c r="B2457" s="8">
        <f t="shared" si="205"/>
        <v>40446</v>
      </c>
      <c r="C2457" s="9" t="s">
        <v>1985</v>
      </c>
      <c r="D2457">
        <v>10021412692</v>
      </c>
      <c r="E2457" t="s">
        <v>47</v>
      </c>
      <c r="F2457" t="s">
        <v>61</v>
      </c>
      <c r="G2457" t="s">
        <v>62</v>
      </c>
      <c r="H2457" t="s">
        <v>47</v>
      </c>
      <c r="I2457" t="s">
        <v>1778</v>
      </c>
      <c r="J2457" t="s">
        <v>668</v>
      </c>
      <c r="K2457" s="3">
        <v>10016384018</v>
      </c>
      <c r="L2457" s="10">
        <v>40447</v>
      </c>
      <c r="M2457">
        <v>1048.39</v>
      </c>
      <c r="N2457" s="11">
        <v>46</v>
      </c>
      <c r="O2457" s="12">
        <v>22.98</v>
      </c>
      <c r="P2457" s="12">
        <v>7.58</v>
      </c>
      <c r="Q2457" s="13">
        <v>206.56</v>
      </c>
      <c r="R2457" s="36" t="s">
        <v>616</v>
      </c>
      <c r="S2457" s="7">
        <f t="shared" si="203"/>
        <v>1</v>
      </c>
      <c r="T2457" s="15" t="str">
        <f>VLOOKUP(R2457,产品分类!$C$2:$D$1278,2,0)</f>
        <v>家具产品</v>
      </c>
    </row>
    <row r="2458" spans="1:20">
      <c r="A2458" s="8">
        <f>DATE(2012,12,31)-950</f>
        <v>40324</v>
      </c>
      <c r="B2458" s="8">
        <f>DATE(2012,12,31)-950</f>
        <v>40324</v>
      </c>
      <c r="C2458" s="9" t="s">
        <v>632</v>
      </c>
      <c r="D2458">
        <v>10021457990</v>
      </c>
      <c r="E2458" t="s">
        <v>47</v>
      </c>
      <c r="F2458" t="s">
        <v>66</v>
      </c>
      <c r="G2458" t="s">
        <v>67</v>
      </c>
      <c r="H2458" t="s">
        <v>1435</v>
      </c>
      <c r="I2458" t="s">
        <v>1436</v>
      </c>
      <c r="J2458" t="s">
        <v>668</v>
      </c>
      <c r="K2458" s="3">
        <v>100415106034</v>
      </c>
      <c r="L2458" s="10">
        <v>40326</v>
      </c>
      <c r="M2458">
        <v>182.89</v>
      </c>
      <c r="N2458" s="11">
        <v>7</v>
      </c>
      <c r="O2458" s="12">
        <v>27.48</v>
      </c>
      <c r="P2458" s="12">
        <v>4</v>
      </c>
      <c r="Q2458" s="13">
        <v>-99.3</v>
      </c>
      <c r="R2458" s="36" t="s">
        <v>1392</v>
      </c>
      <c r="S2458" s="7">
        <f t="shared" si="203"/>
        <v>2</v>
      </c>
      <c r="T2458" s="15" t="str">
        <f>VLOOKUP(R2458,产品分类!$C$2:$D$1278,2,0)</f>
        <v>办公用品</v>
      </c>
    </row>
    <row r="2459" spans="1:20">
      <c r="A2459" s="8">
        <f>DATE(2012,12,31)-635</f>
        <v>40639</v>
      </c>
      <c r="B2459" s="8">
        <f>DATE(2012,12,31)-635</f>
        <v>40639</v>
      </c>
      <c r="C2459" s="9" t="s">
        <v>1546</v>
      </c>
      <c r="D2459">
        <v>10021321477</v>
      </c>
      <c r="E2459" t="s">
        <v>47</v>
      </c>
      <c r="F2459" t="s">
        <v>122</v>
      </c>
      <c r="G2459" t="s">
        <v>123</v>
      </c>
      <c r="H2459" t="s">
        <v>124</v>
      </c>
      <c r="I2459" t="s">
        <v>125</v>
      </c>
      <c r="J2459" t="s">
        <v>668</v>
      </c>
      <c r="K2459" s="3">
        <v>100911062811</v>
      </c>
      <c r="L2459" s="10">
        <v>40641</v>
      </c>
      <c r="M2459">
        <v>139</v>
      </c>
      <c r="N2459" s="11">
        <v>16</v>
      </c>
      <c r="O2459" s="12">
        <v>7.77</v>
      </c>
      <c r="P2459" s="12">
        <v>9.23</v>
      </c>
      <c r="Q2459" s="13">
        <v>-96.33</v>
      </c>
      <c r="R2459" s="36" t="s">
        <v>1440</v>
      </c>
      <c r="S2459" s="7">
        <f t="shared" si="203"/>
        <v>2</v>
      </c>
      <c r="T2459" s="15" t="str">
        <f>VLOOKUP(R2459,产品分类!$C$2:$D$1278,2,0)</f>
        <v>家具产品</v>
      </c>
    </row>
    <row r="2460" spans="1:20">
      <c r="A2460" s="8">
        <f>DATE(2012,12,31)-238</f>
        <v>41036</v>
      </c>
      <c r="B2460" s="8">
        <f>DATE(2012,12,31)-238</f>
        <v>41036</v>
      </c>
      <c r="C2460" s="9" t="s">
        <v>826</v>
      </c>
      <c r="D2460">
        <v>10021315159</v>
      </c>
      <c r="E2460" t="s">
        <v>47</v>
      </c>
      <c r="F2460" t="s">
        <v>97</v>
      </c>
      <c r="G2460" t="s">
        <v>98</v>
      </c>
      <c r="H2460" t="s">
        <v>99</v>
      </c>
      <c r="I2460" t="s">
        <v>98</v>
      </c>
      <c r="J2460" t="s">
        <v>668</v>
      </c>
      <c r="K2460" s="3">
        <v>100131922797</v>
      </c>
      <c r="L2460" s="10">
        <v>41037</v>
      </c>
      <c r="M2460">
        <v>28.73</v>
      </c>
      <c r="N2460" s="11">
        <v>1</v>
      </c>
      <c r="O2460" s="12">
        <v>20.97</v>
      </c>
      <c r="P2460" s="12">
        <v>6.5</v>
      </c>
      <c r="Q2460" s="13">
        <v>-57.04</v>
      </c>
      <c r="R2460" s="36" t="s">
        <v>420</v>
      </c>
      <c r="S2460" s="7">
        <f t="shared" si="203"/>
        <v>1</v>
      </c>
      <c r="T2460" s="15" t="str">
        <f>VLOOKUP(R2460,产品分类!$C$2:$D$1278,2,0)</f>
        <v>数码电子</v>
      </c>
    </row>
    <row r="2461" spans="1:20">
      <c r="A2461" s="8">
        <f>DATE(2012,12,31)-238</f>
        <v>41036</v>
      </c>
      <c r="B2461" s="8">
        <f>DATE(2012,12,31)-238</f>
        <v>41036</v>
      </c>
      <c r="C2461" s="9" t="s">
        <v>826</v>
      </c>
      <c r="D2461">
        <v>10021292145</v>
      </c>
      <c r="E2461" t="s">
        <v>47</v>
      </c>
      <c r="F2461" t="s">
        <v>171</v>
      </c>
      <c r="G2461" t="s">
        <v>172</v>
      </c>
      <c r="H2461" t="s">
        <v>1712</v>
      </c>
      <c r="I2461" t="s">
        <v>1713</v>
      </c>
      <c r="J2461" t="s">
        <v>668</v>
      </c>
      <c r="K2461" s="3">
        <v>100128145127</v>
      </c>
      <c r="L2461" s="10">
        <v>41038</v>
      </c>
      <c r="M2461">
        <v>67.88</v>
      </c>
      <c r="N2461" s="11">
        <v>31</v>
      </c>
      <c r="O2461" s="12">
        <v>2.1</v>
      </c>
      <c r="P2461" s="12">
        <v>0.7</v>
      </c>
      <c r="Q2461" s="13">
        <v>4.87</v>
      </c>
      <c r="R2461" s="36" t="s">
        <v>1959</v>
      </c>
      <c r="S2461" s="7">
        <f t="shared" si="203"/>
        <v>2</v>
      </c>
      <c r="T2461" s="15" t="str">
        <f>VLOOKUP(R2461,产品分类!$C$2:$D$1278,2,0)</f>
        <v>办公用品</v>
      </c>
    </row>
    <row r="2462" spans="1:20">
      <c r="A2462" s="16">
        <f>DATE(2012,12,31)-493</f>
        <v>40781</v>
      </c>
      <c r="B2462" s="16">
        <f>DATE(2012,12,31)-493</f>
        <v>40781</v>
      </c>
      <c r="C2462" s="9" t="s">
        <v>813</v>
      </c>
      <c r="D2462">
        <v>10021293407</v>
      </c>
      <c r="E2462" t="s">
        <v>47</v>
      </c>
      <c r="F2462" t="s">
        <v>152</v>
      </c>
      <c r="G2462" t="s">
        <v>153</v>
      </c>
      <c r="H2462" t="s">
        <v>1860</v>
      </c>
      <c r="I2462" t="s">
        <v>1861</v>
      </c>
      <c r="J2462" t="s">
        <v>668</v>
      </c>
      <c r="K2462" s="3">
        <v>10049240654</v>
      </c>
      <c r="L2462" s="10">
        <v>40781</v>
      </c>
      <c r="M2462">
        <v>2507.48</v>
      </c>
      <c r="N2462" s="17">
        <v>42</v>
      </c>
      <c r="O2462" s="5">
        <v>60.97</v>
      </c>
      <c r="P2462" s="5">
        <v>4.5</v>
      </c>
      <c r="Q2462" s="6">
        <v>762.53</v>
      </c>
      <c r="R2462" s="37" t="s">
        <v>608</v>
      </c>
      <c r="S2462" s="7">
        <f t="shared" si="203"/>
        <v>0</v>
      </c>
      <c r="T2462" s="15" t="str">
        <f>VLOOKUP(R2462,产品分类!$C$2:$D$1278,2,0)</f>
        <v>家具产品</v>
      </c>
    </row>
    <row r="2463" spans="1:20">
      <c r="A2463" s="8">
        <f>DATE(2012,12,31)-417</f>
        <v>40857</v>
      </c>
      <c r="B2463" s="8">
        <f>DATE(2012,12,31)-417</f>
        <v>40857</v>
      </c>
      <c r="C2463" s="9" t="s">
        <v>1537</v>
      </c>
      <c r="D2463">
        <v>10021507143</v>
      </c>
      <c r="E2463" t="s">
        <v>47</v>
      </c>
      <c r="F2463" t="s">
        <v>152</v>
      </c>
      <c r="G2463" t="s">
        <v>153</v>
      </c>
      <c r="H2463" t="s">
        <v>1860</v>
      </c>
      <c r="I2463" t="s">
        <v>1861</v>
      </c>
      <c r="J2463" t="s">
        <v>668</v>
      </c>
      <c r="K2463" s="3">
        <v>100931947511</v>
      </c>
      <c r="L2463" s="10">
        <v>40859</v>
      </c>
      <c r="M2463">
        <v>608.33</v>
      </c>
      <c r="N2463" s="11">
        <v>37</v>
      </c>
      <c r="O2463" s="12">
        <v>15.31</v>
      </c>
      <c r="P2463" s="12">
        <v>8.78</v>
      </c>
      <c r="Q2463" s="13">
        <v>-70.04</v>
      </c>
      <c r="R2463" s="36" t="s">
        <v>1131</v>
      </c>
      <c r="S2463" s="7">
        <f t="shared" si="203"/>
        <v>2</v>
      </c>
      <c r="T2463" s="15" t="str">
        <f>VLOOKUP(R2463,产品分类!$C$2:$D$1278,2,0)</f>
        <v>数码电子</v>
      </c>
    </row>
    <row r="2464" spans="1:20">
      <c r="A2464" s="8">
        <f>DATE(2012,12,31)-1240</f>
        <v>40034</v>
      </c>
      <c r="B2464" s="8">
        <f>DATE(2012,12,31)-1240</f>
        <v>40034</v>
      </c>
      <c r="C2464" s="9" t="s">
        <v>466</v>
      </c>
      <c r="D2464">
        <v>10021260551</v>
      </c>
      <c r="E2464" t="s">
        <v>47</v>
      </c>
      <c r="F2464" t="s">
        <v>152</v>
      </c>
      <c r="G2464" t="s">
        <v>153</v>
      </c>
      <c r="H2464" t="s">
        <v>1860</v>
      </c>
      <c r="I2464" t="s">
        <v>1861</v>
      </c>
      <c r="J2464" t="s">
        <v>668</v>
      </c>
      <c r="K2464" s="3">
        <v>100428656904</v>
      </c>
      <c r="L2464" s="10">
        <v>40035</v>
      </c>
      <c r="M2464">
        <v>865.21</v>
      </c>
      <c r="N2464" s="11">
        <v>42</v>
      </c>
      <c r="O2464" s="12">
        <v>20.95</v>
      </c>
      <c r="P2464" s="12">
        <v>5.99</v>
      </c>
      <c r="Q2464" s="13">
        <v>-42.1</v>
      </c>
      <c r="R2464" s="36" t="s">
        <v>1324</v>
      </c>
      <c r="S2464" s="7">
        <f t="shared" si="203"/>
        <v>1</v>
      </c>
      <c r="T2464" s="15" t="str">
        <f>VLOOKUP(R2464,产品分类!$C$2:$D$1278,2,0)</f>
        <v>家具产品</v>
      </c>
    </row>
    <row r="2465" spans="1:20">
      <c r="A2465" s="8">
        <f>DATE(2012,12,31)-812</f>
        <v>40462</v>
      </c>
      <c r="B2465" s="8">
        <f>DATE(2012,12,31)-812</f>
        <v>40462</v>
      </c>
      <c r="C2465" s="9" t="s">
        <v>1703</v>
      </c>
      <c r="D2465">
        <v>10021369529</v>
      </c>
      <c r="E2465" t="s">
        <v>47</v>
      </c>
      <c r="F2465" t="s">
        <v>48</v>
      </c>
      <c r="G2465" t="s">
        <v>49</v>
      </c>
      <c r="H2465" t="s">
        <v>1812</v>
      </c>
      <c r="I2465" t="s">
        <v>1813</v>
      </c>
      <c r="J2465" t="s">
        <v>668</v>
      </c>
      <c r="K2465" s="3">
        <v>100918082651</v>
      </c>
      <c r="L2465" s="10">
        <v>40463</v>
      </c>
      <c r="M2465">
        <v>430.13</v>
      </c>
      <c r="N2465" s="11">
        <v>28</v>
      </c>
      <c r="O2465" s="12">
        <v>14.42</v>
      </c>
      <c r="P2465" s="12">
        <v>6.75</v>
      </c>
      <c r="Q2465" s="13">
        <v>2.33</v>
      </c>
      <c r="R2465" s="36" t="s">
        <v>441</v>
      </c>
      <c r="S2465" s="7">
        <f t="shared" si="203"/>
        <v>1</v>
      </c>
      <c r="T2465" s="15" t="str">
        <f>VLOOKUP(R2465,产品分类!$C$2:$D$1278,2,0)</f>
        <v>办公用品</v>
      </c>
    </row>
    <row r="2466" spans="1:20">
      <c r="A2466" s="8">
        <f t="shared" ref="A2466:B2468" si="206">DATE(2012,12,31)-133</f>
        <v>41141</v>
      </c>
      <c r="B2466" s="8">
        <f t="shared" si="206"/>
        <v>41141</v>
      </c>
      <c r="C2466" s="9" t="s">
        <v>1730</v>
      </c>
      <c r="D2466">
        <v>10021396561</v>
      </c>
      <c r="E2466" t="s">
        <v>47</v>
      </c>
      <c r="F2466" t="s">
        <v>66</v>
      </c>
      <c r="G2466" t="s">
        <v>67</v>
      </c>
      <c r="H2466" t="s">
        <v>1435</v>
      </c>
      <c r="I2466" t="s">
        <v>1436</v>
      </c>
      <c r="J2466" t="s">
        <v>668</v>
      </c>
      <c r="K2466" s="3">
        <v>100122756558</v>
      </c>
      <c r="L2466" s="10">
        <v>41143</v>
      </c>
      <c r="M2466">
        <v>975.12</v>
      </c>
      <c r="N2466" s="11">
        <v>30</v>
      </c>
      <c r="O2466" s="12">
        <v>30.98</v>
      </c>
      <c r="P2466" s="12">
        <v>19.51</v>
      </c>
      <c r="Q2466" s="13">
        <v>-6.72</v>
      </c>
      <c r="R2466" s="36" t="s">
        <v>1385</v>
      </c>
      <c r="S2466" s="7">
        <f t="shared" si="203"/>
        <v>2</v>
      </c>
      <c r="T2466" s="15" t="str">
        <f>VLOOKUP(R2466,产品分类!$C$2:$D$1278,2,0)</f>
        <v>家具产品</v>
      </c>
    </row>
    <row r="2467" spans="1:20">
      <c r="A2467" s="16">
        <f t="shared" si="206"/>
        <v>41141</v>
      </c>
      <c r="B2467" s="16">
        <f t="shared" si="206"/>
        <v>41141</v>
      </c>
      <c r="C2467" s="9" t="s">
        <v>1730</v>
      </c>
      <c r="D2467">
        <v>10021416639</v>
      </c>
      <c r="E2467" t="s">
        <v>47</v>
      </c>
      <c r="F2467" t="s">
        <v>66</v>
      </c>
      <c r="G2467" t="s">
        <v>67</v>
      </c>
      <c r="H2467" t="s">
        <v>1435</v>
      </c>
      <c r="I2467" t="s">
        <v>1436</v>
      </c>
      <c r="J2467" t="s">
        <v>668</v>
      </c>
      <c r="K2467" s="3">
        <v>100111561556</v>
      </c>
      <c r="L2467" s="10">
        <v>41143</v>
      </c>
      <c r="M2467">
        <v>1490.56</v>
      </c>
      <c r="N2467" s="17">
        <v>21</v>
      </c>
      <c r="O2467" s="5">
        <v>68.81</v>
      </c>
      <c r="P2467" s="5">
        <v>60</v>
      </c>
      <c r="Q2467" s="6">
        <v>-499.51</v>
      </c>
      <c r="R2467" s="37" t="s">
        <v>390</v>
      </c>
      <c r="S2467" s="7">
        <f t="shared" si="203"/>
        <v>2</v>
      </c>
      <c r="T2467" s="15" t="str">
        <f>VLOOKUP(R2467,产品分类!$C$2:$D$1278,2,0)</f>
        <v>办公用品</v>
      </c>
    </row>
    <row r="2468" spans="1:20">
      <c r="A2468" s="16">
        <f t="shared" si="206"/>
        <v>41141</v>
      </c>
      <c r="B2468" s="16">
        <f t="shared" si="206"/>
        <v>41141</v>
      </c>
      <c r="C2468" s="9" t="s">
        <v>1730</v>
      </c>
      <c r="D2468">
        <v>10021450650</v>
      </c>
      <c r="E2468" t="s">
        <v>47</v>
      </c>
      <c r="F2468" t="s">
        <v>66</v>
      </c>
      <c r="G2468" t="s">
        <v>67</v>
      </c>
      <c r="H2468" t="s">
        <v>1435</v>
      </c>
      <c r="I2468" t="s">
        <v>1436</v>
      </c>
      <c r="J2468" t="s">
        <v>668</v>
      </c>
      <c r="K2468" s="3">
        <v>10019391378</v>
      </c>
      <c r="L2468" s="10">
        <v>41143</v>
      </c>
      <c r="M2468">
        <v>105.44</v>
      </c>
      <c r="N2468" s="17">
        <v>17</v>
      </c>
      <c r="O2468" s="5">
        <v>5.84</v>
      </c>
      <c r="P2468" s="5">
        <v>1.2</v>
      </c>
      <c r="Q2468" s="6">
        <v>18.76</v>
      </c>
      <c r="R2468" s="37" t="s">
        <v>1478</v>
      </c>
      <c r="S2468" s="7">
        <f t="shared" si="203"/>
        <v>2</v>
      </c>
      <c r="T2468" s="15" t="str">
        <f>VLOOKUP(R2468,产品分类!$C$2:$D$1278,2,0)</f>
        <v>办公用品</v>
      </c>
    </row>
    <row r="2469" spans="1:20">
      <c r="A2469" s="8">
        <f>DATE(2012,12,31)-879</f>
        <v>40395</v>
      </c>
      <c r="B2469" s="8">
        <f>DATE(2012,12,31)-879</f>
        <v>40395</v>
      </c>
      <c r="C2469" s="9" t="s">
        <v>400</v>
      </c>
      <c r="D2469">
        <v>10021530464</v>
      </c>
      <c r="E2469" t="s">
        <v>47</v>
      </c>
      <c r="F2469" t="s">
        <v>66</v>
      </c>
      <c r="G2469" t="s">
        <v>67</v>
      </c>
      <c r="H2469" t="s">
        <v>1435</v>
      </c>
      <c r="I2469" t="s">
        <v>1436</v>
      </c>
      <c r="J2469" t="s">
        <v>668</v>
      </c>
      <c r="K2469" s="3">
        <v>100126401476</v>
      </c>
      <c r="L2469" s="10">
        <v>40398</v>
      </c>
      <c r="M2469">
        <v>1567.51</v>
      </c>
      <c r="N2469" s="11">
        <v>40</v>
      </c>
      <c r="O2469" s="12">
        <v>37.94</v>
      </c>
      <c r="P2469" s="12">
        <v>5.08</v>
      </c>
      <c r="Q2469" s="13">
        <v>711.74</v>
      </c>
      <c r="R2469" s="36" t="s">
        <v>947</v>
      </c>
      <c r="S2469" s="7">
        <f t="shared" si="203"/>
        <v>3</v>
      </c>
      <c r="T2469" s="15" t="str">
        <f>VLOOKUP(R2469,产品分类!$C$2:$D$1278,2,0)</f>
        <v>办公用品</v>
      </c>
    </row>
    <row r="2470" spans="1:20">
      <c r="A2470" s="8">
        <f>DATE(2012,12,31)-879</f>
        <v>40395</v>
      </c>
      <c r="B2470" s="8">
        <f>DATE(2012,12,31)-879</f>
        <v>40395</v>
      </c>
      <c r="C2470" s="9" t="s">
        <v>400</v>
      </c>
      <c r="D2470">
        <v>10021387602</v>
      </c>
      <c r="E2470" t="s">
        <v>47</v>
      </c>
      <c r="F2470" t="s">
        <v>48</v>
      </c>
      <c r="G2470" t="s">
        <v>49</v>
      </c>
      <c r="H2470" t="s">
        <v>1812</v>
      </c>
      <c r="I2470" t="s">
        <v>1813</v>
      </c>
      <c r="J2470" t="s">
        <v>668</v>
      </c>
      <c r="K2470" s="3">
        <v>100322141659</v>
      </c>
      <c r="L2470" s="10">
        <v>40396</v>
      </c>
      <c r="M2470">
        <v>1914.65</v>
      </c>
      <c r="N2470" s="11">
        <v>17</v>
      </c>
      <c r="O2470" s="12">
        <v>111.03</v>
      </c>
      <c r="P2470" s="12">
        <v>8.64</v>
      </c>
      <c r="Q2470" s="13">
        <v>73.45</v>
      </c>
      <c r="R2470" s="36" t="s">
        <v>1646</v>
      </c>
      <c r="S2470" s="7">
        <f t="shared" si="203"/>
        <v>1</v>
      </c>
      <c r="T2470" s="15" t="str">
        <f>VLOOKUP(R2470,产品分类!$C$2:$D$1278,2,0)</f>
        <v>数码电子</v>
      </c>
    </row>
    <row r="2471" spans="1:20">
      <c r="A2471" s="8">
        <f>DATE(2012,12,31)-508</f>
        <v>40766</v>
      </c>
      <c r="B2471" s="8">
        <f>DATE(2012,12,31)-508</f>
        <v>40766</v>
      </c>
      <c r="C2471" s="9" t="s">
        <v>786</v>
      </c>
      <c r="D2471">
        <v>10021253961</v>
      </c>
      <c r="E2471" t="s">
        <v>47</v>
      </c>
      <c r="F2471" t="s">
        <v>152</v>
      </c>
      <c r="G2471" t="s">
        <v>153</v>
      </c>
      <c r="H2471" t="s">
        <v>1860</v>
      </c>
      <c r="I2471" t="s">
        <v>1861</v>
      </c>
      <c r="J2471" t="s">
        <v>668</v>
      </c>
      <c r="K2471" s="3">
        <v>100921119061</v>
      </c>
      <c r="L2471" s="10">
        <v>40770</v>
      </c>
      <c r="M2471">
        <v>1053.74</v>
      </c>
      <c r="N2471" s="11">
        <v>33</v>
      </c>
      <c r="O2471" s="12">
        <v>32.48</v>
      </c>
      <c r="P2471" s="12">
        <v>7.09</v>
      </c>
      <c r="Q2471" s="13">
        <v>359.53</v>
      </c>
      <c r="R2471" s="36" t="s">
        <v>1986</v>
      </c>
      <c r="S2471" s="7">
        <f t="shared" si="203"/>
        <v>4</v>
      </c>
      <c r="T2471" s="15" t="str">
        <f>VLOOKUP(R2471,产品分类!$C$2:$D$1278,2,0)</f>
        <v>办公用品</v>
      </c>
    </row>
    <row r="2472" spans="1:20">
      <c r="A2472" s="16">
        <f>DATE(2012,12,31)-113</f>
        <v>41161</v>
      </c>
      <c r="B2472" s="16">
        <f>DATE(2012,12,31)-113</f>
        <v>41161</v>
      </c>
      <c r="C2472" s="9" t="s">
        <v>1388</v>
      </c>
      <c r="D2472">
        <v>10021428589</v>
      </c>
      <c r="E2472" t="s">
        <v>47</v>
      </c>
      <c r="F2472" t="s">
        <v>78</v>
      </c>
      <c r="G2472" t="s">
        <v>79</v>
      </c>
      <c r="H2472" t="s">
        <v>1887</v>
      </c>
      <c r="I2472" t="s">
        <v>1888</v>
      </c>
      <c r="J2472" t="s">
        <v>668</v>
      </c>
      <c r="K2472" s="3">
        <v>100431071774</v>
      </c>
      <c r="L2472" s="10">
        <v>41164</v>
      </c>
      <c r="M2472">
        <v>1201.68</v>
      </c>
      <c r="N2472" s="17">
        <v>28</v>
      </c>
      <c r="O2472" s="5">
        <v>40.99</v>
      </c>
      <c r="P2472" s="5">
        <v>19.99</v>
      </c>
      <c r="Q2472" s="6">
        <v>146.8</v>
      </c>
      <c r="R2472" s="37" t="s">
        <v>656</v>
      </c>
      <c r="S2472" s="7">
        <f t="shared" si="203"/>
        <v>3</v>
      </c>
      <c r="T2472" s="15" t="str">
        <f>VLOOKUP(R2472,产品分类!$C$2:$D$1278,2,0)</f>
        <v>家具产品</v>
      </c>
    </row>
    <row r="2473" spans="1:20">
      <c r="A2473" s="8">
        <f>DATE(2012,12,31)-113</f>
        <v>41161</v>
      </c>
      <c r="B2473" s="8">
        <f>DATE(2012,12,31)-113</f>
        <v>41161</v>
      </c>
      <c r="C2473" s="9" t="s">
        <v>1388</v>
      </c>
      <c r="D2473">
        <v>10021260120</v>
      </c>
      <c r="E2473" t="s">
        <v>47</v>
      </c>
      <c r="F2473" t="s">
        <v>72</v>
      </c>
      <c r="G2473" t="s">
        <v>73</v>
      </c>
      <c r="H2473" t="s">
        <v>1949</v>
      </c>
      <c r="I2473" t="s">
        <v>1950</v>
      </c>
      <c r="J2473" t="s">
        <v>668</v>
      </c>
      <c r="K2473" s="3">
        <v>10083978382</v>
      </c>
      <c r="L2473" s="10">
        <v>41164</v>
      </c>
      <c r="M2473">
        <v>2784.57</v>
      </c>
      <c r="N2473" s="11">
        <v>21</v>
      </c>
      <c r="O2473" s="12">
        <v>136.98</v>
      </c>
      <c r="P2473" s="12">
        <v>24.49</v>
      </c>
      <c r="Q2473" s="13">
        <v>847.06</v>
      </c>
      <c r="R2473" s="36" t="s">
        <v>594</v>
      </c>
      <c r="S2473" s="7">
        <f t="shared" si="203"/>
        <v>3</v>
      </c>
      <c r="T2473" s="15" t="str">
        <f>VLOOKUP(R2473,产品分类!$C$2:$D$1278,2,0)</f>
        <v>数码电子</v>
      </c>
    </row>
    <row r="2474" spans="1:20">
      <c r="A2474" s="8">
        <f>DATE(2012,12,31)-629</f>
        <v>40645</v>
      </c>
      <c r="B2474" s="8">
        <f>DATE(2012,12,31)-629</f>
        <v>40645</v>
      </c>
      <c r="C2474" s="9" t="s">
        <v>1987</v>
      </c>
      <c r="D2474">
        <v>10021387540</v>
      </c>
      <c r="E2474" t="s">
        <v>47</v>
      </c>
      <c r="F2474" t="s">
        <v>78</v>
      </c>
      <c r="G2474" t="s">
        <v>79</v>
      </c>
      <c r="H2474" t="s">
        <v>1887</v>
      </c>
      <c r="I2474" t="s">
        <v>1888</v>
      </c>
      <c r="J2474" t="s">
        <v>668</v>
      </c>
      <c r="K2474" s="3">
        <v>100921541161</v>
      </c>
      <c r="L2474" s="10">
        <v>40646</v>
      </c>
      <c r="M2474">
        <v>473.88</v>
      </c>
      <c r="N2474" s="11">
        <v>4</v>
      </c>
      <c r="O2474" s="12">
        <v>110.98</v>
      </c>
      <c r="P2474" s="12">
        <v>30</v>
      </c>
      <c r="Q2474" s="13">
        <v>-183.26</v>
      </c>
      <c r="R2474" s="36" t="s">
        <v>1988</v>
      </c>
      <c r="S2474" s="7">
        <f t="shared" si="203"/>
        <v>1</v>
      </c>
      <c r="T2474" s="15" t="str">
        <f>VLOOKUP(R2474,产品分类!$C$2:$D$1278,2,0)</f>
        <v>办公用品</v>
      </c>
    </row>
    <row r="2475" spans="1:20">
      <c r="A2475" s="8">
        <f>DATE(2012,12,31)-629</f>
        <v>40645</v>
      </c>
      <c r="B2475" s="8">
        <f>DATE(2012,12,31)-629</f>
        <v>40645</v>
      </c>
      <c r="C2475" s="9" t="s">
        <v>1987</v>
      </c>
      <c r="D2475">
        <v>10021432231</v>
      </c>
      <c r="E2475" t="s">
        <v>47</v>
      </c>
      <c r="F2475" t="s">
        <v>78</v>
      </c>
      <c r="G2475" t="s">
        <v>79</v>
      </c>
      <c r="H2475" t="s">
        <v>1887</v>
      </c>
      <c r="I2475" t="s">
        <v>1888</v>
      </c>
      <c r="J2475" t="s">
        <v>668</v>
      </c>
      <c r="K2475" s="3">
        <v>100132294136</v>
      </c>
      <c r="L2475" s="10">
        <v>40647</v>
      </c>
      <c r="M2475">
        <v>849.031</v>
      </c>
      <c r="N2475" s="11">
        <v>50</v>
      </c>
      <c r="O2475" s="12">
        <v>20.99</v>
      </c>
      <c r="P2475" s="12">
        <v>3.3</v>
      </c>
      <c r="Q2475" s="13">
        <v>-133.309</v>
      </c>
      <c r="R2475" s="36" t="s">
        <v>810</v>
      </c>
      <c r="S2475" s="7">
        <f t="shared" si="203"/>
        <v>2</v>
      </c>
      <c r="T2475" s="15" t="str">
        <f>VLOOKUP(R2475,产品分类!$C$2:$D$1278,2,0)</f>
        <v>家具产品</v>
      </c>
    </row>
    <row r="2476" spans="1:20">
      <c r="A2476" s="8">
        <f>DATE(2012,12,31)-270</f>
        <v>41004</v>
      </c>
      <c r="B2476" s="8">
        <f>DATE(2012,12,31)-270</f>
        <v>41004</v>
      </c>
      <c r="C2476" s="9" t="s">
        <v>1753</v>
      </c>
      <c r="D2476">
        <v>10021422476</v>
      </c>
      <c r="E2476" t="s">
        <v>47</v>
      </c>
      <c r="F2476" t="s">
        <v>230</v>
      </c>
      <c r="G2476" t="s">
        <v>231</v>
      </c>
      <c r="H2476" t="s">
        <v>1798</v>
      </c>
      <c r="I2476" t="s">
        <v>1799</v>
      </c>
      <c r="J2476" t="s">
        <v>668</v>
      </c>
      <c r="K2476" s="3">
        <v>100410099533</v>
      </c>
      <c r="L2476" s="10">
        <v>41006</v>
      </c>
      <c r="M2476">
        <v>87.31</v>
      </c>
      <c r="N2476" s="11">
        <v>43</v>
      </c>
      <c r="O2476" s="12">
        <v>2.08</v>
      </c>
      <c r="P2476" s="12">
        <v>1.49</v>
      </c>
      <c r="Q2476" s="13">
        <v>-15.088</v>
      </c>
      <c r="R2476" s="36" t="s">
        <v>1351</v>
      </c>
      <c r="S2476" s="7">
        <f t="shared" si="203"/>
        <v>2</v>
      </c>
      <c r="T2476" s="15" t="str">
        <f>VLOOKUP(R2476,产品分类!$C$2:$D$1278,2,0)</f>
        <v>办公用品</v>
      </c>
    </row>
    <row r="2477" spans="1:20">
      <c r="A2477" s="8">
        <f>DATE(2012,12,31)-831</f>
        <v>40443</v>
      </c>
      <c r="B2477" s="8">
        <f>DATE(2012,12,31)-831</f>
        <v>40443</v>
      </c>
      <c r="C2477" s="9" t="s">
        <v>968</v>
      </c>
      <c r="D2477">
        <v>10021297667</v>
      </c>
      <c r="E2477" t="s">
        <v>47</v>
      </c>
      <c r="F2477" t="s">
        <v>277</v>
      </c>
      <c r="G2477" t="s">
        <v>278</v>
      </c>
      <c r="H2477" t="s">
        <v>279</v>
      </c>
      <c r="I2477" t="s">
        <v>280</v>
      </c>
      <c r="J2477" t="s">
        <v>668</v>
      </c>
      <c r="K2477" s="3">
        <v>100411634104</v>
      </c>
      <c r="L2477" s="10">
        <v>40445</v>
      </c>
      <c r="M2477">
        <v>2660.6105</v>
      </c>
      <c r="N2477" s="11">
        <v>46</v>
      </c>
      <c r="O2477" s="12">
        <v>65.99</v>
      </c>
      <c r="P2477" s="12">
        <v>8.99</v>
      </c>
      <c r="Q2477" s="13">
        <v>618.066</v>
      </c>
      <c r="R2477" s="36" t="s">
        <v>730</v>
      </c>
      <c r="S2477" s="7">
        <f t="shared" si="203"/>
        <v>2</v>
      </c>
      <c r="T2477" s="15" t="str">
        <f>VLOOKUP(R2477,产品分类!$C$2:$D$1278,2,0)</f>
        <v>办公用品</v>
      </c>
    </row>
    <row r="2478" spans="1:20">
      <c r="A2478" s="8">
        <f>DATE(2012,12,31)-1012</f>
        <v>40262</v>
      </c>
      <c r="B2478" s="8">
        <f>DATE(2012,12,31)-1012</f>
        <v>40262</v>
      </c>
      <c r="C2478" s="9" t="s">
        <v>582</v>
      </c>
      <c r="D2478">
        <v>10021256369</v>
      </c>
      <c r="E2478" t="s">
        <v>47</v>
      </c>
      <c r="F2478" t="s">
        <v>277</v>
      </c>
      <c r="G2478" t="s">
        <v>278</v>
      </c>
      <c r="H2478" t="s">
        <v>279</v>
      </c>
      <c r="I2478" t="s">
        <v>280</v>
      </c>
      <c r="J2478" t="s">
        <v>668</v>
      </c>
      <c r="K2478" s="3">
        <v>100124973537</v>
      </c>
      <c r="L2478" s="10">
        <v>40264</v>
      </c>
      <c r="M2478">
        <v>5202.896</v>
      </c>
      <c r="N2478" s="11">
        <v>22</v>
      </c>
      <c r="O2478" s="12">
        <v>296.18</v>
      </c>
      <c r="P2478" s="12">
        <v>54.12</v>
      </c>
      <c r="Q2478" s="13">
        <v>-715.778206</v>
      </c>
      <c r="R2478" s="36" t="s">
        <v>372</v>
      </c>
      <c r="S2478" s="7">
        <f t="shared" si="203"/>
        <v>2</v>
      </c>
      <c r="T2478" s="15" t="str">
        <f>VLOOKUP(R2478,产品分类!$C$2:$D$1278,2,0)</f>
        <v>办公用品</v>
      </c>
    </row>
    <row r="2479" spans="1:20">
      <c r="A2479" s="8">
        <f>DATE(2012,12,31)-676</f>
        <v>40598</v>
      </c>
      <c r="B2479" s="8">
        <f>DATE(2012,12,31)-676</f>
        <v>40598</v>
      </c>
      <c r="C2479" s="9" t="s">
        <v>1688</v>
      </c>
      <c r="D2479">
        <v>10021467015</v>
      </c>
      <c r="E2479" t="s">
        <v>47</v>
      </c>
      <c r="F2479" t="s">
        <v>91</v>
      </c>
      <c r="G2479" t="s">
        <v>92</v>
      </c>
      <c r="H2479" t="s">
        <v>1911</v>
      </c>
      <c r="I2479" t="s">
        <v>1912</v>
      </c>
      <c r="J2479" t="s">
        <v>668</v>
      </c>
      <c r="K2479" s="3">
        <v>100330095689</v>
      </c>
      <c r="L2479" s="10">
        <v>40599</v>
      </c>
      <c r="M2479">
        <v>4502.26</v>
      </c>
      <c r="N2479" s="11">
        <v>38</v>
      </c>
      <c r="O2479" s="12">
        <v>120.97</v>
      </c>
      <c r="P2479" s="12">
        <v>26.3</v>
      </c>
      <c r="Q2479" s="13">
        <v>1272.17</v>
      </c>
      <c r="R2479" s="36" t="s">
        <v>1989</v>
      </c>
      <c r="S2479" s="7">
        <f t="shared" si="203"/>
        <v>1</v>
      </c>
      <c r="T2479" s="15" t="str">
        <f>VLOOKUP(R2479,产品分类!$C$2:$D$1278,2,0)</f>
        <v>家具产品</v>
      </c>
    </row>
    <row r="2480" spans="1:20">
      <c r="A2480" s="8">
        <f>DATE(2012,12,31)-676</f>
        <v>40598</v>
      </c>
      <c r="B2480" s="8">
        <f>DATE(2012,12,31)-676</f>
        <v>40598</v>
      </c>
      <c r="C2480" s="9" t="s">
        <v>1688</v>
      </c>
      <c r="D2480">
        <v>10021511398</v>
      </c>
      <c r="E2480" t="s">
        <v>47</v>
      </c>
      <c r="F2480" t="s">
        <v>55</v>
      </c>
      <c r="G2480" t="s">
        <v>56</v>
      </c>
      <c r="H2480" t="s">
        <v>1869</v>
      </c>
      <c r="I2480" t="s">
        <v>1870</v>
      </c>
      <c r="J2480" t="s">
        <v>668</v>
      </c>
      <c r="K2480" s="3">
        <v>100132717677</v>
      </c>
      <c r="L2480" s="10">
        <v>40599</v>
      </c>
      <c r="M2480">
        <v>192.23</v>
      </c>
      <c r="N2480" s="11">
        <v>34</v>
      </c>
      <c r="O2480" s="12">
        <v>5.78</v>
      </c>
      <c r="P2480" s="12">
        <v>7.64</v>
      </c>
      <c r="Q2480" s="13">
        <v>-149.84</v>
      </c>
      <c r="R2480" s="36" t="s">
        <v>1107</v>
      </c>
      <c r="S2480" s="7">
        <f t="shared" si="203"/>
        <v>1</v>
      </c>
      <c r="T2480" s="15" t="str">
        <f>VLOOKUP(R2480,产品分类!$C$2:$D$1278,2,0)</f>
        <v>家具产品</v>
      </c>
    </row>
    <row r="2481" spans="1:20">
      <c r="A2481" s="8">
        <f>DATE(2012,12,31)-1236</f>
        <v>40038</v>
      </c>
      <c r="B2481" s="8">
        <f>DATE(2012,12,31)-1236</f>
        <v>40038</v>
      </c>
      <c r="C2481" s="9" t="s">
        <v>808</v>
      </c>
      <c r="D2481">
        <v>10021394948</v>
      </c>
      <c r="E2481" t="s">
        <v>47</v>
      </c>
      <c r="F2481" t="s">
        <v>91</v>
      </c>
      <c r="G2481" t="s">
        <v>92</v>
      </c>
      <c r="H2481" t="s">
        <v>1911</v>
      </c>
      <c r="I2481" t="s">
        <v>1912</v>
      </c>
      <c r="J2481" t="s">
        <v>668</v>
      </c>
      <c r="K2481" s="3">
        <v>10013707616</v>
      </c>
      <c r="L2481" s="10">
        <v>40040</v>
      </c>
      <c r="M2481">
        <v>65.52</v>
      </c>
      <c r="N2481" s="11">
        <v>10</v>
      </c>
      <c r="O2481" s="12">
        <v>5.98</v>
      </c>
      <c r="P2481" s="12">
        <v>5.46</v>
      </c>
      <c r="Q2481" s="13">
        <v>-22.57</v>
      </c>
      <c r="R2481" s="36" t="s">
        <v>1990</v>
      </c>
      <c r="S2481" s="7">
        <f t="shared" si="203"/>
        <v>2</v>
      </c>
      <c r="T2481" s="15" t="str">
        <f>VLOOKUP(R2481,产品分类!$C$2:$D$1278,2,0)</f>
        <v>家具产品</v>
      </c>
    </row>
    <row r="2482" spans="1:20">
      <c r="A2482" s="16">
        <f>DATE(2012,12,31)-1061</f>
        <v>40213</v>
      </c>
      <c r="B2482" s="16">
        <f>DATE(2012,12,31)-1061</f>
        <v>40213</v>
      </c>
      <c r="C2482" s="9" t="s">
        <v>502</v>
      </c>
      <c r="D2482">
        <v>10021386928</v>
      </c>
      <c r="E2482" t="s">
        <v>47</v>
      </c>
      <c r="F2482" t="s">
        <v>83</v>
      </c>
      <c r="G2482" t="s">
        <v>84</v>
      </c>
      <c r="H2482" t="s">
        <v>1928</v>
      </c>
      <c r="I2482" t="s">
        <v>1929</v>
      </c>
      <c r="J2482" t="s">
        <v>668</v>
      </c>
      <c r="K2482" s="3">
        <v>100714113965</v>
      </c>
      <c r="L2482" s="10">
        <v>40215</v>
      </c>
      <c r="M2482">
        <v>19.98</v>
      </c>
      <c r="N2482" s="17">
        <v>3</v>
      </c>
      <c r="O2482" s="5">
        <v>4.98</v>
      </c>
      <c r="P2482" s="5">
        <v>4.75</v>
      </c>
      <c r="Q2482" s="6">
        <v>-9.61</v>
      </c>
      <c r="R2482" s="37" t="s">
        <v>563</v>
      </c>
      <c r="S2482" s="7">
        <f t="shared" si="203"/>
        <v>2</v>
      </c>
      <c r="T2482" s="15" t="str">
        <f>VLOOKUP(R2482,产品分类!$C$2:$D$1278,2,0)</f>
        <v>家具产品</v>
      </c>
    </row>
    <row r="2483" spans="1:20">
      <c r="A2483" s="8">
        <f>DATE(2012,12,31)-1288</f>
        <v>39986</v>
      </c>
      <c r="B2483" s="8">
        <f>DATE(2012,12,31)-1288</f>
        <v>39986</v>
      </c>
      <c r="C2483" s="9" t="s">
        <v>425</v>
      </c>
      <c r="D2483">
        <v>10021522239</v>
      </c>
      <c r="E2483" t="s">
        <v>47</v>
      </c>
      <c r="F2483" t="s">
        <v>91</v>
      </c>
      <c r="G2483" t="s">
        <v>92</v>
      </c>
      <c r="H2483" t="s">
        <v>1911</v>
      </c>
      <c r="I2483" t="s">
        <v>1912</v>
      </c>
      <c r="J2483" t="s">
        <v>668</v>
      </c>
      <c r="K2483" s="3">
        <v>1001836896</v>
      </c>
      <c r="L2483" s="10">
        <v>39987</v>
      </c>
      <c r="M2483">
        <v>1211.98</v>
      </c>
      <c r="N2483" s="11">
        <v>7</v>
      </c>
      <c r="O2483" s="12">
        <v>180.98</v>
      </c>
      <c r="P2483" s="12">
        <v>26.2</v>
      </c>
      <c r="Q2483" s="13">
        <v>-80.83</v>
      </c>
      <c r="R2483" s="36" t="s">
        <v>1580</v>
      </c>
      <c r="S2483" s="7">
        <f t="shared" si="203"/>
        <v>1</v>
      </c>
      <c r="T2483" s="15" t="str">
        <f>VLOOKUP(R2483,产品分类!$C$2:$D$1278,2,0)</f>
        <v>数码电子</v>
      </c>
    </row>
    <row r="2484" spans="1:20">
      <c r="A2484" s="8">
        <f>DATE(2012,12,31)-463</f>
        <v>40811</v>
      </c>
      <c r="B2484" s="8">
        <f>DATE(2012,12,31)-463</f>
        <v>40811</v>
      </c>
      <c r="C2484" s="9" t="s">
        <v>849</v>
      </c>
      <c r="D2484">
        <v>10021417722</v>
      </c>
      <c r="E2484" t="s">
        <v>47</v>
      </c>
      <c r="F2484" t="s">
        <v>91</v>
      </c>
      <c r="G2484" t="s">
        <v>92</v>
      </c>
      <c r="H2484" t="s">
        <v>1911</v>
      </c>
      <c r="I2484" t="s">
        <v>1912</v>
      </c>
      <c r="J2484" t="s">
        <v>668</v>
      </c>
      <c r="K2484" s="3">
        <v>100117418036</v>
      </c>
      <c r="L2484" s="10">
        <v>40813</v>
      </c>
      <c r="M2484">
        <v>8127.51</v>
      </c>
      <c r="N2484" s="11">
        <v>23</v>
      </c>
      <c r="O2484" s="12">
        <v>348.21</v>
      </c>
      <c r="P2484" s="12">
        <v>40.19</v>
      </c>
      <c r="Q2484" s="13">
        <v>1541.25</v>
      </c>
      <c r="R2484" s="36" t="s">
        <v>1195</v>
      </c>
      <c r="S2484" s="7">
        <f t="shared" si="203"/>
        <v>2</v>
      </c>
      <c r="T2484" s="15" t="str">
        <f>VLOOKUP(R2484,产品分类!$C$2:$D$1278,2,0)</f>
        <v>办公用品</v>
      </c>
    </row>
    <row r="2485" spans="1:20">
      <c r="A2485" s="8">
        <f>DATE(2012,12,31)-463</f>
        <v>40811</v>
      </c>
      <c r="B2485" s="8">
        <f>DATE(2012,12,31)-463</f>
        <v>40811</v>
      </c>
      <c r="C2485" s="9" t="s">
        <v>849</v>
      </c>
      <c r="D2485">
        <v>10021459790</v>
      </c>
      <c r="E2485" t="s">
        <v>47</v>
      </c>
      <c r="F2485" t="s">
        <v>91</v>
      </c>
      <c r="G2485" t="s">
        <v>92</v>
      </c>
      <c r="H2485" t="s">
        <v>1911</v>
      </c>
      <c r="I2485" t="s">
        <v>1912</v>
      </c>
      <c r="J2485" t="s">
        <v>668</v>
      </c>
      <c r="K2485" s="3">
        <v>10034471419</v>
      </c>
      <c r="L2485" s="10">
        <v>40812</v>
      </c>
      <c r="M2485">
        <v>5352.9345</v>
      </c>
      <c r="N2485" s="11">
        <v>33</v>
      </c>
      <c r="O2485" s="12">
        <v>195.99</v>
      </c>
      <c r="P2485" s="12">
        <v>4.2</v>
      </c>
      <c r="Q2485" s="13">
        <v>1343.205</v>
      </c>
      <c r="R2485" s="36" t="s">
        <v>894</v>
      </c>
      <c r="S2485" s="7">
        <f t="shared" si="203"/>
        <v>1</v>
      </c>
      <c r="T2485" s="15" t="str">
        <f>VLOOKUP(R2485,产品分类!$C$2:$D$1278,2,0)</f>
        <v>家具产品</v>
      </c>
    </row>
    <row r="2486" spans="1:20">
      <c r="A2486" s="8">
        <f>DATE(2012,12,31)-290</f>
        <v>40984</v>
      </c>
      <c r="B2486" s="8">
        <f>DATE(2012,12,31)-290</f>
        <v>40984</v>
      </c>
      <c r="C2486" s="9" t="s">
        <v>227</v>
      </c>
      <c r="D2486">
        <v>10021402862</v>
      </c>
      <c r="E2486" t="s">
        <v>47</v>
      </c>
      <c r="F2486" t="s">
        <v>122</v>
      </c>
      <c r="G2486" t="s">
        <v>123</v>
      </c>
      <c r="H2486" t="s">
        <v>124</v>
      </c>
      <c r="I2486" t="s">
        <v>125</v>
      </c>
      <c r="J2486" t="s">
        <v>668</v>
      </c>
      <c r="K2486" s="3">
        <v>10011858008</v>
      </c>
      <c r="L2486" s="10">
        <v>40985</v>
      </c>
      <c r="M2486">
        <v>83.31</v>
      </c>
      <c r="N2486" s="11">
        <v>13</v>
      </c>
      <c r="O2486" s="12">
        <v>6.45</v>
      </c>
      <c r="P2486" s="12">
        <v>1.34</v>
      </c>
      <c r="Q2486" s="13">
        <v>22.8</v>
      </c>
      <c r="R2486" s="36" t="s">
        <v>1991</v>
      </c>
      <c r="S2486" s="7">
        <f t="shared" si="203"/>
        <v>1</v>
      </c>
      <c r="T2486" s="15" t="str">
        <f>VLOOKUP(R2486,产品分类!$C$2:$D$1278,2,0)</f>
        <v>办公用品</v>
      </c>
    </row>
    <row r="2487" spans="1:20">
      <c r="A2487" s="8">
        <f>DATE(2012,12,31)-125</f>
        <v>41149</v>
      </c>
      <c r="B2487" s="8">
        <f>DATE(2012,12,31)-125</f>
        <v>41149</v>
      </c>
      <c r="C2487" s="9" t="s">
        <v>1985</v>
      </c>
      <c r="D2487">
        <v>10021351526</v>
      </c>
      <c r="E2487" t="s">
        <v>47</v>
      </c>
      <c r="F2487" t="s">
        <v>91</v>
      </c>
      <c r="G2487" t="s">
        <v>92</v>
      </c>
      <c r="H2487" t="s">
        <v>1911</v>
      </c>
      <c r="I2487" t="s">
        <v>1912</v>
      </c>
      <c r="J2487" t="s">
        <v>668</v>
      </c>
      <c r="K2487" s="3">
        <v>100132488258</v>
      </c>
      <c r="L2487" s="10">
        <v>41151</v>
      </c>
      <c r="M2487">
        <v>3316.08</v>
      </c>
      <c r="N2487" s="11">
        <v>27</v>
      </c>
      <c r="O2487" s="12">
        <v>130.98</v>
      </c>
      <c r="P2487" s="12">
        <v>30</v>
      </c>
      <c r="Q2487" s="13">
        <v>-514.32</v>
      </c>
      <c r="R2487" s="36" t="s">
        <v>1025</v>
      </c>
      <c r="S2487" s="7">
        <f t="shared" si="203"/>
        <v>2</v>
      </c>
      <c r="T2487" s="15" t="str">
        <f>VLOOKUP(R2487,产品分类!$C$2:$D$1278,2,0)</f>
        <v>办公用品</v>
      </c>
    </row>
    <row r="2488" spans="1:20">
      <c r="A2488" s="8">
        <f>DATE(2012,12,31)-1286</f>
        <v>39988</v>
      </c>
      <c r="B2488" s="8">
        <f>DATE(2012,12,31)-1286</f>
        <v>39988</v>
      </c>
      <c r="C2488" s="9" t="s">
        <v>1992</v>
      </c>
      <c r="D2488">
        <v>10021338640</v>
      </c>
      <c r="E2488" t="s">
        <v>47</v>
      </c>
      <c r="F2488" t="s">
        <v>91</v>
      </c>
      <c r="G2488" t="s">
        <v>92</v>
      </c>
      <c r="H2488" t="s">
        <v>1911</v>
      </c>
      <c r="I2488" t="s">
        <v>1912</v>
      </c>
      <c r="J2488" t="s">
        <v>668</v>
      </c>
      <c r="K2488" s="3">
        <v>100424261023</v>
      </c>
      <c r="L2488" s="10">
        <v>39990</v>
      </c>
      <c r="M2488">
        <v>347.84</v>
      </c>
      <c r="N2488" s="11">
        <v>37</v>
      </c>
      <c r="O2488" s="12">
        <v>8.74</v>
      </c>
      <c r="P2488" s="12">
        <v>8.29</v>
      </c>
      <c r="Q2488" s="13">
        <v>-99.25</v>
      </c>
      <c r="R2488" s="36" t="s">
        <v>618</v>
      </c>
      <c r="S2488" s="7">
        <f t="shared" si="203"/>
        <v>2</v>
      </c>
      <c r="T2488" s="15" t="str">
        <f>VLOOKUP(R2488,产品分类!$C$2:$D$1278,2,0)</f>
        <v>办公用品</v>
      </c>
    </row>
    <row r="2489" spans="1:20">
      <c r="A2489" s="8">
        <f t="shared" ref="A2489:B2491" si="207">DATE(2012,12,31)-573</f>
        <v>40701</v>
      </c>
      <c r="B2489" s="8">
        <f t="shared" si="207"/>
        <v>40701</v>
      </c>
      <c r="C2489" s="9" t="s">
        <v>940</v>
      </c>
      <c r="D2489">
        <v>10021269873</v>
      </c>
      <c r="E2489" t="s">
        <v>47</v>
      </c>
      <c r="F2489" t="s">
        <v>91</v>
      </c>
      <c r="G2489" t="s">
        <v>92</v>
      </c>
      <c r="H2489" t="s">
        <v>1911</v>
      </c>
      <c r="I2489" t="s">
        <v>1912</v>
      </c>
      <c r="J2489" t="s">
        <v>668</v>
      </c>
      <c r="K2489" s="3">
        <v>100132464326</v>
      </c>
      <c r="L2489" s="10">
        <v>40703</v>
      </c>
      <c r="M2489">
        <v>207.08</v>
      </c>
      <c r="N2489" s="11">
        <v>48</v>
      </c>
      <c r="O2489" s="12">
        <v>4.28</v>
      </c>
      <c r="P2489" s="12">
        <v>5.17</v>
      </c>
      <c r="Q2489" s="13">
        <v>-131.82</v>
      </c>
      <c r="R2489" s="36" t="s">
        <v>1993</v>
      </c>
      <c r="S2489" s="7">
        <f t="shared" si="203"/>
        <v>2</v>
      </c>
      <c r="T2489" s="15" t="str">
        <f>VLOOKUP(R2489,产品分类!$C$2:$D$1278,2,0)</f>
        <v>家具产品</v>
      </c>
    </row>
    <row r="2490" spans="1:20">
      <c r="A2490" s="8">
        <f t="shared" si="207"/>
        <v>40701</v>
      </c>
      <c r="B2490" s="8">
        <f t="shared" si="207"/>
        <v>40701</v>
      </c>
      <c r="C2490" s="9" t="s">
        <v>940</v>
      </c>
      <c r="D2490">
        <v>10021494977</v>
      </c>
      <c r="E2490" t="s">
        <v>47</v>
      </c>
      <c r="F2490" t="s">
        <v>127</v>
      </c>
      <c r="G2490" t="s">
        <v>128</v>
      </c>
      <c r="H2490" t="s">
        <v>1936</v>
      </c>
      <c r="I2490" t="s">
        <v>1937</v>
      </c>
      <c r="J2490" t="s">
        <v>668</v>
      </c>
      <c r="K2490" s="3">
        <v>100413341233</v>
      </c>
      <c r="L2490" s="10">
        <v>40703</v>
      </c>
      <c r="M2490">
        <v>234.28</v>
      </c>
      <c r="N2490" s="11">
        <v>8</v>
      </c>
      <c r="O2490" s="12">
        <v>28.28</v>
      </c>
      <c r="P2490" s="12">
        <v>13.99</v>
      </c>
      <c r="Q2490" s="13">
        <v>-65.42</v>
      </c>
      <c r="R2490" s="36" t="s">
        <v>927</v>
      </c>
      <c r="S2490" s="7">
        <f t="shared" si="203"/>
        <v>2</v>
      </c>
      <c r="T2490" s="15" t="str">
        <f>VLOOKUP(R2490,产品分类!$C$2:$D$1278,2,0)</f>
        <v>办公用品</v>
      </c>
    </row>
    <row r="2491" spans="1:20">
      <c r="A2491" s="8">
        <f t="shared" si="207"/>
        <v>40701</v>
      </c>
      <c r="B2491" s="8">
        <f t="shared" si="207"/>
        <v>40701</v>
      </c>
      <c r="C2491" s="9" t="s">
        <v>940</v>
      </c>
      <c r="D2491">
        <v>10021252088</v>
      </c>
      <c r="E2491" t="s">
        <v>47</v>
      </c>
      <c r="F2491" t="s">
        <v>97</v>
      </c>
      <c r="G2491" t="s">
        <v>98</v>
      </c>
      <c r="H2491" t="s">
        <v>99</v>
      </c>
      <c r="I2491" t="s">
        <v>98</v>
      </c>
      <c r="J2491" t="s">
        <v>668</v>
      </c>
      <c r="K2491" s="3">
        <v>100117445478</v>
      </c>
      <c r="L2491" s="10">
        <v>40703</v>
      </c>
      <c r="M2491">
        <v>1779.8915</v>
      </c>
      <c r="N2491" s="11">
        <v>41</v>
      </c>
      <c r="O2491" s="12">
        <v>55.99</v>
      </c>
      <c r="P2491" s="12">
        <v>5</v>
      </c>
      <c r="Q2491" s="13">
        <v>-250.173</v>
      </c>
      <c r="R2491" s="36" t="s">
        <v>1020</v>
      </c>
      <c r="S2491" s="7">
        <f t="shared" si="203"/>
        <v>2</v>
      </c>
      <c r="T2491" s="15" t="str">
        <f>VLOOKUP(R2491,产品分类!$C$2:$D$1278,2,0)</f>
        <v>办公用品</v>
      </c>
    </row>
    <row r="2492" spans="1:20">
      <c r="A2492" s="8">
        <f>DATE(2012,12,31)-849</f>
        <v>40425</v>
      </c>
      <c r="B2492" s="8">
        <f>DATE(2012,12,31)-849</f>
        <v>40425</v>
      </c>
      <c r="C2492" s="9" t="s">
        <v>1074</v>
      </c>
      <c r="D2492">
        <v>10021477815</v>
      </c>
      <c r="E2492" t="s">
        <v>47</v>
      </c>
      <c r="F2492" t="s">
        <v>97</v>
      </c>
      <c r="G2492" t="s">
        <v>98</v>
      </c>
      <c r="H2492" t="s">
        <v>99</v>
      </c>
      <c r="I2492" t="s">
        <v>98</v>
      </c>
      <c r="J2492" t="s">
        <v>668</v>
      </c>
      <c r="K2492" s="3">
        <v>100932983221</v>
      </c>
      <c r="L2492" s="10">
        <v>40426</v>
      </c>
      <c r="M2492">
        <v>270.32</v>
      </c>
      <c r="N2492" s="11">
        <v>47</v>
      </c>
      <c r="O2492" s="12">
        <v>5.81</v>
      </c>
      <c r="P2492" s="12">
        <v>3.37</v>
      </c>
      <c r="Q2492" s="13">
        <v>-47.15</v>
      </c>
      <c r="R2492" s="36" t="s">
        <v>224</v>
      </c>
      <c r="S2492" s="7">
        <f t="shared" si="203"/>
        <v>1</v>
      </c>
      <c r="T2492" s="15" t="str">
        <f>VLOOKUP(R2492,产品分类!$C$2:$D$1278,2,0)</f>
        <v>办公用品</v>
      </c>
    </row>
    <row r="2493" spans="1:20">
      <c r="A2493" s="8">
        <f>DATE(2012,12,31)-849</f>
        <v>40425</v>
      </c>
      <c r="B2493" s="8">
        <f>DATE(2012,12,31)-849</f>
        <v>40425</v>
      </c>
      <c r="C2493" s="9" t="s">
        <v>1074</v>
      </c>
      <c r="D2493">
        <v>10021527261</v>
      </c>
      <c r="E2493" t="s">
        <v>47</v>
      </c>
      <c r="F2493" t="s">
        <v>132</v>
      </c>
      <c r="G2493" t="s">
        <v>133</v>
      </c>
      <c r="H2493" t="s">
        <v>134</v>
      </c>
      <c r="I2493" t="s">
        <v>133</v>
      </c>
      <c r="J2493" t="s">
        <v>668</v>
      </c>
      <c r="K2493" s="3">
        <v>100110140626</v>
      </c>
      <c r="L2493" s="10">
        <v>40426</v>
      </c>
      <c r="M2493">
        <v>361.98</v>
      </c>
      <c r="N2493" s="11">
        <v>21</v>
      </c>
      <c r="O2493" s="12">
        <v>15.99</v>
      </c>
      <c r="P2493" s="12">
        <v>9.4</v>
      </c>
      <c r="Q2493" s="13">
        <v>-55.6104</v>
      </c>
      <c r="R2493" s="36" t="s">
        <v>349</v>
      </c>
      <c r="S2493" s="7">
        <f t="shared" si="203"/>
        <v>1</v>
      </c>
      <c r="T2493" s="15" t="str">
        <f>VLOOKUP(R2493,产品分类!$C$2:$D$1278,2,0)</f>
        <v>数码电子</v>
      </c>
    </row>
    <row r="2494" spans="1:20">
      <c r="A2494" s="8">
        <f>DATE(2012,12,31)-1263</f>
        <v>40011</v>
      </c>
      <c r="B2494" s="8">
        <f>DATE(2012,12,31)-1263</f>
        <v>40011</v>
      </c>
      <c r="C2494" s="9" t="s">
        <v>1541</v>
      </c>
      <c r="D2494">
        <v>10021288302</v>
      </c>
      <c r="E2494" t="s">
        <v>47</v>
      </c>
      <c r="F2494" t="s">
        <v>97</v>
      </c>
      <c r="G2494" t="s">
        <v>98</v>
      </c>
      <c r="H2494" t="s">
        <v>99</v>
      </c>
      <c r="I2494" t="s">
        <v>98</v>
      </c>
      <c r="J2494" t="s">
        <v>668</v>
      </c>
      <c r="K2494" s="3">
        <v>100932563741</v>
      </c>
      <c r="L2494" s="10">
        <v>40012</v>
      </c>
      <c r="M2494">
        <v>82.03</v>
      </c>
      <c r="N2494" s="11">
        <v>42</v>
      </c>
      <c r="O2494" s="12">
        <v>1.88</v>
      </c>
      <c r="P2494" s="12">
        <v>1.49</v>
      </c>
      <c r="Q2494" s="13">
        <v>-15.5595</v>
      </c>
      <c r="R2494" s="36" t="s">
        <v>1426</v>
      </c>
      <c r="S2494" s="7">
        <f t="shared" si="203"/>
        <v>1</v>
      </c>
      <c r="T2494" s="15" t="str">
        <f>VLOOKUP(R2494,产品分类!$C$2:$D$1278,2,0)</f>
        <v>办公用品</v>
      </c>
    </row>
    <row r="2495" spans="1:20">
      <c r="A2495" s="8">
        <f>DATE(2012,12,31)-1263</f>
        <v>40011</v>
      </c>
      <c r="B2495" s="8">
        <f>DATE(2012,12,31)-1263</f>
        <v>40011</v>
      </c>
      <c r="C2495" s="9" t="s">
        <v>1541</v>
      </c>
      <c r="D2495">
        <v>10021434475</v>
      </c>
      <c r="E2495" t="s">
        <v>47</v>
      </c>
      <c r="F2495" t="s">
        <v>132</v>
      </c>
      <c r="G2495" t="s">
        <v>133</v>
      </c>
      <c r="H2495" t="s">
        <v>134</v>
      </c>
      <c r="I2495" t="s">
        <v>133</v>
      </c>
      <c r="J2495" t="s">
        <v>668</v>
      </c>
      <c r="K2495" s="3">
        <v>100919897051</v>
      </c>
      <c r="L2495" s="10">
        <v>40012</v>
      </c>
      <c r="M2495">
        <v>290.91</v>
      </c>
      <c r="N2495" s="11">
        <v>50</v>
      </c>
      <c r="O2495" s="12">
        <v>5.78</v>
      </c>
      <c r="P2495" s="12">
        <v>5.67</v>
      </c>
      <c r="Q2495" s="13">
        <v>-108.19</v>
      </c>
      <c r="R2495" s="36" t="s">
        <v>591</v>
      </c>
      <c r="S2495" s="7">
        <f t="shared" si="203"/>
        <v>1</v>
      </c>
      <c r="T2495" s="15" t="str">
        <f>VLOOKUP(R2495,产品分类!$C$2:$D$1278,2,0)</f>
        <v>家具产品</v>
      </c>
    </row>
    <row r="2496" spans="1:20">
      <c r="A2496" s="8">
        <f>DATE(2012,12,31)-1155</f>
        <v>40119</v>
      </c>
      <c r="B2496" s="8">
        <f>DATE(2012,12,31)-1155</f>
        <v>40119</v>
      </c>
      <c r="C2496" s="9" t="s">
        <v>1922</v>
      </c>
      <c r="D2496">
        <v>10021418557</v>
      </c>
      <c r="E2496" t="s">
        <v>47</v>
      </c>
      <c r="F2496" t="s">
        <v>97</v>
      </c>
      <c r="G2496" t="s">
        <v>98</v>
      </c>
      <c r="H2496" t="s">
        <v>99</v>
      </c>
      <c r="I2496" t="s">
        <v>98</v>
      </c>
      <c r="J2496" t="s">
        <v>668</v>
      </c>
      <c r="K2496" s="3">
        <v>100821481932</v>
      </c>
      <c r="L2496" s="10">
        <v>40119</v>
      </c>
      <c r="M2496">
        <v>235.09</v>
      </c>
      <c r="N2496" s="11">
        <v>43</v>
      </c>
      <c r="O2496" s="12">
        <v>4.48</v>
      </c>
      <c r="P2496" s="12">
        <v>49</v>
      </c>
      <c r="Q2496" s="13">
        <v>-1987.49</v>
      </c>
      <c r="R2496" s="36" t="s">
        <v>337</v>
      </c>
      <c r="S2496" s="7">
        <f t="shared" si="203"/>
        <v>0</v>
      </c>
      <c r="T2496" s="15" t="str">
        <f>VLOOKUP(R2496,产品分类!$C$2:$D$1278,2,0)</f>
        <v>数码电子</v>
      </c>
    </row>
    <row r="2497" spans="1:20">
      <c r="A2497" s="8">
        <f>DATE(2012,12,31)-1155</f>
        <v>40119</v>
      </c>
      <c r="B2497" s="8">
        <f>DATE(2012,12,31)-1155</f>
        <v>40119</v>
      </c>
      <c r="C2497" s="9" t="s">
        <v>1922</v>
      </c>
      <c r="D2497">
        <v>10021495533</v>
      </c>
      <c r="E2497" t="s">
        <v>47</v>
      </c>
      <c r="F2497" t="s">
        <v>132</v>
      </c>
      <c r="G2497" t="s">
        <v>133</v>
      </c>
      <c r="H2497" t="s">
        <v>134</v>
      </c>
      <c r="I2497" t="s">
        <v>133</v>
      </c>
      <c r="J2497" t="s">
        <v>668</v>
      </c>
      <c r="K2497" s="3">
        <v>10019626016</v>
      </c>
      <c r="L2497" s="10">
        <v>40126</v>
      </c>
      <c r="M2497">
        <v>187.46</v>
      </c>
      <c r="N2497" s="11">
        <v>10</v>
      </c>
      <c r="O2497" s="12">
        <v>17.67</v>
      </c>
      <c r="P2497" s="12">
        <v>8.99</v>
      </c>
      <c r="Q2497" s="13">
        <v>49.85</v>
      </c>
      <c r="R2497" s="36" t="s">
        <v>491</v>
      </c>
      <c r="S2497" s="7">
        <f t="shared" si="203"/>
        <v>7</v>
      </c>
      <c r="T2497" s="15" t="str">
        <f>VLOOKUP(R2497,产品分类!$C$2:$D$1278,2,0)</f>
        <v>办公用品</v>
      </c>
    </row>
    <row r="2498" spans="1:20">
      <c r="A2498" s="8">
        <f t="shared" ref="A2498:B2500" si="208">DATE(2012,12,31)-1248</f>
        <v>40026</v>
      </c>
      <c r="B2498" s="8">
        <f t="shared" si="208"/>
        <v>40026</v>
      </c>
      <c r="C2498" s="9" t="s">
        <v>977</v>
      </c>
      <c r="D2498">
        <v>10021451005</v>
      </c>
      <c r="E2498" t="s">
        <v>47</v>
      </c>
      <c r="F2498" t="s">
        <v>304</v>
      </c>
      <c r="G2498" t="s">
        <v>305</v>
      </c>
      <c r="H2498" t="s">
        <v>1550</v>
      </c>
      <c r="I2498" t="s">
        <v>1551</v>
      </c>
      <c r="J2498" t="s">
        <v>668</v>
      </c>
      <c r="K2498" s="3">
        <v>100129792236</v>
      </c>
      <c r="L2498" s="10">
        <v>40026</v>
      </c>
      <c r="M2498">
        <v>3075.83</v>
      </c>
      <c r="N2498" s="11">
        <v>50</v>
      </c>
      <c r="O2498" s="12">
        <v>60.98</v>
      </c>
      <c r="P2498" s="12">
        <v>1.99</v>
      </c>
      <c r="Q2498" s="13">
        <v>1207.91</v>
      </c>
      <c r="R2498" s="36" t="s">
        <v>1994</v>
      </c>
      <c r="S2498" s="7">
        <f t="shared" si="203"/>
        <v>0</v>
      </c>
      <c r="T2498" s="15" t="str">
        <f>VLOOKUP(R2498,产品分类!$C$2:$D$1278,2,0)</f>
        <v>办公用品</v>
      </c>
    </row>
    <row r="2499" spans="1:20">
      <c r="A2499" s="8">
        <f t="shared" si="208"/>
        <v>40026</v>
      </c>
      <c r="B2499" s="8">
        <f t="shared" si="208"/>
        <v>40026</v>
      </c>
      <c r="C2499" s="9" t="s">
        <v>977</v>
      </c>
      <c r="D2499">
        <v>10021499689</v>
      </c>
      <c r="E2499" t="s">
        <v>47</v>
      </c>
      <c r="F2499" t="s">
        <v>304</v>
      </c>
      <c r="G2499" t="s">
        <v>305</v>
      </c>
      <c r="H2499" t="s">
        <v>1550</v>
      </c>
      <c r="I2499" t="s">
        <v>1551</v>
      </c>
      <c r="J2499" t="s">
        <v>668</v>
      </c>
      <c r="K2499" s="3">
        <v>100824833622</v>
      </c>
      <c r="L2499" s="10">
        <v>40027</v>
      </c>
      <c r="M2499">
        <v>73.37</v>
      </c>
      <c r="N2499" s="11">
        <v>24</v>
      </c>
      <c r="O2499" s="12">
        <v>3.08</v>
      </c>
      <c r="P2499" s="12">
        <v>0.99</v>
      </c>
      <c r="Q2499" s="13">
        <v>16.1</v>
      </c>
      <c r="R2499" s="36" t="s">
        <v>283</v>
      </c>
      <c r="S2499" s="7">
        <f t="shared" ref="S2499:S2562" si="209">+L2499-B2499</f>
        <v>1</v>
      </c>
      <c r="T2499" s="15" t="str">
        <f>VLOOKUP(R2499,产品分类!$C$2:$D$1278,2,0)</f>
        <v>办公用品</v>
      </c>
    </row>
    <row r="2500" spans="1:20">
      <c r="A2500" s="8">
        <f t="shared" si="208"/>
        <v>40026</v>
      </c>
      <c r="B2500" s="8">
        <f t="shared" si="208"/>
        <v>40026</v>
      </c>
      <c r="C2500" s="9" t="s">
        <v>977</v>
      </c>
      <c r="D2500">
        <v>10021501815</v>
      </c>
      <c r="E2500" t="s">
        <v>47</v>
      </c>
      <c r="F2500" t="s">
        <v>102</v>
      </c>
      <c r="G2500" t="s">
        <v>103</v>
      </c>
      <c r="H2500" t="s">
        <v>1217</v>
      </c>
      <c r="I2500" t="s">
        <v>1218</v>
      </c>
      <c r="J2500" t="s">
        <v>668</v>
      </c>
      <c r="K2500" s="3">
        <v>100427830073</v>
      </c>
      <c r="L2500" s="10">
        <v>40028</v>
      </c>
      <c r="M2500">
        <v>527.6</v>
      </c>
      <c r="N2500" s="11">
        <v>50</v>
      </c>
      <c r="O2500" s="12">
        <v>10.31</v>
      </c>
      <c r="P2500" s="12">
        <v>1.79</v>
      </c>
      <c r="Q2500" s="13">
        <v>221.59</v>
      </c>
      <c r="R2500" s="36" t="s">
        <v>1059</v>
      </c>
      <c r="S2500" s="7">
        <f t="shared" si="209"/>
        <v>2</v>
      </c>
      <c r="T2500" s="15" t="str">
        <f>VLOOKUP(R2500,产品分类!$C$2:$D$1278,2,0)</f>
        <v>办公用品</v>
      </c>
    </row>
    <row r="2501" spans="1:20">
      <c r="A2501" s="8">
        <f t="shared" ref="A2501:B2503" si="210">DATE(2012,12,31)-631</f>
        <v>40643</v>
      </c>
      <c r="B2501" s="8">
        <f t="shared" si="210"/>
        <v>40643</v>
      </c>
      <c r="C2501" s="9" t="s">
        <v>1226</v>
      </c>
      <c r="D2501">
        <v>10021509239</v>
      </c>
      <c r="E2501" t="s">
        <v>47</v>
      </c>
      <c r="F2501" t="s">
        <v>208</v>
      </c>
      <c r="G2501" t="s">
        <v>209</v>
      </c>
      <c r="H2501" t="s">
        <v>1956</v>
      </c>
      <c r="I2501" t="s">
        <v>1957</v>
      </c>
      <c r="J2501" t="s">
        <v>668</v>
      </c>
      <c r="K2501" s="3">
        <v>100832351592</v>
      </c>
      <c r="L2501" s="10">
        <v>40645</v>
      </c>
      <c r="M2501">
        <v>4598.73</v>
      </c>
      <c r="N2501" s="11">
        <v>45</v>
      </c>
      <c r="O2501" s="12">
        <v>99.99</v>
      </c>
      <c r="P2501" s="12">
        <v>19.99</v>
      </c>
      <c r="Q2501" s="13">
        <v>1049.45</v>
      </c>
      <c r="R2501" s="36" t="s">
        <v>1902</v>
      </c>
      <c r="S2501" s="7">
        <f t="shared" si="209"/>
        <v>2</v>
      </c>
      <c r="T2501" s="15" t="str">
        <f>VLOOKUP(R2501,产品分类!$C$2:$D$1278,2,0)</f>
        <v>办公用品</v>
      </c>
    </row>
    <row r="2502" spans="1:20">
      <c r="A2502" s="8">
        <f t="shared" si="210"/>
        <v>40643</v>
      </c>
      <c r="B2502" s="8">
        <f t="shared" si="210"/>
        <v>40643</v>
      </c>
      <c r="C2502" s="9" t="s">
        <v>1226</v>
      </c>
      <c r="D2502">
        <v>10021254197</v>
      </c>
      <c r="E2502" t="s">
        <v>47</v>
      </c>
      <c r="F2502" t="s">
        <v>171</v>
      </c>
      <c r="G2502" t="s">
        <v>172</v>
      </c>
      <c r="H2502" t="s">
        <v>1712</v>
      </c>
      <c r="I2502" t="s">
        <v>1713</v>
      </c>
      <c r="J2502" t="s">
        <v>668</v>
      </c>
      <c r="K2502" s="3">
        <v>100117171148</v>
      </c>
      <c r="L2502" s="10">
        <v>40644</v>
      </c>
      <c r="M2502">
        <v>2673.08</v>
      </c>
      <c r="N2502" s="11">
        <v>45</v>
      </c>
      <c r="O2502" s="12">
        <v>55.5</v>
      </c>
      <c r="P2502" s="12">
        <v>52.2</v>
      </c>
      <c r="Q2502" s="13">
        <v>-1363.12</v>
      </c>
      <c r="R2502" s="36" t="s">
        <v>1995</v>
      </c>
      <c r="S2502" s="7">
        <f t="shared" si="209"/>
        <v>1</v>
      </c>
      <c r="T2502" s="15" t="str">
        <f>VLOOKUP(R2502,产品分类!$C$2:$D$1278,2,0)</f>
        <v>家具产品</v>
      </c>
    </row>
    <row r="2503" spans="1:20">
      <c r="A2503" s="8">
        <f t="shared" si="210"/>
        <v>40643</v>
      </c>
      <c r="B2503" s="8">
        <f t="shared" si="210"/>
        <v>40643</v>
      </c>
      <c r="C2503" s="9" t="s">
        <v>1226</v>
      </c>
      <c r="D2503">
        <v>10021252332</v>
      </c>
      <c r="E2503" t="s">
        <v>47</v>
      </c>
      <c r="F2503" t="s">
        <v>171</v>
      </c>
      <c r="G2503" t="s">
        <v>172</v>
      </c>
      <c r="H2503" t="s">
        <v>1712</v>
      </c>
      <c r="I2503" t="s">
        <v>1713</v>
      </c>
      <c r="J2503" t="s">
        <v>668</v>
      </c>
      <c r="K2503" s="3">
        <v>10038549419</v>
      </c>
      <c r="L2503" s="10">
        <v>40645</v>
      </c>
      <c r="M2503">
        <v>396.69</v>
      </c>
      <c r="N2503" s="11">
        <v>12</v>
      </c>
      <c r="O2503" s="12">
        <v>33.29</v>
      </c>
      <c r="P2503" s="12">
        <v>8.74</v>
      </c>
      <c r="Q2503" s="13">
        <v>-18.45</v>
      </c>
      <c r="R2503" s="36" t="s">
        <v>1996</v>
      </c>
      <c r="S2503" s="7">
        <f t="shared" si="209"/>
        <v>2</v>
      </c>
      <c r="T2503" s="15" t="str">
        <f>VLOOKUP(R2503,产品分类!$C$2:$D$1278,2,0)</f>
        <v>办公用品</v>
      </c>
    </row>
    <row r="2504" spans="1:20">
      <c r="A2504" s="8">
        <f>DATE(2012,12,31)-274</f>
        <v>41000</v>
      </c>
      <c r="B2504" s="8">
        <f>DATE(2012,12,31)-274</f>
        <v>41000</v>
      </c>
      <c r="C2504" s="9" t="s">
        <v>121</v>
      </c>
      <c r="D2504">
        <v>10021341528</v>
      </c>
      <c r="E2504" t="s">
        <v>47</v>
      </c>
      <c r="F2504" t="s">
        <v>171</v>
      </c>
      <c r="G2504" t="s">
        <v>172</v>
      </c>
      <c r="H2504" t="s">
        <v>1712</v>
      </c>
      <c r="I2504" t="s">
        <v>1713</v>
      </c>
      <c r="J2504" t="s">
        <v>668</v>
      </c>
      <c r="K2504" s="3">
        <v>100927080851</v>
      </c>
      <c r="L2504" s="10">
        <v>41002</v>
      </c>
      <c r="M2504">
        <v>197.45</v>
      </c>
      <c r="N2504" s="11">
        <v>34</v>
      </c>
      <c r="O2504" s="12">
        <v>5.68</v>
      </c>
      <c r="P2504" s="12">
        <v>1.39</v>
      </c>
      <c r="Q2504" s="13">
        <v>65.44</v>
      </c>
      <c r="R2504" s="36" t="s">
        <v>217</v>
      </c>
      <c r="S2504" s="7">
        <f t="shared" si="209"/>
        <v>2</v>
      </c>
      <c r="T2504" s="15" t="str">
        <f>VLOOKUP(R2504,产品分类!$C$2:$D$1278,2,0)</f>
        <v>办公用品</v>
      </c>
    </row>
    <row r="2505" spans="1:20">
      <c r="A2505" s="8">
        <f>DATE(2012,12,31)-274</f>
        <v>41000</v>
      </c>
      <c r="B2505" s="8">
        <f>DATE(2012,12,31)-274</f>
        <v>41000</v>
      </c>
      <c r="C2505" s="9" t="s">
        <v>121</v>
      </c>
      <c r="D2505">
        <v>10021350903</v>
      </c>
      <c r="E2505" t="s">
        <v>47</v>
      </c>
      <c r="F2505" t="s">
        <v>171</v>
      </c>
      <c r="G2505" t="s">
        <v>172</v>
      </c>
      <c r="H2505" t="s">
        <v>1712</v>
      </c>
      <c r="I2505" t="s">
        <v>1713</v>
      </c>
      <c r="J2505" t="s">
        <v>668</v>
      </c>
      <c r="K2505" s="3">
        <v>100732191275</v>
      </c>
      <c r="L2505" s="10">
        <v>41002</v>
      </c>
      <c r="M2505">
        <v>82.98</v>
      </c>
      <c r="N2505" s="11">
        <v>36</v>
      </c>
      <c r="O2505" s="12">
        <v>2.28</v>
      </c>
      <c r="P2505" s="12">
        <v>5.2</v>
      </c>
      <c r="Q2505" s="13">
        <v>-137.87</v>
      </c>
      <c r="R2505" s="36" t="s">
        <v>1554</v>
      </c>
      <c r="S2505" s="7">
        <f t="shared" si="209"/>
        <v>2</v>
      </c>
      <c r="T2505" s="15" t="str">
        <f>VLOOKUP(R2505,产品分类!$C$2:$D$1278,2,0)</f>
        <v>办公用品</v>
      </c>
    </row>
    <row r="2506" spans="1:20">
      <c r="A2506" s="16">
        <f>DATE(2012,12,31)-878</f>
        <v>40396</v>
      </c>
      <c r="B2506" s="16">
        <f>DATE(2012,12,31)-878</f>
        <v>40396</v>
      </c>
      <c r="C2506" s="9" t="s">
        <v>1764</v>
      </c>
      <c r="D2506">
        <v>10021507860</v>
      </c>
      <c r="E2506" t="s">
        <v>47</v>
      </c>
      <c r="F2506" t="s">
        <v>171</v>
      </c>
      <c r="G2506" t="s">
        <v>172</v>
      </c>
      <c r="H2506" t="s">
        <v>1712</v>
      </c>
      <c r="I2506" t="s">
        <v>1713</v>
      </c>
      <c r="J2506" t="s">
        <v>668</v>
      </c>
      <c r="K2506" s="3">
        <v>100132021417</v>
      </c>
      <c r="L2506" s="10">
        <v>40397</v>
      </c>
      <c r="M2506">
        <v>9293.82</v>
      </c>
      <c r="N2506" s="17">
        <v>27</v>
      </c>
      <c r="O2506" s="5">
        <v>363.25</v>
      </c>
      <c r="P2506" s="5">
        <v>19.99</v>
      </c>
      <c r="Q2506" s="6">
        <v>2437.17</v>
      </c>
      <c r="R2506" s="37" t="s">
        <v>192</v>
      </c>
      <c r="S2506" s="7">
        <f t="shared" si="209"/>
        <v>1</v>
      </c>
      <c r="T2506" s="15" t="str">
        <f>VLOOKUP(R2506,产品分类!$C$2:$D$1278,2,0)</f>
        <v>办公用品</v>
      </c>
    </row>
    <row r="2507" spans="1:20">
      <c r="A2507" s="16">
        <f>DATE(2012,12,31)-878</f>
        <v>40396</v>
      </c>
      <c r="B2507" s="16">
        <f>DATE(2012,12,31)-878</f>
        <v>40396</v>
      </c>
      <c r="C2507" s="9" t="s">
        <v>1764</v>
      </c>
      <c r="D2507">
        <v>10021332134</v>
      </c>
      <c r="E2507" t="s">
        <v>47</v>
      </c>
      <c r="F2507" t="s">
        <v>171</v>
      </c>
      <c r="G2507" t="s">
        <v>172</v>
      </c>
      <c r="H2507" t="s">
        <v>1712</v>
      </c>
      <c r="I2507" t="s">
        <v>1713</v>
      </c>
      <c r="J2507" t="s">
        <v>668</v>
      </c>
      <c r="K2507" s="3">
        <v>10083639162</v>
      </c>
      <c r="L2507" s="10">
        <v>40397</v>
      </c>
      <c r="M2507">
        <v>80.79</v>
      </c>
      <c r="N2507" s="17">
        <v>27</v>
      </c>
      <c r="O2507" s="5">
        <v>2.88</v>
      </c>
      <c r="P2507" s="5">
        <v>0.7</v>
      </c>
      <c r="Q2507" s="6">
        <v>12.58</v>
      </c>
      <c r="R2507" s="37" t="s">
        <v>514</v>
      </c>
      <c r="S2507" s="7">
        <f t="shared" si="209"/>
        <v>1</v>
      </c>
      <c r="T2507" s="15" t="str">
        <f>VLOOKUP(R2507,产品分类!$C$2:$D$1278,2,0)</f>
        <v>办公用品</v>
      </c>
    </row>
    <row r="2508" spans="1:20">
      <c r="A2508" s="16">
        <f>DATE(2012,12,31)-843</f>
        <v>40431</v>
      </c>
      <c r="B2508" s="16">
        <f>DATE(2012,12,31)-843</f>
        <v>40431</v>
      </c>
      <c r="C2508" s="9" t="s">
        <v>1589</v>
      </c>
      <c r="D2508">
        <v>10021522232</v>
      </c>
      <c r="E2508" t="s">
        <v>47</v>
      </c>
      <c r="F2508" t="s">
        <v>527</v>
      </c>
      <c r="G2508" t="s">
        <v>528</v>
      </c>
      <c r="H2508" t="s">
        <v>1913</v>
      </c>
      <c r="I2508" t="s">
        <v>1914</v>
      </c>
      <c r="J2508" t="s">
        <v>668</v>
      </c>
      <c r="K2508" s="3">
        <v>1003618159</v>
      </c>
      <c r="L2508" s="10">
        <v>40433</v>
      </c>
      <c r="M2508">
        <v>1111.23</v>
      </c>
      <c r="N2508" s="17">
        <v>29</v>
      </c>
      <c r="O2508" s="5">
        <v>40.99</v>
      </c>
      <c r="P2508" s="5">
        <v>19.99</v>
      </c>
      <c r="Q2508" s="6">
        <v>21.6</v>
      </c>
      <c r="R2508" s="37" t="s">
        <v>656</v>
      </c>
      <c r="S2508" s="7">
        <f t="shared" si="209"/>
        <v>2</v>
      </c>
      <c r="T2508" s="15" t="str">
        <f>VLOOKUP(R2508,产品分类!$C$2:$D$1278,2,0)</f>
        <v>家具产品</v>
      </c>
    </row>
    <row r="2509" spans="1:20">
      <c r="A2509" s="8">
        <f>DATE(2012,12,31)-834</f>
        <v>40440</v>
      </c>
      <c r="B2509" s="8">
        <f>DATE(2012,12,31)-834</f>
        <v>40440</v>
      </c>
      <c r="C2509" s="9" t="s">
        <v>358</v>
      </c>
      <c r="D2509">
        <v>10021336128</v>
      </c>
      <c r="E2509" t="s">
        <v>47</v>
      </c>
      <c r="F2509" t="s">
        <v>177</v>
      </c>
      <c r="G2509" t="s">
        <v>178</v>
      </c>
      <c r="H2509" t="s">
        <v>1292</v>
      </c>
      <c r="I2509" t="s">
        <v>1293</v>
      </c>
      <c r="J2509" t="s">
        <v>668</v>
      </c>
      <c r="K2509" s="3">
        <v>100112832338</v>
      </c>
      <c r="L2509" s="10">
        <v>40441</v>
      </c>
      <c r="M2509">
        <v>965.82</v>
      </c>
      <c r="N2509" s="11">
        <v>29</v>
      </c>
      <c r="O2509" s="12">
        <v>34.99</v>
      </c>
      <c r="P2509" s="12">
        <v>5.5</v>
      </c>
      <c r="Q2509" s="13">
        <v>169.15</v>
      </c>
      <c r="R2509" s="36" t="s">
        <v>1997</v>
      </c>
      <c r="S2509" s="7">
        <f t="shared" si="209"/>
        <v>1</v>
      </c>
      <c r="T2509" s="15" t="str">
        <f>VLOOKUP(R2509,产品分类!$C$2:$D$1278,2,0)</f>
        <v>办公用品</v>
      </c>
    </row>
    <row r="2510" spans="1:20">
      <c r="A2510" s="8">
        <f>DATE(2012,12,31)-888</f>
        <v>40386</v>
      </c>
      <c r="B2510" s="8">
        <f>DATE(2012,12,31)-888</f>
        <v>40386</v>
      </c>
      <c r="C2510" s="9" t="s">
        <v>1850</v>
      </c>
      <c r="D2510">
        <v>10021345156</v>
      </c>
      <c r="E2510" t="s">
        <v>47</v>
      </c>
      <c r="F2510" t="s">
        <v>127</v>
      </c>
      <c r="G2510" t="s">
        <v>128</v>
      </c>
      <c r="H2510" t="s">
        <v>1936</v>
      </c>
      <c r="I2510" t="s">
        <v>1937</v>
      </c>
      <c r="J2510" t="s">
        <v>668</v>
      </c>
      <c r="K2510" s="3">
        <v>100929864821</v>
      </c>
      <c r="L2510" s="10">
        <v>40388</v>
      </c>
      <c r="M2510">
        <v>64.5</v>
      </c>
      <c r="N2510" s="11">
        <v>3</v>
      </c>
      <c r="O2510" s="12">
        <v>20.89</v>
      </c>
      <c r="P2510" s="12">
        <v>1.99</v>
      </c>
      <c r="Q2510" s="13">
        <v>-55.11</v>
      </c>
      <c r="R2510" s="36" t="s">
        <v>1745</v>
      </c>
      <c r="S2510" s="7">
        <f t="shared" si="209"/>
        <v>2</v>
      </c>
      <c r="T2510" s="15" t="str">
        <f>VLOOKUP(R2510,产品分类!$C$2:$D$1278,2,0)</f>
        <v>数码电子</v>
      </c>
    </row>
    <row r="2511" spans="1:20">
      <c r="A2511" s="8">
        <f>DATE(2012,12,31)-888</f>
        <v>40386</v>
      </c>
      <c r="B2511" s="8">
        <f>DATE(2012,12,31)-888</f>
        <v>40386</v>
      </c>
      <c r="C2511" s="9" t="s">
        <v>1850</v>
      </c>
      <c r="D2511">
        <v>10021498308</v>
      </c>
      <c r="E2511" t="s">
        <v>47</v>
      </c>
      <c r="F2511" t="s">
        <v>342</v>
      </c>
      <c r="G2511" t="s">
        <v>343</v>
      </c>
      <c r="H2511" t="s">
        <v>1806</v>
      </c>
      <c r="I2511" t="s">
        <v>1807</v>
      </c>
      <c r="J2511" t="s">
        <v>668</v>
      </c>
      <c r="K2511" s="3">
        <v>100921777871</v>
      </c>
      <c r="L2511" s="10">
        <v>40388</v>
      </c>
      <c r="M2511">
        <v>9944.49</v>
      </c>
      <c r="N2511" s="11">
        <v>25</v>
      </c>
      <c r="O2511" s="12">
        <v>400.98</v>
      </c>
      <c r="P2511" s="12">
        <v>76.37</v>
      </c>
      <c r="Q2511" s="13">
        <v>-969.048366</v>
      </c>
      <c r="R2511" s="36" t="s">
        <v>1048</v>
      </c>
      <c r="S2511" s="7">
        <f t="shared" si="209"/>
        <v>2</v>
      </c>
      <c r="T2511" s="15" t="str">
        <f>VLOOKUP(R2511,产品分类!$C$2:$D$1278,2,0)</f>
        <v>办公用品</v>
      </c>
    </row>
    <row r="2512" spans="1:20">
      <c r="A2512" s="8">
        <f>DATE(2012,12,31)-689</f>
        <v>40585</v>
      </c>
      <c r="B2512" s="8">
        <f>DATE(2012,12,31)-689</f>
        <v>40585</v>
      </c>
      <c r="C2512" s="9" t="s">
        <v>1946</v>
      </c>
      <c r="D2512">
        <v>10021280784</v>
      </c>
      <c r="E2512" t="s">
        <v>47</v>
      </c>
      <c r="F2512" t="s">
        <v>342</v>
      </c>
      <c r="G2512" t="s">
        <v>343</v>
      </c>
      <c r="H2512" t="s">
        <v>1806</v>
      </c>
      <c r="I2512" t="s">
        <v>1807</v>
      </c>
      <c r="J2512" t="s">
        <v>668</v>
      </c>
      <c r="K2512" s="3">
        <v>100116773628</v>
      </c>
      <c r="L2512" s="10">
        <v>40587</v>
      </c>
      <c r="M2512">
        <v>172.34</v>
      </c>
      <c r="N2512" s="11">
        <v>1</v>
      </c>
      <c r="O2512" s="12">
        <v>140.81</v>
      </c>
      <c r="P2512" s="12">
        <v>24.49</v>
      </c>
      <c r="Q2512" s="13">
        <v>-73.22</v>
      </c>
      <c r="R2512" s="36" t="s">
        <v>1469</v>
      </c>
      <c r="S2512" s="7">
        <f t="shared" si="209"/>
        <v>2</v>
      </c>
      <c r="T2512" s="15" t="str">
        <f>VLOOKUP(R2512,产品分类!$C$2:$D$1278,2,0)</f>
        <v>办公用品</v>
      </c>
    </row>
    <row r="2513" spans="1:20">
      <c r="A2513" s="8">
        <f>DATE(2012,12,31)-1152</f>
        <v>40122</v>
      </c>
      <c r="B2513" s="8">
        <f>DATE(2012,12,31)-1152</f>
        <v>40122</v>
      </c>
      <c r="C2513" s="9" t="s">
        <v>657</v>
      </c>
      <c r="D2513">
        <v>10021445043</v>
      </c>
      <c r="E2513" t="s">
        <v>47</v>
      </c>
      <c r="F2513" t="s">
        <v>61</v>
      </c>
      <c r="G2513" t="s">
        <v>62</v>
      </c>
      <c r="H2513" t="s">
        <v>47</v>
      </c>
      <c r="I2513" t="s">
        <v>1778</v>
      </c>
      <c r="J2513" t="s">
        <v>668</v>
      </c>
      <c r="K2513" s="3">
        <v>100810639092</v>
      </c>
      <c r="L2513" s="10">
        <v>40123</v>
      </c>
      <c r="M2513">
        <v>155.8</v>
      </c>
      <c r="N2513" s="11">
        <v>20</v>
      </c>
      <c r="O2513" s="12">
        <v>7.59</v>
      </c>
      <c r="P2513" s="12">
        <v>4</v>
      </c>
      <c r="Q2513" s="13">
        <v>27.22</v>
      </c>
      <c r="R2513" s="36" t="s">
        <v>996</v>
      </c>
      <c r="S2513" s="7">
        <f t="shared" si="209"/>
        <v>1</v>
      </c>
      <c r="T2513" s="15" t="str">
        <f>VLOOKUP(R2513,产品分类!$C$2:$D$1278,2,0)</f>
        <v>家具产品</v>
      </c>
    </row>
    <row r="2514" spans="1:20">
      <c r="A2514" s="8">
        <f>DATE(2012,12,31)-473</f>
        <v>40801</v>
      </c>
      <c r="B2514" s="8">
        <f>DATE(2012,12,31)-473</f>
        <v>40801</v>
      </c>
      <c r="C2514" s="9" t="s">
        <v>948</v>
      </c>
      <c r="D2514">
        <v>10021499553</v>
      </c>
      <c r="E2514" t="s">
        <v>47</v>
      </c>
      <c r="F2514" t="s">
        <v>61</v>
      </c>
      <c r="G2514" t="s">
        <v>62</v>
      </c>
      <c r="H2514" t="s">
        <v>47</v>
      </c>
      <c r="I2514" t="s">
        <v>1778</v>
      </c>
      <c r="J2514" t="s">
        <v>668</v>
      </c>
      <c r="K2514" s="3">
        <v>100424755854</v>
      </c>
      <c r="L2514" s="10">
        <v>40803</v>
      </c>
      <c r="M2514">
        <v>925.03</v>
      </c>
      <c r="N2514" s="11">
        <v>18</v>
      </c>
      <c r="O2514" s="12">
        <v>49.99</v>
      </c>
      <c r="P2514" s="12">
        <v>19.99</v>
      </c>
      <c r="Q2514" s="13">
        <v>-3.68000000000002</v>
      </c>
      <c r="R2514" s="36" t="s">
        <v>1650</v>
      </c>
      <c r="S2514" s="7">
        <f t="shared" si="209"/>
        <v>2</v>
      </c>
      <c r="T2514" s="15" t="str">
        <f>VLOOKUP(R2514,产品分类!$C$2:$D$1278,2,0)</f>
        <v>办公用品</v>
      </c>
    </row>
    <row r="2515" spans="1:20">
      <c r="A2515" s="8">
        <f>DATE(2012,12,31)-356</f>
        <v>40918</v>
      </c>
      <c r="B2515" s="8">
        <f>DATE(2012,12,31)-356</f>
        <v>40918</v>
      </c>
      <c r="C2515" s="9" t="s">
        <v>800</v>
      </c>
      <c r="D2515">
        <v>10021371391</v>
      </c>
      <c r="E2515" t="s">
        <v>47</v>
      </c>
      <c r="F2515" t="s">
        <v>253</v>
      </c>
      <c r="G2515" t="s">
        <v>254</v>
      </c>
      <c r="H2515" t="s">
        <v>1998</v>
      </c>
      <c r="I2515" t="s">
        <v>1999</v>
      </c>
      <c r="J2515" t="s">
        <v>668</v>
      </c>
      <c r="K2515" s="3">
        <v>100931968571</v>
      </c>
      <c r="L2515" s="10">
        <v>40922</v>
      </c>
      <c r="M2515">
        <v>322.73</v>
      </c>
      <c r="N2515" s="11">
        <v>25</v>
      </c>
      <c r="O2515" s="12">
        <v>13.4</v>
      </c>
      <c r="P2515" s="12">
        <v>4.95</v>
      </c>
      <c r="Q2515" s="13">
        <v>101.83</v>
      </c>
      <c r="R2515" s="36" t="s">
        <v>2000</v>
      </c>
      <c r="S2515" s="7">
        <f t="shared" si="209"/>
        <v>4</v>
      </c>
      <c r="T2515" s="15" t="str">
        <f>VLOOKUP(R2515,产品分类!$C$2:$D$1278,2,0)</f>
        <v>办公用品</v>
      </c>
    </row>
    <row r="2516" spans="1:20">
      <c r="A2516" s="8">
        <f>DATE(2012,12,31)-1404</f>
        <v>39870</v>
      </c>
      <c r="B2516" s="8">
        <f>DATE(2012,12,31)-1404</f>
        <v>39870</v>
      </c>
      <c r="C2516" s="9" t="s">
        <v>931</v>
      </c>
      <c r="D2516">
        <v>10021287516</v>
      </c>
      <c r="E2516" t="s">
        <v>47</v>
      </c>
      <c r="F2516" t="s">
        <v>61</v>
      </c>
      <c r="G2516" t="s">
        <v>62</v>
      </c>
      <c r="H2516" t="s">
        <v>47</v>
      </c>
      <c r="I2516" t="s">
        <v>1778</v>
      </c>
      <c r="J2516" t="s">
        <v>668</v>
      </c>
      <c r="K2516" s="3">
        <v>100331834579</v>
      </c>
      <c r="L2516" s="10">
        <v>39872</v>
      </c>
      <c r="M2516">
        <v>184.35</v>
      </c>
      <c r="N2516" s="11">
        <v>22</v>
      </c>
      <c r="O2516" s="12">
        <v>8.33</v>
      </c>
      <c r="P2516" s="12">
        <v>1.99</v>
      </c>
      <c r="Q2516" s="13">
        <v>11.95</v>
      </c>
      <c r="R2516" s="36" t="s">
        <v>1011</v>
      </c>
      <c r="S2516" s="7">
        <f t="shared" si="209"/>
        <v>2</v>
      </c>
      <c r="T2516" s="15" t="str">
        <f>VLOOKUP(R2516,产品分类!$C$2:$D$1278,2,0)</f>
        <v>家具产品</v>
      </c>
    </row>
    <row r="2517" spans="1:20">
      <c r="A2517" s="8">
        <f>DATE(2012,12,31)-1404</f>
        <v>39870</v>
      </c>
      <c r="B2517" s="8">
        <f>DATE(2012,12,31)-1404</f>
        <v>39870</v>
      </c>
      <c r="C2517" s="9" t="s">
        <v>931</v>
      </c>
      <c r="D2517">
        <v>10021337784</v>
      </c>
      <c r="E2517" t="s">
        <v>47</v>
      </c>
      <c r="F2517" t="s">
        <v>61</v>
      </c>
      <c r="G2517" t="s">
        <v>62</v>
      </c>
      <c r="H2517" t="s">
        <v>47</v>
      </c>
      <c r="I2517" t="s">
        <v>1778</v>
      </c>
      <c r="J2517" t="s">
        <v>668</v>
      </c>
      <c r="K2517" s="3">
        <v>100122758466</v>
      </c>
      <c r="L2517" s="10">
        <v>39871</v>
      </c>
      <c r="M2517">
        <v>10281.79</v>
      </c>
      <c r="N2517" s="11">
        <v>20</v>
      </c>
      <c r="O2517" s="12">
        <v>499.99</v>
      </c>
      <c r="P2517" s="12">
        <v>24.49</v>
      </c>
      <c r="Q2517" s="13">
        <v>3272.9</v>
      </c>
      <c r="R2517" s="36" t="s">
        <v>1171</v>
      </c>
      <c r="S2517" s="7">
        <f t="shared" si="209"/>
        <v>1</v>
      </c>
      <c r="T2517" s="15" t="str">
        <f>VLOOKUP(R2517,产品分类!$C$2:$D$1278,2,0)</f>
        <v>办公用品</v>
      </c>
    </row>
    <row r="2518" spans="1:20">
      <c r="A2518" s="8">
        <f>DATE(2012,12,31)-1063</f>
        <v>40211</v>
      </c>
      <c r="B2518" s="8">
        <f>DATE(2012,12,31)-1063</f>
        <v>40211</v>
      </c>
      <c r="C2518" s="9" t="s">
        <v>1381</v>
      </c>
      <c r="D2518">
        <v>10021331163</v>
      </c>
      <c r="E2518" t="s">
        <v>47</v>
      </c>
      <c r="F2518" t="s">
        <v>61</v>
      </c>
      <c r="G2518" t="s">
        <v>62</v>
      </c>
      <c r="H2518" t="s">
        <v>47</v>
      </c>
      <c r="I2518" t="s">
        <v>1778</v>
      </c>
      <c r="J2518" t="s">
        <v>668</v>
      </c>
      <c r="K2518" s="3">
        <v>10041307603</v>
      </c>
      <c r="L2518" s="10">
        <v>40215</v>
      </c>
      <c r="M2518">
        <v>441.99</v>
      </c>
      <c r="N2518" s="11">
        <v>23</v>
      </c>
      <c r="O2518" s="12">
        <v>19.98</v>
      </c>
      <c r="P2518" s="12">
        <v>8.68</v>
      </c>
      <c r="Q2518" s="13">
        <v>32.36</v>
      </c>
      <c r="R2518" s="36" t="s">
        <v>1340</v>
      </c>
      <c r="S2518" s="7">
        <f t="shared" si="209"/>
        <v>4</v>
      </c>
      <c r="T2518" s="15" t="str">
        <f>VLOOKUP(R2518,产品分类!$C$2:$D$1278,2,0)</f>
        <v>办公用品</v>
      </c>
    </row>
    <row r="2519" spans="1:20">
      <c r="A2519" s="8">
        <f>DATE(2012,12,31)-1063</f>
        <v>40211</v>
      </c>
      <c r="B2519" s="8">
        <f>DATE(2012,12,31)-1063</f>
        <v>40211</v>
      </c>
      <c r="C2519" s="9" t="s">
        <v>1381</v>
      </c>
      <c r="D2519">
        <v>10021498970</v>
      </c>
      <c r="E2519" t="s">
        <v>47</v>
      </c>
      <c r="F2519" t="s">
        <v>61</v>
      </c>
      <c r="G2519" t="s">
        <v>62</v>
      </c>
      <c r="H2519" t="s">
        <v>47</v>
      </c>
      <c r="I2519" t="s">
        <v>1778</v>
      </c>
      <c r="J2519" t="s">
        <v>668</v>
      </c>
      <c r="K2519" s="3">
        <v>100123750968</v>
      </c>
      <c r="L2519" s="10">
        <v>40211</v>
      </c>
      <c r="M2519">
        <v>245.19</v>
      </c>
      <c r="N2519" s="11">
        <v>34</v>
      </c>
      <c r="O2519" s="12">
        <v>7.08</v>
      </c>
      <c r="P2519" s="12">
        <v>2.35</v>
      </c>
      <c r="Q2519" s="13">
        <v>37.99</v>
      </c>
      <c r="R2519" s="36" t="s">
        <v>1940</v>
      </c>
      <c r="S2519" s="7">
        <f t="shared" si="209"/>
        <v>0</v>
      </c>
      <c r="T2519" s="15" t="str">
        <f>VLOOKUP(R2519,产品分类!$C$2:$D$1278,2,0)</f>
        <v>数码电子</v>
      </c>
    </row>
    <row r="2520" spans="1:20">
      <c r="A2520" s="8">
        <f t="shared" ref="A2520:B2522" si="211">DATE(2012,12,31)-1179</f>
        <v>40095</v>
      </c>
      <c r="B2520" s="8">
        <f t="shared" si="211"/>
        <v>40095</v>
      </c>
      <c r="C2520" s="9" t="s">
        <v>1156</v>
      </c>
      <c r="D2520">
        <v>10021501865</v>
      </c>
      <c r="E2520" t="s">
        <v>47</v>
      </c>
      <c r="F2520" t="s">
        <v>61</v>
      </c>
      <c r="G2520" t="s">
        <v>62</v>
      </c>
      <c r="H2520" t="s">
        <v>47</v>
      </c>
      <c r="I2520" t="s">
        <v>1778</v>
      </c>
      <c r="J2520" t="s">
        <v>668</v>
      </c>
      <c r="K2520" s="3">
        <v>100427863293</v>
      </c>
      <c r="L2520" s="10">
        <v>40097</v>
      </c>
      <c r="M2520">
        <v>114.12</v>
      </c>
      <c r="N2520" s="11">
        <v>30</v>
      </c>
      <c r="O2520" s="12">
        <v>3.8</v>
      </c>
      <c r="P2520" s="12">
        <v>1.49</v>
      </c>
      <c r="Q2520" s="13">
        <v>15.725</v>
      </c>
      <c r="R2520" s="36" t="s">
        <v>648</v>
      </c>
      <c r="S2520" s="7">
        <f t="shared" si="209"/>
        <v>2</v>
      </c>
      <c r="T2520" s="15" t="str">
        <f>VLOOKUP(R2520,产品分类!$C$2:$D$1278,2,0)</f>
        <v>家具产品</v>
      </c>
    </row>
    <row r="2521" spans="1:20">
      <c r="A2521" s="8">
        <f t="shared" si="211"/>
        <v>40095</v>
      </c>
      <c r="B2521" s="8">
        <f t="shared" si="211"/>
        <v>40095</v>
      </c>
      <c r="C2521" s="9" t="s">
        <v>1156</v>
      </c>
      <c r="D2521">
        <v>10021337307</v>
      </c>
      <c r="E2521" t="s">
        <v>47</v>
      </c>
      <c r="F2521" t="s">
        <v>61</v>
      </c>
      <c r="G2521" t="s">
        <v>62</v>
      </c>
      <c r="H2521" t="s">
        <v>47</v>
      </c>
      <c r="I2521" t="s">
        <v>1778</v>
      </c>
      <c r="J2521" t="s">
        <v>668</v>
      </c>
      <c r="K2521" s="3">
        <v>100121537318</v>
      </c>
      <c r="L2521" s="10">
        <v>40095</v>
      </c>
      <c r="M2521">
        <v>436.05</v>
      </c>
      <c r="N2521" s="11">
        <v>15</v>
      </c>
      <c r="O2521" s="12">
        <v>30.73</v>
      </c>
      <c r="P2521" s="12">
        <v>4</v>
      </c>
      <c r="Q2521" s="13">
        <v>-92.58</v>
      </c>
      <c r="R2521" s="36" t="s">
        <v>1016</v>
      </c>
      <c r="S2521" s="7">
        <f t="shared" si="209"/>
        <v>0</v>
      </c>
      <c r="T2521" s="15" t="str">
        <f>VLOOKUP(R2521,产品分类!$C$2:$D$1278,2,0)</f>
        <v>办公用品</v>
      </c>
    </row>
    <row r="2522" spans="1:20">
      <c r="A2522" s="8">
        <f t="shared" si="211"/>
        <v>40095</v>
      </c>
      <c r="B2522" s="8">
        <f t="shared" si="211"/>
        <v>40095</v>
      </c>
      <c r="C2522" s="9" t="s">
        <v>1156</v>
      </c>
      <c r="D2522">
        <v>10021348498</v>
      </c>
      <c r="E2522" t="s">
        <v>47</v>
      </c>
      <c r="F2522" t="s">
        <v>61</v>
      </c>
      <c r="G2522" t="s">
        <v>62</v>
      </c>
      <c r="H2522" t="s">
        <v>47</v>
      </c>
      <c r="I2522" t="s">
        <v>1778</v>
      </c>
      <c r="J2522" t="s">
        <v>668</v>
      </c>
      <c r="K2522" s="3">
        <v>100931582831</v>
      </c>
      <c r="L2522" s="10">
        <v>40096</v>
      </c>
      <c r="M2522">
        <v>5247.4835</v>
      </c>
      <c r="N2522" s="11">
        <v>49</v>
      </c>
      <c r="O2522" s="12">
        <v>125.99</v>
      </c>
      <c r="P2522" s="12">
        <v>8.08</v>
      </c>
      <c r="Q2522" s="13">
        <v>1465.866</v>
      </c>
      <c r="R2522" s="36" t="s">
        <v>190</v>
      </c>
      <c r="S2522" s="7">
        <f t="shared" si="209"/>
        <v>1</v>
      </c>
      <c r="T2522" s="15" t="str">
        <f>VLOOKUP(R2522,产品分类!$C$2:$D$1278,2,0)</f>
        <v>家具产品</v>
      </c>
    </row>
    <row r="2523" spans="1:20">
      <c r="A2523" s="8">
        <f>DATE(2012,12,31)-1347</f>
        <v>39927</v>
      </c>
      <c r="B2523" s="8">
        <f>DATE(2012,12,31)-1347</f>
        <v>39927</v>
      </c>
      <c r="C2523" s="9" t="s">
        <v>1054</v>
      </c>
      <c r="D2523">
        <v>10021261536</v>
      </c>
      <c r="E2523" t="s">
        <v>47</v>
      </c>
      <c r="F2523" t="s">
        <v>61</v>
      </c>
      <c r="G2523" t="s">
        <v>62</v>
      </c>
      <c r="H2523" t="s">
        <v>47</v>
      </c>
      <c r="I2523" t="s">
        <v>1778</v>
      </c>
      <c r="J2523" t="s">
        <v>668</v>
      </c>
      <c r="K2523" s="3">
        <v>100429460513</v>
      </c>
      <c r="L2523" s="10">
        <v>39927</v>
      </c>
      <c r="M2523">
        <v>7.96</v>
      </c>
      <c r="N2523" s="11">
        <v>1</v>
      </c>
      <c r="O2523" s="12">
        <v>2.88</v>
      </c>
      <c r="P2523" s="12">
        <v>0.7</v>
      </c>
      <c r="Q2523" s="13">
        <v>-0.109999999999999</v>
      </c>
      <c r="R2523" s="36" t="s">
        <v>100</v>
      </c>
      <c r="S2523" s="7">
        <f t="shared" si="209"/>
        <v>0</v>
      </c>
      <c r="T2523" s="15" t="str">
        <f>VLOOKUP(R2523,产品分类!$C$2:$D$1278,2,0)</f>
        <v>数码电子</v>
      </c>
    </row>
    <row r="2524" spans="1:20">
      <c r="A2524" s="8">
        <f>DATE(2012,12,31)-563</f>
        <v>40711</v>
      </c>
      <c r="B2524" s="8">
        <f>DATE(2012,12,31)-563</f>
        <v>40711</v>
      </c>
      <c r="C2524" s="9" t="s">
        <v>632</v>
      </c>
      <c r="D2524">
        <v>10021418305</v>
      </c>
      <c r="E2524" t="s">
        <v>47</v>
      </c>
      <c r="F2524" t="s">
        <v>61</v>
      </c>
      <c r="G2524" t="s">
        <v>62</v>
      </c>
      <c r="H2524" t="s">
        <v>47</v>
      </c>
      <c r="I2524" t="s">
        <v>1778</v>
      </c>
      <c r="J2524" t="s">
        <v>668</v>
      </c>
      <c r="K2524" s="3">
        <v>100420958204</v>
      </c>
      <c r="L2524" s="10">
        <v>40712</v>
      </c>
      <c r="M2524">
        <v>148.65</v>
      </c>
      <c r="N2524" s="11">
        <v>20</v>
      </c>
      <c r="O2524" s="12">
        <v>7.28</v>
      </c>
      <c r="P2524" s="12">
        <v>11.15</v>
      </c>
      <c r="Q2524" s="13">
        <v>-142.78</v>
      </c>
      <c r="R2524" s="36" t="s">
        <v>1394</v>
      </c>
      <c r="S2524" s="7">
        <f t="shared" si="209"/>
        <v>1</v>
      </c>
      <c r="T2524" s="15" t="str">
        <f>VLOOKUP(R2524,产品分类!$C$2:$D$1278,2,0)</f>
        <v>办公用品</v>
      </c>
    </row>
    <row r="2525" spans="1:20">
      <c r="A2525" s="8">
        <f>DATE(2012,12,31)-563</f>
        <v>40711</v>
      </c>
      <c r="B2525" s="8">
        <f>DATE(2012,12,31)-563</f>
        <v>40711</v>
      </c>
      <c r="C2525" s="9" t="s">
        <v>632</v>
      </c>
      <c r="D2525">
        <v>10021387125</v>
      </c>
      <c r="E2525" t="s">
        <v>47</v>
      </c>
      <c r="F2525" t="s">
        <v>253</v>
      </c>
      <c r="G2525" t="s">
        <v>254</v>
      </c>
      <c r="H2525" t="s">
        <v>1998</v>
      </c>
      <c r="I2525" t="s">
        <v>1999</v>
      </c>
      <c r="J2525" t="s">
        <v>668</v>
      </c>
      <c r="K2525" s="3">
        <v>100116228038</v>
      </c>
      <c r="L2525" s="10">
        <v>40712</v>
      </c>
      <c r="M2525">
        <v>198.21</v>
      </c>
      <c r="N2525" s="11">
        <v>28</v>
      </c>
      <c r="O2525" s="12">
        <v>6.48</v>
      </c>
      <c r="P2525" s="12">
        <v>10.05</v>
      </c>
      <c r="Q2525" s="13">
        <v>-163.28</v>
      </c>
      <c r="R2525" s="36" t="s">
        <v>215</v>
      </c>
      <c r="S2525" s="7">
        <f t="shared" si="209"/>
        <v>1</v>
      </c>
      <c r="T2525" s="15" t="str">
        <f>VLOOKUP(R2525,产品分类!$C$2:$D$1278,2,0)</f>
        <v>数码电子</v>
      </c>
    </row>
    <row r="2526" spans="1:20">
      <c r="A2526" s="8">
        <f>DATE(2012,12,31)-897</f>
        <v>40377</v>
      </c>
      <c r="B2526" s="8">
        <f>DATE(2012,12,31)-897</f>
        <v>40377</v>
      </c>
      <c r="C2526" s="9" t="s">
        <v>803</v>
      </c>
      <c r="D2526">
        <v>10021332783</v>
      </c>
      <c r="E2526" t="s">
        <v>47</v>
      </c>
      <c r="F2526" t="s">
        <v>61</v>
      </c>
      <c r="G2526" t="s">
        <v>62</v>
      </c>
      <c r="H2526" t="s">
        <v>47</v>
      </c>
      <c r="I2526" t="s">
        <v>1778</v>
      </c>
      <c r="J2526" t="s">
        <v>668</v>
      </c>
      <c r="K2526" s="3">
        <v>100712877195</v>
      </c>
      <c r="L2526" s="10">
        <v>40377</v>
      </c>
      <c r="M2526">
        <v>237.89</v>
      </c>
      <c r="N2526" s="11">
        <v>39</v>
      </c>
      <c r="O2526" s="12">
        <v>5.78</v>
      </c>
      <c r="P2526" s="12">
        <v>7.96</v>
      </c>
      <c r="Q2526" s="13">
        <v>-165.26</v>
      </c>
      <c r="R2526" s="36" t="s">
        <v>1065</v>
      </c>
      <c r="S2526" s="7">
        <f t="shared" si="209"/>
        <v>0</v>
      </c>
      <c r="T2526" s="15" t="str">
        <f>VLOOKUP(R2526,产品分类!$C$2:$D$1278,2,0)</f>
        <v>办公用品</v>
      </c>
    </row>
    <row r="2527" spans="1:20">
      <c r="A2527" s="8">
        <f t="shared" ref="A2527:B2529" si="212">DATE(2012,12,31)-31</f>
        <v>41243</v>
      </c>
      <c r="B2527" s="8">
        <f t="shared" si="212"/>
        <v>41243</v>
      </c>
      <c r="C2527" s="9" t="s">
        <v>2001</v>
      </c>
      <c r="D2527">
        <v>10021496834</v>
      </c>
      <c r="E2527" t="s">
        <v>47</v>
      </c>
      <c r="F2527" t="s">
        <v>61</v>
      </c>
      <c r="G2527" t="s">
        <v>62</v>
      </c>
      <c r="H2527" t="s">
        <v>47</v>
      </c>
      <c r="I2527" t="s">
        <v>1778</v>
      </c>
      <c r="J2527" t="s">
        <v>668</v>
      </c>
      <c r="K2527" s="3">
        <v>100115328597</v>
      </c>
      <c r="L2527" s="10">
        <v>41245</v>
      </c>
      <c r="M2527">
        <v>212.91</v>
      </c>
      <c r="N2527" s="11">
        <v>3</v>
      </c>
      <c r="O2527" s="12">
        <v>70.97</v>
      </c>
      <c r="P2527" s="12">
        <v>3.5</v>
      </c>
      <c r="Q2527" s="13">
        <v>-65.15</v>
      </c>
      <c r="R2527" s="36" t="s">
        <v>365</v>
      </c>
      <c r="S2527" s="7">
        <f t="shared" si="209"/>
        <v>2</v>
      </c>
      <c r="T2527" s="15" t="str">
        <f>VLOOKUP(R2527,产品分类!$C$2:$D$1278,2,0)</f>
        <v>数码电子</v>
      </c>
    </row>
    <row r="2528" spans="1:20">
      <c r="A2528" s="8">
        <f t="shared" si="212"/>
        <v>41243</v>
      </c>
      <c r="B2528" s="8">
        <f t="shared" si="212"/>
        <v>41243</v>
      </c>
      <c r="C2528" s="9" t="s">
        <v>2001</v>
      </c>
      <c r="D2528">
        <v>10021388108</v>
      </c>
      <c r="E2528" t="s">
        <v>47</v>
      </c>
      <c r="F2528" t="s">
        <v>61</v>
      </c>
      <c r="G2528" t="s">
        <v>62</v>
      </c>
      <c r="H2528" t="s">
        <v>47</v>
      </c>
      <c r="I2528" t="s">
        <v>1778</v>
      </c>
      <c r="J2528" t="s">
        <v>668</v>
      </c>
      <c r="K2528" s="3">
        <v>100124907648</v>
      </c>
      <c r="L2528" s="10">
        <v>41244</v>
      </c>
      <c r="M2528">
        <v>1275.61</v>
      </c>
      <c r="N2528" s="11">
        <v>35</v>
      </c>
      <c r="O2528" s="12">
        <v>37.94</v>
      </c>
      <c r="P2528" s="12">
        <v>5.08</v>
      </c>
      <c r="Q2528" s="13">
        <v>517.33</v>
      </c>
      <c r="R2528" s="36" t="s">
        <v>947</v>
      </c>
      <c r="S2528" s="7">
        <f t="shared" si="209"/>
        <v>1</v>
      </c>
      <c r="T2528" s="15" t="str">
        <f>VLOOKUP(R2528,产品分类!$C$2:$D$1278,2,0)</f>
        <v>办公用品</v>
      </c>
    </row>
    <row r="2529" spans="1:20">
      <c r="A2529" s="8">
        <f t="shared" si="212"/>
        <v>41243</v>
      </c>
      <c r="B2529" s="8">
        <f t="shared" si="212"/>
        <v>41243</v>
      </c>
      <c r="C2529" s="9" t="s">
        <v>2001</v>
      </c>
      <c r="D2529">
        <v>10021497589</v>
      </c>
      <c r="E2529" t="s">
        <v>47</v>
      </c>
      <c r="F2529" t="s">
        <v>253</v>
      </c>
      <c r="G2529" t="s">
        <v>254</v>
      </c>
      <c r="H2529" t="s">
        <v>1998</v>
      </c>
      <c r="I2529" t="s">
        <v>1999</v>
      </c>
      <c r="J2529" t="s">
        <v>668</v>
      </c>
      <c r="K2529" s="3">
        <v>100118497308</v>
      </c>
      <c r="L2529" s="10">
        <v>41245</v>
      </c>
      <c r="M2529">
        <v>5972.59</v>
      </c>
      <c r="N2529" s="11">
        <v>3</v>
      </c>
      <c r="O2529" s="12">
        <v>2036.48</v>
      </c>
      <c r="P2529" s="12">
        <v>14.7</v>
      </c>
      <c r="Q2529" s="13">
        <v>-4852.5294</v>
      </c>
      <c r="R2529" s="36" t="s">
        <v>680</v>
      </c>
      <c r="S2529" s="7">
        <f t="shared" si="209"/>
        <v>2</v>
      </c>
      <c r="T2529" s="15" t="str">
        <f>VLOOKUP(R2529,产品分类!$C$2:$D$1278,2,0)</f>
        <v>数码电子</v>
      </c>
    </row>
    <row r="2530" spans="1:20">
      <c r="A2530" s="8">
        <f>DATE(2012,12,31)-718</f>
        <v>40556</v>
      </c>
      <c r="B2530" s="8">
        <f>DATE(2012,12,31)-718</f>
        <v>40556</v>
      </c>
      <c r="C2530" s="9" t="s">
        <v>525</v>
      </c>
      <c r="D2530">
        <v>10021385799</v>
      </c>
      <c r="E2530" t="s">
        <v>47</v>
      </c>
      <c r="F2530" t="s">
        <v>61</v>
      </c>
      <c r="G2530" t="s">
        <v>62</v>
      </c>
      <c r="H2530" t="s">
        <v>47</v>
      </c>
      <c r="I2530" t="s">
        <v>1778</v>
      </c>
      <c r="J2530" t="s">
        <v>668</v>
      </c>
      <c r="K2530" s="3">
        <v>1001700256</v>
      </c>
      <c r="L2530" s="10">
        <v>40560</v>
      </c>
      <c r="M2530">
        <v>1271.0475</v>
      </c>
      <c r="N2530" s="11">
        <v>41</v>
      </c>
      <c r="O2530" s="12">
        <v>35.99</v>
      </c>
      <c r="P2530" s="12">
        <v>5</v>
      </c>
      <c r="Q2530" s="13">
        <v>-158.235</v>
      </c>
      <c r="R2530" s="36" t="s">
        <v>1843</v>
      </c>
      <c r="S2530" s="7">
        <f t="shared" si="209"/>
        <v>4</v>
      </c>
      <c r="T2530" s="15" t="str">
        <f>VLOOKUP(R2530,产品分类!$C$2:$D$1278,2,0)</f>
        <v>数码电子</v>
      </c>
    </row>
    <row r="2531" spans="1:20">
      <c r="A2531" s="8">
        <f>DATE(2012,12,31)-1200</f>
        <v>40074</v>
      </c>
      <c r="B2531" s="8">
        <f>DATE(2012,12,31)-1200</f>
        <v>40074</v>
      </c>
      <c r="C2531" s="9" t="s">
        <v>897</v>
      </c>
      <c r="D2531">
        <v>10021529773</v>
      </c>
      <c r="E2531" t="s">
        <v>47</v>
      </c>
      <c r="F2531" t="s">
        <v>61</v>
      </c>
      <c r="G2531" t="s">
        <v>62</v>
      </c>
      <c r="H2531" t="s">
        <v>47</v>
      </c>
      <c r="I2531" t="s">
        <v>1778</v>
      </c>
      <c r="J2531" t="s">
        <v>668</v>
      </c>
      <c r="K2531" s="3">
        <v>100329473339</v>
      </c>
      <c r="L2531" s="10">
        <v>40074</v>
      </c>
      <c r="M2531">
        <v>1394.36</v>
      </c>
      <c r="N2531" s="11">
        <v>30</v>
      </c>
      <c r="O2531" s="12">
        <v>43.98</v>
      </c>
      <c r="P2531" s="12">
        <v>8.99</v>
      </c>
      <c r="Q2531" s="13">
        <v>271.45</v>
      </c>
      <c r="R2531" s="36" t="s">
        <v>189</v>
      </c>
      <c r="S2531" s="7">
        <f t="shared" si="209"/>
        <v>0</v>
      </c>
      <c r="T2531" s="15" t="str">
        <f>VLOOKUP(R2531,产品分类!$C$2:$D$1278,2,0)</f>
        <v>数码电子</v>
      </c>
    </row>
    <row r="2532" spans="1:20">
      <c r="A2532" s="16">
        <f>DATE(2012,12,31)-263</f>
        <v>41011</v>
      </c>
      <c r="B2532" s="16">
        <f>DATE(2012,12,31)-263</f>
        <v>41011</v>
      </c>
      <c r="C2532" s="9" t="s">
        <v>240</v>
      </c>
      <c r="D2532">
        <v>10021339523</v>
      </c>
      <c r="E2532" t="s">
        <v>47</v>
      </c>
      <c r="F2532" t="s">
        <v>61</v>
      </c>
      <c r="G2532" t="s">
        <v>62</v>
      </c>
      <c r="H2532" t="s">
        <v>47</v>
      </c>
      <c r="I2532" t="s">
        <v>1778</v>
      </c>
      <c r="J2532" t="s">
        <v>668</v>
      </c>
      <c r="K2532" s="3">
        <v>100425122143</v>
      </c>
      <c r="L2532" s="10">
        <v>41011</v>
      </c>
      <c r="M2532">
        <v>6608.24</v>
      </c>
      <c r="N2532" s="17">
        <v>35</v>
      </c>
      <c r="O2532" s="5">
        <v>207.48</v>
      </c>
      <c r="P2532" s="5">
        <v>0.99</v>
      </c>
      <c r="Q2532" s="6">
        <v>2164.64</v>
      </c>
      <c r="R2532" s="37" t="s">
        <v>376</v>
      </c>
      <c r="S2532" s="7">
        <f t="shared" si="209"/>
        <v>0</v>
      </c>
      <c r="T2532" s="15" t="str">
        <f>VLOOKUP(R2532,产品分类!$C$2:$D$1278,2,0)</f>
        <v>办公用品</v>
      </c>
    </row>
    <row r="2533" spans="1:20">
      <c r="A2533" s="16">
        <f>DATE(2012,12,31)-92</f>
        <v>41182</v>
      </c>
      <c r="B2533" s="16">
        <f>DATE(2012,12,31)-92</f>
        <v>41182</v>
      </c>
      <c r="C2533" s="9" t="s">
        <v>2002</v>
      </c>
      <c r="D2533">
        <v>10021318248</v>
      </c>
      <c r="E2533" t="s">
        <v>47</v>
      </c>
      <c r="F2533" t="s">
        <v>171</v>
      </c>
      <c r="G2533" t="s">
        <v>172</v>
      </c>
      <c r="H2533" t="s">
        <v>1712</v>
      </c>
      <c r="I2533" t="s">
        <v>1713</v>
      </c>
      <c r="J2533" t="s">
        <v>668</v>
      </c>
      <c r="K2533" s="3">
        <v>100932829791</v>
      </c>
      <c r="L2533" s="10">
        <v>41184</v>
      </c>
      <c r="M2533">
        <v>150.16</v>
      </c>
      <c r="N2533" s="17">
        <v>21</v>
      </c>
      <c r="O2533" s="5">
        <v>7.28</v>
      </c>
      <c r="P2533" s="5">
        <v>5.47</v>
      </c>
      <c r="Q2533" s="6">
        <v>-32.78</v>
      </c>
      <c r="R2533" s="37" t="s">
        <v>1697</v>
      </c>
      <c r="S2533" s="7">
        <f t="shared" si="209"/>
        <v>2</v>
      </c>
      <c r="T2533" s="15" t="str">
        <f>VLOOKUP(R2533,产品分类!$C$2:$D$1278,2,0)</f>
        <v>办公用品</v>
      </c>
    </row>
    <row r="2534" spans="1:20">
      <c r="A2534" s="8">
        <f>DATE(2012,12,31)-466</f>
        <v>40808</v>
      </c>
      <c r="B2534" s="8">
        <f>DATE(2012,12,31)-466</f>
        <v>40808</v>
      </c>
      <c r="C2534" s="9" t="s">
        <v>1132</v>
      </c>
      <c r="D2534">
        <v>10021520796</v>
      </c>
      <c r="E2534" t="s">
        <v>47</v>
      </c>
      <c r="F2534" t="s">
        <v>152</v>
      </c>
      <c r="G2534" t="s">
        <v>153</v>
      </c>
      <c r="H2534" t="s">
        <v>1860</v>
      </c>
      <c r="I2534" t="s">
        <v>1861</v>
      </c>
      <c r="J2534" t="s">
        <v>668</v>
      </c>
      <c r="K2534" s="3">
        <v>100133081528</v>
      </c>
      <c r="L2534" s="10">
        <v>40812</v>
      </c>
      <c r="M2534">
        <v>76.89</v>
      </c>
      <c r="N2534" s="11">
        <v>20</v>
      </c>
      <c r="O2534" s="12">
        <v>3.75</v>
      </c>
      <c r="P2534" s="12">
        <v>0.5</v>
      </c>
      <c r="Q2534" s="13">
        <v>31.64</v>
      </c>
      <c r="R2534" s="36" t="s">
        <v>1027</v>
      </c>
      <c r="S2534" s="7">
        <f t="shared" si="209"/>
        <v>4</v>
      </c>
      <c r="T2534" s="15" t="str">
        <f>VLOOKUP(R2534,产品分类!$C$2:$D$1278,2,0)</f>
        <v>数码电子</v>
      </c>
    </row>
    <row r="2535" spans="1:20">
      <c r="A2535" s="8">
        <f>DATE(2012,12,31)-391</f>
        <v>40883</v>
      </c>
      <c r="B2535" s="8">
        <f>DATE(2012,12,31)-391</f>
        <v>40883</v>
      </c>
      <c r="C2535" s="9" t="s">
        <v>1228</v>
      </c>
      <c r="D2535">
        <v>10021357126</v>
      </c>
      <c r="E2535" t="s">
        <v>47</v>
      </c>
      <c r="F2535" t="s">
        <v>91</v>
      </c>
      <c r="G2535" t="s">
        <v>92</v>
      </c>
      <c r="H2535" t="s">
        <v>1911</v>
      </c>
      <c r="I2535" t="s">
        <v>1912</v>
      </c>
      <c r="J2535" t="s">
        <v>668</v>
      </c>
      <c r="K2535" s="3">
        <v>100332872459</v>
      </c>
      <c r="L2535" s="10">
        <v>40884</v>
      </c>
      <c r="M2535">
        <v>598.49</v>
      </c>
      <c r="N2535" s="11">
        <v>29</v>
      </c>
      <c r="O2535" s="12">
        <v>20.95</v>
      </c>
      <c r="P2535" s="12">
        <v>4</v>
      </c>
      <c r="Q2535" s="13">
        <v>34.16</v>
      </c>
      <c r="R2535" s="36" t="s">
        <v>1324</v>
      </c>
      <c r="S2535" s="7">
        <f t="shared" si="209"/>
        <v>1</v>
      </c>
      <c r="T2535" s="15" t="str">
        <f>VLOOKUP(R2535,产品分类!$C$2:$D$1278,2,0)</f>
        <v>家具产品</v>
      </c>
    </row>
    <row r="2536" spans="1:20">
      <c r="A2536" s="8">
        <f>DATE(2012,12,31)-1220</f>
        <v>40054</v>
      </c>
      <c r="B2536" s="8">
        <f>DATE(2012,12,31)-1220</f>
        <v>40054</v>
      </c>
      <c r="C2536" s="9" t="s">
        <v>553</v>
      </c>
      <c r="D2536">
        <v>10021480878</v>
      </c>
      <c r="E2536" t="s">
        <v>47</v>
      </c>
      <c r="F2536" t="s">
        <v>83</v>
      </c>
      <c r="G2536" t="s">
        <v>84</v>
      </c>
      <c r="H2536" t="s">
        <v>1928</v>
      </c>
      <c r="I2536" t="s">
        <v>1929</v>
      </c>
      <c r="J2536" t="s">
        <v>668</v>
      </c>
      <c r="K2536" s="3">
        <v>100833025502</v>
      </c>
      <c r="L2536" s="10">
        <v>40061</v>
      </c>
      <c r="M2536">
        <v>1548.45</v>
      </c>
      <c r="N2536" s="11">
        <v>5</v>
      </c>
      <c r="O2536" s="12">
        <v>284.98</v>
      </c>
      <c r="P2536" s="12">
        <v>69.55</v>
      </c>
      <c r="Q2536" s="13">
        <v>-224.2</v>
      </c>
      <c r="R2536" s="36" t="s">
        <v>1740</v>
      </c>
      <c r="S2536" s="7">
        <f t="shared" si="209"/>
        <v>7</v>
      </c>
      <c r="T2536" s="15" t="str">
        <f>VLOOKUP(R2536,产品分类!$C$2:$D$1278,2,0)</f>
        <v>办公用品</v>
      </c>
    </row>
    <row r="2537" spans="1:20">
      <c r="A2537" s="8">
        <f>DATE(2012,12,31)-1220</f>
        <v>40054</v>
      </c>
      <c r="B2537" s="8">
        <f>DATE(2012,12,31)-1220</f>
        <v>40054</v>
      </c>
      <c r="C2537" s="9" t="s">
        <v>553</v>
      </c>
      <c r="D2537">
        <v>10021407657</v>
      </c>
      <c r="E2537" t="s">
        <v>47</v>
      </c>
      <c r="F2537" t="s">
        <v>152</v>
      </c>
      <c r="G2537" t="s">
        <v>153</v>
      </c>
      <c r="H2537" t="s">
        <v>1860</v>
      </c>
      <c r="I2537" t="s">
        <v>1861</v>
      </c>
      <c r="J2537" t="s">
        <v>668</v>
      </c>
      <c r="K2537" s="3">
        <v>100832946862</v>
      </c>
      <c r="L2537" s="10">
        <v>40054</v>
      </c>
      <c r="M2537">
        <v>56.07</v>
      </c>
      <c r="N2537" s="11">
        <v>3</v>
      </c>
      <c r="O2537" s="12">
        <v>12.99</v>
      </c>
      <c r="P2537" s="12">
        <v>14.37</v>
      </c>
      <c r="Q2537" s="13">
        <v>10.49</v>
      </c>
      <c r="R2537" s="36" t="s">
        <v>1790</v>
      </c>
      <c r="S2537" s="7">
        <f t="shared" si="209"/>
        <v>0</v>
      </c>
      <c r="T2537" s="15" t="str">
        <f>VLOOKUP(R2537,产品分类!$C$2:$D$1278,2,0)</f>
        <v>办公用品</v>
      </c>
    </row>
    <row r="2538" spans="1:20">
      <c r="A2538" s="8">
        <f>DATE(2012,12,31)-1454</f>
        <v>39820</v>
      </c>
      <c r="B2538" s="8">
        <f>DATE(2012,12,31)-1454</f>
        <v>39820</v>
      </c>
      <c r="C2538" s="9" t="s">
        <v>1753</v>
      </c>
      <c r="D2538">
        <v>10021305681</v>
      </c>
      <c r="E2538" t="s">
        <v>47</v>
      </c>
      <c r="F2538" t="s">
        <v>253</v>
      </c>
      <c r="G2538" t="s">
        <v>254</v>
      </c>
      <c r="H2538" t="s">
        <v>1998</v>
      </c>
      <c r="I2538" t="s">
        <v>1999</v>
      </c>
      <c r="J2538" t="s">
        <v>668</v>
      </c>
      <c r="K2538" s="3">
        <v>100132797147</v>
      </c>
      <c r="L2538" s="10">
        <v>39822</v>
      </c>
      <c r="M2538">
        <v>610.65</v>
      </c>
      <c r="N2538" s="11">
        <v>30</v>
      </c>
      <c r="O2538" s="12">
        <v>20.98</v>
      </c>
      <c r="P2538" s="12">
        <v>8.83</v>
      </c>
      <c r="Q2538" s="13">
        <v>60.2735</v>
      </c>
      <c r="R2538" s="36" t="s">
        <v>2003</v>
      </c>
      <c r="S2538" s="7">
        <f t="shared" si="209"/>
        <v>2</v>
      </c>
      <c r="T2538" s="15" t="str">
        <f>VLOOKUP(R2538,产品分类!$C$2:$D$1278,2,0)</f>
        <v>家具产品</v>
      </c>
    </row>
    <row r="2539" spans="1:20">
      <c r="A2539" s="8">
        <f>DATE(2012,12,31)-1454</f>
        <v>39820</v>
      </c>
      <c r="B2539" s="8">
        <f>DATE(2012,12,31)-1454</f>
        <v>39820</v>
      </c>
      <c r="C2539" s="9" t="s">
        <v>1753</v>
      </c>
      <c r="D2539">
        <v>10021290461</v>
      </c>
      <c r="E2539" t="s">
        <v>47</v>
      </c>
      <c r="F2539" t="s">
        <v>97</v>
      </c>
      <c r="G2539" t="s">
        <v>98</v>
      </c>
      <c r="H2539" t="s">
        <v>99</v>
      </c>
      <c r="I2539" t="s">
        <v>98</v>
      </c>
      <c r="J2539" t="s">
        <v>668</v>
      </c>
      <c r="K2539" s="3">
        <v>100432788363</v>
      </c>
      <c r="L2539" s="10">
        <v>39823</v>
      </c>
      <c r="M2539">
        <v>158.04</v>
      </c>
      <c r="N2539" s="11">
        <v>2</v>
      </c>
      <c r="O2539" s="12">
        <v>73.98</v>
      </c>
      <c r="P2539" s="12">
        <v>14.52</v>
      </c>
      <c r="Q2539" s="13">
        <v>-263.09</v>
      </c>
      <c r="R2539" s="36" t="s">
        <v>885</v>
      </c>
      <c r="S2539" s="7">
        <f t="shared" si="209"/>
        <v>3</v>
      </c>
      <c r="T2539" s="15" t="str">
        <f>VLOOKUP(R2539,产品分类!$C$2:$D$1278,2,0)</f>
        <v>办公用品</v>
      </c>
    </row>
    <row r="2540" spans="1:20">
      <c r="A2540" s="8">
        <f t="shared" ref="A2540:B2543" si="213">DATE(2012,12,31)-660</f>
        <v>40614</v>
      </c>
      <c r="B2540" s="8">
        <f t="shared" si="213"/>
        <v>40614</v>
      </c>
      <c r="C2540" s="9" t="s">
        <v>1112</v>
      </c>
      <c r="D2540">
        <v>10021435806</v>
      </c>
      <c r="E2540" t="s">
        <v>47</v>
      </c>
      <c r="F2540" t="s">
        <v>171</v>
      </c>
      <c r="G2540" t="s">
        <v>172</v>
      </c>
      <c r="H2540" t="s">
        <v>1712</v>
      </c>
      <c r="I2540" t="s">
        <v>1713</v>
      </c>
      <c r="J2540" t="s">
        <v>668</v>
      </c>
      <c r="K2540" s="3">
        <v>100832965212</v>
      </c>
      <c r="L2540" s="10">
        <v>40614</v>
      </c>
      <c r="M2540">
        <v>451.32</v>
      </c>
      <c r="N2540" s="11">
        <v>42</v>
      </c>
      <c r="O2540" s="12">
        <v>10.64</v>
      </c>
      <c r="P2540" s="12">
        <v>5.16</v>
      </c>
      <c r="Q2540" s="13">
        <v>1.16</v>
      </c>
      <c r="R2540" s="36" t="s">
        <v>644</v>
      </c>
      <c r="S2540" s="7">
        <f t="shared" si="209"/>
        <v>0</v>
      </c>
      <c r="T2540" s="15" t="str">
        <f>VLOOKUP(R2540,产品分类!$C$2:$D$1278,2,0)</f>
        <v>家具产品</v>
      </c>
    </row>
    <row r="2541" spans="1:20">
      <c r="A2541" s="8">
        <f t="shared" si="213"/>
        <v>40614</v>
      </c>
      <c r="B2541" s="8">
        <f t="shared" si="213"/>
        <v>40614</v>
      </c>
      <c r="C2541" s="9" t="s">
        <v>1112</v>
      </c>
      <c r="D2541">
        <v>10021535139</v>
      </c>
      <c r="E2541" t="s">
        <v>47</v>
      </c>
      <c r="F2541" t="s">
        <v>253</v>
      </c>
      <c r="G2541" t="s">
        <v>254</v>
      </c>
      <c r="H2541" t="s">
        <v>1998</v>
      </c>
      <c r="I2541" t="s">
        <v>1999</v>
      </c>
      <c r="J2541" t="s">
        <v>668</v>
      </c>
      <c r="K2541" s="3">
        <v>100133087577</v>
      </c>
      <c r="L2541" s="10">
        <v>40614</v>
      </c>
      <c r="M2541">
        <v>217.66</v>
      </c>
      <c r="N2541" s="11">
        <v>15</v>
      </c>
      <c r="O2541" s="12">
        <v>14.42</v>
      </c>
      <c r="P2541" s="12">
        <v>6.75</v>
      </c>
      <c r="Q2541" s="13">
        <v>-24.91</v>
      </c>
      <c r="R2541" s="36" t="s">
        <v>441</v>
      </c>
      <c r="S2541" s="7">
        <f t="shared" si="209"/>
        <v>0</v>
      </c>
      <c r="T2541" s="15" t="str">
        <f>VLOOKUP(R2541,产品分类!$C$2:$D$1278,2,0)</f>
        <v>办公用品</v>
      </c>
    </row>
    <row r="2542" spans="1:20">
      <c r="A2542" s="8">
        <f t="shared" si="213"/>
        <v>40614</v>
      </c>
      <c r="B2542" s="8">
        <f t="shared" si="213"/>
        <v>40614</v>
      </c>
      <c r="C2542" s="9" t="s">
        <v>1112</v>
      </c>
      <c r="D2542">
        <v>10021473715</v>
      </c>
      <c r="E2542" t="s">
        <v>47</v>
      </c>
      <c r="F2542" t="s">
        <v>171</v>
      </c>
      <c r="G2542" t="s">
        <v>172</v>
      </c>
      <c r="H2542" t="s">
        <v>1712</v>
      </c>
      <c r="I2542" t="s">
        <v>1713</v>
      </c>
      <c r="J2542" t="s">
        <v>668</v>
      </c>
      <c r="K2542" s="3">
        <v>100929412011</v>
      </c>
      <c r="L2542" s="10">
        <v>40616</v>
      </c>
      <c r="M2542">
        <v>1374.67</v>
      </c>
      <c r="N2542" s="11">
        <v>5</v>
      </c>
      <c r="O2542" s="12">
        <v>279.81</v>
      </c>
      <c r="P2542" s="12">
        <v>23.19</v>
      </c>
      <c r="Q2542" s="13">
        <v>-126.34</v>
      </c>
      <c r="R2542" s="36" t="s">
        <v>720</v>
      </c>
      <c r="S2542" s="7">
        <f t="shared" si="209"/>
        <v>2</v>
      </c>
      <c r="T2542" s="15" t="str">
        <f>VLOOKUP(R2542,产品分类!$C$2:$D$1278,2,0)</f>
        <v>办公用品</v>
      </c>
    </row>
    <row r="2543" spans="1:20">
      <c r="A2543" s="8">
        <f t="shared" si="213"/>
        <v>40614</v>
      </c>
      <c r="B2543" s="8">
        <f t="shared" si="213"/>
        <v>40614</v>
      </c>
      <c r="C2543" s="9" t="s">
        <v>1112</v>
      </c>
      <c r="D2543">
        <v>10021309684</v>
      </c>
      <c r="E2543" t="s">
        <v>47</v>
      </c>
      <c r="F2543" t="s">
        <v>177</v>
      </c>
      <c r="G2543" t="s">
        <v>178</v>
      </c>
      <c r="H2543" t="s">
        <v>1292</v>
      </c>
      <c r="I2543" t="s">
        <v>1293</v>
      </c>
      <c r="J2543" t="s">
        <v>668</v>
      </c>
      <c r="K2543" s="3">
        <v>100428004664</v>
      </c>
      <c r="L2543" s="10">
        <v>40616</v>
      </c>
      <c r="M2543">
        <v>76.42</v>
      </c>
      <c r="N2543" s="11">
        <v>12</v>
      </c>
      <c r="O2543" s="12">
        <v>5.84</v>
      </c>
      <c r="P2543" s="12">
        <v>0.83</v>
      </c>
      <c r="Q2543" s="13">
        <v>20.44</v>
      </c>
      <c r="R2543" s="36" t="s">
        <v>360</v>
      </c>
      <c r="S2543" s="7">
        <f t="shared" si="209"/>
        <v>2</v>
      </c>
      <c r="T2543" s="15" t="str">
        <f>VLOOKUP(R2543,产品分类!$C$2:$D$1278,2,0)</f>
        <v>家具产品</v>
      </c>
    </row>
    <row r="2544" spans="1:20">
      <c r="A2544" s="8">
        <f t="shared" ref="A2544:B2547" si="214">DATE(2012,12,31)-278</f>
        <v>40996</v>
      </c>
      <c r="B2544" s="8">
        <f t="shared" si="214"/>
        <v>40996</v>
      </c>
      <c r="C2544" s="9" t="s">
        <v>2004</v>
      </c>
      <c r="D2544">
        <v>10021290596</v>
      </c>
      <c r="E2544" t="s">
        <v>47</v>
      </c>
      <c r="F2544" t="s">
        <v>152</v>
      </c>
      <c r="G2544" t="s">
        <v>153</v>
      </c>
      <c r="H2544" t="s">
        <v>1860</v>
      </c>
      <c r="I2544" t="s">
        <v>1861</v>
      </c>
      <c r="J2544" t="s">
        <v>668</v>
      </c>
      <c r="K2544" s="3">
        <v>10041452224</v>
      </c>
      <c r="L2544" s="10">
        <v>40998</v>
      </c>
      <c r="M2544">
        <v>4891.86</v>
      </c>
      <c r="N2544" s="11">
        <v>27</v>
      </c>
      <c r="O2544" s="12">
        <v>180.98</v>
      </c>
      <c r="P2544" s="12">
        <v>55.24</v>
      </c>
      <c r="Q2544" s="13">
        <v>253.14</v>
      </c>
      <c r="R2544" s="36" t="s">
        <v>1499</v>
      </c>
      <c r="S2544" s="7">
        <f t="shared" si="209"/>
        <v>2</v>
      </c>
      <c r="T2544" s="15" t="str">
        <f>VLOOKUP(R2544,产品分类!$C$2:$D$1278,2,0)</f>
        <v>办公用品</v>
      </c>
    </row>
    <row r="2545" spans="1:20">
      <c r="A2545" s="8">
        <f t="shared" si="214"/>
        <v>40996</v>
      </c>
      <c r="B2545" s="8">
        <f t="shared" si="214"/>
        <v>40996</v>
      </c>
      <c r="C2545" s="9" t="s">
        <v>2004</v>
      </c>
      <c r="D2545">
        <v>10021517794</v>
      </c>
      <c r="E2545" t="s">
        <v>47</v>
      </c>
      <c r="F2545" t="s">
        <v>132</v>
      </c>
      <c r="G2545" t="s">
        <v>133</v>
      </c>
      <c r="H2545" t="s">
        <v>134</v>
      </c>
      <c r="I2545" t="s">
        <v>133</v>
      </c>
      <c r="J2545" t="s">
        <v>668</v>
      </c>
      <c r="K2545" s="3">
        <v>100129446898</v>
      </c>
      <c r="L2545" s="10">
        <v>40996</v>
      </c>
      <c r="M2545">
        <v>6039.1</v>
      </c>
      <c r="N2545" s="11">
        <v>37</v>
      </c>
      <c r="O2545" s="12">
        <v>150.98</v>
      </c>
      <c r="P2545" s="12">
        <v>66.27</v>
      </c>
      <c r="Q2545" s="13">
        <v>-345.92</v>
      </c>
      <c r="R2545" s="36" t="s">
        <v>1166</v>
      </c>
      <c r="S2545" s="7">
        <f t="shared" si="209"/>
        <v>0</v>
      </c>
      <c r="T2545" s="15" t="str">
        <f>VLOOKUP(R2545,产品分类!$C$2:$D$1278,2,0)</f>
        <v>办公用品</v>
      </c>
    </row>
    <row r="2546" spans="1:20">
      <c r="A2546" s="8">
        <f t="shared" si="214"/>
        <v>40996</v>
      </c>
      <c r="B2546" s="8">
        <f t="shared" si="214"/>
        <v>40996</v>
      </c>
      <c r="C2546" s="9" t="s">
        <v>2004</v>
      </c>
      <c r="D2546">
        <v>10021537026</v>
      </c>
      <c r="E2546" t="s">
        <v>47</v>
      </c>
      <c r="F2546" t="s">
        <v>72</v>
      </c>
      <c r="G2546" t="s">
        <v>73</v>
      </c>
      <c r="H2546" t="s">
        <v>1949</v>
      </c>
      <c r="I2546" t="s">
        <v>1950</v>
      </c>
      <c r="J2546" t="s">
        <v>668</v>
      </c>
      <c r="K2546" s="3">
        <v>100431939753</v>
      </c>
      <c r="L2546" s="10">
        <v>40998</v>
      </c>
      <c r="M2546">
        <v>206.49</v>
      </c>
      <c r="N2546" s="11">
        <v>31</v>
      </c>
      <c r="O2546" s="12">
        <v>6.45</v>
      </c>
      <c r="P2546" s="12">
        <v>1.34</v>
      </c>
      <c r="Q2546" s="13">
        <v>80.07</v>
      </c>
      <c r="R2546" s="36" t="s">
        <v>1991</v>
      </c>
      <c r="S2546" s="7">
        <f t="shared" si="209"/>
        <v>2</v>
      </c>
      <c r="T2546" s="15" t="str">
        <f>VLOOKUP(R2546,产品分类!$C$2:$D$1278,2,0)</f>
        <v>办公用品</v>
      </c>
    </row>
    <row r="2547" spans="1:20">
      <c r="A2547" s="8">
        <f t="shared" si="214"/>
        <v>40996</v>
      </c>
      <c r="B2547" s="8">
        <f t="shared" si="214"/>
        <v>40996</v>
      </c>
      <c r="C2547" s="9" t="s">
        <v>2004</v>
      </c>
      <c r="D2547">
        <v>10021516268</v>
      </c>
      <c r="E2547" t="s">
        <v>47</v>
      </c>
      <c r="F2547" t="s">
        <v>91</v>
      </c>
      <c r="G2547" t="s">
        <v>92</v>
      </c>
      <c r="H2547" t="s">
        <v>1911</v>
      </c>
      <c r="I2547" t="s">
        <v>1912</v>
      </c>
      <c r="J2547" t="s">
        <v>668</v>
      </c>
      <c r="K2547" s="3">
        <v>100133068938</v>
      </c>
      <c r="L2547" s="10">
        <v>40998</v>
      </c>
      <c r="M2547">
        <v>80.54</v>
      </c>
      <c r="N2547" s="11">
        <v>41</v>
      </c>
      <c r="O2547" s="12">
        <v>1.89</v>
      </c>
      <c r="P2547" s="12">
        <v>0.76</v>
      </c>
      <c r="Q2547" s="13">
        <v>-18.72</v>
      </c>
      <c r="R2547" s="36" t="s">
        <v>1477</v>
      </c>
      <c r="S2547" s="7">
        <f t="shared" si="209"/>
        <v>2</v>
      </c>
      <c r="T2547" s="15" t="str">
        <f>VLOOKUP(R2547,产品分类!$C$2:$D$1278,2,0)</f>
        <v>办公用品</v>
      </c>
    </row>
    <row r="2548" spans="1:20">
      <c r="A2548" s="16">
        <f>DATE(2012,12,31)-991</f>
        <v>40283</v>
      </c>
      <c r="B2548" s="16">
        <f>DATE(2012,12,31)-991</f>
        <v>40283</v>
      </c>
      <c r="C2548" s="9" t="s">
        <v>2005</v>
      </c>
      <c r="D2548">
        <v>10021413404</v>
      </c>
      <c r="E2548" t="s">
        <v>47</v>
      </c>
      <c r="F2548" t="s">
        <v>91</v>
      </c>
      <c r="G2548" t="s">
        <v>92</v>
      </c>
      <c r="H2548" t="s">
        <v>1911</v>
      </c>
      <c r="I2548" t="s">
        <v>1912</v>
      </c>
      <c r="J2548" t="s">
        <v>668</v>
      </c>
      <c r="K2548" s="3">
        <v>100131605366</v>
      </c>
      <c r="L2548" s="10">
        <v>40285</v>
      </c>
      <c r="M2548">
        <v>816.23</v>
      </c>
      <c r="N2548" s="17">
        <v>12</v>
      </c>
      <c r="O2548" s="5">
        <v>64.65</v>
      </c>
      <c r="P2548" s="5">
        <v>35</v>
      </c>
      <c r="Q2548" s="6">
        <v>-353.71</v>
      </c>
      <c r="R2548" s="37" t="s">
        <v>1310</v>
      </c>
      <c r="S2548" s="7">
        <f t="shared" si="209"/>
        <v>2</v>
      </c>
      <c r="T2548" s="15" t="str">
        <f>VLOOKUP(R2548,产品分类!$C$2:$D$1278,2,0)</f>
        <v>办公用品</v>
      </c>
    </row>
    <row r="2549" spans="1:20">
      <c r="A2549" s="8">
        <f>DATE(2012,12,31)-224</f>
        <v>41050</v>
      </c>
      <c r="B2549" s="8">
        <f>DATE(2012,12,31)-224</f>
        <v>41050</v>
      </c>
      <c r="C2549" s="9" t="s">
        <v>553</v>
      </c>
      <c r="D2549">
        <v>10021317402</v>
      </c>
      <c r="E2549" t="s">
        <v>47</v>
      </c>
      <c r="F2549" t="s">
        <v>97</v>
      </c>
      <c r="G2549" t="s">
        <v>98</v>
      </c>
      <c r="H2549" t="s">
        <v>99</v>
      </c>
      <c r="I2549" t="s">
        <v>98</v>
      </c>
      <c r="J2549" t="s">
        <v>668</v>
      </c>
      <c r="K2549" s="3">
        <v>10043942273</v>
      </c>
      <c r="L2549" s="10">
        <v>41059</v>
      </c>
      <c r="M2549">
        <v>270.16</v>
      </c>
      <c r="N2549" s="11">
        <v>25</v>
      </c>
      <c r="O2549" s="12">
        <v>11.09</v>
      </c>
      <c r="P2549" s="12">
        <v>5.25</v>
      </c>
      <c r="Q2549" s="13">
        <v>16.92</v>
      </c>
      <c r="R2549" s="36" t="s">
        <v>2006</v>
      </c>
      <c r="S2549" s="7">
        <f t="shared" si="209"/>
        <v>9</v>
      </c>
      <c r="T2549" s="15" t="str">
        <f>VLOOKUP(R2549,产品分类!$C$2:$D$1278,2,0)</f>
        <v>办公用品</v>
      </c>
    </row>
    <row r="2550" spans="1:20">
      <c r="A2550" s="8">
        <f>DATE(2012,12,31)-224</f>
        <v>41050</v>
      </c>
      <c r="B2550" s="8">
        <f>DATE(2012,12,31)-224</f>
        <v>41050</v>
      </c>
      <c r="C2550" s="9" t="s">
        <v>553</v>
      </c>
      <c r="D2550">
        <v>10021454845</v>
      </c>
      <c r="E2550" t="s">
        <v>47</v>
      </c>
      <c r="F2550" t="s">
        <v>603</v>
      </c>
      <c r="G2550" t="s">
        <v>604</v>
      </c>
      <c r="H2550" t="s">
        <v>605</v>
      </c>
      <c r="I2550" t="s">
        <v>606</v>
      </c>
      <c r="J2550" t="s">
        <v>668</v>
      </c>
      <c r="K2550" s="3">
        <v>100932657511</v>
      </c>
      <c r="L2550" s="10">
        <v>41050</v>
      </c>
      <c r="M2550">
        <v>2694.01</v>
      </c>
      <c r="N2550" s="11">
        <v>24</v>
      </c>
      <c r="O2550" s="12">
        <v>120.97</v>
      </c>
      <c r="P2550" s="12">
        <v>7.11</v>
      </c>
      <c r="Q2550" s="13">
        <v>994.31</v>
      </c>
      <c r="R2550" s="36" t="s">
        <v>1000</v>
      </c>
      <c r="S2550" s="7">
        <f t="shared" si="209"/>
        <v>0</v>
      </c>
      <c r="T2550" s="15" t="str">
        <f>VLOOKUP(R2550,产品分类!$C$2:$D$1278,2,0)</f>
        <v>家具产品</v>
      </c>
    </row>
    <row r="2551" spans="1:20">
      <c r="A2551" s="8">
        <f t="shared" ref="A2551:B2553" si="215">DATE(2012,12,31)-1411</f>
        <v>39863</v>
      </c>
      <c r="B2551" s="8">
        <f t="shared" si="215"/>
        <v>39863</v>
      </c>
      <c r="C2551" s="9" t="s">
        <v>464</v>
      </c>
      <c r="D2551">
        <v>10021305078</v>
      </c>
      <c r="E2551" t="s">
        <v>47</v>
      </c>
      <c r="F2551" t="s">
        <v>603</v>
      </c>
      <c r="G2551" t="s">
        <v>604</v>
      </c>
      <c r="H2551" t="s">
        <v>605</v>
      </c>
      <c r="I2551" t="s">
        <v>606</v>
      </c>
      <c r="J2551" t="s">
        <v>668</v>
      </c>
      <c r="K2551" s="3">
        <v>10097463641</v>
      </c>
      <c r="L2551" s="10">
        <v>39864</v>
      </c>
      <c r="M2551">
        <v>226.65</v>
      </c>
      <c r="N2551" s="11">
        <v>37</v>
      </c>
      <c r="O2551" s="12">
        <v>5.98</v>
      </c>
      <c r="P2551" s="12">
        <v>0.96</v>
      </c>
      <c r="Q2551" s="13">
        <v>46.41</v>
      </c>
      <c r="R2551" s="36" t="s">
        <v>702</v>
      </c>
      <c r="S2551" s="7">
        <f t="shared" si="209"/>
        <v>1</v>
      </c>
      <c r="T2551" s="15" t="str">
        <f>VLOOKUP(R2551,产品分类!$C$2:$D$1278,2,0)</f>
        <v>办公用品</v>
      </c>
    </row>
    <row r="2552" spans="1:20">
      <c r="A2552" s="8">
        <f t="shared" si="215"/>
        <v>39863</v>
      </c>
      <c r="B2552" s="8">
        <f t="shared" si="215"/>
        <v>39863</v>
      </c>
      <c r="C2552" s="9" t="s">
        <v>464</v>
      </c>
      <c r="D2552">
        <v>10021399749</v>
      </c>
      <c r="E2552" t="s">
        <v>47</v>
      </c>
      <c r="F2552" t="s">
        <v>61</v>
      </c>
      <c r="G2552" t="s">
        <v>62</v>
      </c>
      <c r="H2552" t="s">
        <v>47</v>
      </c>
      <c r="I2552" t="s">
        <v>1778</v>
      </c>
      <c r="J2552" t="s">
        <v>668</v>
      </c>
      <c r="K2552" s="3">
        <v>100411849133</v>
      </c>
      <c r="L2552" s="10">
        <v>39864</v>
      </c>
      <c r="M2552">
        <v>10.96</v>
      </c>
      <c r="N2552" s="11">
        <v>4</v>
      </c>
      <c r="O2552" s="12">
        <v>2.08</v>
      </c>
      <c r="P2552" s="12">
        <v>2.56</v>
      </c>
      <c r="Q2552" s="13">
        <v>-8.02</v>
      </c>
      <c r="R2552" s="36" t="s">
        <v>59</v>
      </c>
      <c r="S2552" s="7">
        <f t="shared" si="209"/>
        <v>1</v>
      </c>
      <c r="T2552" s="15" t="str">
        <f>VLOOKUP(R2552,产品分类!$C$2:$D$1278,2,0)</f>
        <v>数码电子</v>
      </c>
    </row>
    <row r="2553" spans="1:20">
      <c r="A2553" s="8">
        <f t="shared" si="215"/>
        <v>39863</v>
      </c>
      <c r="B2553" s="8">
        <f t="shared" si="215"/>
        <v>39863</v>
      </c>
      <c r="C2553" s="9" t="s">
        <v>464</v>
      </c>
      <c r="D2553">
        <v>10021458355</v>
      </c>
      <c r="E2553" t="s">
        <v>47</v>
      </c>
      <c r="F2553" t="s">
        <v>61</v>
      </c>
      <c r="G2553" t="s">
        <v>62</v>
      </c>
      <c r="H2553" t="s">
        <v>47</v>
      </c>
      <c r="I2553" t="s">
        <v>1778</v>
      </c>
      <c r="J2553" t="s">
        <v>668</v>
      </c>
      <c r="K2553" s="3">
        <v>10019492286</v>
      </c>
      <c r="L2553" s="10">
        <v>39864</v>
      </c>
      <c r="M2553">
        <v>185.61</v>
      </c>
      <c r="N2553" s="11">
        <v>29</v>
      </c>
      <c r="O2553" s="12">
        <v>5.98</v>
      </c>
      <c r="P2553" s="12">
        <v>5.46</v>
      </c>
      <c r="Q2553" s="13">
        <v>-47.12</v>
      </c>
      <c r="R2553" s="36" t="s">
        <v>1990</v>
      </c>
      <c r="S2553" s="7">
        <f t="shared" si="209"/>
        <v>1</v>
      </c>
      <c r="T2553" s="15" t="str">
        <f>VLOOKUP(R2553,产品分类!$C$2:$D$1278,2,0)</f>
        <v>家具产品</v>
      </c>
    </row>
    <row r="2554" spans="1:20">
      <c r="A2554" s="8">
        <f>DATE(2012,12,31)-1326</f>
        <v>39948</v>
      </c>
      <c r="B2554" s="8">
        <f>DATE(2012,12,31)-1326</f>
        <v>39948</v>
      </c>
      <c r="C2554" s="9" t="s">
        <v>1535</v>
      </c>
      <c r="D2554">
        <v>10021397761</v>
      </c>
      <c r="E2554" t="s">
        <v>47</v>
      </c>
      <c r="F2554" t="s">
        <v>61</v>
      </c>
      <c r="G2554" t="s">
        <v>62</v>
      </c>
      <c r="H2554" t="s">
        <v>47</v>
      </c>
      <c r="I2554" t="s">
        <v>1778</v>
      </c>
      <c r="J2554" t="s">
        <v>668</v>
      </c>
      <c r="K2554" s="3">
        <v>100930072701</v>
      </c>
      <c r="L2554" s="10">
        <v>39949</v>
      </c>
      <c r="M2554">
        <v>991.01</v>
      </c>
      <c r="N2554" s="11">
        <v>30</v>
      </c>
      <c r="O2554" s="12">
        <v>30.98</v>
      </c>
      <c r="P2554" s="12">
        <v>6.5</v>
      </c>
      <c r="Q2554" s="13">
        <v>46.29</v>
      </c>
      <c r="R2554" s="36" t="s">
        <v>744</v>
      </c>
      <c r="S2554" s="7">
        <f t="shared" si="209"/>
        <v>1</v>
      </c>
      <c r="T2554" s="15" t="str">
        <f>VLOOKUP(R2554,产品分类!$C$2:$D$1278,2,0)</f>
        <v>家具产品</v>
      </c>
    </row>
    <row r="2555" spans="1:20">
      <c r="A2555" s="8">
        <f>DATE(2012,12,31)-1326</f>
        <v>39948</v>
      </c>
      <c r="B2555" s="8">
        <f>DATE(2012,12,31)-1326</f>
        <v>39948</v>
      </c>
      <c r="C2555" s="9" t="s">
        <v>1535</v>
      </c>
      <c r="D2555">
        <v>10021325122</v>
      </c>
      <c r="E2555" t="s">
        <v>47</v>
      </c>
      <c r="F2555" t="s">
        <v>61</v>
      </c>
      <c r="G2555" t="s">
        <v>62</v>
      </c>
      <c r="H2555" t="s">
        <v>47</v>
      </c>
      <c r="I2555" t="s">
        <v>1778</v>
      </c>
      <c r="J2555" t="s">
        <v>668</v>
      </c>
      <c r="K2555" s="3">
        <v>10079521715</v>
      </c>
      <c r="L2555" s="10">
        <v>39951</v>
      </c>
      <c r="M2555">
        <v>1267.42</v>
      </c>
      <c r="N2555" s="11">
        <v>29</v>
      </c>
      <c r="O2555" s="12">
        <v>40.99</v>
      </c>
      <c r="P2555" s="12">
        <v>19.99</v>
      </c>
      <c r="Q2555" s="13">
        <v>177.79</v>
      </c>
      <c r="R2555" s="36" t="s">
        <v>656</v>
      </c>
      <c r="S2555" s="7">
        <f t="shared" si="209"/>
        <v>3</v>
      </c>
      <c r="T2555" s="15" t="str">
        <f>VLOOKUP(R2555,产品分类!$C$2:$D$1278,2,0)</f>
        <v>家具产品</v>
      </c>
    </row>
    <row r="2556" spans="1:20">
      <c r="A2556" s="8">
        <f t="shared" ref="A2556:B2558" si="216">DATE(2012,12,31)-324</f>
        <v>40950</v>
      </c>
      <c r="B2556" s="8">
        <f t="shared" si="216"/>
        <v>40950</v>
      </c>
      <c r="C2556" s="9" t="s">
        <v>350</v>
      </c>
      <c r="D2556">
        <v>10021410881</v>
      </c>
      <c r="E2556" t="s">
        <v>47</v>
      </c>
      <c r="F2556" t="s">
        <v>66</v>
      </c>
      <c r="G2556" t="s">
        <v>67</v>
      </c>
      <c r="H2556" t="s">
        <v>1435</v>
      </c>
      <c r="I2556" t="s">
        <v>1436</v>
      </c>
      <c r="J2556" t="s">
        <v>668</v>
      </c>
      <c r="K2556" s="3">
        <v>10099725511</v>
      </c>
      <c r="L2556" s="10">
        <v>40951</v>
      </c>
      <c r="M2556">
        <v>2507.79</v>
      </c>
      <c r="N2556" s="11">
        <v>44</v>
      </c>
      <c r="O2556" s="12">
        <v>58.14</v>
      </c>
      <c r="P2556" s="12">
        <v>36.61</v>
      </c>
      <c r="Q2556" s="13">
        <v>-779.81</v>
      </c>
      <c r="R2556" s="36" t="s">
        <v>1368</v>
      </c>
      <c r="S2556" s="7">
        <f t="shared" si="209"/>
        <v>1</v>
      </c>
      <c r="T2556" s="15" t="str">
        <f>VLOOKUP(R2556,产品分类!$C$2:$D$1278,2,0)</f>
        <v>数码电子</v>
      </c>
    </row>
    <row r="2557" spans="1:20">
      <c r="A2557" s="8">
        <f t="shared" si="216"/>
        <v>40950</v>
      </c>
      <c r="B2557" s="8">
        <f t="shared" si="216"/>
        <v>40950</v>
      </c>
      <c r="C2557" s="9" t="s">
        <v>350</v>
      </c>
      <c r="D2557">
        <v>10021376140</v>
      </c>
      <c r="E2557" t="s">
        <v>47</v>
      </c>
      <c r="F2557" t="s">
        <v>527</v>
      </c>
      <c r="G2557" t="s">
        <v>528</v>
      </c>
      <c r="H2557" t="s">
        <v>1913</v>
      </c>
      <c r="I2557" t="s">
        <v>1914</v>
      </c>
      <c r="J2557" t="s">
        <v>668</v>
      </c>
      <c r="K2557" s="3">
        <v>100128193827</v>
      </c>
      <c r="L2557" s="10">
        <v>40951</v>
      </c>
      <c r="M2557">
        <v>1052.68</v>
      </c>
      <c r="N2557" s="11">
        <v>30</v>
      </c>
      <c r="O2557" s="12">
        <v>32.98</v>
      </c>
      <c r="P2557" s="12">
        <v>5.5</v>
      </c>
      <c r="Q2557" s="13">
        <v>-19.27</v>
      </c>
      <c r="R2557" s="36" t="s">
        <v>1040</v>
      </c>
      <c r="S2557" s="7">
        <f t="shared" si="209"/>
        <v>1</v>
      </c>
      <c r="T2557" s="15" t="str">
        <f>VLOOKUP(R2557,产品分类!$C$2:$D$1278,2,0)</f>
        <v>数码电子</v>
      </c>
    </row>
    <row r="2558" spans="1:20">
      <c r="A2558" s="8">
        <f t="shared" si="216"/>
        <v>40950</v>
      </c>
      <c r="B2558" s="8">
        <f t="shared" si="216"/>
        <v>40950</v>
      </c>
      <c r="C2558" s="9" t="s">
        <v>350</v>
      </c>
      <c r="D2558">
        <v>10021305104</v>
      </c>
      <c r="E2558" t="s">
        <v>47</v>
      </c>
      <c r="F2558" t="s">
        <v>171</v>
      </c>
      <c r="G2558" t="s">
        <v>172</v>
      </c>
      <c r="H2558" t="s">
        <v>1712</v>
      </c>
      <c r="I2558" t="s">
        <v>1713</v>
      </c>
      <c r="J2558" t="s">
        <v>668</v>
      </c>
      <c r="K2558" s="3">
        <v>100130730548</v>
      </c>
      <c r="L2558" s="10">
        <v>40952</v>
      </c>
      <c r="M2558">
        <v>2536.31</v>
      </c>
      <c r="N2558" s="11">
        <v>30</v>
      </c>
      <c r="O2558" s="12">
        <v>80.98</v>
      </c>
      <c r="P2558" s="12">
        <v>35</v>
      </c>
      <c r="Q2558" s="13">
        <v>-643.46</v>
      </c>
      <c r="R2558" s="36" t="s">
        <v>1459</v>
      </c>
      <c r="S2558" s="7">
        <f t="shared" si="209"/>
        <v>2</v>
      </c>
      <c r="T2558" s="15" t="str">
        <f>VLOOKUP(R2558,产品分类!$C$2:$D$1278,2,0)</f>
        <v>办公用品</v>
      </c>
    </row>
    <row r="2559" spans="1:20">
      <c r="A2559" s="8">
        <f>DATE(2012,12,31)-606</f>
        <v>40668</v>
      </c>
      <c r="B2559" s="8">
        <f>DATE(2012,12,31)-606</f>
        <v>40668</v>
      </c>
      <c r="C2559" s="9" t="s">
        <v>643</v>
      </c>
      <c r="D2559">
        <v>10021333198</v>
      </c>
      <c r="E2559" t="s">
        <v>47</v>
      </c>
      <c r="F2559" t="s">
        <v>152</v>
      </c>
      <c r="G2559" t="s">
        <v>153</v>
      </c>
      <c r="H2559" t="s">
        <v>1860</v>
      </c>
      <c r="I2559" t="s">
        <v>1861</v>
      </c>
      <c r="J2559" t="s">
        <v>668</v>
      </c>
      <c r="K2559" s="3">
        <v>10096496781</v>
      </c>
      <c r="L2559" s="10">
        <v>40670</v>
      </c>
      <c r="M2559">
        <v>6637.63</v>
      </c>
      <c r="N2559" s="11">
        <v>46</v>
      </c>
      <c r="O2559" s="12">
        <v>145.45</v>
      </c>
      <c r="P2559" s="12">
        <v>17.85</v>
      </c>
      <c r="Q2559" s="13">
        <v>1487.94</v>
      </c>
      <c r="R2559" s="36" t="s">
        <v>322</v>
      </c>
      <c r="S2559" s="7">
        <f t="shared" si="209"/>
        <v>2</v>
      </c>
      <c r="T2559" s="15" t="str">
        <f>VLOOKUP(R2559,产品分类!$C$2:$D$1278,2,0)</f>
        <v>家具产品</v>
      </c>
    </row>
    <row r="2560" spans="1:20">
      <c r="A2560" s="8">
        <f>DATE(2012,12,31)-606</f>
        <v>40668</v>
      </c>
      <c r="B2560" s="8">
        <f>DATE(2012,12,31)-606</f>
        <v>40668</v>
      </c>
      <c r="C2560" s="9" t="s">
        <v>643</v>
      </c>
      <c r="D2560">
        <v>10021253175</v>
      </c>
      <c r="E2560" t="s">
        <v>47</v>
      </c>
      <c r="F2560" t="s">
        <v>66</v>
      </c>
      <c r="G2560" t="s">
        <v>67</v>
      </c>
      <c r="H2560" t="s">
        <v>1435</v>
      </c>
      <c r="I2560" t="s">
        <v>1436</v>
      </c>
      <c r="J2560" t="s">
        <v>668</v>
      </c>
      <c r="K2560" s="3">
        <v>10099864121</v>
      </c>
      <c r="L2560" s="10">
        <v>40670</v>
      </c>
      <c r="M2560">
        <v>928.9055</v>
      </c>
      <c r="N2560" s="11">
        <v>13</v>
      </c>
      <c r="O2560" s="12">
        <v>85.99</v>
      </c>
      <c r="P2560" s="12">
        <v>2.79</v>
      </c>
      <c r="Q2560" s="13">
        <v>-23.925</v>
      </c>
      <c r="R2560" s="36" t="s">
        <v>1471</v>
      </c>
      <c r="S2560" s="7">
        <f t="shared" si="209"/>
        <v>2</v>
      </c>
      <c r="T2560" s="15" t="str">
        <f>VLOOKUP(R2560,产品分类!$C$2:$D$1278,2,0)</f>
        <v>数码电子</v>
      </c>
    </row>
    <row r="2561" spans="1:20">
      <c r="A2561" s="16">
        <f>DATE(2012,12,31)-611</f>
        <v>40663</v>
      </c>
      <c r="B2561" s="16">
        <f>DATE(2012,12,31)-611</f>
        <v>40663</v>
      </c>
      <c r="C2561" s="9" t="s">
        <v>394</v>
      </c>
      <c r="D2561">
        <v>10021512042</v>
      </c>
      <c r="E2561" t="s">
        <v>47</v>
      </c>
      <c r="F2561" t="s">
        <v>66</v>
      </c>
      <c r="G2561" t="s">
        <v>67</v>
      </c>
      <c r="H2561" t="s">
        <v>1435</v>
      </c>
      <c r="I2561" t="s">
        <v>1436</v>
      </c>
      <c r="J2561" t="s">
        <v>668</v>
      </c>
      <c r="K2561" s="3">
        <v>100132750986</v>
      </c>
      <c r="L2561" s="10">
        <v>40664</v>
      </c>
      <c r="M2561">
        <v>340.97</v>
      </c>
      <c r="N2561" s="17">
        <v>33</v>
      </c>
      <c r="O2561" s="5">
        <v>10.98</v>
      </c>
      <c r="P2561" s="5">
        <v>3.99</v>
      </c>
      <c r="Q2561" s="6">
        <v>-22.82</v>
      </c>
      <c r="R2561" s="37" t="s">
        <v>1382</v>
      </c>
      <c r="S2561" s="7">
        <f t="shared" si="209"/>
        <v>1</v>
      </c>
      <c r="T2561" s="15" t="str">
        <f>VLOOKUP(R2561,产品分类!$C$2:$D$1278,2,0)</f>
        <v>办公用品</v>
      </c>
    </row>
    <row r="2562" spans="1:20">
      <c r="A2562" s="16">
        <f>DATE(2012,12,31)-611</f>
        <v>40663</v>
      </c>
      <c r="B2562" s="16">
        <f>DATE(2012,12,31)-611</f>
        <v>40663</v>
      </c>
      <c r="C2562" s="9" t="s">
        <v>394</v>
      </c>
      <c r="D2562">
        <v>10021254747</v>
      </c>
      <c r="E2562" t="s">
        <v>47</v>
      </c>
      <c r="F2562" t="s">
        <v>48</v>
      </c>
      <c r="G2562" t="s">
        <v>49</v>
      </c>
      <c r="H2562" t="s">
        <v>1812</v>
      </c>
      <c r="I2562" t="s">
        <v>1813</v>
      </c>
      <c r="J2562" t="s">
        <v>668</v>
      </c>
      <c r="K2562" s="3">
        <v>100422943983</v>
      </c>
      <c r="L2562" s="10">
        <v>40665</v>
      </c>
      <c r="M2562">
        <v>136.24</v>
      </c>
      <c r="N2562" s="17">
        <v>22</v>
      </c>
      <c r="O2562" s="5">
        <v>5.78</v>
      </c>
      <c r="P2562" s="5">
        <v>7.96</v>
      </c>
      <c r="Q2562" s="6">
        <v>-96.22</v>
      </c>
      <c r="R2562" s="37" t="s">
        <v>1065</v>
      </c>
      <c r="S2562" s="7">
        <f t="shared" si="209"/>
        <v>2</v>
      </c>
      <c r="T2562" s="15" t="str">
        <f>VLOOKUP(R2562,产品分类!$C$2:$D$1278,2,0)</f>
        <v>办公用品</v>
      </c>
    </row>
    <row r="2563" spans="1:20">
      <c r="A2563" s="8">
        <f>DATE(2012,12,31)-731</f>
        <v>40543</v>
      </c>
      <c r="B2563" s="8">
        <f>DATE(2012,12,31)-731</f>
        <v>40543</v>
      </c>
      <c r="C2563" s="9" t="s">
        <v>506</v>
      </c>
      <c r="D2563">
        <v>10021452926</v>
      </c>
      <c r="E2563" t="s">
        <v>47</v>
      </c>
      <c r="F2563" t="s">
        <v>66</v>
      </c>
      <c r="G2563" t="s">
        <v>67</v>
      </c>
      <c r="H2563" t="s">
        <v>1435</v>
      </c>
      <c r="I2563" t="s">
        <v>1436</v>
      </c>
      <c r="J2563" t="s">
        <v>668</v>
      </c>
      <c r="K2563" s="3">
        <v>100131613916</v>
      </c>
      <c r="L2563" s="10">
        <v>40543</v>
      </c>
      <c r="M2563">
        <v>56.13</v>
      </c>
      <c r="N2563" s="11">
        <v>2</v>
      </c>
      <c r="O2563" s="12">
        <v>20.28</v>
      </c>
      <c r="P2563" s="12">
        <v>14.39</v>
      </c>
      <c r="Q2563" s="13">
        <v>48.85</v>
      </c>
      <c r="R2563" s="36" t="s">
        <v>1295</v>
      </c>
      <c r="S2563" s="7">
        <f t="shared" ref="S2563:S2626" si="217">+L2563-B2563</f>
        <v>0</v>
      </c>
      <c r="T2563" s="15" t="str">
        <f>VLOOKUP(R2563,产品分类!$C$2:$D$1278,2,0)</f>
        <v>数码电子</v>
      </c>
    </row>
    <row r="2564" spans="1:20">
      <c r="A2564" s="8">
        <f>DATE(2012,12,31)-731</f>
        <v>40543</v>
      </c>
      <c r="B2564" s="8">
        <f>DATE(2012,12,31)-731</f>
        <v>40543</v>
      </c>
      <c r="C2564" s="9" t="s">
        <v>506</v>
      </c>
      <c r="D2564">
        <v>10021545083</v>
      </c>
      <c r="E2564" t="s">
        <v>47</v>
      </c>
      <c r="F2564" t="s">
        <v>152</v>
      </c>
      <c r="G2564" t="s">
        <v>153</v>
      </c>
      <c r="H2564" t="s">
        <v>1860</v>
      </c>
      <c r="I2564" t="s">
        <v>1861</v>
      </c>
      <c r="J2564" t="s">
        <v>668</v>
      </c>
      <c r="K2564" s="3">
        <v>10043957114</v>
      </c>
      <c r="L2564" s="10">
        <v>40545</v>
      </c>
      <c r="M2564">
        <v>1491.5205</v>
      </c>
      <c r="N2564" s="11">
        <v>25</v>
      </c>
      <c r="O2564" s="12">
        <v>65.99</v>
      </c>
      <c r="P2564" s="12">
        <v>5.99</v>
      </c>
      <c r="Q2564" s="13">
        <v>286.362</v>
      </c>
      <c r="R2564" s="36" t="s">
        <v>1660</v>
      </c>
      <c r="S2564" s="7">
        <f t="shared" si="217"/>
        <v>2</v>
      </c>
      <c r="T2564" s="15" t="str">
        <f>VLOOKUP(R2564,产品分类!$C$2:$D$1278,2,0)</f>
        <v>办公用品</v>
      </c>
    </row>
    <row r="2565" spans="1:20">
      <c r="A2565" s="8">
        <f>DATE(2012,12,31)-63</f>
        <v>41211</v>
      </c>
      <c r="B2565" s="8">
        <f>DATE(2012,12,31)-63</f>
        <v>41211</v>
      </c>
      <c r="C2565" s="9" t="s">
        <v>578</v>
      </c>
      <c r="D2565">
        <v>10021268414</v>
      </c>
      <c r="E2565" t="s">
        <v>47</v>
      </c>
      <c r="F2565" t="s">
        <v>152</v>
      </c>
      <c r="G2565" t="s">
        <v>153</v>
      </c>
      <c r="H2565" t="s">
        <v>1860</v>
      </c>
      <c r="I2565" t="s">
        <v>1861</v>
      </c>
      <c r="J2565" t="s">
        <v>668</v>
      </c>
      <c r="K2565" s="3">
        <v>100332396719</v>
      </c>
      <c r="L2565" s="10">
        <v>41213</v>
      </c>
      <c r="M2565">
        <v>1298.81</v>
      </c>
      <c r="N2565" s="11">
        <v>50</v>
      </c>
      <c r="O2565" s="12">
        <v>25.98</v>
      </c>
      <c r="P2565" s="12">
        <v>14.36</v>
      </c>
      <c r="Q2565" s="13">
        <v>-250.55</v>
      </c>
      <c r="R2565" s="36" t="s">
        <v>1510</v>
      </c>
      <c r="S2565" s="7">
        <f t="shared" si="217"/>
        <v>2</v>
      </c>
      <c r="T2565" s="15" t="str">
        <f>VLOOKUP(R2565,产品分类!$C$2:$D$1278,2,0)</f>
        <v>办公用品</v>
      </c>
    </row>
    <row r="2566" spans="1:20">
      <c r="A2566" s="8">
        <f>DATE(2012,12,31)-438</f>
        <v>40836</v>
      </c>
      <c r="B2566" s="8">
        <f>DATE(2012,12,31)-438</f>
        <v>40836</v>
      </c>
      <c r="C2566" s="9" t="s">
        <v>786</v>
      </c>
      <c r="D2566">
        <v>10021498979</v>
      </c>
      <c r="E2566" t="s">
        <v>47</v>
      </c>
      <c r="F2566" t="s">
        <v>66</v>
      </c>
      <c r="G2566" t="s">
        <v>67</v>
      </c>
      <c r="H2566" t="s">
        <v>1435</v>
      </c>
      <c r="I2566" t="s">
        <v>1436</v>
      </c>
      <c r="J2566" t="s">
        <v>668</v>
      </c>
      <c r="K2566" s="3">
        <v>100923810411</v>
      </c>
      <c r="L2566" s="10">
        <v>40837</v>
      </c>
      <c r="M2566">
        <v>230.77</v>
      </c>
      <c r="N2566" s="11">
        <v>29</v>
      </c>
      <c r="O2566" s="12">
        <v>8.45</v>
      </c>
      <c r="P2566" s="12">
        <v>7.77</v>
      </c>
      <c r="Q2566" s="13">
        <v>-146.24</v>
      </c>
      <c r="R2566" s="36" t="s">
        <v>1973</v>
      </c>
      <c r="S2566" s="7">
        <f t="shared" si="217"/>
        <v>1</v>
      </c>
      <c r="T2566" s="15" t="str">
        <f>VLOOKUP(R2566,产品分类!$C$2:$D$1278,2,0)</f>
        <v>家具产品</v>
      </c>
    </row>
    <row r="2567" spans="1:20">
      <c r="A2567" s="8">
        <f>DATE(2012,12,31)-438</f>
        <v>40836</v>
      </c>
      <c r="B2567" s="8">
        <f>DATE(2012,12,31)-438</f>
        <v>40836</v>
      </c>
      <c r="C2567" s="9" t="s">
        <v>786</v>
      </c>
      <c r="D2567">
        <v>10021512121</v>
      </c>
      <c r="E2567" t="s">
        <v>47</v>
      </c>
      <c r="F2567" t="s">
        <v>48</v>
      </c>
      <c r="G2567" t="s">
        <v>49</v>
      </c>
      <c r="H2567" t="s">
        <v>1812</v>
      </c>
      <c r="I2567" t="s">
        <v>1813</v>
      </c>
      <c r="J2567" t="s">
        <v>668</v>
      </c>
      <c r="K2567" s="3">
        <v>100132754397</v>
      </c>
      <c r="L2567" s="10">
        <v>40838</v>
      </c>
      <c r="M2567">
        <v>507.58</v>
      </c>
      <c r="N2567" s="11">
        <v>31</v>
      </c>
      <c r="O2567" s="12">
        <v>15.42</v>
      </c>
      <c r="P2567" s="12">
        <v>10.68</v>
      </c>
      <c r="Q2567" s="13">
        <v>-131.59</v>
      </c>
      <c r="R2567" s="36" t="s">
        <v>165</v>
      </c>
      <c r="S2567" s="7">
        <f t="shared" si="217"/>
        <v>2</v>
      </c>
      <c r="T2567" s="15" t="str">
        <f>VLOOKUP(R2567,产品分类!$C$2:$D$1278,2,0)</f>
        <v>办公用品</v>
      </c>
    </row>
    <row r="2568" spans="1:20">
      <c r="A2568" s="8">
        <f>DATE(2012,12,31)-1151</f>
        <v>40123</v>
      </c>
      <c r="B2568" s="8">
        <f>DATE(2012,12,31)-1151</f>
        <v>40123</v>
      </c>
      <c r="C2568" s="9" t="s">
        <v>1932</v>
      </c>
      <c r="D2568">
        <v>10021498127</v>
      </c>
      <c r="E2568" t="s">
        <v>47</v>
      </c>
      <c r="F2568" t="s">
        <v>66</v>
      </c>
      <c r="G2568" t="s">
        <v>67</v>
      </c>
      <c r="H2568" t="s">
        <v>1435</v>
      </c>
      <c r="I2568" t="s">
        <v>1436</v>
      </c>
      <c r="J2568" t="s">
        <v>668</v>
      </c>
      <c r="K2568" s="3">
        <v>100921443881</v>
      </c>
      <c r="L2568" s="10">
        <v>40124</v>
      </c>
      <c r="M2568">
        <v>442.57</v>
      </c>
      <c r="N2568" s="11">
        <v>27</v>
      </c>
      <c r="O2568" s="12">
        <v>15.31</v>
      </c>
      <c r="P2568" s="12">
        <v>8.78</v>
      </c>
      <c r="Q2568" s="13">
        <v>-60.73</v>
      </c>
      <c r="R2568" s="36" t="s">
        <v>1131</v>
      </c>
      <c r="S2568" s="7">
        <f t="shared" si="217"/>
        <v>1</v>
      </c>
      <c r="T2568" s="15" t="str">
        <f>VLOOKUP(R2568,产品分类!$C$2:$D$1278,2,0)</f>
        <v>数码电子</v>
      </c>
    </row>
    <row r="2569" spans="1:20">
      <c r="A2569" s="8">
        <f>DATE(2012,12,31)-1151</f>
        <v>40123</v>
      </c>
      <c r="B2569" s="8">
        <f>DATE(2012,12,31)-1151</f>
        <v>40123</v>
      </c>
      <c r="C2569" s="9" t="s">
        <v>1932</v>
      </c>
      <c r="D2569">
        <v>10021503447</v>
      </c>
      <c r="E2569" t="s">
        <v>47</v>
      </c>
      <c r="F2569" t="s">
        <v>152</v>
      </c>
      <c r="G2569" t="s">
        <v>153</v>
      </c>
      <c r="H2569" t="s">
        <v>1860</v>
      </c>
      <c r="I2569" t="s">
        <v>1861</v>
      </c>
      <c r="J2569" t="s">
        <v>668</v>
      </c>
      <c r="K2569" s="3">
        <v>100129649208</v>
      </c>
      <c r="L2569" s="10">
        <v>40125</v>
      </c>
      <c r="M2569">
        <v>53.737</v>
      </c>
      <c r="N2569" s="11">
        <v>5</v>
      </c>
      <c r="O2569" s="12">
        <v>7.99</v>
      </c>
      <c r="P2569" s="12">
        <v>5.03</v>
      </c>
      <c r="Q2569" s="13">
        <v>-28.435</v>
      </c>
      <c r="R2569" s="36" t="s">
        <v>71</v>
      </c>
      <c r="S2569" s="7">
        <f t="shared" si="217"/>
        <v>2</v>
      </c>
      <c r="T2569" s="15" t="str">
        <f>VLOOKUP(R2569,产品分类!$C$2:$D$1278,2,0)</f>
        <v>办公用品</v>
      </c>
    </row>
    <row r="2570" spans="1:20">
      <c r="A2570" s="8">
        <f>DATE(2012,12,31)-367</f>
        <v>40907</v>
      </c>
      <c r="B2570" s="8">
        <f>DATE(2012,12,31)-367</f>
        <v>40907</v>
      </c>
      <c r="C2570" s="9" t="s">
        <v>240</v>
      </c>
      <c r="D2570">
        <v>10021264537</v>
      </c>
      <c r="E2570" t="s">
        <v>47</v>
      </c>
      <c r="F2570" t="s">
        <v>72</v>
      </c>
      <c r="G2570" t="s">
        <v>73</v>
      </c>
      <c r="H2570" t="s">
        <v>1949</v>
      </c>
      <c r="I2570" t="s">
        <v>1950</v>
      </c>
      <c r="J2570" t="s">
        <v>668</v>
      </c>
      <c r="K2570" s="3">
        <v>100931193021</v>
      </c>
      <c r="L2570" s="10">
        <v>40907</v>
      </c>
      <c r="M2570">
        <v>282.58</v>
      </c>
      <c r="N2570" s="11">
        <v>36</v>
      </c>
      <c r="O2570" s="12">
        <v>8.33</v>
      </c>
      <c r="P2570" s="12">
        <v>1.99</v>
      </c>
      <c r="Q2570" s="13">
        <v>21.68</v>
      </c>
      <c r="R2570" s="36" t="s">
        <v>1011</v>
      </c>
      <c r="S2570" s="7">
        <f t="shared" si="217"/>
        <v>0</v>
      </c>
      <c r="T2570" s="15" t="str">
        <f>VLOOKUP(R2570,产品分类!$C$2:$D$1278,2,0)</f>
        <v>家具产品</v>
      </c>
    </row>
    <row r="2571" spans="1:20">
      <c r="A2571" s="8">
        <f>DATE(2012,12,31)-1452</f>
        <v>39822</v>
      </c>
      <c r="B2571" s="8">
        <f>DATE(2012,12,31)-1452</f>
        <v>39822</v>
      </c>
      <c r="C2571" s="9" t="s">
        <v>551</v>
      </c>
      <c r="D2571">
        <v>10021445173</v>
      </c>
      <c r="E2571" t="s">
        <v>47</v>
      </c>
      <c r="F2571" t="s">
        <v>72</v>
      </c>
      <c r="G2571" t="s">
        <v>73</v>
      </c>
      <c r="H2571" t="s">
        <v>1949</v>
      </c>
      <c r="I2571" t="s">
        <v>1950</v>
      </c>
      <c r="J2571" t="s">
        <v>668</v>
      </c>
      <c r="K2571" s="3">
        <v>100111537067</v>
      </c>
      <c r="L2571" s="10">
        <v>39823</v>
      </c>
      <c r="M2571">
        <v>45.87</v>
      </c>
      <c r="N2571" s="11">
        <v>9</v>
      </c>
      <c r="O2571" s="12">
        <v>4.13</v>
      </c>
      <c r="P2571" s="12">
        <v>6.89</v>
      </c>
      <c r="Q2571" s="13">
        <v>-38.9</v>
      </c>
      <c r="R2571" s="36" t="s">
        <v>1335</v>
      </c>
      <c r="S2571" s="7">
        <f t="shared" si="217"/>
        <v>1</v>
      </c>
      <c r="T2571" s="15" t="str">
        <f>VLOOKUP(R2571,产品分类!$C$2:$D$1278,2,0)</f>
        <v>数码电子</v>
      </c>
    </row>
    <row r="2572" spans="1:20">
      <c r="A2572" s="8">
        <f>DATE(2012,12,31)-377</f>
        <v>40897</v>
      </c>
      <c r="B2572" s="8">
        <f>DATE(2012,12,31)-377</f>
        <v>40897</v>
      </c>
      <c r="C2572" s="9" t="s">
        <v>492</v>
      </c>
      <c r="D2572">
        <v>10021503816</v>
      </c>
      <c r="E2572" t="s">
        <v>47</v>
      </c>
      <c r="F2572" t="s">
        <v>78</v>
      </c>
      <c r="G2572" t="s">
        <v>79</v>
      </c>
      <c r="H2572" t="s">
        <v>1887</v>
      </c>
      <c r="I2572" t="s">
        <v>1888</v>
      </c>
      <c r="J2572" t="s">
        <v>668</v>
      </c>
      <c r="K2572" s="3">
        <v>100129966576</v>
      </c>
      <c r="L2572" s="10">
        <v>40899</v>
      </c>
      <c r="M2572">
        <v>160.11</v>
      </c>
      <c r="N2572" s="11">
        <v>41</v>
      </c>
      <c r="O2572" s="12">
        <v>3.98</v>
      </c>
      <c r="P2572" s="12">
        <v>2.97</v>
      </c>
      <c r="Q2572" s="13">
        <v>-26.73</v>
      </c>
      <c r="R2572" s="36" t="s">
        <v>1098</v>
      </c>
      <c r="S2572" s="7">
        <f t="shared" si="217"/>
        <v>2</v>
      </c>
      <c r="T2572" s="15" t="str">
        <f>VLOOKUP(R2572,产品分类!$C$2:$D$1278,2,0)</f>
        <v>办公用品</v>
      </c>
    </row>
    <row r="2573" spans="1:20">
      <c r="A2573" s="8">
        <f>DATE(2012,12,31)-92</f>
        <v>41182</v>
      </c>
      <c r="B2573" s="8">
        <f>DATE(2012,12,31)-92</f>
        <v>41182</v>
      </c>
      <c r="C2573" s="9" t="s">
        <v>2007</v>
      </c>
      <c r="D2573">
        <v>10021349994</v>
      </c>
      <c r="E2573" t="s">
        <v>47</v>
      </c>
      <c r="F2573" t="s">
        <v>72</v>
      </c>
      <c r="G2573" t="s">
        <v>73</v>
      </c>
      <c r="H2573" t="s">
        <v>1949</v>
      </c>
      <c r="I2573" t="s">
        <v>1950</v>
      </c>
      <c r="J2573" t="s">
        <v>668</v>
      </c>
      <c r="K2573" s="3">
        <v>10011126857</v>
      </c>
      <c r="L2573" s="10">
        <v>41183</v>
      </c>
      <c r="M2573">
        <v>25.72</v>
      </c>
      <c r="N2573" s="11">
        <v>2</v>
      </c>
      <c r="O2573" s="12">
        <v>10.98</v>
      </c>
      <c r="P2573" s="12">
        <v>3.37</v>
      </c>
      <c r="Q2573" s="13">
        <v>-15.5</v>
      </c>
      <c r="R2573" s="36" t="s">
        <v>1792</v>
      </c>
      <c r="S2573" s="7">
        <f t="shared" si="217"/>
        <v>1</v>
      </c>
      <c r="T2573" s="15" t="str">
        <f>VLOOKUP(R2573,产品分类!$C$2:$D$1278,2,0)</f>
        <v>办公用品</v>
      </c>
    </row>
    <row r="2574" spans="1:20">
      <c r="A2574" s="8">
        <f>DATE(2012,12,31)-466</f>
        <v>40808</v>
      </c>
      <c r="B2574" s="8">
        <f>DATE(2012,12,31)-466</f>
        <v>40808</v>
      </c>
      <c r="C2574" s="9" t="s">
        <v>1415</v>
      </c>
      <c r="D2574">
        <v>10021508360</v>
      </c>
      <c r="E2574" t="s">
        <v>47</v>
      </c>
      <c r="F2574" t="s">
        <v>72</v>
      </c>
      <c r="G2574" t="s">
        <v>73</v>
      </c>
      <c r="H2574" t="s">
        <v>2008</v>
      </c>
      <c r="I2574" t="s">
        <v>2009</v>
      </c>
      <c r="J2574" t="s">
        <v>668</v>
      </c>
      <c r="K2574" s="3">
        <v>100132050686</v>
      </c>
      <c r="L2574" s="10">
        <v>40809</v>
      </c>
      <c r="M2574">
        <v>6572.04</v>
      </c>
      <c r="N2574" s="11">
        <v>23</v>
      </c>
      <c r="O2574" s="12">
        <v>300.97</v>
      </c>
      <c r="P2574" s="12">
        <v>7.18</v>
      </c>
      <c r="Q2574" s="13">
        <v>1579.34</v>
      </c>
      <c r="R2574" s="36" t="s">
        <v>755</v>
      </c>
      <c r="S2574" s="7">
        <f t="shared" si="217"/>
        <v>1</v>
      </c>
      <c r="T2574" s="15" t="str">
        <f>VLOOKUP(R2574,产品分类!$C$2:$D$1278,2,0)</f>
        <v>办公用品</v>
      </c>
    </row>
    <row r="2575" spans="1:20">
      <c r="A2575" s="8">
        <f>DATE(2012,12,31)-466</f>
        <v>40808</v>
      </c>
      <c r="B2575" s="8">
        <f>DATE(2012,12,31)-466</f>
        <v>40808</v>
      </c>
      <c r="C2575" s="9" t="s">
        <v>1415</v>
      </c>
      <c r="D2575">
        <v>10021269427</v>
      </c>
      <c r="E2575" t="s">
        <v>47</v>
      </c>
      <c r="F2575" t="s">
        <v>72</v>
      </c>
      <c r="G2575" t="s">
        <v>73</v>
      </c>
      <c r="H2575" t="s">
        <v>2008</v>
      </c>
      <c r="I2575" t="s">
        <v>2009</v>
      </c>
      <c r="J2575" t="s">
        <v>668</v>
      </c>
      <c r="K2575" s="3">
        <v>100932444301</v>
      </c>
      <c r="L2575" s="10">
        <v>40810</v>
      </c>
      <c r="M2575">
        <v>1051.992</v>
      </c>
      <c r="N2575" s="11">
        <v>19</v>
      </c>
      <c r="O2575" s="12">
        <v>70.89</v>
      </c>
      <c r="P2575" s="12">
        <v>89.3</v>
      </c>
      <c r="Q2575" s="13">
        <v>-1280.6</v>
      </c>
      <c r="R2575" s="36" t="s">
        <v>70</v>
      </c>
      <c r="S2575" s="7">
        <f t="shared" si="217"/>
        <v>2</v>
      </c>
      <c r="T2575" s="15" t="str">
        <f>VLOOKUP(R2575,产品分类!$C$2:$D$1278,2,0)</f>
        <v>数码电子</v>
      </c>
    </row>
    <row r="2576" spans="1:20">
      <c r="A2576" s="16">
        <f>DATE(2012,12,31)-1430</f>
        <v>39844</v>
      </c>
      <c r="B2576" s="16">
        <f>DATE(2012,12,31)-1430</f>
        <v>39844</v>
      </c>
      <c r="C2576" s="9" t="s">
        <v>264</v>
      </c>
      <c r="D2576">
        <v>10021500434</v>
      </c>
      <c r="E2576" t="s">
        <v>47</v>
      </c>
      <c r="F2576" t="s">
        <v>78</v>
      </c>
      <c r="G2576" t="s">
        <v>79</v>
      </c>
      <c r="H2576" t="s">
        <v>1887</v>
      </c>
      <c r="I2576" t="s">
        <v>1888</v>
      </c>
      <c r="J2576" t="s">
        <v>668</v>
      </c>
      <c r="K2576" s="3">
        <v>100825905072</v>
      </c>
      <c r="L2576" s="10">
        <v>39846</v>
      </c>
      <c r="M2576">
        <v>451.44</v>
      </c>
      <c r="N2576" s="17">
        <v>6</v>
      </c>
      <c r="O2576" s="5">
        <v>78.65</v>
      </c>
      <c r="P2576" s="5">
        <v>13.99</v>
      </c>
      <c r="Q2576" s="6">
        <v>-35.19</v>
      </c>
      <c r="R2576" s="37" t="s">
        <v>1758</v>
      </c>
      <c r="S2576" s="7">
        <f t="shared" si="217"/>
        <v>2</v>
      </c>
      <c r="T2576" s="15" t="str">
        <f>VLOOKUP(R2576,产品分类!$C$2:$D$1278,2,0)</f>
        <v>办公用品</v>
      </c>
    </row>
    <row r="2577" spans="1:20">
      <c r="A2577" s="16">
        <f>DATE(2012,12,31)-1430</f>
        <v>39844</v>
      </c>
      <c r="B2577" s="16">
        <f>DATE(2012,12,31)-1430</f>
        <v>39844</v>
      </c>
      <c r="C2577" s="9" t="s">
        <v>264</v>
      </c>
      <c r="D2577">
        <v>10021286544</v>
      </c>
      <c r="E2577" t="s">
        <v>47</v>
      </c>
      <c r="F2577" t="s">
        <v>230</v>
      </c>
      <c r="G2577" t="s">
        <v>231</v>
      </c>
      <c r="H2577" t="s">
        <v>1798</v>
      </c>
      <c r="I2577" t="s">
        <v>1799</v>
      </c>
      <c r="J2577" t="s">
        <v>668</v>
      </c>
      <c r="K2577" s="3">
        <v>100117416777</v>
      </c>
      <c r="L2577" s="10">
        <v>39846</v>
      </c>
      <c r="M2577">
        <v>138.55</v>
      </c>
      <c r="N2577" s="17">
        <v>16</v>
      </c>
      <c r="O2577" s="5">
        <v>8.34</v>
      </c>
      <c r="P2577" s="5">
        <v>2.64</v>
      </c>
      <c r="Q2577" s="6">
        <v>0.899999999999999</v>
      </c>
      <c r="R2577" s="37" t="s">
        <v>1974</v>
      </c>
      <c r="S2577" s="7">
        <f t="shared" si="217"/>
        <v>2</v>
      </c>
      <c r="T2577" s="15" t="str">
        <f>VLOOKUP(R2577,产品分类!$C$2:$D$1278,2,0)</f>
        <v>办公用品</v>
      </c>
    </row>
    <row r="2578" spans="1:20">
      <c r="A2578" s="8">
        <f>DATE(2012,12,31)-90</f>
        <v>41184</v>
      </c>
      <c r="B2578" s="8">
        <f>DATE(2012,12,31)-90</f>
        <v>41184</v>
      </c>
      <c r="C2578" s="9" t="s">
        <v>1546</v>
      </c>
      <c r="D2578">
        <v>10021417484</v>
      </c>
      <c r="E2578" t="s">
        <v>47</v>
      </c>
      <c r="F2578" t="s">
        <v>230</v>
      </c>
      <c r="G2578" t="s">
        <v>231</v>
      </c>
      <c r="H2578" t="s">
        <v>1798</v>
      </c>
      <c r="I2578" t="s">
        <v>1799</v>
      </c>
      <c r="J2578" t="s">
        <v>668</v>
      </c>
      <c r="K2578" s="3">
        <v>10049082713</v>
      </c>
      <c r="L2578" s="10">
        <v>41186</v>
      </c>
      <c r="M2578">
        <v>4917.69</v>
      </c>
      <c r="N2578" s="11">
        <v>42</v>
      </c>
      <c r="O2578" s="12">
        <v>110.98</v>
      </c>
      <c r="P2578" s="12">
        <v>30</v>
      </c>
      <c r="Q2578" s="13">
        <v>126.31</v>
      </c>
      <c r="R2578" s="36" t="s">
        <v>1988</v>
      </c>
      <c r="S2578" s="7">
        <f t="shared" si="217"/>
        <v>2</v>
      </c>
      <c r="T2578" s="15" t="str">
        <f>VLOOKUP(R2578,产品分类!$C$2:$D$1278,2,0)</f>
        <v>办公用品</v>
      </c>
    </row>
    <row r="2579" spans="1:20">
      <c r="A2579" s="8">
        <f>DATE(2012,12,31)-90</f>
        <v>41184</v>
      </c>
      <c r="B2579" s="8">
        <f>DATE(2012,12,31)-90</f>
        <v>41184</v>
      </c>
      <c r="C2579" s="9" t="s">
        <v>1546</v>
      </c>
      <c r="D2579">
        <v>10021252170</v>
      </c>
      <c r="E2579" t="s">
        <v>47</v>
      </c>
      <c r="F2579" t="s">
        <v>114</v>
      </c>
      <c r="G2579" t="s">
        <v>115</v>
      </c>
      <c r="H2579" t="s">
        <v>1951</v>
      </c>
      <c r="I2579" t="s">
        <v>1952</v>
      </c>
      <c r="J2579" t="s">
        <v>668</v>
      </c>
      <c r="K2579" s="3">
        <v>10017063068</v>
      </c>
      <c r="L2579" s="10">
        <v>41186</v>
      </c>
      <c r="M2579">
        <v>416.8</v>
      </c>
      <c r="N2579" s="11">
        <v>32</v>
      </c>
      <c r="O2579" s="12">
        <v>12.53</v>
      </c>
      <c r="P2579" s="12">
        <v>0.5</v>
      </c>
      <c r="Q2579" s="13">
        <v>223.38</v>
      </c>
      <c r="R2579" s="36" t="s">
        <v>2010</v>
      </c>
      <c r="S2579" s="7">
        <f t="shared" si="217"/>
        <v>2</v>
      </c>
      <c r="T2579" s="15" t="str">
        <f>VLOOKUP(R2579,产品分类!$C$2:$D$1278,2,0)</f>
        <v>办公用品</v>
      </c>
    </row>
    <row r="2580" spans="1:20">
      <c r="A2580" s="8">
        <f>DATE(2012,12,31)-827</f>
        <v>40447</v>
      </c>
      <c r="B2580" s="8">
        <f>DATE(2012,12,31)-827</f>
        <v>40447</v>
      </c>
      <c r="C2580" s="9" t="s">
        <v>1297</v>
      </c>
      <c r="D2580">
        <v>10021493507</v>
      </c>
      <c r="E2580" t="s">
        <v>47</v>
      </c>
      <c r="F2580" t="s">
        <v>473</v>
      </c>
      <c r="G2580" t="s">
        <v>474</v>
      </c>
      <c r="H2580" t="s">
        <v>475</v>
      </c>
      <c r="I2580" t="s">
        <v>476</v>
      </c>
      <c r="J2580" t="s">
        <v>668</v>
      </c>
      <c r="K2580" s="3">
        <v>10012646958</v>
      </c>
      <c r="L2580" s="10">
        <v>40448</v>
      </c>
      <c r="M2580">
        <v>101.2</v>
      </c>
      <c r="N2580" s="11">
        <v>37</v>
      </c>
      <c r="O2580" s="12">
        <v>2.88</v>
      </c>
      <c r="P2580" s="12">
        <v>0.5</v>
      </c>
      <c r="Q2580" s="13">
        <v>38.58</v>
      </c>
      <c r="R2580" s="36" t="s">
        <v>709</v>
      </c>
      <c r="S2580" s="7">
        <f t="shared" si="217"/>
        <v>1</v>
      </c>
      <c r="T2580" s="15" t="str">
        <f>VLOOKUP(R2580,产品分类!$C$2:$D$1278,2,0)</f>
        <v>数码电子</v>
      </c>
    </row>
    <row r="2581" spans="1:20">
      <c r="A2581" s="8">
        <f>DATE(2012,12,31)-878</f>
        <v>40396</v>
      </c>
      <c r="B2581" s="8">
        <f>DATE(2012,12,31)-878</f>
        <v>40396</v>
      </c>
      <c r="C2581" s="9" t="s">
        <v>669</v>
      </c>
      <c r="D2581">
        <v>10021262776</v>
      </c>
      <c r="E2581" t="s">
        <v>47</v>
      </c>
      <c r="F2581" t="s">
        <v>83</v>
      </c>
      <c r="G2581" t="s">
        <v>84</v>
      </c>
      <c r="H2581" t="s">
        <v>1928</v>
      </c>
      <c r="I2581" t="s">
        <v>1929</v>
      </c>
      <c r="J2581" t="s">
        <v>668</v>
      </c>
      <c r="K2581" s="3">
        <v>100930180431</v>
      </c>
      <c r="L2581" s="10">
        <v>40399</v>
      </c>
      <c r="M2581">
        <v>349.65</v>
      </c>
      <c r="N2581" s="11">
        <v>24</v>
      </c>
      <c r="O2581" s="12">
        <v>14.48</v>
      </c>
      <c r="P2581" s="12">
        <v>6.46</v>
      </c>
      <c r="Q2581" s="13">
        <v>28.5515</v>
      </c>
      <c r="R2581" s="36" t="s">
        <v>684</v>
      </c>
      <c r="S2581" s="7">
        <f t="shared" si="217"/>
        <v>3</v>
      </c>
      <c r="T2581" s="15" t="str">
        <f>VLOOKUP(R2581,产品分类!$C$2:$D$1278,2,0)</f>
        <v>办公用品</v>
      </c>
    </row>
    <row r="2582" spans="1:20">
      <c r="A2582" s="8">
        <f>DATE(2012,12,31)-878</f>
        <v>40396</v>
      </c>
      <c r="B2582" s="8">
        <f>DATE(2012,12,31)-878</f>
        <v>40396</v>
      </c>
      <c r="C2582" s="9" t="s">
        <v>669</v>
      </c>
      <c r="D2582">
        <v>10021420071</v>
      </c>
      <c r="E2582" t="s">
        <v>47</v>
      </c>
      <c r="F2582" t="s">
        <v>91</v>
      </c>
      <c r="G2582" t="s">
        <v>92</v>
      </c>
      <c r="H2582" t="s">
        <v>1911</v>
      </c>
      <c r="I2582" t="s">
        <v>1912</v>
      </c>
      <c r="J2582" t="s">
        <v>668</v>
      </c>
      <c r="K2582" s="3">
        <v>100724598345</v>
      </c>
      <c r="L2582" s="10">
        <v>40398</v>
      </c>
      <c r="M2582">
        <v>4814.12</v>
      </c>
      <c r="N2582" s="11">
        <v>46</v>
      </c>
      <c r="O2582" s="12">
        <v>102.3</v>
      </c>
      <c r="P2582" s="12">
        <v>21.26</v>
      </c>
      <c r="Q2582" s="13">
        <v>855.14</v>
      </c>
      <c r="R2582" s="36" t="s">
        <v>1476</v>
      </c>
      <c r="S2582" s="7">
        <f t="shared" si="217"/>
        <v>2</v>
      </c>
      <c r="T2582" s="15" t="str">
        <f>VLOOKUP(R2582,产品分类!$C$2:$D$1278,2,0)</f>
        <v>办公用品</v>
      </c>
    </row>
    <row r="2583" spans="1:20">
      <c r="A2583" s="8">
        <f>DATE(2012,12,31)-742</f>
        <v>40532</v>
      </c>
      <c r="B2583" s="8">
        <f>DATE(2012,12,31)-742</f>
        <v>40532</v>
      </c>
      <c r="C2583" s="9" t="s">
        <v>1182</v>
      </c>
      <c r="D2583">
        <v>10021500175</v>
      </c>
      <c r="E2583" t="s">
        <v>47</v>
      </c>
      <c r="F2583" t="s">
        <v>91</v>
      </c>
      <c r="G2583" t="s">
        <v>92</v>
      </c>
      <c r="H2583" t="s">
        <v>1911</v>
      </c>
      <c r="I2583" t="s">
        <v>1912</v>
      </c>
      <c r="J2583" t="s">
        <v>668</v>
      </c>
      <c r="K2583" s="3">
        <v>10013049077</v>
      </c>
      <c r="L2583" s="10">
        <v>40533</v>
      </c>
      <c r="M2583">
        <v>15.7</v>
      </c>
      <c r="N2583" s="11">
        <v>4</v>
      </c>
      <c r="O2583" s="12">
        <v>3.69</v>
      </c>
      <c r="P2583" s="12">
        <v>0.5</v>
      </c>
      <c r="Q2583" s="13">
        <v>0.71</v>
      </c>
      <c r="R2583" s="36" t="s">
        <v>1224</v>
      </c>
      <c r="S2583" s="7">
        <f t="shared" si="217"/>
        <v>1</v>
      </c>
      <c r="T2583" s="15" t="str">
        <f>VLOOKUP(R2583,产品分类!$C$2:$D$1278,2,0)</f>
        <v>办公用品</v>
      </c>
    </row>
    <row r="2584" spans="1:20">
      <c r="A2584" s="8">
        <f>DATE(2012,12,31)-114</f>
        <v>41160</v>
      </c>
      <c r="B2584" s="8">
        <f>DATE(2012,12,31)-114</f>
        <v>41160</v>
      </c>
      <c r="C2584" s="9" t="s">
        <v>2002</v>
      </c>
      <c r="D2584">
        <v>10021503050</v>
      </c>
      <c r="E2584" t="s">
        <v>47</v>
      </c>
      <c r="F2584" t="s">
        <v>83</v>
      </c>
      <c r="G2584" t="s">
        <v>84</v>
      </c>
      <c r="H2584" t="s">
        <v>1928</v>
      </c>
      <c r="I2584" t="s">
        <v>1929</v>
      </c>
      <c r="J2584" t="s">
        <v>668</v>
      </c>
      <c r="K2584" s="3">
        <v>100129343847</v>
      </c>
      <c r="L2584" s="10">
        <v>41164</v>
      </c>
      <c r="M2584">
        <v>1207.08</v>
      </c>
      <c r="N2584" s="11">
        <v>12</v>
      </c>
      <c r="O2584" s="12">
        <v>95.98</v>
      </c>
      <c r="P2584" s="12">
        <v>58.2</v>
      </c>
      <c r="Q2584" s="13">
        <v>-351.3</v>
      </c>
      <c r="R2584" s="36" t="s">
        <v>1341</v>
      </c>
      <c r="S2584" s="7">
        <f t="shared" si="217"/>
        <v>4</v>
      </c>
      <c r="T2584" s="15" t="str">
        <f>VLOOKUP(R2584,产品分类!$C$2:$D$1278,2,0)</f>
        <v>办公用品</v>
      </c>
    </row>
    <row r="2585" spans="1:20">
      <c r="A2585" s="8">
        <f>DATE(2012,12,31)-114</f>
        <v>41160</v>
      </c>
      <c r="B2585" s="8">
        <f>DATE(2012,12,31)-114</f>
        <v>41160</v>
      </c>
      <c r="C2585" s="9" t="s">
        <v>2002</v>
      </c>
      <c r="D2585">
        <v>10021342008</v>
      </c>
      <c r="E2585" t="s">
        <v>47</v>
      </c>
      <c r="F2585" t="s">
        <v>122</v>
      </c>
      <c r="G2585" t="s">
        <v>123</v>
      </c>
      <c r="H2585" t="s">
        <v>124</v>
      </c>
      <c r="I2585" t="s">
        <v>125</v>
      </c>
      <c r="J2585" t="s">
        <v>668</v>
      </c>
      <c r="K2585" s="3">
        <v>10084886932</v>
      </c>
      <c r="L2585" s="10">
        <v>41162</v>
      </c>
      <c r="M2585">
        <v>2618.112</v>
      </c>
      <c r="N2585" s="11">
        <v>11</v>
      </c>
      <c r="O2585" s="12">
        <v>286.85</v>
      </c>
      <c r="P2585" s="12">
        <v>61.76</v>
      </c>
      <c r="Q2585" s="13">
        <v>-139.266</v>
      </c>
      <c r="R2585" s="36" t="s">
        <v>1252</v>
      </c>
      <c r="S2585" s="7">
        <f t="shared" si="217"/>
        <v>2</v>
      </c>
      <c r="T2585" s="15" t="str">
        <f>VLOOKUP(R2585,产品分类!$C$2:$D$1278,2,0)</f>
        <v>办公用品</v>
      </c>
    </row>
    <row r="2586" spans="1:20">
      <c r="A2586" s="8">
        <f t="shared" ref="A2586:B2588" si="218">DATE(2012,12,31)-667</f>
        <v>40607</v>
      </c>
      <c r="B2586" s="8">
        <f t="shared" si="218"/>
        <v>40607</v>
      </c>
      <c r="C2586" s="9" t="s">
        <v>450</v>
      </c>
      <c r="D2586">
        <v>10021253664</v>
      </c>
      <c r="E2586" t="s">
        <v>47</v>
      </c>
      <c r="F2586" t="s">
        <v>83</v>
      </c>
      <c r="G2586" t="s">
        <v>84</v>
      </c>
      <c r="H2586" t="s">
        <v>1928</v>
      </c>
      <c r="I2586" t="s">
        <v>1929</v>
      </c>
      <c r="J2586" t="s">
        <v>668</v>
      </c>
      <c r="K2586" s="3">
        <v>100820284842</v>
      </c>
      <c r="L2586" s="10">
        <v>40609</v>
      </c>
      <c r="M2586">
        <v>14346.73</v>
      </c>
      <c r="N2586" s="11">
        <v>49</v>
      </c>
      <c r="O2586" s="12">
        <v>304.99</v>
      </c>
      <c r="P2586" s="12">
        <v>19.99</v>
      </c>
      <c r="Q2586" s="13">
        <v>5762.524</v>
      </c>
      <c r="R2586" s="36" t="s">
        <v>782</v>
      </c>
      <c r="S2586" s="7">
        <f t="shared" si="217"/>
        <v>2</v>
      </c>
      <c r="T2586" s="15" t="str">
        <f>VLOOKUP(R2586,产品分类!$C$2:$D$1278,2,0)</f>
        <v>办公用品</v>
      </c>
    </row>
    <row r="2587" spans="1:20">
      <c r="A2587" s="8">
        <f t="shared" si="218"/>
        <v>40607</v>
      </c>
      <c r="B2587" s="8">
        <f t="shared" si="218"/>
        <v>40607</v>
      </c>
      <c r="C2587" s="9" t="s">
        <v>450</v>
      </c>
      <c r="D2587">
        <v>10021446904</v>
      </c>
      <c r="E2587" t="s">
        <v>47</v>
      </c>
      <c r="F2587" t="s">
        <v>122</v>
      </c>
      <c r="G2587" t="s">
        <v>123</v>
      </c>
      <c r="H2587" t="s">
        <v>124</v>
      </c>
      <c r="I2587" t="s">
        <v>125</v>
      </c>
      <c r="J2587" t="s">
        <v>668</v>
      </c>
      <c r="K2587" s="3">
        <v>100121656046</v>
      </c>
      <c r="L2587" s="10">
        <v>40609</v>
      </c>
      <c r="M2587">
        <v>40.34</v>
      </c>
      <c r="N2587" s="11">
        <v>15</v>
      </c>
      <c r="O2587" s="12">
        <v>2.89</v>
      </c>
      <c r="P2587" s="12">
        <v>0.5</v>
      </c>
      <c r="Q2587" s="13">
        <v>10.59</v>
      </c>
      <c r="R2587" s="36" t="s">
        <v>118</v>
      </c>
      <c r="S2587" s="7">
        <f t="shared" si="217"/>
        <v>2</v>
      </c>
      <c r="T2587" s="15" t="str">
        <f>VLOOKUP(R2587,产品分类!$C$2:$D$1278,2,0)</f>
        <v>办公用品</v>
      </c>
    </row>
    <row r="2588" spans="1:20">
      <c r="A2588" s="8">
        <f t="shared" si="218"/>
        <v>40607</v>
      </c>
      <c r="B2588" s="8">
        <f t="shared" si="218"/>
        <v>40607</v>
      </c>
      <c r="C2588" s="9" t="s">
        <v>450</v>
      </c>
      <c r="D2588">
        <v>10021548282</v>
      </c>
      <c r="E2588" t="s">
        <v>47</v>
      </c>
      <c r="F2588" t="s">
        <v>91</v>
      </c>
      <c r="G2588" t="s">
        <v>92</v>
      </c>
      <c r="H2588" t="s">
        <v>1911</v>
      </c>
      <c r="I2588" t="s">
        <v>1912</v>
      </c>
      <c r="J2588" t="s">
        <v>668</v>
      </c>
      <c r="K2588" s="3">
        <v>100432385874</v>
      </c>
      <c r="L2588" s="10">
        <v>40608</v>
      </c>
      <c r="M2588">
        <v>3951.6755</v>
      </c>
      <c r="N2588" s="11">
        <v>41</v>
      </c>
      <c r="O2588" s="12">
        <v>125.99</v>
      </c>
      <c r="P2588" s="12">
        <v>4.2</v>
      </c>
      <c r="Q2588" s="13">
        <v>812.241</v>
      </c>
      <c r="R2588" s="36" t="s">
        <v>1458</v>
      </c>
      <c r="S2588" s="7">
        <f t="shared" si="217"/>
        <v>1</v>
      </c>
      <c r="T2588" s="15" t="str">
        <f>VLOOKUP(R2588,产品分类!$C$2:$D$1278,2,0)</f>
        <v>家具产品</v>
      </c>
    </row>
    <row r="2589" spans="1:20">
      <c r="A2589" s="8">
        <f>DATE(2012,12,31)-1103</f>
        <v>40171</v>
      </c>
      <c r="B2589" s="8">
        <f>DATE(2012,12,31)-1103</f>
        <v>40171</v>
      </c>
      <c r="C2589" s="9" t="s">
        <v>1487</v>
      </c>
      <c r="D2589">
        <v>10021259656</v>
      </c>
      <c r="E2589" t="s">
        <v>47</v>
      </c>
      <c r="F2589" t="s">
        <v>122</v>
      </c>
      <c r="G2589" t="s">
        <v>123</v>
      </c>
      <c r="H2589" t="s">
        <v>124</v>
      </c>
      <c r="I2589" t="s">
        <v>125</v>
      </c>
      <c r="J2589" t="s">
        <v>668</v>
      </c>
      <c r="K2589" s="3">
        <v>100128018948</v>
      </c>
      <c r="L2589" s="10">
        <v>40172</v>
      </c>
      <c r="M2589">
        <v>281.17</v>
      </c>
      <c r="N2589" s="11">
        <v>38</v>
      </c>
      <c r="O2589" s="12">
        <v>7.1</v>
      </c>
      <c r="P2589" s="12">
        <v>6.05</v>
      </c>
      <c r="Q2589" s="13">
        <v>-78.3725</v>
      </c>
      <c r="R2589" s="36" t="s">
        <v>958</v>
      </c>
      <c r="S2589" s="7">
        <f t="shared" si="217"/>
        <v>1</v>
      </c>
      <c r="T2589" s="15" t="str">
        <f>VLOOKUP(R2589,产品分类!$C$2:$D$1278,2,0)</f>
        <v>办公用品</v>
      </c>
    </row>
    <row r="2590" spans="1:20">
      <c r="A2590" s="8">
        <f>DATE(2012,12,31)-1103</f>
        <v>40171</v>
      </c>
      <c r="B2590" s="8">
        <f>DATE(2012,12,31)-1103</f>
        <v>40171</v>
      </c>
      <c r="C2590" s="9" t="s">
        <v>1487</v>
      </c>
      <c r="D2590">
        <v>10021443663</v>
      </c>
      <c r="E2590" t="s">
        <v>47</v>
      </c>
      <c r="F2590" t="s">
        <v>91</v>
      </c>
      <c r="G2590" t="s">
        <v>92</v>
      </c>
      <c r="H2590" t="s">
        <v>1911</v>
      </c>
      <c r="I2590" t="s">
        <v>1912</v>
      </c>
      <c r="J2590" t="s">
        <v>668</v>
      </c>
      <c r="K2590" s="3">
        <v>1001946957</v>
      </c>
      <c r="L2590" s="10">
        <v>40172</v>
      </c>
      <c r="M2590">
        <v>194.65</v>
      </c>
      <c r="N2590" s="11">
        <v>10</v>
      </c>
      <c r="O2590" s="12">
        <v>18.97</v>
      </c>
      <c r="P2590" s="12">
        <v>9.03</v>
      </c>
      <c r="Q2590" s="13">
        <v>-3.78</v>
      </c>
      <c r="R2590" s="36" t="s">
        <v>131</v>
      </c>
      <c r="S2590" s="7">
        <f t="shared" si="217"/>
        <v>1</v>
      </c>
      <c r="T2590" s="15" t="str">
        <f>VLOOKUP(R2590,产品分类!$C$2:$D$1278,2,0)</f>
        <v>家具产品</v>
      </c>
    </row>
    <row r="2591" spans="1:20">
      <c r="A2591" s="8">
        <f>DATE(2012,12,31)-1237</f>
        <v>40037</v>
      </c>
      <c r="B2591" s="8">
        <f>DATE(2012,12,31)-1237</f>
        <v>40037</v>
      </c>
      <c r="C2591" s="9" t="s">
        <v>2011</v>
      </c>
      <c r="D2591">
        <v>10021530180</v>
      </c>
      <c r="E2591" t="s">
        <v>47</v>
      </c>
      <c r="F2591" t="s">
        <v>91</v>
      </c>
      <c r="G2591" t="s">
        <v>92</v>
      </c>
      <c r="H2591" t="s">
        <v>1911</v>
      </c>
      <c r="I2591" t="s">
        <v>1912</v>
      </c>
      <c r="J2591" t="s">
        <v>668</v>
      </c>
      <c r="K2591" s="3">
        <v>100729986655</v>
      </c>
      <c r="L2591" s="10">
        <v>40039</v>
      </c>
      <c r="M2591">
        <v>52.0965</v>
      </c>
      <c r="N2591" s="11">
        <v>1</v>
      </c>
      <c r="O2591" s="12">
        <v>55.99</v>
      </c>
      <c r="P2591" s="12">
        <v>2.5</v>
      </c>
      <c r="Q2591" s="13">
        <v>-232.804</v>
      </c>
      <c r="R2591" s="36" t="s">
        <v>1204</v>
      </c>
      <c r="S2591" s="7">
        <f t="shared" si="217"/>
        <v>2</v>
      </c>
      <c r="T2591" s="15" t="str">
        <f>VLOOKUP(R2591,产品分类!$C$2:$D$1278,2,0)</f>
        <v>办公用品</v>
      </c>
    </row>
    <row r="2592" spans="1:20">
      <c r="A2592" s="8">
        <f>DATE(2012,12,31)-1249</f>
        <v>40025</v>
      </c>
      <c r="B2592" s="8">
        <f>DATE(2012,12,31)-1249</f>
        <v>40025</v>
      </c>
      <c r="C2592" s="9" t="s">
        <v>188</v>
      </c>
      <c r="D2592">
        <v>10021413535</v>
      </c>
      <c r="E2592" t="s">
        <v>47</v>
      </c>
      <c r="F2592" t="s">
        <v>55</v>
      </c>
      <c r="G2592" t="s">
        <v>56</v>
      </c>
      <c r="H2592" t="s">
        <v>1869</v>
      </c>
      <c r="I2592" t="s">
        <v>1870</v>
      </c>
      <c r="J2592" t="s">
        <v>668</v>
      </c>
      <c r="K2592" s="3">
        <v>1008824682</v>
      </c>
      <c r="L2592" s="10">
        <v>40027</v>
      </c>
      <c r="M2592">
        <v>3945.95</v>
      </c>
      <c r="N2592" s="11">
        <v>31</v>
      </c>
      <c r="O2592" s="12">
        <v>128.24</v>
      </c>
      <c r="P2592" s="12">
        <v>12.65</v>
      </c>
      <c r="Q2592" s="13">
        <v>1031.32</v>
      </c>
      <c r="R2592" s="36" t="s">
        <v>622</v>
      </c>
      <c r="S2592" s="7">
        <f t="shared" si="217"/>
        <v>2</v>
      </c>
      <c r="T2592" s="15" t="str">
        <f>VLOOKUP(R2592,产品分类!$C$2:$D$1278,2,0)</f>
        <v>办公用品</v>
      </c>
    </row>
    <row r="2593" spans="1:20">
      <c r="A2593" s="8">
        <f>DATE(2012,12,31)-1249</f>
        <v>40025</v>
      </c>
      <c r="B2593" s="8">
        <f>DATE(2012,12,31)-1249</f>
        <v>40025</v>
      </c>
      <c r="C2593" s="9" t="s">
        <v>188</v>
      </c>
      <c r="D2593">
        <v>10021529346</v>
      </c>
      <c r="E2593" t="s">
        <v>47</v>
      </c>
      <c r="F2593" t="s">
        <v>83</v>
      </c>
      <c r="G2593" t="s">
        <v>84</v>
      </c>
      <c r="H2593" t="s">
        <v>1928</v>
      </c>
      <c r="I2593" t="s">
        <v>1929</v>
      </c>
      <c r="J2593" t="s">
        <v>668</v>
      </c>
      <c r="K2593" s="3">
        <v>100920954271</v>
      </c>
      <c r="L2593" s="10">
        <v>40027</v>
      </c>
      <c r="M2593">
        <v>5394.4</v>
      </c>
      <c r="N2593" s="11">
        <v>33</v>
      </c>
      <c r="O2593" s="12">
        <v>160.98</v>
      </c>
      <c r="P2593" s="12">
        <v>30</v>
      </c>
      <c r="Q2593" s="13">
        <v>788.79</v>
      </c>
      <c r="R2593" s="36" t="s">
        <v>764</v>
      </c>
      <c r="S2593" s="7">
        <f t="shared" si="217"/>
        <v>2</v>
      </c>
      <c r="T2593" s="15" t="str">
        <f>VLOOKUP(R2593,产品分类!$C$2:$D$1278,2,0)</f>
        <v>家具产品</v>
      </c>
    </row>
    <row r="2594" spans="1:20">
      <c r="A2594" s="8">
        <f>DATE(2012,12,31)-1193</f>
        <v>40081</v>
      </c>
      <c r="B2594" s="8">
        <f>DATE(2012,12,31)-1193</f>
        <v>40081</v>
      </c>
      <c r="C2594" s="9" t="s">
        <v>2012</v>
      </c>
      <c r="D2594">
        <v>10021450624</v>
      </c>
      <c r="E2594" t="s">
        <v>47</v>
      </c>
      <c r="F2594" t="s">
        <v>55</v>
      </c>
      <c r="G2594" t="s">
        <v>56</v>
      </c>
      <c r="H2594" t="s">
        <v>1869</v>
      </c>
      <c r="I2594" t="s">
        <v>1870</v>
      </c>
      <c r="J2594" t="s">
        <v>668</v>
      </c>
      <c r="K2594" s="3">
        <v>10094654101</v>
      </c>
      <c r="L2594" s="10">
        <v>40083</v>
      </c>
      <c r="M2594">
        <v>1217.62</v>
      </c>
      <c r="N2594" s="11">
        <v>8</v>
      </c>
      <c r="O2594" s="12">
        <v>140.98</v>
      </c>
      <c r="P2594" s="12">
        <v>36.09</v>
      </c>
      <c r="Q2594" s="13">
        <v>-221.5</v>
      </c>
      <c r="R2594" s="36" t="s">
        <v>1090</v>
      </c>
      <c r="S2594" s="7">
        <f t="shared" si="217"/>
        <v>2</v>
      </c>
      <c r="T2594" s="15" t="str">
        <f>VLOOKUP(R2594,产品分类!$C$2:$D$1278,2,0)</f>
        <v>办公用品</v>
      </c>
    </row>
    <row r="2595" spans="1:20">
      <c r="A2595" s="8">
        <f>DATE(2012,12,31)-1193</f>
        <v>40081</v>
      </c>
      <c r="B2595" s="8">
        <f>DATE(2012,12,31)-1193</f>
        <v>40081</v>
      </c>
      <c r="C2595" s="9" t="s">
        <v>2012</v>
      </c>
      <c r="D2595">
        <v>10021249162</v>
      </c>
      <c r="E2595" t="s">
        <v>47</v>
      </c>
      <c r="F2595" t="s">
        <v>91</v>
      </c>
      <c r="G2595" t="s">
        <v>92</v>
      </c>
      <c r="H2595" t="s">
        <v>1911</v>
      </c>
      <c r="I2595" t="s">
        <v>1912</v>
      </c>
      <c r="J2595" t="s">
        <v>668</v>
      </c>
      <c r="K2595" s="3">
        <v>10092180991</v>
      </c>
      <c r="L2595" s="10">
        <v>40082</v>
      </c>
      <c r="M2595">
        <v>1725.0325</v>
      </c>
      <c r="N2595" s="11">
        <v>32</v>
      </c>
      <c r="O2595" s="12">
        <v>65.99</v>
      </c>
      <c r="P2595" s="12">
        <v>8.99</v>
      </c>
      <c r="Q2595" s="13">
        <v>206.352</v>
      </c>
      <c r="R2595" s="36" t="s">
        <v>335</v>
      </c>
      <c r="S2595" s="7">
        <f t="shared" si="217"/>
        <v>1</v>
      </c>
      <c r="T2595" s="15" t="str">
        <f>VLOOKUP(R2595,产品分类!$C$2:$D$1278,2,0)</f>
        <v>办公用品</v>
      </c>
    </row>
    <row r="2596" spans="1:20">
      <c r="A2596" s="8">
        <f t="shared" ref="A2596:B2598" si="219">DATE(2012,12,31)-223</f>
        <v>41051</v>
      </c>
      <c r="B2596" s="8">
        <f t="shared" si="219"/>
        <v>41051</v>
      </c>
      <c r="C2596" s="9" t="s">
        <v>2013</v>
      </c>
      <c r="D2596">
        <v>10021319018</v>
      </c>
      <c r="E2596" t="s">
        <v>47</v>
      </c>
      <c r="F2596" t="s">
        <v>83</v>
      </c>
      <c r="G2596" t="s">
        <v>84</v>
      </c>
      <c r="H2596" t="s">
        <v>1928</v>
      </c>
      <c r="I2596" t="s">
        <v>1929</v>
      </c>
      <c r="J2596" t="s">
        <v>668</v>
      </c>
      <c r="K2596" s="3">
        <v>10098061871</v>
      </c>
      <c r="L2596" s="10">
        <v>41053</v>
      </c>
      <c r="M2596">
        <v>222.2</v>
      </c>
      <c r="N2596" s="11">
        <v>9</v>
      </c>
      <c r="O2596" s="12">
        <v>22.38</v>
      </c>
      <c r="P2596" s="12">
        <v>15.1</v>
      </c>
      <c r="Q2596" s="13">
        <v>-40.25</v>
      </c>
      <c r="R2596" s="36" t="s">
        <v>938</v>
      </c>
      <c r="S2596" s="7">
        <f t="shared" si="217"/>
        <v>2</v>
      </c>
      <c r="T2596" s="15" t="str">
        <f>VLOOKUP(R2596,产品分类!$C$2:$D$1278,2,0)</f>
        <v>办公用品</v>
      </c>
    </row>
    <row r="2597" spans="1:20">
      <c r="A2597" s="8">
        <f t="shared" si="219"/>
        <v>41051</v>
      </c>
      <c r="B2597" s="8">
        <f t="shared" si="219"/>
        <v>41051</v>
      </c>
      <c r="C2597" s="9" t="s">
        <v>2013</v>
      </c>
      <c r="D2597">
        <v>10021510353</v>
      </c>
      <c r="E2597" t="s">
        <v>47</v>
      </c>
      <c r="F2597" t="s">
        <v>97</v>
      </c>
      <c r="G2597" t="s">
        <v>98</v>
      </c>
      <c r="H2597" t="s">
        <v>99</v>
      </c>
      <c r="I2597" t="s">
        <v>98</v>
      </c>
      <c r="J2597" t="s">
        <v>668</v>
      </c>
      <c r="K2597" s="3">
        <v>100932674441</v>
      </c>
      <c r="L2597" s="10">
        <v>41056</v>
      </c>
      <c r="M2597">
        <v>39.9</v>
      </c>
      <c r="N2597" s="11">
        <v>5</v>
      </c>
      <c r="O2597" s="12">
        <v>5.94</v>
      </c>
      <c r="P2597" s="12">
        <v>9.92</v>
      </c>
      <c r="Q2597" s="13">
        <v>-37.8005</v>
      </c>
      <c r="R2597" s="36" t="s">
        <v>2014</v>
      </c>
      <c r="S2597" s="7">
        <f t="shared" si="217"/>
        <v>5</v>
      </c>
      <c r="T2597" s="15" t="str">
        <f>VLOOKUP(R2597,产品分类!$C$2:$D$1278,2,0)</f>
        <v>办公用品</v>
      </c>
    </row>
    <row r="2598" spans="1:20">
      <c r="A2598" s="8">
        <f t="shared" si="219"/>
        <v>41051</v>
      </c>
      <c r="B2598" s="8">
        <f t="shared" si="219"/>
        <v>41051</v>
      </c>
      <c r="C2598" s="9" t="s">
        <v>2013</v>
      </c>
      <c r="D2598">
        <v>10021257969</v>
      </c>
      <c r="E2598" t="s">
        <v>47</v>
      </c>
      <c r="F2598" t="s">
        <v>97</v>
      </c>
      <c r="G2598" t="s">
        <v>98</v>
      </c>
      <c r="H2598" t="s">
        <v>99</v>
      </c>
      <c r="I2598" t="s">
        <v>98</v>
      </c>
      <c r="J2598" t="s">
        <v>668</v>
      </c>
      <c r="K2598" s="3">
        <v>100126930866</v>
      </c>
      <c r="L2598" s="10">
        <v>41058</v>
      </c>
      <c r="M2598">
        <v>319.96</v>
      </c>
      <c r="N2598" s="11">
        <v>43</v>
      </c>
      <c r="O2598" s="12">
        <v>6.98</v>
      </c>
      <c r="P2598" s="12">
        <v>1.6</v>
      </c>
      <c r="Q2598" s="13">
        <v>123.15</v>
      </c>
      <c r="R2598" s="36" t="s">
        <v>1417</v>
      </c>
      <c r="S2598" s="7">
        <f t="shared" si="217"/>
        <v>7</v>
      </c>
      <c r="T2598" s="15" t="str">
        <f>VLOOKUP(R2598,产品分类!$C$2:$D$1278,2,0)</f>
        <v>数码电子</v>
      </c>
    </row>
    <row r="2599" spans="1:20">
      <c r="A2599" s="8">
        <f>DATE(2012,12,31)-986</f>
        <v>40288</v>
      </c>
      <c r="B2599" s="8">
        <f>DATE(2012,12,31)-986</f>
        <v>40288</v>
      </c>
      <c r="C2599" s="9" t="s">
        <v>60</v>
      </c>
      <c r="D2599">
        <v>10021495981</v>
      </c>
      <c r="E2599" t="s">
        <v>47</v>
      </c>
      <c r="F2599" t="s">
        <v>304</v>
      </c>
      <c r="G2599" t="s">
        <v>305</v>
      </c>
      <c r="H2599" t="s">
        <v>2015</v>
      </c>
      <c r="I2599" t="s">
        <v>2016</v>
      </c>
      <c r="J2599" t="s">
        <v>668</v>
      </c>
      <c r="K2599" s="3">
        <v>100114678428</v>
      </c>
      <c r="L2599" s="10">
        <v>40290</v>
      </c>
      <c r="M2599">
        <v>2022.18</v>
      </c>
      <c r="N2599" s="11">
        <v>20</v>
      </c>
      <c r="O2599" s="12">
        <v>102.3</v>
      </c>
      <c r="P2599" s="12">
        <v>21.26</v>
      </c>
      <c r="Q2599" s="13">
        <v>594.44</v>
      </c>
      <c r="R2599" s="36" t="s">
        <v>1476</v>
      </c>
      <c r="S2599" s="7">
        <f t="shared" si="217"/>
        <v>2</v>
      </c>
      <c r="T2599" s="15" t="str">
        <f>VLOOKUP(R2599,产品分类!$C$2:$D$1278,2,0)</f>
        <v>办公用品</v>
      </c>
    </row>
    <row r="2600" spans="1:20">
      <c r="A2600" s="8">
        <f>DATE(2012,12,31)-1186</f>
        <v>40088</v>
      </c>
      <c r="B2600" s="8">
        <f>DATE(2012,12,31)-1186</f>
        <v>40088</v>
      </c>
      <c r="C2600" s="9" t="s">
        <v>1517</v>
      </c>
      <c r="D2600">
        <v>10021500571</v>
      </c>
      <c r="E2600" t="s">
        <v>47</v>
      </c>
      <c r="F2600" t="s">
        <v>208</v>
      </c>
      <c r="G2600" t="s">
        <v>209</v>
      </c>
      <c r="H2600" t="s">
        <v>1956</v>
      </c>
      <c r="I2600" t="s">
        <v>1957</v>
      </c>
      <c r="J2600" t="s">
        <v>668</v>
      </c>
      <c r="K2600" s="3">
        <v>100826238982</v>
      </c>
      <c r="L2600" s="10">
        <v>40089</v>
      </c>
      <c r="M2600">
        <v>566.12</v>
      </c>
      <c r="N2600" s="11">
        <v>27</v>
      </c>
      <c r="O2600" s="12">
        <v>19.99</v>
      </c>
      <c r="P2600" s="12">
        <v>11.17</v>
      </c>
      <c r="Q2600" s="13">
        <v>-19.33</v>
      </c>
      <c r="R2600" s="36" t="s">
        <v>2017</v>
      </c>
      <c r="S2600" s="7">
        <f t="shared" si="217"/>
        <v>1</v>
      </c>
      <c r="T2600" s="15" t="str">
        <f>VLOOKUP(R2600,产品分类!$C$2:$D$1278,2,0)</f>
        <v>家具产品</v>
      </c>
    </row>
    <row r="2601" spans="1:20">
      <c r="A2601" s="8">
        <f>DATE(2012,12,31)-656</f>
        <v>40618</v>
      </c>
      <c r="B2601" s="8">
        <f>DATE(2012,12,31)-656</f>
        <v>40618</v>
      </c>
      <c r="C2601" s="9" t="s">
        <v>2018</v>
      </c>
      <c r="D2601">
        <v>10021432704</v>
      </c>
      <c r="E2601" t="s">
        <v>47</v>
      </c>
      <c r="F2601" t="s">
        <v>304</v>
      </c>
      <c r="G2601" t="s">
        <v>305</v>
      </c>
      <c r="H2601" t="s">
        <v>2015</v>
      </c>
      <c r="I2601" t="s">
        <v>2016</v>
      </c>
      <c r="J2601" t="s">
        <v>668</v>
      </c>
      <c r="K2601" s="3">
        <v>100432576854</v>
      </c>
      <c r="L2601" s="10">
        <v>40620</v>
      </c>
      <c r="M2601">
        <v>1558.18</v>
      </c>
      <c r="N2601" s="11">
        <v>50</v>
      </c>
      <c r="O2601" s="12">
        <v>30.98</v>
      </c>
      <c r="P2601" s="12">
        <v>9.18</v>
      </c>
      <c r="Q2601" s="13">
        <v>417.62</v>
      </c>
      <c r="R2601" s="36" t="s">
        <v>2019</v>
      </c>
      <c r="S2601" s="7">
        <f t="shared" si="217"/>
        <v>2</v>
      </c>
      <c r="T2601" s="15" t="str">
        <f>VLOOKUP(R2601,产品分类!$C$2:$D$1278,2,0)</f>
        <v>办公用品</v>
      </c>
    </row>
    <row r="2602" spans="1:20">
      <c r="A2602" s="8">
        <f>DATE(2012,12,31)-1419</f>
        <v>39855</v>
      </c>
      <c r="B2602" s="8">
        <f>DATE(2012,12,31)-1419</f>
        <v>39855</v>
      </c>
      <c r="C2602" s="9" t="s">
        <v>446</v>
      </c>
      <c r="D2602">
        <v>10021469783</v>
      </c>
      <c r="E2602" t="s">
        <v>47</v>
      </c>
      <c r="F2602" t="s">
        <v>102</v>
      </c>
      <c r="G2602" t="s">
        <v>103</v>
      </c>
      <c r="H2602" t="s">
        <v>1217</v>
      </c>
      <c r="I2602" t="s">
        <v>1218</v>
      </c>
      <c r="J2602" t="s">
        <v>668</v>
      </c>
      <c r="K2602" s="3">
        <v>100132411216</v>
      </c>
      <c r="L2602" s="10">
        <v>39857</v>
      </c>
      <c r="M2602">
        <v>13253.93</v>
      </c>
      <c r="N2602" s="11">
        <v>7</v>
      </c>
      <c r="O2602" s="12">
        <v>2036.48</v>
      </c>
      <c r="P2602" s="12">
        <v>14.7</v>
      </c>
      <c r="Q2602" s="13">
        <v>-1596.7458</v>
      </c>
      <c r="R2602" s="36" t="s">
        <v>680</v>
      </c>
      <c r="S2602" s="7">
        <f t="shared" si="217"/>
        <v>2</v>
      </c>
      <c r="T2602" s="15" t="str">
        <f>VLOOKUP(R2602,产品分类!$C$2:$D$1278,2,0)</f>
        <v>数码电子</v>
      </c>
    </row>
    <row r="2603" spans="1:20">
      <c r="A2603" s="8">
        <f>DATE(2012,12,31)-1406</f>
        <v>39868</v>
      </c>
      <c r="B2603" s="8">
        <f>DATE(2012,12,31)-1406</f>
        <v>39868</v>
      </c>
      <c r="C2603" s="9" t="s">
        <v>2020</v>
      </c>
      <c r="D2603">
        <v>10021529934</v>
      </c>
      <c r="E2603" t="s">
        <v>47</v>
      </c>
      <c r="F2603" t="s">
        <v>137</v>
      </c>
      <c r="G2603" t="s">
        <v>138</v>
      </c>
      <c r="H2603" t="s">
        <v>139</v>
      </c>
      <c r="I2603" t="s">
        <v>140</v>
      </c>
      <c r="J2603" t="s">
        <v>668</v>
      </c>
      <c r="K2603" s="3">
        <v>100129677766</v>
      </c>
      <c r="L2603" s="10">
        <v>39870</v>
      </c>
      <c r="M2603">
        <v>580.46</v>
      </c>
      <c r="N2603" s="11">
        <v>12</v>
      </c>
      <c r="O2603" s="12">
        <v>48.58</v>
      </c>
      <c r="P2603" s="12">
        <v>3.99</v>
      </c>
      <c r="Q2603" s="13">
        <v>108.96</v>
      </c>
      <c r="R2603" s="36" t="s">
        <v>516</v>
      </c>
      <c r="S2603" s="7">
        <f t="shared" si="217"/>
        <v>2</v>
      </c>
      <c r="T2603" s="15" t="str">
        <f>VLOOKUP(R2603,产品分类!$C$2:$D$1278,2,0)</f>
        <v>数码电子</v>
      </c>
    </row>
    <row r="2604" spans="1:20">
      <c r="A2604" s="8">
        <f>DATE(2012,12,31)-1405</f>
        <v>39869</v>
      </c>
      <c r="B2604" s="8">
        <f>DATE(2012,12,31)-1405</f>
        <v>39869</v>
      </c>
      <c r="C2604" s="9" t="s">
        <v>982</v>
      </c>
      <c r="D2604">
        <v>10021350256</v>
      </c>
      <c r="E2604" t="s">
        <v>47</v>
      </c>
      <c r="F2604" t="s">
        <v>102</v>
      </c>
      <c r="G2604" t="s">
        <v>103</v>
      </c>
      <c r="H2604" t="s">
        <v>1217</v>
      </c>
      <c r="I2604" t="s">
        <v>1218</v>
      </c>
      <c r="J2604" t="s">
        <v>668</v>
      </c>
      <c r="K2604" s="3">
        <v>100432137914</v>
      </c>
      <c r="L2604" s="10">
        <v>39871</v>
      </c>
      <c r="M2604">
        <v>1102.3</v>
      </c>
      <c r="N2604" s="11">
        <v>22</v>
      </c>
      <c r="O2604" s="12">
        <v>50.98</v>
      </c>
      <c r="P2604" s="12">
        <v>22.24</v>
      </c>
      <c r="Q2604" s="13">
        <v>98.12</v>
      </c>
      <c r="R2604" s="36" t="s">
        <v>1630</v>
      </c>
      <c r="S2604" s="7">
        <f t="shared" si="217"/>
        <v>2</v>
      </c>
      <c r="T2604" s="15" t="str">
        <f>VLOOKUP(R2604,产品分类!$C$2:$D$1278,2,0)</f>
        <v>办公用品</v>
      </c>
    </row>
    <row r="2605" spans="1:20">
      <c r="A2605" s="8">
        <f>DATE(2012,12,31)-741</f>
        <v>40533</v>
      </c>
      <c r="B2605" s="8">
        <f>DATE(2012,12,31)-741</f>
        <v>40533</v>
      </c>
      <c r="C2605" s="9" t="s">
        <v>1233</v>
      </c>
      <c r="D2605">
        <v>10021419098</v>
      </c>
      <c r="E2605" t="s">
        <v>47</v>
      </c>
      <c r="F2605" t="s">
        <v>171</v>
      </c>
      <c r="G2605" t="s">
        <v>172</v>
      </c>
      <c r="H2605" t="s">
        <v>1712</v>
      </c>
      <c r="I2605" t="s">
        <v>1713</v>
      </c>
      <c r="J2605" t="s">
        <v>668</v>
      </c>
      <c r="K2605" s="3">
        <v>100422873413</v>
      </c>
      <c r="L2605" s="10">
        <v>40542</v>
      </c>
      <c r="M2605">
        <v>1950.036</v>
      </c>
      <c r="N2605" s="11">
        <v>34</v>
      </c>
      <c r="O2605" s="12">
        <v>65.99</v>
      </c>
      <c r="P2605" s="12">
        <v>8.99</v>
      </c>
      <c r="Q2605" s="13">
        <v>361.89</v>
      </c>
      <c r="R2605" s="36" t="s">
        <v>335</v>
      </c>
      <c r="S2605" s="7">
        <f t="shared" si="217"/>
        <v>9</v>
      </c>
      <c r="T2605" s="15" t="str">
        <f>VLOOKUP(R2605,产品分类!$C$2:$D$1278,2,0)</f>
        <v>办公用品</v>
      </c>
    </row>
    <row r="2606" spans="1:20">
      <c r="A2606" s="8">
        <f t="shared" ref="A2606:B2608" si="220">DATE(2012,12,31)-148</f>
        <v>41126</v>
      </c>
      <c r="B2606" s="8">
        <f t="shared" si="220"/>
        <v>41126</v>
      </c>
      <c r="C2606" s="9" t="s">
        <v>553</v>
      </c>
      <c r="D2606">
        <v>10021282133</v>
      </c>
      <c r="E2606" t="s">
        <v>47</v>
      </c>
      <c r="F2606" t="s">
        <v>171</v>
      </c>
      <c r="G2606" t="s">
        <v>172</v>
      </c>
      <c r="H2606" t="s">
        <v>2021</v>
      </c>
      <c r="I2606" t="s">
        <v>2022</v>
      </c>
      <c r="J2606" t="s">
        <v>668</v>
      </c>
      <c r="K2606" s="3">
        <v>100724604455</v>
      </c>
      <c r="L2606" s="10">
        <v>41126</v>
      </c>
      <c r="M2606">
        <v>751.71</v>
      </c>
      <c r="N2606" s="11">
        <v>6</v>
      </c>
      <c r="O2606" s="12">
        <v>131.12</v>
      </c>
      <c r="P2606" s="12">
        <v>0.99</v>
      </c>
      <c r="Q2606" s="13">
        <v>50.83</v>
      </c>
      <c r="R2606" s="36" t="s">
        <v>1087</v>
      </c>
      <c r="S2606" s="7">
        <f t="shared" si="217"/>
        <v>0</v>
      </c>
      <c r="T2606" s="15" t="str">
        <f>VLOOKUP(R2606,产品分类!$C$2:$D$1278,2,0)</f>
        <v>数码电子</v>
      </c>
    </row>
    <row r="2607" spans="1:20">
      <c r="A2607" s="8">
        <f t="shared" si="220"/>
        <v>41126</v>
      </c>
      <c r="B2607" s="8">
        <f t="shared" si="220"/>
        <v>41126</v>
      </c>
      <c r="C2607" s="9" t="s">
        <v>553</v>
      </c>
      <c r="D2607">
        <v>10021510833</v>
      </c>
      <c r="E2607" t="s">
        <v>47</v>
      </c>
      <c r="F2607" t="s">
        <v>171</v>
      </c>
      <c r="G2607" t="s">
        <v>172</v>
      </c>
      <c r="H2607" t="s">
        <v>2021</v>
      </c>
      <c r="I2607" t="s">
        <v>2022</v>
      </c>
      <c r="J2607" t="s">
        <v>668</v>
      </c>
      <c r="K2607" s="3">
        <v>100132699416</v>
      </c>
      <c r="L2607" s="10">
        <v>41126</v>
      </c>
      <c r="M2607">
        <v>471.87</v>
      </c>
      <c r="N2607" s="11">
        <v>43</v>
      </c>
      <c r="O2607" s="12">
        <v>11.09</v>
      </c>
      <c r="P2607" s="12">
        <v>5.25</v>
      </c>
      <c r="Q2607" s="13">
        <v>52.27</v>
      </c>
      <c r="R2607" s="36" t="s">
        <v>2006</v>
      </c>
      <c r="S2607" s="7">
        <f t="shared" si="217"/>
        <v>0</v>
      </c>
      <c r="T2607" s="15" t="str">
        <f>VLOOKUP(R2607,产品分类!$C$2:$D$1278,2,0)</f>
        <v>办公用品</v>
      </c>
    </row>
    <row r="2608" spans="1:20">
      <c r="A2608" s="8">
        <f t="shared" si="220"/>
        <v>41126</v>
      </c>
      <c r="B2608" s="8">
        <f t="shared" si="220"/>
        <v>41126</v>
      </c>
      <c r="C2608" s="9" t="s">
        <v>553</v>
      </c>
      <c r="D2608">
        <v>10021265190</v>
      </c>
      <c r="E2608" t="s">
        <v>47</v>
      </c>
      <c r="F2608" t="s">
        <v>171</v>
      </c>
      <c r="G2608" t="s">
        <v>172</v>
      </c>
      <c r="H2608" t="s">
        <v>2021</v>
      </c>
      <c r="I2608" t="s">
        <v>2022</v>
      </c>
      <c r="J2608" t="s">
        <v>668</v>
      </c>
      <c r="K2608" s="3">
        <v>100923189421</v>
      </c>
      <c r="L2608" s="10">
        <v>41128</v>
      </c>
      <c r="M2608">
        <v>539.6</v>
      </c>
      <c r="N2608" s="11">
        <v>39</v>
      </c>
      <c r="O2608" s="12">
        <v>13.79</v>
      </c>
      <c r="P2608" s="12">
        <v>8.78</v>
      </c>
      <c r="Q2608" s="13">
        <v>-6.5</v>
      </c>
      <c r="R2608" s="36" t="s">
        <v>1542</v>
      </c>
      <c r="S2608" s="7">
        <f t="shared" si="217"/>
        <v>2</v>
      </c>
      <c r="T2608" s="15" t="str">
        <f>VLOOKUP(R2608,产品分类!$C$2:$D$1278,2,0)</f>
        <v>办公用品</v>
      </c>
    </row>
    <row r="2609" spans="1:20">
      <c r="A2609" s="8">
        <f>DATE(2012,12,31)-15</f>
        <v>41259</v>
      </c>
      <c r="B2609" s="8">
        <f>DATE(2012,12,31)-15</f>
        <v>41259</v>
      </c>
      <c r="C2609" s="9" t="s">
        <v>1900</v>
      </c>
      <c r="D2609">
        <v>10021509667</v>
      </c>
      <c r="E2609" t="s">
        <v>47</v>
      </c>
      <c r="F2609" t="s">
        <v>171</v>
      </c>
      <c r="G2609" t="s">
        <v>172</v>
      </c>
      <c r="H2609" t="s">
        <v>2021</v>
      </c>
      <c r="I2609" t="s">
        <v>2022</v>
      </c>
      <c r="J2609" t="s">
        <v>668</v>
      </c>
      <c r="K2609" s="3">
        <v>100332384299</v>
      </c>
      <c r="L2609" s="10">
        <v>41260</v>
      </c>
      <c r="M2609">
        <v>204.21</v>
      </c>
      <c r="N2609" s="11">
        <v>32</v>
      </c>
      <c r="O2609" s="12">
        <v>5.98</v>
      </c>
      <c r="P2609" s="12">
        <v>10.39</v>
      </c>
      <c r="Q2609" s="13">
        <v>-204.81</v>
      </c>
      <c r="R2609" s="36" t="s">
        <v>1123</v>
      </c>
      <c r="S2609" s="7">
        <f t="shared" si="217"/>
        <v>1</v>
      </c>
      <c r="T2609" s="15" t="str">
        <f>VLOOKUP(R2609,产品分类!$C$2:$D$1278,2,0)</f>
        <v>数码电子</v>
      </c>
    </row>
    <row r="2610" spans="1:20">
      <c r="A2610" s="8">
        <f>DATE(2012,12,31)-469</f>
        <v>40805</v>
      </c>
      <c r="B2610" s="8">
        <f>DATE(2012,12,31)-469</f>
        <v>40805</v>
      </c>
      <c r="C2610" s="9" t="s">
        <v>1132</v>
      </c>
      <c r="D2610">
        <v>10021497760</v>
      </c>
      <c r="E2610" t="s">
        <v>47</v>
      </c>
      <c r="F2610" t="s">
        <v>177</v>
      </c>
      <c r="G2610" t="s">
        <v>178</v>
      </c>
      <c r="H2610" t="s">
        <v>1292</v>
      </c>
      <c r="I2610" t="s">
        <v>1293</v>
      </c>
      <c r="J2610" t="s">
        <v>668</v>
      </c>
      <c r="K2610" s="3">
        <v>100819781022</v>
      </c>
      <c r="L2610" s="10">
        <v>40807</v>
      </c>
      <c r="M2610">
        <v>351.25</v>
      </c>
      <c r="N2610" s="11">
        <v>17</v>
      </c>
      <c r="O2610" s="12">
        <v>19.98</v>
      </c>
      <c r="P2610" s="12">
        <v>5.97</v>
      </c>
      <c r="Q2610" s="13">
        <v>80.73</v>
      </c>
      <c r="R2610" s="36" t="s">
        <v>1420</v>
      </c>
      <c r="S2610" s="7">
        <f t="shared" si="217"/>
        <v>2</v>
      </c>
      <c r="T2610" s="15" t="str">
        <f>VLOOKUP(R2610,产品分类!$C$2:$D$1278,2,0)</f>
        <v>家具产品</v>
      </c>
    </row>
    <row r="2611" spans="1:20">
      <c r="A2611" s="8">
        <f>DATE(2012,12,31)-1079</f>
        <v>40195</v>
      </c>
      <c r="B2611" s="8">
        <f>DATE(2012,12,31)-1079</f>
        <v>40195</v>
      </c>
      <c r="C2611" s="9" t="s">
        <v>1407</v>
      </c>
      <c r="D2611">
        <v>10021419166</v>
      </c>
      <c r="E2611" t="s">
        <v>47</v>
      </c>
      <c r="F2611" t="s">
        <v>127</v>
      </c>
      <c r="G2611" t="s">
        <v>128</v>
      </c>
      <c r="H2611" t="s">
        <v>1936</v>
      </c>
      <c r="I2611" t="s">
        <v>1937</v>
      </c>
      <c r="J2611" t="s">
        <v>668</v>
      </c>
      <c r="K2611" s="3">
        <v>100823213252</v>
      </c>
      <c r="L2611" s="10">
        <v>40197</v>
      </c>
      <c r="M2611">
        <v>223.88</v>
      </c>
      <c r="N2611" s="11">
        <v>33</v>
      </c>
      <c r="O2611" s="12">
        <v>6.68</v>
      </c>
      <c r="P2611" s="12">
        <v>1.5</v>
      </c>
      <c r="Q2611" s="13">
        <v>55.21</v>
      </c>
      <c r="R2611" s="36" t="s">
        <v>900</v>
      </c>
      <c r="S2611" s="7">
        <f t="shared" si="217"/>
        <v>2</v>
      </c>
      <c r="T2611" s="15" t="str">
        <f>VLOOKUP(R2611,产品分类!$C$2:$D$1278,2,0)</f>
        <v>数码电子</v>
      </c>
    </row>
    <row r="2612" spans="1:20">
      <c r="A2612" s="8">
        <f>DATE(2012,12,31)-1203</f>
        <v>40071</v>
      </c>
      <c r="B2612" s="8">
        <f>DATE(2012,12,31)-1203</f>
        <v>40071</v>
      </c>
      <c r="C2612" s="9" t="s">
        <v>483</v>
      </c>
      <c r="D2612">
        <v>10021336863</v>
      </c>
      <c r="E2612" t="s">
        <v>47</v>
      </c>
      <c r="F2612" t="s">
        <v>127</v>
      </c>
      <c r="G2612" t="s">
        <v>128</v>
      </c>
      <c r="H2612" t="s">
        <v>1936</v>
      </c>
      <c r="I2612" t="s">
        <v>1937</v>
      </c>
      <c r="J2612" t="s">
        <v>668</v>
      </c>
      <c r="K2612" s="3">
        <v>100720808345</v>
      </c>
      <c r="L2612" s="10">
        <v>40074</v>
      </c>
      <c r="M2612">
        <v>229.43</v>
      </c>
      <c r="N2612" s="11">
        <v>31</v>
      </c>
      <c r="O2612" s="12">
        <v>7.3</v>
      </c>
      <c r="P2612" s="12">
        <v>7.72</v>
      </c>
      <c r="Q2612" s="13">
        <v>-127.052</v>
      </c>
      <c r="R2612" s="36" t="s">
        <v>295</v>
      </c>
      <c r="S2612" s="7">
        <f t="shared" si="217"/>
        <v>3</v>
      </c>
      <c r="T2612" s="15" t="str">
        <f>VLOOKUP(R2612,产品分类!$C$2:$D$1278,2,0)</f>
        <v>办公用品</v>
      </c>
    </row>
    <row r="2613" spans="1:20">
      <c r="A2613" s="8">
        <f>DATE(2012,12,31)-556</f>
        <v>40718</v>
      </c>
      <c r="B2613" s="8">
        <f>DATE(2012,12,31)-556</f>
        <v>40718</v>
      </c>
      <c r="C2613" s="9" t="s">
        <v>2007</v>
      </c>
      <c r="D2613">
        <v>10021334136</v>
      </c>
      <c r="E2613" t="s">
        <v>47</v>
      </c>
      <c r="F2613" t="s">
        <v>127</v>
      </c>
      <c r="G2613" t="s">
        <v>128</v>
      </c>
      <c r="H2613" t="s">
        <v>1936</v>
      </c>
      <c r="I2613" t="s">
        <v>1937</v>
      </c>
      <c r="J2613" t="s">
        <v>668</v>
      </c>
      <c r="K2613" s="3">
        <v>10097234951</v>
      </c>
      <c r="L2613" s="10">
        <v>40719</v>
      </c>
      <c r="M2613">
        <v>131.27</v>
      </c>
      <c r="N2613" s="11">
        <v>5</v>
      </c>
      <c r="O2613" s="12">
        <v>25.98</v>
      </c>
      <c r="P2613" s="12">
        <v>14.36</v>
      </c>
      <c r="Q2613" s="13">
        <v>-70.43</v>
      </c>
      <c r="R2613" s="36" t="s">
        <v>1510</v>
      </c>
      <c r="S2613" s="7">
        <f t="shared" si="217"/>
        <v>1</v>
      </c>
      <c r="T2613" s="15" t="str">
        <f>VLOOKUP(R2613,产品分类!$C$2:$D$1278,2,0)</f>
        <v>办公用品</v>
      </c>
    </row>
    <row r="2614" spans="1:20">
      <c r="A2614" s="8">
        <f>DATE(2012,12,31)-556</f>
        <v>40718</v>
      </c>
      <c r="B2614" s="8">
        <f>DATE(2012,12,31)-556</f>
        <v>40718</v>
      </c>
      <c r="C2614" s="9" t="s">
        <v>2007</v>
      </c>
      <c r="D2614">
        <v>10021347818</v>
      </c>
      <c r="E2614" t="s">
        <v>47</v>
      </c>
      <c r="F2614" t="s">
        <v>183</v>
      </c>
      <c r="G2614" t="s">
        <v>184</v>
      </c>
      <c r="H2614" t="s">
        <v>1716</v>
      </c>
      <c r="I2614" t="s">
        <v>1717</v>
      </c>
      <c r="J2614" t="s">
        <v>668</v>
      </c>
      <c r="K2614" s="3">
        <v>100931307321</v>
      </c>
      <c r="L2614" s="10">
        <v>40720</v>
      </c>
      <c r="M2614">
        <v>13571.7</v>
      </c>
      <c r="N2614" s="11">
        <v>29</v>
      </c>
      <c r="O2614" s="12">
        <v>449.99</v>
      </c>
      <c r="P2614" s="12">
        <v>24.49</v>
      </c>
      <c r="Q2614" s="13">
        <v>3825.69</v>
      </c>
      <c r="R2614" s="36" t="s">
        <v>545</v>
      </c>
      <c r="S2614" s="7">
        <f t="shared" si="217"/>
        <v>2</v>
      </c>
      <c r="T2614" s="15" t="str">
        <f>VLOOKUP(R2614,产品分类!$C$2:$D$1278,2,0)</f>
        <v>办公用品</v>
      </c>
    </row>
    <row r="2615" spans="1:20">
      <c r="A2615" s="8">
        <f>DATE(2012,12,31)-757</f>
        <v>40517</v>
      </c>
      <c r="B2615" s="8">
        <f>DATE(2012,12,31)-757</f>
        <v>40517</v>
      </c>
      <c r="C2615" s="9" t="s">
        <v>266</v>
      </c>
      <c r="D2615">
        <v>10021460482</v>
      </c>
      <c r="E2615" t="s">
        <v>47</v>
      </c>
      <c r="F2615" t="s">
        <v>342</v>
      </c>
      <c r="G2615" t="s">
        <v>343</v>
      </c>
      <c r="H2615" t="s">
        <v>1806</v>
      </c>
      <c r="I2615" t="s">
        <v>1807</v>
      </c>
      <c r="J2615" t="s">
        <v>668</v>
      </c>
      <c r="K2615" s="3">
        <v>10097231151</v>
      </c>
      <c r="L2615" s="10">
        <v>40519</v>
      </c>
      <c r="M2615">
        <v>173.417</v>
      </c>
      <c r="N2615" s="11">
        <v>9</v>
      </c>
      <c r="O2615" s="12">
        <v>20.99</v>
      </c>
      <c r="P2615" s="12">
        <v>0.99</v>
      </c>
      <c r="Q2615" s="13">
        <v>18.234</v>
      </c>
      <c r="R2615" s="36" t="s">
        <v>1154</v>
      </c>
      <c r="S2615" s="7">
        <f t="shared" si="217"/>
        <v>2</v>
      </c>
      <c r="T2615" s="15" t="str">
        <f>VLOOKUP(R2615,产品分类!$C$2:$D$1278,2,0)</f>
        <v>办公用品</v>
      </c>
    </row>
    <row r="2616" spans="1:20">
      <c r="A2616" s="16">
        <f>DATE(2012,12,31)-242</f>
        <v>41032</v>
      </c>
      <c r="B2616" s="16">
        <f>DATE(2012,12,31)-242</f>
        <v>41032</v>
      </c>
      <c r="C2616" s="9" t="s">
        <v>853</v>
      </c>
      <c r="D2616">
        <v>10021249157</v>
      </c>
      <c r="E2616" t="s">
        <v>47</v>
      </c>
      <c r="F2616" t="s">
        <v>61</v>
      </c>
      <c r="G2616" t="s">
        <v>62</v>
      </c>
      <c r="H2616" t="s">
        <v>47</v>
      </c>
      <c r="I2616" t="s">
        <v>1778</v>
      </c>
      <c r="J2616" t="s">
        <v>668</v>
      </c>
      <c r="K2616" s="3">
        <v>10012114228</v>
      </c>
      <c r="L2616" s="10">
        <v>41034</v>
      </c>
      <c r="M2616">
        <v>28.82</v>
      </c>
      <c r="N2616" s="17">
        <v>14</v>
      </c>
      <c r="O2616" s="5">
        <v>2.08</v>
      </c>
      <c r="P2616" s="5">
        <v>1.49</v>
      </c>
      <c r="Q2616" s="6">
        <v>-8.3605</v>
      </c>
      <c r="R2616" s="37" t="s">
        <v>2023</v>
      </c>
      <c r="S2616" s="7">
        <f t="shared" si="217"/>
        <v>2</v>
      </c>
      <c r="T2616" s="15" t="str">
        <f>VLOOKUP(R2616,产品分类!$C$2:$D$1278,2,0)</f>
        <v>数码电子</v>
      </c>
    </row>
    <row r="2617" spans="1:20">
      <c r="A2617" s="8">
        <f>DATE(2012,12,31)-65</f>
        <v>41209</v>
      </c>
      <c r="B2617" s="8">
        <f>DATE(2012,12,31)-65</f>
        <v>41209</v>
      </c>
      <c r="C2617" s="9" t="s">
        <v>686</v>
      </c>
      <c r="D2617">
        <v>10021341182</v>
      </c>
      <c r="E2617" t="s">
        <v>47</v>
      </c>
      <c r="F2617" t="s">
        <v>61</v>
      </c>
      <c r="G2617" t="s">
        <v>62</v>
      </c>
      <c r="H2617" t="s">
        <v>47</v>
      </c>
      <c r="I2617" t="s">
        <v>1778</v>
      </c>
      <c r="J2617" t="s">
        <v>668</v>
      </c>
      <c r="K2617" s="3">
        <v>100326821029</v>
      </c>
      <c r="L2617" s="10">
        <v>41210</v>
      </c>
      <c r="M2617">
        <v>6362.94</v>
      </c>
      <c r="N2617" s="11">
        <v>7</v>
      </c>
      <c r="O2617" s="12">
        <v>999.99</v>
      </c>
      <c r="P2617" s="12">
        <v>13.99</v>
      </c>
      <c r="Q2617" s="13">
        <v>-221.7804</v>
      </c>
      <c r="R2617" s="36" t="s">
        <v>1576</v>
      </c>
      <c r="S2617" s="7">
        <f t="shared" si="217"/>
        <v>1</v>
      </c>
      <c r="T2617" s="15" t="str">
        <f>VLOOKUP(R2617,产品分类!$C$2:$D$1278,2,0)</f>
        <v>办公用品</v>
      </c>
    </row>
    <row r="2618" spans="1:20">
      <c r="A2618" s="8">
        <f>DATE(2012,12,31)-1282</f>
        <v>39992</v>
      </c>
      <c r="B2618" s="8">
        <f>DATE(2012,12,31)-1282</f>
        <v>39992</v>
      </c>
      <c r="C2618" s="9" t="s">
        <v>2024</v>
      </c>
      <c r="D2618">
        <v>10021444712</v>
      </c>
      <c r="E2618" t="s">
        <v>47</v>
      </c>
      <c r="F2618" t="s">
        <v>61</v>
      </c>
      <c r="G2618" t="s">
        <v>62</v>
      </c>
      <c r="H2618" t="s">
        <v>47</v>
      </c>
      <c r="I2618" t="s">
        <v>1778</v>
      </c>
      <c r="J2618" t="s">
        <v>668</v>
      </c>
      <c r="K2618" s="3">
        <v>10096728791</v>
      </c>
      <c r="L2618" s="10">
        <v>39997</v>
      </c>
      <c r="M2618">
        <v>739.28</v>
      </c>
      <c r="N2618" s="11">
        <v>39</v>
      </c>
      <c r="O2618" s="12">
        <v>17.52</v>
      </c>
      <c r="P2618" s="12">
        <v>8.17</v>
      </c>
      <c r="Q2618" s="13">
        <v>43.97</v>
      </c>
      <c r="R2618" s="36" t="s">
        <v>333</v>
      </c>
      <c r="S2618" s="7">
        <f t="shared" si="217"/>
        <v>5</v>
      </c>
      <c r="T2618" s="15" t="str">
        <f>VLOOKUP(R2618,产品分类!$C$2:$D$1278,2,0)</f>
        <v>家具产品</v>
      </c>
    </row>
    <row r="2619" spans="1:20">
      <c r="A2619" s="8">
        <f>DATE(2012,12,31)-1444</f>
        <v>39830</v>
      </c>
      <c r="B2619" s="8">
        <f>DATE(2012,12,31)-1444</f>
        <v>39830</v>
      </c>
      <c r="C2619" s="9" t="s">
        <v>1882</v>
      </c>
      <c r="D2619">
        <v>10021388830</v>
      </c>
      <c r="E2619" t="s">
        <v>47</v>
      </c>
      <c r="F2619" t="s">
        <v>61</v>
      </c>
      <c r="G2619" t="s">
        <v>62</v>
      </c>
      <c r="H2619" t="s">
        <v>47</v>
      </c>
      <c r="I2619" t="s">
        <v>1778</v>
      </c>
      <c r="J2619" t="s">
        <v>668</v>
      </c>
      <c r="K2619" s="3">
        <v>100730320985</v>
      </c>
      <c r="L2619" s="10">
        <v>39832</v>
      </c>
      <c r="M2619">
        <v>528.54</v>
      </c>
      <c r="N2619" s="11">
        <v>33</v>
      </c>
      <c r="O2619" s="12">
        <v>16.48</v>
      </c>
      <c r="P2619" s="12">
        <v>1.99</v>
      </c>
      <c r="Q2619" s="13">
        <v>168.54</v>
      </c>
      <c r="R2619" s="36" t="s">
        <v>1675</v>
      </c>
      <c r="S2619" s="7">
        <f t="shared" si="217"/>
        <v>2</v>
      </c>
      <c r="T2619" s="15" t="str">
        <f>VLOOKUP(R2619,产品分类!$C$2:$D$1278,2,0)</f>
        <v>数码电子</v>
      </c>
    </row>
    <row r="2620" spans="1:20">
      <c r="A2620" s="8">
        <f>DATE(2012,12,31)-972</f>
        <v>40302</v>
      </c>
      <c r="B2620" s="8">
        <f>DATE(2012,12,31)-972</f>
        <v>40302</v>
      </c>
      <c r="C2620" s="9" t="s">
        <v>984</v>
      </c>
      <c r="D2620">
        <v>10021349759</v>
      </c>
      <c r="E2620" t="s">
        <v>47</v>
      </c>
      <c r="F2620" t="s">
        <v>61</v>
      </c>
      <c r="G2620" t="s">
        <v>62</v>
      </c>
      <c r="H2620" t="s">
        <v>47</v>
      </c>
      <c r="I2620" t="s">
        <v>1778</v>
      </c>
      <c r="J2620" t="s">
        <v>668</v>
      </c>
      <c r="K2620" s="3">
        <v>100931916731</v>
      </c>
      <c r="L2620" s="10">
        <v>40302</v>
      </c>
      <c r="M2620">
        <v>202.89</v>
      </c>
      <c r="N2620" s="11">
        <v>32</v>
      </c>
      <c r="O2620" s="12">
        <v>6.48</v>
      </c>
      <c r="P2620" s="12">
        <v>10.05</v>
      </c>
      <c r="Q2620" s="13">
        <v>-201.91</v>
      </c>
      <c r="R2620" s="36" t="s">
        <v>215</v>
      </c>
      <c r="S2620" s="7">
        <f t="shared" si="217"/>
        <v>0</v>
      </c>
      <c r="T2620" s="15" t="str">
        <f>VLOOKUP(R2620,产品分类!$C$2:$D$1278,2,0)</f>
        <v>数码电子</v>
      </c>
    </row>
    <row r="2621" spans="1:20">
      <c r="A2621" s="8">
        <f>DATE(2012,12,31)-308</f>
        <v>40966</v>
      </c>
      <c r="B2621" s="8">
        <f>DATE(2012,12,31)-308</f>
        <v>40966</v>
      </c>
      <c r="C2621" s="9" t="s">
        <v>500</v>
      </c>
      <c r="D2621">
        <v>10021445007</v>
      </c>
      <c r="E2621" t="s">
        <v>47</v>
      </c>
      <c r="F2621" t="s">
        <v>61</v>
      </c>
      <c r="G2621" t="s">
        <v>62</v>
      </c>
      <c r="H2621" t="s">
        <v>47</v>
      </c>
      <c r="I2621" t="s">
        <v>1778</v>
      </c>
      <c r="J2621" t="s">
        <v>668</v>
      </c>
      <c r="K2621" s="3">
        <v>100110591518</v>
      </c>
      <c r="L2621" s="10">
        <v>40972</v>
      </c>
      <c r="M2621">
        <v>3008.5</v>
      </c>
      <c r="N2621" s="11">
        <v>33</v>
      </c>
      <c r="O2621" s="12">
        <v>90.97</v>
      </c>
      <c r="P2621" s="12">
        <v>14</v>
      </c>
      <c r="Q2621" s="13">
        <v>1101.9</v>
      </c>
      <c r="R2621" s="36" t="s">
        <v>886</v>
      </c>
      <c r="S2621" s="7">
        <f t="shared" si="217"/>
        <v>6</v>
      </c>
      <c r="T2621" s="15" t="str">
        <f>VLOOKUP(R2621,产品分类!$C$2:$D$1278,2,0)</f>
        <v>办公用品</v>
      </c>
    </row>
    <row r="2622" spans="1:20">
      <c r="A2622" s="8">
        <f>DATE(2012,12,31)-551</f>
        <v>40723</v>
      </c>
      <c r="B2622" s="8">
        <f>DATE(2012,12,31)-551</f>
        <v>40723</v>
      </c>
      <c r="C2622" s="9" t="s">
        <v>1246</v>
      </c>
      <c r="D2622">
        <v>10021249901</v>
      </c>
      <c r="E2622" t="s">
        <v>47</v>
      </c>
      <c r="F2622" t="s">
        <v>61</v>
      </c>
      <c r="G2622" t="s">
        <v>62</v>
      </c>
      <c r="H2622" t="s">
        <v>47</v>
      </c>
      <c r="I2622" t="s">
        <v>1778</v>
      </c>
      <c r="J2622" t="s">
        <v>668</v>
      </c>
      <c r="K2622" s="3">
        <v>100910838451</v>
      </c>
      <c r="L2622" s="10">
        <v>40724</v>
      </c>
      <c r="M2622">
        <v>61.5</v>
      </c>
      <c r="N2622" s="11">
        <v>16</v>
      </c>
      <c r="O2622" s="12">
        <v>3.98</v>
      </c>
      <c r="P2622" s="12">
        <v>2.97</v>
      </c>
      <c r="Q2622" s="13">
        <v>-16.27</v>
      </c>
      <c r="R2622" s="36" t="s">
        <v>1098</v>
      </c>
      <c r="S2622" s="7">
        <f t="shared" si="217"/>
        <v>1</v>
      </c>
      <c r="T2622" s="15" t="str">
        <f>VLOOKUP(R2622,产品分类!$C$2:$D$1278,2,0)</f>
        <v>办公用品</v>
      </c>
    </row>
    <row r="2623" spans="1:20">
      <c r="A2623" s="8">
        <f>DATE(2012,12,31)-551</f>
        <v>40723</v>
      </c>
      <c r="B2623" s="8">
        <f>DATE(2012,12,31)-551</f>
        <v>40723</v>
      </c>
      <c r="C2623" s="9" t="s">
        <v>1246</v>
      </c>
      <c r="D2623">
        <v>10021338787</v>
      </c>
      <c r="E2623" t="s">
        <v>47</v>
      </c>
      <c r="F2623" t="s">
        <v>61</v>
      </c>
      <c r="G2623" t="s">
        <v>62</v>
      </c>
      <c r="H2623" t="s">
        <v>47</v>
      </c>
      <c r="I2623" t="s">
        <v>1778</v>
      </c>
      <c r="J2623" t="s">
        <v>668</v>
      </c>
      <c r="K2623" s="3">
        <v>100124487168</v>
      </c>
      <c r="L2623" s="10">
        <v>40725</v>
      </c>
      <c r="M2623">
        <v>324.3175</v>
      </c>
      <c r="N2623" s="11">
        <v>10</v>
      </c>
      <c r="O2623" s="12">
        <v>35.99</v>
      </c>
      <c r="P2623" s="12">
        <v>5</v>
      </c>
      <c r="Q2623" s="13">
        <v>-169.741</v>
      </c>
      <c r="R2623" s="36" t="s">
        <v>1843</v>
      </c>
      <c r="S2623" s="7">
        <f t="shared" si="217"/>
        <v>2</v>
      </c>
      <c r="T2623" s="15" t="str">
        <f>VLOOKUP(R2623,产品分类!$C$2:$D$1278,2,0)</f>
        <v>数码电子</v>
      </c>
    </row>
    <row r="2624" spans="1:20">
      <c r="A2624" s="8">
        <f>DATE(2012,12,31)-1303</f>
        <v>39971</v>
      </c>
      <c r="B2624" s="8">
        <f>DATE(2012,12,31)-1303</f>
        <v>39971</v>
      </c>
      <c r="C2624" s="9" t="s">
        <v>653</v>
      </c>
      <c r="D2624">
        <v>10021264981</v>
      </c>
      <c r="E2624" t="s">
        <v>47</v>
      </c>
      <c r="F2624" t="s">
        <v>61</v>
      </c>
      <c r="G2624" t="s">
        <v>62</v>
      </c>
      <c r="H2624" t="s">
        <v>47</v>
      </c>
      <c r="I2624" t="s">
        <v>1778</v>
      </c>
      <c r="J2624" t="s">
        <v>668</v>
      </c>
      <c r="K2624" s="3">
        <v>100131247418</v>
      </c>
      <c r="L2624" s="10">
        <v>39973</v>
      </c>
      <c r="M2624">
        <v>23792.93</v>
      </c>
      <c r="N2624" s="11">
        <v>18</v>
      </c>
      <c r="O2624" s="12">
        <v>1270.99</v>
      </c>
      <c r="P2624" s="12">
        <v>19.99</v>
      </c>
      <c r="Q2624" s="13">
        <v>10951.3065</v>
      </c>
      <c r="R2624" s="36" t="s">
        <v>929</v>
      </c>
      <c r="S2624" s="7">
        <f t="shared" si="217"/>
        <v>2</v>
      </c>
      <c r="T2624" s="15" t="str">
        <f>VLOOKUP(R2624,产品分类!$C$2:$D$1278,2,0)</f>
        <v>数码电子</v>
      </c>
    </row>
    <row r="2625" spans="1:20">
      <c r="A2625" s="8">
        <f>DATE(2012,12,31)-378</f>
        <v>40896</v>
      </c>
      <c r="B2625" s="8">
        <f>DATE(2012,12,31)-378</f>
        <v>40896</v>
      </c>
      <c r="C2625" s="9" t="s">
        <v>681</v>
      </c>
      <c r="D2625">
        <v>10021497382</v>
      </c>
      <c r="E2625" t="s">
        <v>47</v>
      </c>
      <c r="F2625" t="s">
        <v>61</v>
      </c>
      <c r="G2625" t="s">
        <v>62</v>
      </c>
      <c r="H2625" t="s">
        <v>47</v>
      </c>
      <c r="I2625" t="s">
        <v>1778</v>
      </c>
      <c r="J2625" t="s">
        <v>668</v>
      </c>
      <c r="K2625" s="3">
        <v>100117351616</v>
      </c>
      <c r="L2625" s="10">
        <v>40897</v>
      </c>
      <c r="M2625">
        <v>211.97</v>
      </c>
      <c r="N2625" s="11">
        <v>10</v>
      </c>
      <c r="O2625" s="12">
        <v>21.38</v>
      </c>
      <c r="P2625" s="12">
        <v>8.99</v>
      </c>
      <c r="Q2625" s="13">
        <v>-46.83</v>
      </c>
      <c r="R2625" s="36" t="s">
        <v>993</v>
      </c>
      <c r="S2625" s="7">
        <f t="shared" si="217"/>
        <v>1</v>
      </c>
      <c r="T2625" s="15" t="str">
        <f>VLOOKUP(R2625,产品分类!$C$2:$D$1278,2,0)</f>
        <v>数码电子</v>
      </c>
    </row>
    <row r="2626" spans="1:20">
      <c r="A2626" s="8">
        <f>DATE(2012,12,31)-524</f>
        <v>40750</v>
      </c>
      <c r="B2626" s="8">
        <f>DATE(2012,12,31)-524</f>
        <v>40750</v>
      </c>
      <c r="C2626" s="9" t="s">
        <v>506</v>
      </c>
      <c r="D2626">
        <v>10021262608</v>
      </c>
      <c r="E2626" t="s">
        <v>47</v>
      </c>
      <c r="F2626" t="s">
        <v>61</v>
      </c>
      <c r="G2626" t="s">
        <v>62</v>
      </c>
      <c r="H2626" t="s">
        <v>47</v>
      </c>
      <c r="I2626" t="s">
        <v>1778</v>
      </c>
      <c r="J2626" t="s">
        <v>668</v>
      </c>
      <c r="K2626" s="3">
        <v>100830100222</v>
      </c>
      <c r="L2626" s="10">
        <v>40754</v>
      </c>
      <c r="M2626">
        <v>36.06</v>
      </c>
      <c r="N2626" s="11">
        <v>3</v>
      </c>
      <c r="O2626" s="12">
        <v>10.89</v>
      </c>
      <c r="P2626" s="12">
        <v>4.5</v>
      </c>
      <c r="Q2626" s="13">
        <v>-18.5</v>
      </c>
      <c r="R2626" s="36" t="s">
        <v>269</v>
      </c>
      <c r="S2626" s="7">
        <f t="shared" si="217"/>
        <v>4</v>
      </c>
      <c r="T2626" s="15" t="str">
        <f>VLOOKUP(R2626,产品分类!$C$2:$D$1278,2,0)</f>
        <v>办公用品</v>
      </c>
    </row>
    <row r="2627" spans="1:20">
      <c r="A2627" s="8">
        <f>DATE(2012,12,31)-524</f>
        <v>40750</v>
      </c>
      <c r="B2627" s="8">
        <f>DATE(2012,12,31)-524</f>
        <v>40750</v>
      </c>
      <c r="C2627" s="9" t="s">
        <v>506</v>
      </c>
      <c r="D2627">
        <v>10021260050</v>
      </c>
      <c r="E2627" t="s">
        <v>47</v>
      </c>
      <c r="F2627" t="s">
        <v>61</v>
      </c>
      <c r="G2627" t="s">
        <v>62</v>
      </c>
      <c r="H2627" t="s">
        <v>47</v>
      </c>
      <c r="I2627" t="s">
        <v>1778</v>
      </c>
      <c r="J2627" t="s">
        <v>668</v>
      </c>
      <c r="K2627" s="3">
        <v>100828513632</v>
      </c>
      <c r="L2627" s="10">
        <v>40759</v>
      </c>
      <c r="M2627">
        <v>1849.8</v>
      </c>
      <c r="N2627" s="11">
        <v>43</v>
      </c>
      <c r="O2627" s="12">
        <v>42.98</v>
      </c>
      <c r="P2627" s="12">
        <v>4.62</v>
      </c>
      <c r="Q2627" s="13">
        <v>530.22</v>
      </c>
      <c r="R2627" s="36" t="s">
        <v>1763</v>
      </c>
      <c r="S2627" s="7">
        <f t="shared" ref="S2627:S2690" si="221">+L2627-B2627</f>
        <v>9</v>
      </c>
      <c r="T2627" s="15" t="str">
        <f>VLOOKUP(R2627,产品分类!$C$2:$D$1278,2,0)</f>
        <v>数码电子</v>
      </c>
    </row>
    <row r="2628" spans="1:20">
      <c r="A2628" s="16">
        <f>DATE(2012,12,31)-1401</f>
        <v>39873</v>
      </c>
      <c r="B2628" s="16">
        <f>DATE(2012,12,31)-1401</f>
        <v>39873</v>
      </c>
      <c r="C2628" s="9" t="s">
        <v>1581</v>
      </c>
      <c r="D2628">
        <v>10021263146</v>
      </c>
      <c r="E2628" t="s">
        <v>47</v>
      </c>
      <c r="F2628" t="s">
        <v>253</v>
      </c>
      <c r="G2628" t="s">
        <v>254</v>
      </c>
      <c r="H2628" t="s">
        <v>1998</v>
      </c>
      <c r="I2628" t="s">
        <v>1999</v>
      </c>
      <c r="J2628" t="s">
        <v>668</v>
      </c>
      <c r="K2628" s="3">
        <v>100115918088</v>
      </c>
      <c r="L2628" s="10">
        <v>39874</v>
      </c>
      <c r="M2628">
        <v>327.61</v>
      </c>
      <c r="N2628" s="17">
        <v>8</v>
      </c>
      <c r="O2628" s="5">
        <v>40.98</v>
      </c>
      <c r="P2628" s="5">
        <v>7.47</v>
      </c>
      <c r="Q2628" s="6">
        <v>54.9015</v>
      </c>
      <c r="R2628" s="37" t="s">
        <v>416</v>
      </c>
      <c r="S2628" s="7">
        <f t="shared" si="221"/>
        <v>1</v>
      </c>
      <c r="T2628" s="15" t="str">
        <f>VLOOKUP(R2628,产品分类!$C$2:$D$1278,2,0)</f>
        <v>家具产品</v>
      </c>
    </row>
    <row r="2629" spans="1:20">
      <c r="A2629" s="8">
        <f>DATE(2012,12,31)-264</f>
        <v>41010</v>
      </c>
      <c r="B2629" s="8">
        <f>DATE(2012,12,31)-264</f>
        <v>41010</v>
      </c>
      <c r="C2629" s="9" t="s">
        <v>1066</v>
      </c>
      <c r="D2629">
        <v>10021265997</v>
      </c>
      <c r="E2629" t="s">
        <v>47</v>
      </c>
      <c r="F2629" t="s">
        <v>61</v>
      </c>
      <c r="G2629" t="s">
        <v>62</v>
      </c>
      <c r="H2629" t="s">
        <v>47</v>
      </c>
      <c r="I2629" t="s">
        <v>1778</v>
      </c>
      <c r="J2629" t="s">
        <v>668</v>
      </c>
      <c r="K2629" s="3">
        <v>100831653642</v>
      </c>
      <c r="L2629" s="10">
        <v>41012</v>
      </c>
      <c r="M2629">
        <v>4800.44</v>
      </c>
      <c r="N2629" s="11">
        <v>32</v>
      </c>
      <c r="O2629" s="12">
        <v>150.98</v>
      </c>
      <c r="P2629" s="12">
        <v>13.99</v>
      </c>
      <c r="Q2629" s="13">
        <v>1912.92</v>
      </c>
      <c r="R2629" s="36" t="s">
        <v>126</v>
      </c>
      <c r="S2629" s="7">
        <f t="shared" si="221"/>
        <v>2</v>
      </c>
      <c r="T2629" s="15" t="str">
        <f>VLOOKUP(R2629,产品分类!$C$2:$D$1278,2,0)</f>
        <v>家具产品</v>
      </c>
    </row>
    <row r="2630" spans="1:20">
      <c r="A2630" s="8">
        <f>DATE(2012,12,31)-264</f>
        <v>41010</v>
      </c>
      <c r="B2630" s="8">
        <f>DATE(2012,12,31)-264</f>
        <v>41010</v>
      </c>
      <c r="C2630" s="9" t="s">
        <v>1066</v>
      </c>
      <c r="D2630">
        <v>10021318870</v>
      </c>
      <c r="E2630" t="s">
        <v>47</v>
      </c>
      <c r="F2630" t="s">
        <v>61</v>
      </c>
      <c r="G2630" t="s">
        <v>62</v>
      </c>
      <c r="H2630" t="s">
        <v>47</v>
      </c>
      <c r="I2630" t="s">
        <v>1778</v>
      </c>
      <c r="J2630" t="s">
        <v>668</v>
      </c>
      <c r="K2630" s="3">
        <v>10097829211</v>
      </c>
      <c r="L2630" s="10">
        <v>41017</v>
      </c>
      <c r="M2630">
        <v>271.33</v>
      </c>
      <c r="N2630" s="11">
        <v>29</v>
      </c>
      <c r="O2630" s="12">
        <v>9.71</v>
      </c>
      <c r="P2630" s="12">
        <v>9.45</v>
      </c>
      <c r="Q2630" s="13">
        <v>-191.09</v>
      </c>
      <c r="R2630" s="36" t="s">
        <v>135</v>
      </c>
      <c r="S2630" s="7">
        <f t="shared" si="221"/>
        <v>7</v>
      </c>
      <c r="T2630" s="15" t="str">
        <f>VLOOKUP(R2630,产品分类!$C$2:$D$1278,2,0)</f>
        <v>办公用品</v>
      </c>
    </row>
    <row r="2631" spans="1:20">
      <c r="A2631" s="8">
        <f>DATE(2012,12,31)-1433</f>
        <v>39841</v>
      </c>
      <c r="B2631" s="8">
        <f>DATE(2012,12,31)-1433</f>
        <v>39841</v>
      </c>
      <c r="C2631" s="9" t="s">
        <v>681</v>
      </c>
      <c r="D2631">
        <v>10021266461</v>
      </c>
      <c r="E2631" t="s">
        <v>47</v>
      </c>
      <c r="F2631" t="s">
        <v>61</v>
      </c>
      <c r="G2631" t="s">
        <v>62</v>
      </c>
      <c r="H2631" t="s">
        <v>47</v>
      </c>
      <c r="I2631" t="s">
        <v>1778</v>
      </c>
      <c r="J2631" t="s">
        <v>668</v>
      </c>
      <c r="K2631" s="3">
        <v>100431784764</v>
      </c>
      <c r="L2631" s="10">
        <v>39842</v>
      </c>
      <c r="M2631">
        <v>67.49</v>
      </c>
      <c r="N2631" s="11">
        <v>1</v>
      </c>
      <c r="O2631" s="12">
        <v>55.48</v>
      </c>
      <c r="P2631" s="12">
        <v>14.3</v>
      </c>
      <c r="Q2631" s="13">
        <v>-22.82</v>
      </c>
      <c r="R2631" s="36" t="s">
        <v>429</v>
      </c>
      <c r="S2631" s="7">
        <f t="shared" si="221"/>
        <v>1</v>
      </c>
      <c r="T2631" s="15" t="str">
        <f>VLOOKUP(R2631,产品分类!$C$2:$D$1278,2,0)</f>
        <v>办公用品</v>
      </c>
    </row>
    <row r="2632" spans="1:20">
      <c r="A2632" s="8">
        <f>DATE(2012,12,31)-1433</f>
        <v>39841</v>
      </c>
      <c r="B2632" s="8">
        <f>DATE(2012,12,31)-1433</f>
        <v>39841</v>
      </c>
      <c r="C2632" s="9" t="s">
        <v>681</v>
      </c>
      <c r="D2632">
        <v>10021500388</v>
      </c>
      <c r="E2632" t="s">
        <v>47</v>
      </c>
      <c r="F2632" t="s">
        <v>66</v>
      </c>
      <c r="G2632" t="s">
        <v>67</v>
      </c>
      <c r="H2632" t="s">
        <v>1435</v>
      </c>
      <c r="I2632" t="s">
        <v>1436</v>
      </c>
      <c r="J2632" t="s">
        <v>668</v>
      </c>
      <c r="K2632" s="3">
        <v>100925877471</v>
      </c>
      <c r="L2632" s="10">
        <v>39843</v>
      </c>
      <c r="M2632">
        <v>6.76</v>
      </c>
      <c r="N2632" s="11">
        <v>3</v>
      </c>
      <c r="O2632" s="12">
        <v>1.68</v>
      </c>
      <c r="P2632" s="12">
        <v>1.57</v>
      </c>
      <c r="Q2632" s="13">
        <v>-4.28</v>
      </c>
      <c r="R2632" s="36" t="s">
        <v>881</v>
      </c>
      <c r="S2632" s="7">
        <f t="shared" si="221"/>
        <v>2</v>
      </c>
      <c r="T2632" s="15" t="str">
        <f>VLOOKUP(R2632,产品分类!$C$2:$D$1278,2,0)</f>
        <v>家具产品</v>
      </c>
    </row>
    <row r="2633" spans="1:20">
      <c r="A2633" s="8">
        <f>DATE(2012,12,31)-1286</f>
        <v>39988</v>
      </c>
      <c r="B2633" s="8">
        <f>DATE(2012,12,31)-1286</f>
        <v>39988</v>
      </c>
      <c r="C2633" s="9" t="s">
        <v>2025</v>
      </c>
      <c r="D2633">
        <v>10021425513</v>
      </c>
      <c r="E2633" t="s">
        <v>47</v>
      </c>
      <c r="F2633" t="s">
        <v>66</v>
      </c>
      <c r="G2633" t="s">
        <v>67</v>
      </c>
      <c r="H2633" t="s">
        <v>1435</v>
      </c>
      <c r="I2633" t="s">
        <v>1436</v>
      </c>
      <c r="J2633" t="s">
        <v>668</v>
      </c>
      <c r="K2633" s="3">
        <v>100128535746</v>
      </c>
      <c r="L2633" s="10">
        <v>39989</v>
      </c>
      <c r="M2633">
        <v>178.4</v>
      </c>
      <c r="N2633" s="11">
        <v>16</v>
      </c>
      <c r="O2633" s="12">
        <v>10.64</v>
      </c>
      <c r="P2633" s="12">
        <v>5.16</v>
      </c>
      <c r="Q2633" s="13">
        <v>20.08</v>
      </c>
      <c r="R2633" s="36" t="s">
        <v>644</v>
      </c>
      <c r="S2633" s="7">
        <f t="shared" si="221"/>
        <v>1</v>
      </c>
      <c r="T2633" s="15" t="str">
        <f>VLOOKUP(R2633,产品分类!$C$2:$D$1278,2,0)</f>
        <v>家具产品</v>
      </c>
    </row>
    <row r="2634" spans="1:20">
      <c r="A2634" s="16">
        <f>DATE(2012,12,31)-1286</f>
        <v>39988</v>
      </c>
      <c r="B2634" s="16">
        <f>DATE(2012,12,31)-1286</f>
        <v>39988</v>
      </c>
      <c r="C2634" s="9" t="s">
        <v>2025</v>
      </c>
      <c r="D2634">
        <v>10021346716</v>
      </c>
      <c r="E2634" t="s">
        <v>47</v>
      </c>
      <c r="F2634" t="s">
        <v>230</v>
      </c>
      <c r="G2634" t="s">
        <v>231</v>
      </c>
      <c r="H2634" t="s">
        <v>1798</v>
      </c>
      <c r="I2634" t="s">
        <v>1799</v>
      </c>
      <c r="J2634" t="s">
        <v>668</v>
      </c>
      <c r="K2634" s="3">
        <v>100930928171</v>
      </c>
      <c r="L2634" s="10">
        <v>39990</v>
      </c>
      <c r="M2634">
        <v>115.01</v>
      </c>
      <c r="N2634" s="17">
        <v>40</v>
      </c>
      <c r="O2634" s="5">
        <v>2.78</v>
      </c>
      <c r="P2634" s="5">
        <v>1.34</v>
      </c>
      <c r="Q2634" s="6">
        <v>5.81</v>
      </c>
      <c r="R2634" s="37" t="s">
        <v>452</v>
      </c>
      <c r="S2634" s="7">
        <f t="shared" si="221"/>
        <v>2</v>
      </c>
      <c r="T2634" s="15" t="str">
        <f>VLOOKUP(R2634,产品分类!$C$2:$D$1278,2,0)</f>
        <v>家具产品</v>
      </c>
    </row>
    <row r="2635" spans="1:20">
      <c r="A2635" s="8">
        <f>DATE(2012,12,31)-189</f>
        <v>41085</v>
      </c>
      <c r="B2635" s="8">
        <f>DATE(2012,12,31)-189</f>
        <v>41085</v>
      </c>
      <c r="C2635" s="9" t="s">
        <v>197</v>
      </c>
      <c r="D2635">
        <v>10021348507</v>
      </c>
      <c r="E2635" t="s">
        <v>47</v>
      </c>
      <c r="F2635" t="s">
        <v>83</v>
      </c>
      <c r="G2635" t="s">
        <v>84</v>
      </c>
      <c r="H2635" t="s">
        <v>1928</v>
      </c>
      <c r="I2635" t="s">
        <v>1929</v>
      </c>
      <c r="J2635" t="s">
        <v>668</v>
      </c>
      <c r="K2635" s="3">
        <v>100931583551</v>
      </c>
      <c r="L2635" s="10">
        <v>41087</v>
      </c>
      <c r="M2635">
        <v>3816.59</v>
      </c>
      <c r="N2635" s="11">
        <v>17</v>
      </c>
      <c r="O2635" s="12">
        <v>208.16</v>
      </c>
      <c r="P2635" s="12">
        <v>68.02</v>
      </c>
      <c r="Q2635" s="13">
        <v>191.47</v>
      </c>
      <c r="R2635" s="36" t="s">
        <v>205</v>
      </c>
      <c r="S2635" s="7">
        <f t="shared" si="221"/>
        <v>2</v>
      </c>
      <c r="T2635" s="15" t="str">
        <f>VLOOKUP(R2635,产品分类!$C$2:$D$1278,2,0)</f>
        <v>家具产品</v>
      </c>
    </row>
    <row r="2636" spans="1:20">
      <c r="A2636" s="8">
        <f>DATE(2012,12,31)-1192</f>
        <v>40082</v>
      </c>
      <c r="B2636" s="8">
        <f>DATE(2012,12,31)-1192</f>
        <v>40082</v>
      </c>
      <c r="C2636" s="9" t="s">
        <v>1211</v>
      </c>
      <c r="D2636">
        <v>10021261182</v>
      </c>
      <c r="E2636" t="s">
        <v>47</v>
      </c>
      <c r="F2636" t="s">
        <v>97</v>
      </c>
      <c r="G2636" t="s">
        <v>98</v>
      </c>
      <c r="H2636" t="s">
        <v>99</v>
      </c>
      <c r="I2636" t="s">
        <v>98</v>
      </c>
      <c r="J2636" t="s">
        <v>668</v>
      </c>
      <c r="K2636" s="3">
        <v>100926699071</v>
      </c>
      <c r="L2636" s="10">
        <v>40083</v>
      </c>
      <c r="M2636">
        <v>1841.6</v>
      </c>
      <c r="N2636" s="11">
        <v>36</v>
      </c>
      <c r="O2636" s="12">
        <v>50.98</v>
      </c>
      <c r="P2636" s="12">
        <v>6.5</v>
      </c>
      <c r="Q2636" s="13">
        <v>12.9500000000001</v>
      </c>
      <c r="R2636" s="36" t="s">
        <v>1501</v>
      </c>
      <c r="S2636" s="7">
        <f t="shared" si="221"/>
        <v>1</v>
      </c>
      <c r="T2636" s="15" t="str">
        <f>VLOOKUP(R2636,产品分类!$C$2:$D$1278,2,0)</f>
        <v>家具产品</v>
      </c>
    </row>
    <row r="2637" spans="1:20">
      <c r="A2637" s="8">
        <f>DATE(2012,12,31)-1253</f>
        <v>40021</v>
      </c>
      <c r="B2637" s="8">
        <f>DATE(2012,12,31)-1253</f>
        <v>40021</v>
      </c>
      <c r="C2637" s="9" t="s">
        <v>1682</v>
      </c>
      <c r="D2637">
        <v>10021499834</v>
      </c>
      <c r="E2637" t="s">
        <v>47</v>
      </c>
      <c r="F2637" t="s">
        <v>102</v>
      </c>
      <c r="G2637" t="s">
        <v>103</v>
      </c>
      <c r="H2637" t="s">
        <v>1217</v>
      </c>
      <c r="I2637" t="s">
        <v>1218</v>
      </c>
      <c r="J2637" t="s">
        <v>668</v>
      </c>
      <c r="K2637" s="3">
        <v>100425294314</v>
      </c>
      <c r="L2637" s="10">
        <v>40022</v>
      </c>
      <c r="M2637">
        <v>256.12</v>
      </c>
      <c r="N2637" s="11">
        <v>21</v>
      </c>
      <c r="O2637" s="12">
        <v>11.97</v>
      </c>
      <c r="P2637" s="12">
        <v>4.98</v>
      </c>
      <c r="Q2637" s="13">
        <v>-18.19</v>
      </c>
      <c r="R2637" s="36" t="s">
        <v>1833</v>
      </c>
      <c r="S2637" s="7">
        <f t="shared" si="221"/>
        <v>1</v>
      </c>
      <c r="T2637" s="15" t="str">
        <f>VLOOKUP(R2637,产品分类!$C$2:$D$1278,2,0)</f>
        <v>办公用品</v>
      </c>
    </row>
    <row r="2638" spans="1:20">
      <c r="A2638" s="8">
        <f>DATE(2012,12,31)-874</f>
        <v>40400</v>
      </c>
      <c r="B2638" s="8">
        <f>DATE(2012,12,31)-874</f>
        <v>40400</v>
      </c>
      <c r="C2638" s="9" t="s">
        <v>686</v>
      </c>
      <c r="D2638">
        <v>10021262469</v>
      </c>
      <c r="E2638" t="s">
        <v>47</v>
      </c>
      <c r="F2638" t="s">
        <v>183</v>
      </c>
      <c r="G2638" t="s">
        <v>184</v>
      </c>
      <c r="H2638" t="s">
        <v>1716</v>
      </c>
      <c r="I2638" t="s">
        <v>1717</v>
      </c>
      <c r="J2638" t="s">
        <v>668</v>
      </c>
      <c r="K2638" s="3">
        <v>100130080126</v>
      </c>
      <c r="L2638" s="10">
        <v>40402</v>
      </c>
      <c r="M2638">
        <v>5085.907</v>
      </c>
      <c r="N2638" s="11">
        <v>48</v>
      </c>
      <c r="O2638" s="12">
        <v>125.99</v>
      </c>
      <c r="P2638" s="12">
        <v>8.08</v>
      </c>
      <c r="Q2638" s="13">
        <v>1366.686</v>
      </c>
      <c r="R2638" s="36" t="s">
        <v>190</v>
      </c>
      <c r="S2638" s="7">
        <f t="shared" si="221"/>
        <v>2</v>
      </c>
      <c r="T2638" s="15" t="str">
        <f>VLOOKUP(R2638,产品分类!$C$2:$D$1278,2,0)</f>
        <v>家具产品</v>
      </c>
    </row>
    <row r="2639" spans="1:20">
      <c r="A2639" s="8">
        <f>DATE(2012,12,31)-1160</f>
        <v>40114</v>
      </c>
      <c r="B2639" s="8">
        <f>DATE(2012,12,31)-1160</f>
        <v>40114</v>
      </c>
      <c r="C2639" s="9" t="s">
        <v>1237</v>
      </c>
      <c r="D2639">
        <v>10021288965</v>
      </c>
      <c r="E2639" t="s">
        <v>47</v>
      </c>
      <c r="F2639" t="s">
        <v>72</v>
      </c>
      <c r="G2639" t="s">
        <v>73</v>
      </c>
      <c r="H2639" t="s">
        <v>2008</v>
      </c>
      <c r="I2639" t="s">
        <v>2009</v>
      </c>
      <c r="J2639" t="s">
        <v>668</v>
      </c>
      <c r="K2639" s="3">
        <v>100932378881</v>
      </c>
      <c r="L2639" s="10">
        <v>40116</v>
      </c>
      <c r="M2639">
        <v>1370.56</v>
      </c>
      <c r="N2639" s="11">
        <v>31</v>
      </c>
      <c r="O2639" s="12">
        <v>48.91</v>
      </c>
      <c r="P2639" s="12">
        <v>5.97</v>
      </c>
      <c r="Q2639" s="13">
        <v>511.51</v>
      </c>
      <c r="R2639" s="36" t="s">
        <v>1890</v>
      </c>
      <c r="S2639" s="7">
        <f t="shared" si="221"/>
        <v>2</v>
      </c>
      <c r="T2639" s="15" t="str">
        <f>VLOOKUP(R2639,产品分类!$C$2:$D$1278,2,0)</f>
        <v>家具产品</v>
      </c>
    </row>
    <row r="2640" spans="1:20">
      <c r="A2640" s="8">
        <f>DATE(2012,12,31)-1160</f>
        <v>40114</v>
      </c>
      <c r="B2640" s="8">
        <f>DATE(2012,12,31)-1160</f>
        <v>40114</v>
      </c>
      <c r="C2640" s="9" t="s">
        <v>1237</v>
      </c>
      <c r="D2640">
        <v>10021515716</v>
      </c>
      <c r="E2640" t="s">
        <v>47</v>
      </c>
      <c r="F2640" t="s">
        <v>72</v>
      </c>
      <c r="G2640" t="s">
        <v>73</v>
      </c>
      <c r="H2640" t="s">
        <v>2008</v>
      </c>
      <c r="I2640" t="s">
        <v>2009</v>
      </c>
      <c r="J2640" t="s">
        <v>668</v>
      </c>
      <c r="K2640" s="3">
        <v>100429810343</v>
      </c>
      <c r="L2640" s="10">
        <v>40114</v>
      </c>
      <c r="M2640">
        <v>172.98</v>
      </c>
      <c r="N2640" s="11">
        <v>29</v>
      </c>
      <c r="O2640" s="12">
        <v>5.98</v>
      </c>
      <c r="P2640" s="12">
        <v>5.46</v>
      </c>
      <c r="Q2640" s="13">
        <v>-59.75</v>
      </c>
      <c r="R2640" s="36" t="s">
        <v>1990</v>
      </c>
      <c r="S2640" s="7">
        <f t="shared" si="221"/>
        <v>0</v>
      </c>
      <c r="T2640" s="15" t="str">
        <f>VLOOKUP(R2640,产品分类!$C$2:$D$1278,2,0)</f>
        <v>家具产品</v>
      </c>
    </row>
    <row r="2641" spans="1:20">
      <c r="A2641" s="8">
        <f>DATE(2012,12,31)-1184</f>
        <v>40090</v>
      </c>
      <c r="B2641" s="8">
        <f>DATE(2012,12,31)-1184</f>
        <v>40090</v>
      </c>
      <c r="C2641" s="9" t="s">
        <v>2026</v>
      </c>
      <c r="D2641">
        <v>10021393475</v>
      </c>
      <c r="E2641" t="s">
        <v>47</v>
      </c>
      <c r="F2641" t="s">
        <v>72</v>
      </c>
      <c r="G2641" t="s">
        <v>73</v>
      </c>
      <c r="H2641" t="s">
        <v>2008</v>
      </c>
      <c r="I2641" t="s">
        <v>2009</v>
      </c>
      <c r="J2641" t="s">
        <v>668</v>
      </c>
      <c r="K2641" s="3">
        <v>100932109691</v>
      </c>
      <c r="L2641" s="10">
        <v>40095</v>
      </c>
      <c r="M2641">
        <v>195.83</v>
      </c>
      <c r="N2641" s="11">
        <v>24</v>
      </c>
      <c r="O2641" s="12">
        <v>8.33</v>
      </c>
      <c r="P2641" s="12">
        <v>1.99</v>
      </c>
      <c r="Q2641" s="13">
        <v>10.79</v>
      </c>
      <c r="R2641" s="36" t="s">
        <v>1011</v>
      </c>
      <c r="S2641" s="7">
        <f t="shared" si="221"/>
        <v>5</v>
      </c>
      <c r="T2641" s="15" t="str">
        <f>VLOOKUP(R2641,产品分类!$C$2:$D$1278,2,0)</f>
        <v>家具产品</v>
      </c>
    </row>
    <row r="2642" spans="1:20">
      <c r="A2642" s="8">
        <f>DATE(2012,12,31)-880</f>
        <v>40394</v>
      </c>
      <c r="B2642" s="8">
        <f>DATE(2012,12,31)-880</f>
        <v>40394</v>
      </c>
      <c r="C2642" s="9" t="s">
        <v>1342</v>
      </c>
      <c r="D2642">
        <v>10021490001</v>
      </c>
      <c r="E2642" t="s">
        <v>47</v>
      </c>
      <c r="F2642" t="s">
        <v>114</v>
      </c>
      <c r="G2642" t="s">
        <v>115</v>
      </c>
      <c r="H2642" t="s">
        <v>2027</v>
      </c>
      <c r="I2642" t="s">
        <v>2028</v>
      </c>
      <c r="J2642" t="s">
        <v>668</v>
      </c>
      <c r="K2642" s="3">
        <v>100417573764</v>
      </c>
      <c r="L2642" s="10">
        <v>40396</v>
      </c>
      <c r="M2642">
        <v>1372.9455</v>
      </c>
      <c r="N2642" s="11">
        <v>44</v>
      </c>
      <c r="O2642" s="12">
        <v>35.99</v>
      </c>
      <c r="P2642" s="12">
        <v>1.25</v>
      </c>
      <c r="Q2642" s="13">
        <v>429.885</v>
      </c>
      <c r="R2642" s="36" t="s">
        <v>718</v>
      </c>
      <c r="S2642" s="7">
        <f t="shared" si="221"/>
        <v>2</v>
      </c>
      <c r="T2642" s="15" t="str">
        <f>VLOOKUP(R2642,产品分类!$C$2:$D$1278,2,0)</f>
        <v>数码电子</v>
      </c>
    </row>
    <row r="2643" spans="1:20">
      <c r="A2643" s="8">
        <f>DATE(2012,12,31)-483</f>
        <v>40791</v>
      </c>
      <c r="B2643" s="8">
        <f>DATE(2012,12,31)-483</f>
        <v>40791</v>
      </c>
      <c r="C2643" s="9" t="s">
        <v>361</v>
      </c>
      <c r="D2643">
        <v>10021409700</v>
      </c>
      <c r="E2643" t="s">
        <v>47</v>
      </c>
      <c r="F2643" t="s">
        <v>114</v>
      </c>
      <c r="G2643" t="s">
        <v>115</v>
      </c>
      <c r="H2643" t="s">
        <v>2027</v>
      </c>
      <c r="I2643" t="s">
        <v>2028</v>
      </c>
      <c r="J2643" t="s">
        <v>668</v>
      </c>
      <c r="K2643" s="3">
        <v>100426078124</v>
      </c>
      <c r="L2643" s="10">
        <v>40796</v>
      </c>
      <c r="M2643">
        <v>387</v>
      </c>
      <c r="N2643" s="11">
        <v>30</v>
      </c>
      <c r="O2643" s="12">
        <v>12.28</v>
      </c>
      <c r="P2643" s="12">
        <v>6.13</v>
      </c>
      <c r="Q2643" s="13">
        <v>-31.45</v>
      </c>
      <c r="R2643" s="36" t="s">
        <v>1802</v>
      </c>
      <c r="S2643" s="7">
        <f t="shared" si="221"/>
        <v>5</v>
      </c>
      <c r="T2643" s="15" t="str">
        <f>VLOOKUP(R2643,产品分类!$C$2:$D$1278,2,0)</f>
        <v>办公用品</v>
      </c>
    </row>
    <row r="2644" spans="1:20">
      <c r="A2644" s="8">
        <f>DATE(2012,12,31)-759</f>
        <v>40515</v>
      </c>
      <c r="B2644" s="8">
        <f>DATE(2012,12,31)-759</f>
        <v>40515</v>
      </c>
      <c r="C2644" s="9" t="s">
        <v>108</v>
      </c>
      <c r="D2644">
        <v>10021435613</v>
      </c>
      <c r="E2644" t="s">
        <v>47</v>
      </c>
      <c r="F2644" t="s">
        <v>122</v>
      </c>
      <c r="G2644" t="s">
        <v>123</v>
      </c>
      <c r="H2644" t="s">
        <v>124</v>
      </c>
      <c r="I2644" t="s">
        <v>125</v>
      </c>
      <c r="J2644" t="s">
        <v>668</v>
      </c>
      <c r="K2644" s="3">
        <v>10099596831</v>
      </c>
      <c r="L2644" s="10">
        <v>40516</v>
      </c>
      <c r="M2644">
        <v>94.84</v>
      </c>
      <c r="N2644" s="11">
        <v>15</v>
      </c>
      <c r="O2644" s="12">
        <v>5.98</v>
      </c>
      <c r="P2644" s="12">
        <v>5.15</v>
      </c>
      <c r="Q2644" s="13">
        <v>-26.66</v>
      </c>
      <c r="R2644" s="36" t="s">
        <v>164</v>
      </c>
      <c r="S2644" s="7">
        <f t="shared" si="221"/>
        <v>1</v>
      </c>
      <c r="T2644" s="15" t="str">
        <f>VLOOKUP(R2644,产品分类!$C$2:$D$1278,2,0)</f>
        <v>办公用品</v>
      </c>
    </row>
    <row r="2645" spans="1:20">
      <c r="A2645" s="8">
        <f>DATE(2012,12,31)-1188</f>
        <v>40086</v>
      </c>
      <c r="B2645" s="8">
        <f>DATE(2012,12,31)-1188</f>
        <v>40086</v>
      </c>
      <c r="C2645" s="9" t="s">
        <v>1714</v>
      </c>
      <c r="D2645">
        <v>10021375063</v>
      </c>
      <c r="E2645" t="s">
        <v>47</v>
      </c>
      <c r="F2645" t="s">
        <v>91</v>
      </c>
      <c r="G2645" t="s">
        <v>92</v>
      </c>
      <c r="H2645" t="s">
        <v>1911</v>
      </c>
      <c r="I2645" t="s">
        <v>1912</v>
      </c>
      <c r="J2645" t="s">
        <v>668</v>
      </c>
      <c r="K2645" s="3">
        <v>100932758141</v>
      </c>
      <c r="L2645" s="10">
        <v>40087</v>
      </c>
      <c r="M2645">
        <v>314</v>
      </c>
      <c r="N2645" s="11">
        <v>47</v>
      </c>
      <c r="O2645" s="12">
        <v>6.54</v>
      </c>
      <c r="P2645" s="12">
        <v>5.27</v>
      </c>
      <c r="Q2645" s="13">
        <v>-66.0445</v>
      </c>
      <c r="R2645" s="36" t="s">
        <v>196</v>
      </c>
      <c r="S2645" s="7">
        <f t="shared" si="221"/>
        <v>1</v>
      </c>
      <c r="T2645" s="15" t="str">
        <f>VLOOKUP(R2645,产品分类!$C$2:$D$1278,2,0)</f>
        <v>办公用品</v>
      </c>
    </row>
    <row r="2646" spans="1:20">
      <c r="A2646" s="8">
        <f>DATE(2012,12,31)-1188</f>
        <v>40086</v>
      </c>
      <c r="B2646" s="8">
        <f>DATE(2012,12,31)-1188</f>
        <v>40086</v>
      </c>
      <c r="C2646" s="9" t="s">
        <v>1714</v>
      </c>
      <c r="D2646">
        <v>10021481730</v>
      </c>
      <c r="E2646" t="s">
        <v>47</v>
      </c>
      <c r="F2646" t="s">
        <v>61</v>
      </c>
      <c r="G2646" t="s">
        <v>62</v>
      </c>
      <c r="H2646" t="s">
        <v>47</v>
      </c>
      <c r="I2646" t="s">
        <v>1778</v>
      </c>
      <c r="J2646" t="s">
        <v>668</v>
      </c>
      <c r="K2646" s="3">
        <v>100931795781</v>
      </c>
      <c r="L2646" s="10">
        <v>40087</v>
      </c>
      <c r="M2646">
        <v>155.54</v>
      </c>
      <c r="N2646" s="11">
        <v>50</v>
      </c>
      <c r="O2646" s="12">
        <v>3.29</v>
      </c>
      <c r="P2646" s="12">
        <v>1.35</v>
      </c>
      <c r="Q2646" s="13">
        <v>15.66</v>
      </c>
      <c r="R2646" s="36" t="s">
        <v>908</v>
      </c>
      <c r="S2646" s="7">
        <f t="shared" si="221"/>
        <v>1</v>
      </c>
      <c r="T2646" s="15" t="str">
        <f>VLOOKUP(R2646,产品分类!$C$2:$D$1278,2,0)</f>
        <v>办公用品</v>
      </c>
    </row>
    <row r="2647" spans="1:20">
      <c r="A2647" s="8">
        <f>DATE(2012,12,31)-57</f>
        <v>41217</v>
      </c>
      <c r="B2647" s="8">
        <f>DATE(2012,12,31)-57</f>
        <v>41217</v>
      </c>
      <c r="C2647" s="9" t="s">
        <v>421</v>
      </c>
      <c r="D2647">
        <v>10021292440</v>
      </c>
      <c r="E2647" t="s">
        <v>47</v>
      </c>
      <c r="F2647" t="s">
        <v>137</v>
      </c>
      <c r="G2647" t="s">
        <v>138</v>
      </c>
      <c r="H2647" t="s">
        <v>139</v>
      </c>
      <c r="I2647" t="s">
        <v>601</v>
      </c>
      <c r="J2647" t="s">
        <v>668</v>
      </c>
      <c r="K2647" s="3">
        <v>100821717552</v>
      </c>
      <c r="L2647" s="10">
        <v>41218</v>
      </c>
      <c r="M2647">
        <v>2421.02</v>
      </c>
      <c r="N2647" s="11">
        <v>3</v>
      </c>
      <c r="O2647" s="12">
        <v>810.98</v>
      </c>
      <c r="P2647" s="12">
        <v>16.06</v>
      </c>
      <c r="Q2647" s="13">
        <v>-1943.1711</v>
      </c>
      <c r="R2647" s="36" t="s">
        <v>1967</v>
      </c>
      <c r="S2647" s="7">
        <f t="shared" si="221"/>
        <v>1</v>
      </c>
      <c r="T2647" s="15" t="str">
        <f>VLOOKUP(R2647,产品分类!$C$2:$D$1278,2,0)</f>
        <v>数码电子</v>
      </c>
    </row>
    <row r="2648" spans="1:20">
      <c r="A2648" s="8">
        <f t="shared" ref="A2648:B2651" si="222">DATE(2012,12,31)-899</f>
        <v>40375</v>
      </c>
      <c r="B2648" s="8">
        <f t="shared" si="222"/>
        <v>40375</v>
      </c>
      <c r="C2648" s="9" t="s">
        <v>1429</v>
      </c>
      <c r="D2648">
        <v>10021355008</v>
      </c>
      <c r="E2648" t="s">
        <v>47</v>
      </c>
      <c r="F2648" t="s">
        <v>171</v>
      </c>
      <c r="G2648" t="s">
        <v>172</v>
      </c>
      <c r="H2648" t="s">
        <v>2021</v>
      </c>
      <c r="I2648" t="s">
        <v>2022</v>
      </c>
      <c r="J2648" t="s">
        <v>668</v>
      </c>
      <c r="K2648" s="3">
        <v>100331616689</v>
      </c>
      <c r="L2648" s="10">
        <v>40377</v>
      </c>
      <c r="M2648">
        <v>214.62</v>
      </c>
      <c r="N2648" s="11">
        <v>49</v>
      </c>
      <c r="O2648" s="12">
        <v>4.24</v>
      </c>
      <c r="P2648" s="12">
        <v>5.41</v>
      </c>
      <c r="Q2648" s="13">
        <v>-151.4205</v>
      </c>
      <c r="R2648" s="36" t="s">
        <v>445</v>
      </c>
      <c r="S2648" s="7">
        <f t="shared" si="221"/>
        <v>2</v>
      </c>
      <c r="T2648" s="15" t="str">
        <f>VLOOKUP(R2648,产品分类!$C$2:$D$1278,2,0)</f>
        <v>数码电子</v>
      </c>
    </row>
    <row r="2649" spans="1:20">
      <c r="A2649" s="8">
        <f t="shared" si="222"/>
        <v>40375</v>
      </c>
      <c r="B2649" s="8">
        <f t="shared" si="222"/>
        <v>40375</v>
      </c>
      <c r="C2649" s="9" t="s">
        <v>1429</v>
      </c>
      <c r="D2649">
        <v>10021247974</v>
      </c>
      <c r="E2649" t="s">
        <v>47</v>
      </c>
      <c r="F2649" t="s">
        <v>55</v>
      </c>
      <c r="G2649" t="s">
        <v>56</v>
      </c>
      <c r="H2649" t="s">
        <v>1869</v>
      </c>
      <c r="I2649" t="s">
        <v>1870</v>
      </c>
      <c r="J2649" t="s">
        <v>668</v>
      </c>
      <c r="K2649" s="3">
        <v>100715769985</v>
      </c>
      <c r="L2649" s="10">
        <v>40377</v>
      </c>
      <c r="M2649">
        <v>5311.973</v>
      </c>
      <c r="N2649" s="11">
        <v>35</v>
      </c>
      <c r="O2649" s="12">
        <v>179.99</v>
      </c>
      <c r="P2649" s="12">
        <v>13.99</v>
      </c>
      <c r="Q2649" s="13">
        <v>1142.082</v>
      </c>
      <c r="R2649" s="36" t="s">
        <v>220</v>
      </c>
      <c r="S2649" s="7">
        <f t="shared" si="221"/>
        <v>2</v>
      </c>
      <c r="T2649" s="15" t="str">
        <f>VLOOKUP(R2649,产品分类!$C$2:$D$1278,2,0)</f>
        <v>办公用品</v>
      </c>
    </row>
    <row r="2650" spans="1:20">
      <c r="A2650" s="8">
        <f t="shared" si="222"/>
        <v>40375</v>
      </c>
      <c r="B2650" s="8">
        <f t="shared" si="222"/>
        <v>40375</v>
      </c>
      <c r="C2650" s="9" t="s">
        <v>1429</v>
      </c>
      <c r="D2650">
        <v>10021442220</v>
      </c>
      <c r="E2650" t="s">
        <v>47</v>
      </c>
      <c r="F2650" t="s">
        <v>61</v>
      </c>
      <c r="G2650" t="s">
        <v>62</v>
      </c>
      <c r="H2650" t="s">
        <v>47</v>
      </c>
      <c r="I2650" t="s">
        <v>1778</v>
      </c>
      <c r="J2650" t="s">
        <v>668</v>
      </c>
      <c r="K2650" s="3">
        <v>10038498489</v>
      </c>
      <c r="L2650" s="10">
        <v>40376</v>
      </c>
      <c r="M2650">
        <v>1061.905</v>
      </c>
      <c r="N2650" s="11">
        <v>19</v>
      </c>
      <c r="O2650" s="12">
        <v>65.99</v>
      </c>
      <c r="P2650" s="12">
        <v>2.5</v>
      </c>
      <c r="Q2650" s="13">
        <v>152.748</v>
      </c>
      <c r="R2650" s="36" t="s">
        <v>2029</v>
      </c>
      <c r="S2650" s="7">
        <f t="shared" si="221"/>
        <v>1</v>
      </c>
      <c r="T2650" s="15" t="str">
        <f>VLOOKUP(R2650,产品分类!$C$2:$D$1278,2,0)</f>
        <v>数码电子</v>
      </c>
    </row>
    <row r="2651" spans="1:20">
      <c r="A2651" s="8">
        <f t="shared" si="222"/>
        <v>40375</v>
      </c>
      <c r="B2651" s="8">
        <f t="shared" si="222"/>
        <v>40375</v>
      </c>
      <c r="C2651" s="9" t="s">
        <v>1429</v>
      </c>
      <c r="D2651">
        <v>10021318155</v>
      </c>
      <c r="E2651" t="s">
        <v>47</v>
      </c>
      <c r="F2651" t="s">
        <v>61</v>
      </c>
      <c r="G2651" t="s">
        <v>62</v>
      </c>
      <c r="H2651" t="s">
        <v>47</v>
      </c>
      <c r="I2651" t="s">
        <v>1778</v>
      </c>
      <c r="J2651" t="s">
        <v>668</v>
      </c>
      <c r="K2651" s="3">
        <v>10046254094</v>
      </c>
      <c r="L2651" s="10">
        <v>40377</v>
      </c>
      <c r="M2651">
        <v>1631.04</v>
      </c>
      <c r="N2651" s="11">
        <v>48</v>
      </c>
      <c r="O2651" s="12">
        <v>33.98</v>
      </c>
      <c r="P2651" s="12">
        <v>1.99</v>
      </c>
      <c r="Q2651" s="13">
        <v>665.63</v>
      </c>
      <c r="R2651" s="36" t="s">
        <v>1044</v>
      </c>
      <c r="S2651" s="7">
        <f t="shared" si="221"/>
        <v>2</v>
      </c>
      <c r="T2651" s="15" t="str">
        <f>VLOOKUP(R2651,产品分类!$C$2:$D$1278,2,0)</f>
        <v>办公用品</v>
      </c>
    </row>
    <row r="2652" spans="1:20">
      <c r="A2652" s="8">
        <f>DATE(2012,12,31)-1230</f>
        <v>40044</v>
      </c>
      <c r="B2652" s="8">
        <f>DATE(2012,12,31)-1230</f>
        <v>40044</v>
      </c>
      <c r="C2652" s="9" t="s">
        <v>481</v>
      </c>
      <c r="D2652">
        <v>10021411338</v>
      </c>
      <c r="E2652" t="s">
        <v>47</v>
      </c>
      <c r="F2652" t="s">
        <v>253</v>
      </c>
      <c r="G2652" t="s">
        <v>254</v>
      </c>
      <c r="H2652" t="s">
        <v>1998</v>
      </c>
      <c r="I2652" t="s">
        <v>1999</v>
      </c>
      <c r="J2652" t="s">
        <v>668</v>
      </c>
      <c r="K2652" s="3">
        <v>100917147461</v>
      </c>
      <c r="L2652" s="10">
        <v>40051</v>
      </c>
      <c r="M2652">
        <v>1133.4495</v>
      </c>
      <c r="N2652" s="11">
        <v>19</v>
      </c>
      <c r="O2652" s="12">
        <v>65.99</v>
      </c>
      <c r="P2652" s="12">
        <v>5.31</v>
      </c>
      <c r="Q2652" s="13">
        <v>169.164</v>
      </c>
      <c r="R2652" s="36" t="s">
        <v>1452</v>
      </c>
      <c r="S2652" s="7">
        <f t="shared" si="221"/>
        <v>7</v>
      </c>
      <c r="T2652" s="15" t="str">
        <f>VLOOKUP(R2652,产品分类!$C$2:$D$1278,2,0)</f>
        <v>办公用品</v>
      </c>
    </row>
    <row r="2653" spans="1:20">
      <c r="A2653" s="8">
        <f>DATE(2012,12,31)-1200</f>
        <v>40074</v>
      </c>
      <c r="B2653" s="8">
        <f>DATE(2012,12,31)-1200</f>
        <v>40074</v>
      </c>
      <c r="C2653" s="9" t="s">
        <v>2030</v>
      </c>
      <c r="D2653">
        <v>10021310110</v>
      </c>
      <c r="E2653" t="s">
        <v>47</v>
      </c>
      <c r="F2653" t="s">
        <v>78</v>
      </c>
      <c r="G2653" t="s">
        <v>79</v>
      </c>
      <c r="H2653" t="s">
        <v>1887</v>
      </c>
      <c r="I2653" t="s">
        <v>1888</v>
      </c>
      <c r="J2653" t="s">
        <v>668</v>
      </c>
      <c r="K2653" s="3">
        <v>10049334993</v>
      </c>
      <c r="L2653" s="10">
        <v>40075</v>
      </c>
      <c r="M2653">
        <v>233.92</v>
      </c>
      <c r="N2653" s="11">
        <v>27</v>
      </c>
      <c r="O2653" s="12">
        <v>8.75</v>
      </c>
      <c r="P2653" s="12">
        <v>8.54</v>
      </c>
      <c r="Q2653" s="13">
        <v>-80.75</v>
      </c>
      <c r="R2653" s="36" t="s">
        <v>1033</v>
      </c>
      <c r="S2653" s="7">
        <f t="shared" si="221"/>
        <v>1</v>
      </c>
      <c r="T2653" s="15" t="str">
        <f>VLOOKUP(R2653,产品分类!$C$2:$D$1278,2,0)</f>
        <v>办公用品</v>
      </c>
    </row>
    <row r="2654" spans="1:20">
      <c r="A2654" s="8">
        <f>DATE(2012,12,31)-1200</f>
        <v>40074</v>
      </c>
      <c r="B2654" s="8">
        <f>DATE(2012,12,31)-1200</f>
        <v>40074</v>
      </c>
      <c r="C2654" s="9" t="s">
        <v>2030</v>
      </c>
      <c r="D2654">
        <v>10021487957</v>
      </c>
      <c r="E2654" t="s">
        <v>47</v>
      </c>
      <c r="F2654" t="s">
        <v>91</v>
      </c>
      <c r="G2654" t="s">
        <v>92</v>
      </c>
      <c r="H2654" t="s">
        <v>1911</v>
      </c>
      <c r="I2654" t="s">
        <v>1912</v>
      </c>
      <c r="J2654" t="s">
        <v>668</v>
      </c>
      <c r="K2654" s="3">
        <v>10098340961</v>
      </c>
      <c r="L2654" s="10">
        <v>40076</v>
      </c>
      <c r="M2654">
        <v>1642.05</v>
      </c>
      <c r="N2654" s="11">
        <v>28</v>
      </c>
      <c r="O2654" s="12">
        <v>55.98</v>
      </c>
      <c r="P2654" s="12">
        <v>4.86</v>
      </c>
      <c r="Q2654" s="13">
        <v>829.73</v>
      </c>
      <c r="R2654" s="36" t="s">
        <v>621</v>
      </c>
      <c r="S2654" s="7">
        <f t="shared" si="221"/>
        <v>2</v>
      </c>
      <c r="T2654" s="15" t="str">
        <f>VLOOKUP(R2654,产品分类!$C$2:$D$1278,2,0)</f>
        <v>数码电子</v>
      </c>
    </row>
    <row r="2655" spans="1:20">
      <c r="A2655" s="16">
        <f>DATE(2012,12,31)-889</f>
        <v>40385</v>
      </c>
      <c r="B2655" s="16">
        <f>DATE(2012,12,31)-889</f>
        <v>40385</v>
      </c>
      <c r="C2655" s="9" t="s">
        <v>1010</v>
      </c>
      <c r="D2655">
        <v>10021454902</v>
      </c>
      <c r="E2655" t="s">
        <v>47</v>
      </c>
      <c r="F2655" t="s">
        <v>97</v>
      </c>
      <c r="G2655" t="s">
        <v>98</v>
      </c>
      <c r="H2655" t="s">
        <v>99</v>
      </c>
      <c r="I2655" t="s">
        <v>98</v>
      </c>
      <c r="J2655" t="s">
        <v>668</v>
      </c>
      <c r="K2655" s="3">
        <v>100115319326</v>
      </c>
      <c r="L2655" s="10">
        <v>40386</v>
      </c>
      <c r="M2655">
        <v>1291.35</v>
      </c>
      <c r="N2655" s="17">
        <v>47</v>
      </c>
      <c r="O2655" s="5">
        <v>26.38</v>
      </c>
      <c r="P2655" s="5">
        <v>5.86</v>
      </c>
      <c r="Q2655" s="6">
        <v>479.62</v>
      </c>
      <c r="R2655" s="37" t="s">
        <v>1760</v>
      </c>
      <c r="S2655" s="7">
        <f t="shared" si="221"/>
        <v>1</v>
      </c>
      <c r="T2655" s="15" t="str">
        <f>VLOOKUP(R2655,产品分类!$C$2:$D$1278,2,0)</f>
        <v>办公用品</v>
      </c>
    </row>
    <row r="2656" spans="1:20">
      <c r="A2656" s="16">
        <f>DATE(2012,12,31)-889</f>
        <v>40385</v>
      </c>
      <c r="B2656" s="16">
        <f>DATE(2012,12,31)-889</f>
        <v>40385</v>
      </c>
      <c r="C2656" s="9" t="s">
        <v>1010</v>
      </c>
      <c r="D2656">
        <v>10021377768</v>
      </c>
      <c r="E2656" t="s">
        <v>47</v>
      </c>
      <c r="F2656" t="s">
        <v>183</v>
      </c>
      <c r="G2656" t="s">
        <v>184</v>
      </c>
      <c r="H2656" t="s">
        <v>1716</v>
      </c>
      <c r="I2656" t="s">
        <v>1717</v>
      </c>
      <c r="J2656" t="s">
        <v>668</v>
      </c>
      <c r="K2656" s="3">
        <v>100414553543</v>
      </c>
      <c r="L2656" s="10">
        <v>40387</v>
      </c>
      <c r="M2656">
        <v>107.97</v>
      </c>
      <c r="N2656" s="17">
        <v>31</v>
      </c>
      <c r="O2656" s="5">
        <v>3.26</v>
      </c>
      <c r="P2656" s="5">
        <v>1.86</v>
      </c>
      <c r="Q2656" s="6">
        <v>2.36</v>
      </c>
      <c r="R2656" s="37" t="s">
        <v>829</v>
      </c>
      <c r="S2656" s="7">
        <f t="shared" si="221"/>
        <v>2</v>
      </c>
      <c r="T2656" s="15" t="str">
        <f>VLOOKUP(R2656,产品分类!$C$2:$D$1278,2,0)</f>
        <v>数码电子</v>
      </c>
    </row>
    <row r="2657" spans="1:20">
      <c r="A2657" s="8">
        <f>DATE(2012,12,31)-1007</f>
        <v>40267</v>
      </c>
      <c r="B2657" s="8">
        <f>DATE(2012,12,31)-1007</f>
        <v>40267</v>
      </c>
      <c r="C2657" s="9" t="s">
        <v>1342</v>
      </c>
      <c r="D2657">
        <v>10021427369</v>
      </c>
      <c r="E2657" t="s">
        <v>47</v>
      </c>
      <c r="F2657" t="s">
        <v>97</v>
      </c>
      <c r="G2657" t="s">
        <v>98</v>
      </c>
      <c r="H2657" t="s">
        <v>99</v>
      </c>
      <c r="I2657" t="s">
        <v>98</v>
      </c>
      <c r="J2657" t="s">
        <v>668</v>
      </c>
      <c r="K2657" s="3">
        <v>100930638911</v>
      </c>
      <c r="L2657" s="10">
        <v>40271</v>
      </c>
      <c r="M2657">
        <v>88.02</v>
      </c>
      <c r="N2657" s="11">
        <v>40</v>
      </c>
      <c r="O2657" s="12">
        <v>2.08</v>
      </c>
      <c r="P2657" s="12">
        <v>1.49</v>
      </c>
      <c r="Q2657" s="13">
        <v>-6.5435</v>
      </c>
      <c r="R2657" s="36" t="s">
        <v>1351</v>
      </c>
      <c r="S2657" s="7">
        <f t="shared" si="221"/>
        <v>4</v>
      </c>
      <c r="T2657" s="15" t="str">
        <f>VLOOKUP(R2657,产品分类!$C$2:$D$1278,2,0)</f>
        <v>办公用品</v>
      </c>
    </row>
    <row r="2658" spans="1:20">
      <c r="A2658" s="8">
        <f>DATE(2012,12,31)-1007</f>
        <v>40267</v>
      </c>
      <c r="B2658" s="8">
        <f>DATE(2012,12,31)-1007</f>
        <v>40267</v>
      </c>
      <c r="C2658" s="9" t="s">
        <v>1342</v>
      </c>
      <c r="D2658">
        <v>10021265596</v>
      </c>
      <c r="E2658" t="s">
        <v>47</v>
      </c>
      <c r="F2658" t="s">
        <v>152</v>
      </c>
      <c r="G2658" t="s">
        <v>153</v>
      </c>
      <c r="H2658" t="s">
        <v>1860</v>
      </c>
      <c r="I2658" t="s">
        <v>1861</v>
      </c>
      <c r="J2658" t="s">
        <v>668</v>
      </c>
      <c r="K2658" s="3">
        <v>100131521747</v>
      </c>
      <c r="L2658" s="10">
        <v>40269</v>
      </c>
      <c r="M2658">
        <v>800</v>
      </c>
      <c r="N2658" s="11">
        <v>32</v>
      </c>
      <c r="O2658" s="12">
        <v>25.98</v>
      </c>
      <c r="P2658" s="12">
        <v>14.36</v>
      </c>
      <c r="Q2658" s="13">
        <v>-210.3</v>
      </c>
      <c r="R2658" s="36" t="s">
        <v>1510</v>
      </c>
      <c r="S2658" s="7">
        <f t="shared" si="221"/>
        <v>2</v>
      </c>
      <c r="T2658" s="15" t="str">
        <f>VLOOKUP(R2658,产品分类!$C$2:$D$1278,2,0)</f>
        <v>办公用品</v>
      </c>
    </row>
    <row r="2659" spans="1:20">
      <c r="A2659" s="8">
        <f>DATE(2012,12,31)-291</f>
        <v>40983</v>
      </c>
      <c r="B2659" s="8">
        <f>DATE(2012,12,31)-291</f>
        <v>40983</v>
      </c>
      <c r="C2659" s="9" t="s">
        <v>697</v>
      </c>
      <c r="D2659">
        <v>10021253336</v>
      </c>
      <c r="E2659" t="s">
        <v>47</v>
      </c>
      <c r="F2659" t="s">
        <v>66</v>
      </c>
      <c r="G2659" t="s">
        <v>67</v>
      </c>
      <c r="H2659" t="s">
        <v>1435</v>
      </c>
      <c r="I2659" t="s">
        <v>1436</v>
      </c>
      <c r="J2659" t="s">
        <v>668</v>
      </c>
      <c r="K2659" s="3">
        <v>100818779062</v>
      </c>
      <c r="L2659" s="10">
        <v>40985</v>
      </c>
      <c r="M2659">
        <v>66.02</v>
      </c>
      <c r="N2659" s="11">
        <v>23</v>
      </c>
      <c r="O2659" s="12">
        <v>3.08</v>
      </c>
      <c r="P2659" s="12">
        <v>0.99</v>
      </c>
      <c r="Q2659" s="13">
        <v>10.88</v>
      </c>
      <c r="R2659" s="36" t="s">
        <v>2031</v>
      </c>
      <c r="S2659" s="7">
        <f t="shared" si="221"/>
        <v>2</v>
      </c>
      <c r="T2659" s="15" t="str">
        <f>VLOOKUP(R2659,产品分类!$C$2:$D$1278,2,0)</f>
        <v>数码电子</v>
      </c>
    </row>
    <row r="2660" spans="1:20">
      <c r="A2660" s="8">
        <f>DATE(2012,12,31)-291</f>
        <v>40983</v>
      </c>
      <c r="B2660" s="8">
        <f>DATE(2012,12,31)-291</f>
        <v>40983</v>
      </c>
      <c r="C2660" s="9" t="s">
        <v>697</v>
      </c>
      <c r="D2660">
        <v>10021501583</v>
      </c>
      <c r="E2660" t="s">
        <v>47</v>
      </c>
      <c r="F2660" t="s">
        <v>66</v>
      </c>
      <c r="G2660" t="s">
        <v>67</v>
      </c>
      <c r="H2660" t="s">
        <v>1435</v>
      </c>
      <c r="I2660" t="s">
        <v>1436</v>
      </c>
      <c r="J2660" t="s">
        <v>668</v>
      </c>
      <c r="K2660" s="3">
        <v>100327361029</v>
      </c>
      <c r="L2660" s="10">
        <v>40984</v>
      </c>
      <c r="M2660">
        <v>15.53</v>
      </c>
      <c r="N2660" s="11">
        <v>11</v>
      </c>
      <c r="O2660" s="12">
        <v>1.26</v>
      </c>
      <c r="P2660" s="12">
        <v>0.7</v>
      </c>
      <c r="Q2660" s="13">
        <v>-5.92</v>
      </c>
      <c r="R2660" s="36" t="s">
        <v>339</v>
      </c>
      <c r="S2660" s="7">
        <f t="shared" si="221"/>
        <v>1</v>
      </c>
      <c r="T2660" s="15" t="str">
        <f>VLOOKUP(R2660,产品分类!$C$2:$D$1278,2,0)</f>
        <v>数码电子</v>
      </c>
    </row>
    <row r="2661" spans="1:20">
      <c r="A2661" s="8">
        <f t="shared" ref="A2661:B2663" si="223">DATE(2012,12,31)-1268</f>
        <v>40006</v>
      </c>
      <c r="B2661" s="8">
        <f t="shared" si="223"/>
        <v>40006</v>
      </c>
      <c r="C2661" s="9" t="s">
        <v>1233</v>
      </c>
      <c r="D2661">
        <v>10021415133</v>
      </c>
      <c r="E2661" t="s">
        <v>47</v>
      </c>
      <c r="F2661" t="s">
        <v>152</v>
      </c>
      <c r="G2661" t="s">
        <v>153</v>
      </c>
      <c r="H2661" t="s">
        <v>1860</v>
      </c>
      <c r="I2661" t="s">
        <v>1861</v>
      </c>
      <c r="J2661" t="s">
        <v>668</v>
      </c>
      <c r="K2661" s="3">
        <v>100410460793</v>
      </c>
      <c r="L2661" s="10">
        <v>40011</v>
      </c>
      <c r="M2661">
        <v>265.38</v>
      </c>
      <c r="N2661" s="11">
        <v>43</v>
      </c>
      <c r="O2661" s="12">
        <v>6.24</v>
      </c>
      <c r="P2661" s="12">
        <v>5.22</v>
      </c>
      <c r="Q2661" s="13">
        <v>-107.59</v>
      </c>
      <c r="R2661" s="36" t="s">
        <v>368</v>
      </c>
      <c r="S2661" s="7">
        <f t="shared" si="221"/>
        <v>5</v>
      </c>
      <c r="T2661" s="15" t="str">
        <f>VLOOKUP(R2661,产品分类!$C$2:$D$1278,2,0)</f>
        <v>办公用品</v>
      </c>
    </row>
    <row r="2662" spans="1:20">
      <c r="A2662" s="8">
        <f t="shared" si="223"/>
        <v>40006</v>
      </c>
      <c r="B2662" s="8">
        <f t="shared" si="223"/>
        <v>40006</v>
      </c>
      <c r="C2662" s="9" t="s">
        <v>1233</v>
      </c>
      <c r="D2662">
        <v>10021251412</v>
      </c>
      <c r="E2662" t="s">
        <v>47</v>
      </c>
      <c r="F2662" t="s">
        <v>48</v>
      </c>
      <c r="G2662" t="s">
        <v>49</v>
      </c>
      <c r="H2662" t="s">
        <v>2032</v>
      </c>
      <c r="I2662" t="s">
        <v>2033</v>
      </c>
      <c r="J2662" t="s">
        <v>668</v>
      </c>
      <c r="K2662" s="3">
        <v>10097505941</v>
      </c>
      <c r="L2662" s="10">
        <v>40008</v>
      </c>
      <c r="M2662">
        <v>33.41</v>
      </c>
      <c r="N2662" s="11">
        <v>5</v>
      </c>
      <c r="O2662" s="12">
        <v>6.68</v>
      </c>
      <c r="P2662" s="12">
        <v>1.5</v>
      </c>
      <c r="Q2662" s="13">
        <v>-3.48</v>
      </c>
      <c r="R2662" s="36" t="s">
        <v>900</v>
      </c>
      <c r="S2662" s="7">
        <f t="shared" si="221"/>
        <v>2</v>
      </c>
      <c r="T2662" s="15" t="str">
        <f>VLOOKUP(R2662,产品分类!$C$2:$D$1278,2,0)</f>
        <v>数码电子</v>
      </c>
    </row>
    <row r="2663" spans="1:20">
      <c r="A2663" s="8">
        <f t="shared" si="223"/>
        <v>40006</v>
      </c>
      <c r="B2663" s="8">
        <f t="shared" si="223"/>
        <v>40006</v>
      </c>
      <c r="C2663" s="9" t="s">
        <v>1233</v>
      </c>
      <c r="D2663">
        <v>10021415512</v>
      </c>
      <c r="E2663" t="s">
        <v>47</v>
      </c>
      <c r="F2663" t="s">
        <v>152</v>
      </c>
      <c r="G2663" t="s">
        <v>153</v>
      </c>
      <c r="H2663" t="s">
        <v>1860</v>
      </c>
      <c r="I2663" t="s">
        <v>1861</v>
      </c>
      <c r="J2663" t="s">
        <v>668</v>
      </c>
      <c r="K2663" s="3">
        <v>10016357946</v>
      </c>
      <c r="L2663" s="10">
        <v>40013</v>
      </c>
      <c r="M2663">
        <v>7157.16</v>
      </c>
      <c r="N2663" s="11">
        <v>28</v>
      </c>
      <c r="O2663" s="12">
        <v>260.98</v>
      </c>
      <c r="P2663" s="12">
        <v>41.91</v>
      </c>
      <c r="Q2663" s="13">
        <v>1150.33</v>
      </c>
      <c r="R2663" s="36" t="s">
        <v>725</v>
      </c>
      <c r="S2663" s="7">
        <f t="shared" si="221"/>
        <v>7</v>
      </c>
      <c r="T2663" s="15" t="str">
        <f>VLOOKUP(R2663,产品分类!$C$2:$D$1278,2,0)</f>
        <v>家具产品</v>
      </c>
    </row>
    <row r="2664" spans="1:20">
      <c r="A2664" s="8">
        <f>DATE(2012,12,31)-1437</f>
        <v>39837</v>
      </c>
      <c r="B2664" s="8">
        <f>DATE(2012,12,31)-1437</f>
        <v>39837</v>
      </c>
      <c r="C2664" s="9" t="s">
        <v>1643</v>
      </c>
      <c r="D2664">
        <v>10021334044</v>
      </c>
      <c r="E2664" t="s">
        <v>47</v>
      </c>
      <c r="F2664" t="s">
        <v>66</v>
      </c>
      <c r="G2664" t="s">
        <v>67</v>
      </c>
      <c r="H2664" t="s">
        <v>1435</v>
      </c>
      <c r="I2664" t="s">
        <v>1436</v>
      </c>
      <c r="J2664" t="s">
        <v>668</v>
      </c>
      <c r="K2664" s="3">
        <v>10096900051</v>
      </c>
      <c r="L2664" s="10">
        <v>39837</v>
      </c>
      <c r="M2664">
        <v>359.65</v>
      </c>
      <c r="N2664" s="11">
        <v>24</v>
      </c>
      <c r="O2664" s="12">
        <v>14.42</v>
      </c>
      <c r="P2664" s="12">
        <v>6.75</v>
      </c>
      <c r="Q2664" s="13">
        <v>-11.15</v>
      </c>
      <c r="R2664" s="36" t="s">
        <v>441</v>
      </c>
      <c r="S2664" s="7">
        <f t="shared" si="221"/>
        <v>0</v>
      </c>
      <c r="T2664" s="15" t="str">
        <f>VLOOKUP(R2664,产品分类!$C$2:$D$1278,2,0)</f>
        <v>办公用品</v>
      </c>
    </row>
    <row r="2665" spans="1:20">
      <c r="A2665" s="8">
        <f>DATE(2012,12,31)-459</f>
        <v>40815</v>
      </c>
      <c r="B2665" s="8">
        <f>DATE(2012,12,31)-459</f>
        <v>40815</v>
      </c>
      <c r="C2665" s="9" t="s">
        <v>1710</v>
      </c>
      <c r="D2665">
        <v>10021444779</v>
      </c>
      <c r="E2665" t="s">
        <v>47</v>
      </c>
      <c r="F2665" t="s">
        <v>152</v>
      </c>
      <c r="G2665" t="s">
        <v>153</v>
      </c>
      <c r="H2665" t="s">
        <v>1860</v>
      </c>
      <c r="I2665" t="s">
        <v>1861</v>
      </c>
      <c r="J2665" t="s">
        <v>668</v>
      </c>
      <c r="K2665" s="3">
        <v>10017272796</v>
      </c>
      <c r="L2665" s="10">
        <v>40817</v>
      </c>
      <c r="M2665">
        <v>161.72</v>
      </c>
      <c r="N2665" s="11">
        <v>40</v>
      </c>
      <c r="O2665" s="12">
        <v>3.98</v>
      </c>
      <c r="P2665" s="12">
        <v>5.26</v>
      </c>
      <c r="Q2665" s="13">
        <v>-134.711</v>
      </c>
      <c r="R2665" s="36" t="s">
        <v>479</v>
      </c>
      <c r="S2665" s="7">
        <f t="shared" si="221"/>
        <v>2</v>
      </c>
      <c r="T2665" s="15" t="str">
        <f>VLOOKUP(R2665,产品分类!$C$2:$D$1278,2,0)</f>
        <v>办公用品</v>
      </c>
    </row>
    <row r="2666" spans="1:20">
      <c r="A2666" s="8">
        <f>DATE(2012,12,31)-459</f>
        <v>40815</v>
      </c>
      <c r="B2666" s="8">
        <f>DATE(2012,12,31)-459</f>
        <v>40815</v>
      </c>
      <c r="C2666" s="9" t="s">
        <v>1710</v>
      </c>
      <c r="D2666">
        <v>10021344740</v>
      </c>
      <c r="E2666" t="s">
        <v>47</v>
      </c>
      <c r="F2666" t="s">
        <v>78</v>
      </c>
      <c r="G2666" t="s">
        <v>79</v>
      </c>
      <c r="H2666" t="s">
        <v>1887</v>
      </c>
      <c r="I2666" t="s">
        <v>1888</v>
      </c>
      <c r="J2666" t="s">
        <v>668</v>
      </c>
      <c r="K2666" s="3">
        <v>100329810299</v>
      </c>
      <c r="L2666" s="10">
        <v>40816</v>
      </c>
      <c r="M2666">
        <v>107.75</v>
      </c>
      <c r="N2666" s="11">
        <v>23</v>
      </c>
      <c r="O2666" s="12">
        <v>4.73</v>
      </c>
      <c r="P2666" s="12">
        <v>1.52</v>
      </c>
      <c r="Q2666" s="13">
        <v>24.17</v>
      </c>
      <c r="R2666" s="36" t="s">
        <v>713</v>
      </c>
      <c r="S2666" s="7">
        <f t="shared" si="221"/>
        <v>1</v>
      </c>
      <c r="T2666" s="15" t="str">
        <f>VLOOKUP(R2666,产品分类!$C$2:$D$1278,2,0)</f>
        <v>办公用品</v>
      </c>
    </row>
    <row r="2667" spans="1:20">
      <c r="A2667" s="8">
        <f>DATE(2012,12,31)-996</f>
        <v>40278</v>
      </c>
      <c r="B2667" s="8">
        <f>DATE(2012,12,31)-996</f>
        <v>40278</v>
      </c>
      <c r="C2667" s="9" t="s">
        <v>1174</v>
      </c>
      <c r="D2667">
        <v>10021396117</v>
      </c>
      <c r="E2667" t="s">
        <v>47</v>
      </c>
      <c r="F2667" t="s">
        <v>72</v>
      </c>
      <c r="G2667" t="s">
        <v>73</v>
      </c>
      <c r="H2667" t="s">
        <v>2008</v>
      </c>
      <c r="I2667" t="s">
        <v>2009</v>
      </c>
      <c r="J2667" t="s">
        <v>668</v>
      </c>
      <c r="K2667" s="3">
        <v>100417616784</v>
      </c>
      <c r="L2667" s="10">
        <v>40280</v>
      </c>
      <c r="M2667">
        <v>75.73</v>
      </c>
      <c r="N2667" s="11">
        <v>43</v>
      </c>
      <c r="O2667" s="12">
        <v>1.68</v>
      </c>
      <c r="P2667" s="12">
        <v>1.57</v>
      </c>
      <c r="Q2667" s="13">
        <v>-37.76</v>
      </c>
      <c r="R2667" s="36" t="s">
        <v>881</v>
      </c>
      <c r="S2667" s="7">
        <f t="shared" si="221"/>
        <v>2</v>
      </c>
      <c r="T2667" s="15" t="str">
        <f>VLOOKUP(R2667,产品分类!$C$2:$D$1278,2,0)</f>
        <v>家具产品</v>
      </c>
    </row>
    <row r="2668" spans="1:20">
      <c r="A2668" s="8">
        <f>DATE(2012,12,31)-1384</f>
        <v>39890</v>
      </c>
      <c r="B2668" s="8">
        <f>DATE(2012,12,31)-1384</f>
        <v>39890</v>
      </c>
      <c r="C2668" s="9" t="s">
        <v>2034</v>
      </c>
      <c r="D2668">
        <v>10021503562</v>
      </c>
      <c r="E2668" t="s">
        <v>47</v>
      </c>
      <c r="F2668" t="s">
        <v>230</v>
      </c>
      <c r="G2668" t="s">
        <v>231</v>
      </c>
      <c r="H2668" t="s">
        <v>1798</v>
      </c>
      <c r="I2668" t="s">
        <v>1799</v>
      </c>
      <c r="J2668" t="s">
        <v>668</v>
      </c>
      <c r="K2668" s="3">
        <v>100129677027</v>
      </c>
      <c r="L2668" s="10">
        <v>39892</v>
      </c>
      <c r="M2668">
        <v>29.23</v>
      </c>
      <c r="N2668" s="11">
        <v>10</v>
      </c>
      <c r="O2668" s="12">
        <v>2.88</v>
      </c>
      <c r="P2668" s="12">
        <v>0.5</v>
      </c>
      <c r="Q2668" s="13">
        <v>8.1</v>
      </c>
      <c r="R2668" s="36" t="s">
        <v>967</v>
      </c>
      <c r="S2668" s="7">
        <f t="shared" si="221"/>
        <v>2</v>
      </c>
      <c r="T2668" s="15" t="str">
        <f>VLOOKUP(R2668,产品分类!$C$2:$D$1278,2,0)</f>
        <v>数码电子</v>
      </c>
    </row>
    <row r="2669" spans="1:20">
      <c r="A2669" s="8">
        <f>DATE(2012,12,31)-1111</f>
        <v>40163</v>
      </c>
      <c r="B2669" s="8">
        <f>DATE(2012,12,31)-1111</f>
        <v>40163</v>
      </c>
      <c r="C2669" s="9" t="s">
        <v>1811</v>
      </c>
      <c r="D2669">
        <v>10021420543</v>
      </c>
      <c r="E2669" t="s">
        <v>47</v>
      </c>
      <c r="F2669" t="s">
        <v>78</v>
      </c>
      <c r="G2669" t="s">
        <v>79</v>
      </c>
      <c r="H2669" t="s">
        <v>1887</v>
      </c>
      <c r="I2669" t="s">
        <v>1888</v>
      </c>
      <c r="J2669" t="s">
        <v>668</v>
      </c>
      <c r="K2669" s="3">
        <v>100916226751</v>
      </c>
      <c r="L2669" s="10">
        <v>40164</v>
      </c>
      <c r="M2669">
        <v>78.72</v>
      </c>
      <c r="N2669" s="11">
        <v>10</v>
      </c>
      <c r="O2669" s="12">
        <v>7.64</v>
      </c>
      <c r="P2669" s="12">
        <v>5.83</v>
      </c>
      <c r="Q2669" s="13">
        <v>-22.36</v>
      </c>
      <c r="R2669" s="36" t="s">
        <v>202</v>
      </c>
      <c r="S2669" s="7">
        <f t="shared" si="221"/>
        <v>1</v>
      </c>
      <c r="T2669" s="15" t="str">
        <f>VLOOKUP(R2669,产品分类!$C$2:$D$1278,2,0)</f>
        <v>办公用品</v>
      </c>
    </row>
    <row r="2670" spans="1:20">
      <c r="A2670" s="8">
        <f>DATE(2012,12,31)-1030</f>
        <v>40244</v>
      </c>
      <c r="B2670" s="8">
        <f>DATE(2012,12,31)-1030</f>
        <v>40244</v>
      </c>
      <c r="C2670" s="9" t="s">
        <v>1041</v>
      </c>
      <c r="D2670">
        <v>10021494896</v>
      </c>
      <c r="E2670" t="s">
        <v>47</v>
      </c>
      <c r="F2670" t="s">
        <v>78</v>
      </c>
      <c r="G2670" t="s">
        <v>79</v>
      </c>
      <c r="H2670" t="s">
        <v>1887</v>
      </c>
      <c r="I2670" t="s">
        <v>1888</v>
      </c>
      <c r="J2670" t="s">
        <v>668</v>
      </c>
      <c r="K2670" s="3">
        <v>100913092411</v>
      </c>
      <c r="L2670" s="10">
        <v>40246</v>
      </c>
      <c r="M2670">
        <v>281.59</v>
      </c>
      <c r="N2670" s="11">
        <v>37</v>
      </c>
      <c r="O2670" s="12">
        <v>7.96</v>
      </c>
      <c r="P2670" s="12">
        <v>4.95</v>
      </c>
      <c r="Q2670" s="13">
        <v>-6.39</v>
      </c>
      <c r="R2670" s="36" t="s">
        <v>1167</v>
      </c>
      <c r="S2670" s="7">
        <f t="shared" si="221"/>
        <v>2</v>
      </c>
      <c r="T2670" s="15" t="str">
        <f>VLOOKUP(R2670,产品分类!$C$2:$D$1278,2,0)</f>
        <v>家具产品</v>
      </c>
    </row>
    <row r="2671" spans="1:20">
      <c r="A2671" s="8">
        <f>DATE(2012,12,31)-1030</f>
        <v>40244</v>
      </c>
      <c r="B2671" s="8">
        <f>DATE(2012,12,31)-1030</f>
        <v>40244</v>
      </c>
      <c r="C2671" s="9" t="s">
        <v>1041</v>
      </c>
      <c r="D2671">
        <v>10021339449</v>
      </c>
      <c r="E2671" t="s">
        <v>47</v>
      </c>
      <c r="F2671" t="s">
        <v>114</v>
      </c>
      <c r="G2671" t="s">
        <v>115</v>
      </c>
      <c r="H2671" t="s">
        <v>2027</v>
      </c>
      <c r="I2671" t="s">
        <v>2028</v>
      </c>
      <c r="J2671" t="s">
        <v>668</v>
      </c>
      <c r="K2671" s="3">
        <v>100125088836</v>
      </c>
      <c r="L2671" s="10">
        <v>40245</v>
      </c>
      <c r="M2671">
        <v>231.7525</v>
      </c>
      <c r="N2671" s="11">
        <v>6</v>
      </c>
      <c r="O2671" s="12">
        <v>45.99</v>
      </c>
      <c r="P2671" s="12">
        <v>4.99</v>
      </c>
      <c r="Q2671" s="13">
        <v>-155.947</v>
      </c>
      <c r="R2671" s="36" t="s">
        <v>1108</v>
      </c>
      <c r="S2671" s="7">
        <f t="shared" si="221"/>
        <v>1</v>
      </c>
      <c r="T2671" s="15" t="str">
        <f>VLOOKUP(R2671,产品分类!$C$2:$D$1278,2,0)</f>
        <v>办公用品</v>
      </c>
    </row>
    <row r="2672" spans="1:20">
      <c r="A2672" s="8">
        <f>DATE(2012,12,31)-308</f>
        <v>40966</v>
      </c>
      <c r="B2672" s="8">
        <f>DATE(2012,12,31)-308</f>
        <v>40966</v>
      </c>
      <c r="C2672" s="9" t="s">
        <v>500</v>
      </c>
      <c r="D2672">
        <v>10021335694</v>
      </c>
      <c r="E2672" t="s">
        <v>47</v>
      </c>
      <c r="F2672" t="s">
        <v>114</v>
      </c>
      <c r="G2672" t="s">
        <v>115</v>
      </c>
      <c r="H2672" t="s">
        <v>2027</v>
      </c>
      <c r="I2672" t="s">
        <v>2028</v>
      </c>
      <c r="J2672" t="s">
        <v>668</v>
      </c>
      <c r="K2672" s="3">
        <v>100115615606</v>
      </c>
      <c r="L2672" s="10">
        <v>40968</v>
      </c>
      <c r="M2672">
        <v>8246.86</v>
      </c>
      <c r="N2672" s="11">
        <v>46</v>
      </c>
      <c r="O2672" s="12">
        <v>179.29</v>
      </c>
      <c r="P2672" s="12">
        <v>29.21</v>
      </c>
      <c r="Q2672" s="13">
        <v>-433.290143</v>
      </c>
      <c r="R2672" s="36" t="s">
        <v>629</v>
      </c>
      <c r="S2672" s="7">
        <f t="shared" si="221"/>
        <v>2</v>
      </c>
      <c r="T2672" s="15" t="str">
        <f>VLOOKUP(R2672,产品分类!$C$2:$D$1278,2,0)</f>
        <v>办公用品</v>
      </c>
    </row>
    <row r="2673" spans="1:20">
      <c r="A2673" s="8">
        <f t="shared" ref="A2673:B2675" si="224">DATE(2012,12,31)-99</f>
        <v>41175</v>
      </c>
      <c r="B2673" s="8">
        <f t="shared" si="224"/>
        <v>41175</v>
      </c>
      <c r="C2673" s="9" t="s">
        <v>147</v>
      </c>
      <c r="D2673">
        <v>10021386771</v>
      </c>
      <c r="E2673" t="s">
        <v>47</v>
      </c>
      <c r="F2673" t="s">
        <v>114</v>
      </c>
      <c r="G2673" t="s">
        <v>115</v>
      </c>
      <c r="H2673" t="s">
        <v>2035</v>
      </c>
      <c r="I2673" t="s">
        <v>2036</v>
      </c>
      <c r="J2673" t="s">
        <v>668</v>
      </c>
      <c r="K2673" s="3">
        <v>1004420284</v>
      </c>
      <c r="L2673" s="10">
        <v>41184</v>
      </c>
      <c r="M2673">
        <v>788.85</v>
      </c>
      <c r="N2673" s="11">
        <v>21</v>
      </c>
      <c r="O2673" s="12">
        <v>37.7</v>
      </c>
      <c r="P2673" s="12">
        <v>2.99</v>
      </c>
      <c r="Q2673" s="13">
        <v>317.5345</v>
      </c>
      <c r="R2673" s="36" t="s">
        <v>418</v>
      </c>
      <c r="S2673" s="7">
        <f t="shared" si="221"/>
        <v>9</v>
      </c>
      <c r="T2673" s="15" t="str">
        <f>VLOOKUP(R2673,产品分类!$C$2:$D$1278,2,0)</f>
        <v>数码电子</v>
      </c>
    </row>
    <row r="2674" spans="1:20">
      <c r="A2674" s="8">
        <f t="shared" si="224"/>
        <v>41175</v>
      </c>
      <c r="B2674" s="8">
        <f t="shared" si="224"/>
        <v>41175</v>
      </c>
      <c r="C2674" s="9" t="s">
        <v>147</v>
      </c>
      <c r="D2674">
        <v>10021249839</v>
      </c>
      <c r="E2674" t="s">
        <v>47</v>
      </c>
      <c r="F2674" t="s">
        <v>91</v>
      </c>
      <c r="G2674" t="s">
        <v>92</v>
      </c>
      <c r="H2674" t="s">
        <v>1911</v>
      </c>
      <c r="I2674" t="s">
        <v>1912</v>
      </c>
      <c r="J2674" t="s">
        <v>668</v>
      </c>
      <c r="K2674" s="3">
        <v>100410097003</v>
      </c>
      <c r="L2674" s="10">
        <v>41182</v>
      </c>
      <c r="M2674">
        <v>364.59</v>
      </c>
      <c r="N2674" s="11">
        <v>43</v>
      </c>
      <c r="O2674" s="12">
        <v>8.56</v>
      </c>
      <c r="P2674" s="12">
        <v>5.16</v>
      </c>
      <c r="Q2674" s="13">
        <v>-14.28</v>
      </c>
      <c r="R2674" s="36" t="s">
        <v>2037</v>
      </c>
      <c r="S2674" s="7">
        <f t="shared" si="221"/>
        <v>7</v>
      </c>
      <c r="T2674" s="15" t="str">
        <f>VLOOKUP(R2674,产品分类!$C$2:$D$1278,2,0)</f>
        <v>家具产品</v>
      </c>
    </row>
    <row r="2675" spans="1:20">
      <c r="A2675" s="8">
        <f t="shared" si="224"/>
        <v>41175</v>
      </c>
      <c r="B2675" s="8">
        <f t="shared" si="224"/>
        <v>41175</v>
      </c>
      <c r="C2675" s="9" t="s">
        <v>147</v>
      </c>
      <c r="D2675">
        <v>10021318615</v>
      </c>
      <c r="E2675" t="s">
        <v>47</v>
      </c>
      <c r="F2675" t="s">
        <v>91</v>
      </c>
      <c r="G2675" t="s">
        <v>92</v>
      </c>
      <c r="H2675" t="s">
        <v>1911</v>
      </c>
      <c r="I2675" t="s">
        <v>1912</v>
      </c>
      <c r="J2675" t="s">
        <v>668</v>
      </c>
      <c r="K2675" s="3">
        <v>10032454159</v>
      </c>
      <c r="L2675" s="10">
        <v>41177</v>
      </c>
      <c r="M2675">
        <v>535.57</v>
      </c>
      <c r="N2675" s="11">
        <v>21</v>
      </c>
      <c r="O2675" s="12">
        <v>25.38</v>
      </c>
      <c r="P2675" s="12">
        <v>8.99</v>
      </c>
      <c r="Q2675" s="13">
        <v>131.05</v>
      </c>
      <c r="R2675" s="36" t="s">
        <v>992</v>
      </c>
      <c r="S2675" s="7">
        <f t="shared" si="221"/>
        <v>2</v>
      </c>
      <c r="T2675" s="15" t="str">
        <f>VLOOKUP(R2675,产品分类!$C$2:$D$1278,2,0)</f>
        <v>数码电子</v>
      </c>
    </row>
    <row r="2676" spans="1:20">
      <c r="A2676" s="8">
        <f>DATE(2012,12,31)-545</f>
        <v>40729</v>
      </c>
      <c r="B2676" s="8">
        <f>DATE(2012,12,31)-545</f>
        <v>40729</v>
      </c>
      <c r="C2676" s="9" t="s">
        <v>1118</v>
      </c>
      <c r="D2676">
        <v>10021256793</v>
      </c>
      <c r="E2676" t="s">
        <v>47</v>
      </c>
      <c r="F2676" t="s">
        <v>91</v>
      </c>
      <c r="G2676" t="s">
        <v>92</v>
      </c>
      <c r="H2676" t="s">
        <v>1911</v>
      </c>
      <c r="I2676" t="s">
        <v>1912</v>
      </c>
      <c r="J2676" t="s">
        <v>668</v>
      </c>
      <c r="K2676" s="3">
        <v>100925520231</v>
      </c>
      <c r="L2676" s="10">
        <v>40730</v>
      </c>
      <c r="M2676">
        <v>286.06</v>
      </c>
      <c r="N2676" s="11">
        <v>44</v>
      </c>
      <c r="O2676" s="12">
        <v>6.68</v>
      </c>
      <c r="P2676" s="12">
        <v>5.66</v>
      </c>
      <c r="Q2676" s="13">
        <v>-85.09</v>
      </c>
      <c r="R2676" s="36" t="s">
        <v>662</v>
      </c>
      <c r="S2676" s="7">
        <f t="shared" si="221"/>
        <v>1</v>
      </c>
      <c r="T2676" s="15" t="str">
        <f>VLOOKUP(R2676,产品分类!$C$2:$D$1278,2,0)</f>
        <v>数码电子</v>
      </c>
    </row>
    <row r="2677" spans="1:20">
      <c r="A2677" s="8">
        <f>DATE(2012,12,31)-545</f>
        <v>40729</v>
      </c>
      <c r="B2677" s="8">
        <f>DATE(2012,12,31)-545</f>
        <v>40729</v>
      </c>
      <c r="C2677" s="9" t="s">
        <v>1118</v>
      </c>
      <c r="D2677">
        <v>10021428314</v>
      </c>
      <c r="E2677" t="s">
        <v>47</v>
      </c>
      <c r="F2677" t="s">
        <v>122</v>
      </c>
      <c r="G2677" t="s">
        <v>123</v>
      </c>
      <c r="H2677" t="s">
        <v>124</v>
      </c>
      <c r="I2677" t="s">
        <v>125</v>
      </c>
      <c r="J2677" t="s">
        <v>668</v>
      </c>
      <c r="K2677" s="3">
        <v>100431052973</v>
      </c>
      <c r="L2677" s="10">
        <v>40731</v>
      </c>
      <c r="M2677">
        <v>248.1</v>
      </c>
      <c r="N2677" s="11">
        <v>41</v>
      </c>
      <c r="O2677" s="12">
        <v>5.98</v>
      </c>
      <c r="P2677" s="12">
        <v>0.96</v>
      </c>
      <c r="Q2677" s="13">
        <v>49.67</v>
      </c>
      <c r="R2677" s="36" t="s">
        <v>702</v>
      </c>
      <c r="S2677" s="7">
        <f t="shared" si="221"/>
        <v>2</v>
      </c>
      <c r="T2677" s="15" t="str">
        <f>VLOOKUP(R2677,产品分类!$C$2:$D$1278,2,0)</f>
        <v>办公用品</v>
      </c>
    </row>
    <row r="2678" spans="1:20">
      <c r="A2678" s="16">
        <f>DATE(2012,12,31)-715</f>
        <v>40559</v>
      </c>
      <c r="B2678" s="16">
        <f>DATE(2012,12,31)-715</f>
        <v>40559</v>
      </c>
      <c r="C2678" s="9" t="s">
        <v>1168</v>
      </c>
      <c r="D2678">
        <v>10021384537</v>
      </c>
      <c r="E2678" t="s">
        <v>47</v>
      </c>
      <c r="F2678" t="s">
        <v>91</v>
      </c>
      <c r="G2678" t="s">
        <v>92</v>
      </c>
      <c r="H2678" t="s">
        <v>1911</v>
      </c>
      <c r="I2678" t="s">
        <v>1912</v>
      </c>
      <c r="J2678" t="s">
        <v>668</v>
      </c>
      <c r="K2678" s="3">
        <v>100132534517</v>
      </c>
      <c r="L2678" s="10">
        <v>40560</v>
      </c>
      <c r="M2678">
        <v>181.83</v>
      </c>
      <c r="N2678" s="17">
        <v>29</v>
      </c>
      <c r="O2678" s="5">
        <v>5.98</v>
      </c>
      <c r="P2678" s="5">
        <v>5.2</v>
      </c>
      <c r="Q2678" s="6">
        <v>-43.36</v>
      </c>
      <c r="R2678" s="37" t="s">
        <v>918</v>
      </c>
      <c r="S2678" s="7">
        <f t="shared" si="221"/>
        <v>1</v>
      </c>
      <c r="T2678" s="15" t="str">
        <f>VLOOKUP(R2678,产品分类!$C$2:$D$1278,2,0)</f>
        <v>数码电子</v>
      </c>
    </row>
    <row r="2679" spans="1:20">
      <c r="A2679" s="8">
        <f>DATE(2012,12,31)-1351</f>
        <v>39923</v>
      </c>
      <c r="B2679" s="8">
        <f>DATE(2012,12,31)-1351</f>
        <v>39923</v>
      </c>
      <c r="C2679" s="9" t="s">
        <v>1347</v>
      </c>
      <c r="D2679">
        <v>10021493166</v>
      </c>
      <c r="E2679" t="s">
        <v>47</v>
      </c>
      <c r="F2679" t="s">
        <v>91</v>
      </c>
      <c r="G2679" t="s">
        <v>92</v>
      </c>
      <c r="H2679" t="s">
        <v>1911</v>
      </c>
      <c r="I2679" t="s">
        <v>1912</v>
      </c>
      <c r="J2679" t="s">
        <v>668</v>
      </c>
      <c r="K2679" s="3">
        <v>1004229683</v>
      </c>
      <c r="L2679" s="10">
        <v>39925</v>
      </c>
      <c r="M2679">
        <v>112.42</v>
      </c>
      <c r="N2679" s="11">
        <v>20</v>
      </c>
      <c r="O2679" s="12">
        <v>5.98</v>
      </c>
      <c r="P2679" s="12">
        <v>2.5</v>
      </c>
      <c r="Q2679" s="13">
        <v>7.4</v>
      </c>
      <c r="R2679" s="36" t="s">
        <v>547</v>
      </c>
      <c r="S2679" s="7">
        <f t="shared" si="221"/>
        <v>2</v>
      </c>
      <c r="T2679" s="15" t="str">
        <f>VLOOKUP(R2679,产品分类!$C$2:$D$1278,2,0)</f>
        <v>数码电子</v>
      </c>
    </row>
    <row r="2680" spans="1:20">
      <c r="A2680" s="8">
        <f>DATE(2012,12,31)-6</f>
        <v>41268</v>
      </c>
      <c r="B2680" s="8">
        <f>DATE(2012,12,31)-6</f>
        <v>41268</v>
      </c>
      <c r="C2680" s="9" t="s">
        <v>1598</v>
      </c>
      <c r="D2680">
        <v>10021336741</v>
      </c>
      <c r="E2680" t="s">
        <v>47</v>
      </c>
      <c r="F2680" t="s">
        <v>122</v>
      </c>
      <c r="G2680" t="s">
        <v>123</v>
      </c>
      <c r="H2680" t="s">
        <v>124</v>
      </c>
      <c r="I2680" t="s">
        <v>125</v>
      </c>
      <c r="J2680" t="s">
        <v>668</v>
      </c>
      <c r="K2680" s="3">
        <v>100720049735</v>
      </c>
      <c r="L2680" s="10">
        <v>41269</v>
      </c>
      <c r="M2680">
        <v>279.327</v>
      </c>
      <c r="N2680" s="11">
        <v>16</v>
      </c>
      <c r="O2680" s="12">
        <v>20.99</v>
      </c>
      <c r="P2680" s="12">
        <v>0.99</v>
      </c>
      <c r="Q2680" s="13">
        <v>75.213</v>
      </c>
      <c r="R2680" s="36" t="s">
        <v>1154</v>
      </c>
      <c r="S2680" s="7">
        <f t="shared" si="221"/>
        <v>1</v>
      </c>
      <c r="T2680" s="15" t="str">
        <f>VLOOKUP(R2680,产品分类!$C$2:$D$1278,2,0)</f>
        <v>办公用品</v>
      </c>
    </row>
    <row r="2681" spans="1:20">
      <c r="A2681" s="8">
        <f>DATE(2012,12,31)-6</f>
        <v>41268</v>
      </c>
      <c r="B2681" s="8">
        <f>DATE(2012,12,31)-6</f>
        <v>41268</v>
      </c>
      <c r="C2681" s="9" t="s">
        <v>1598</v>
      </c>
      <c r="D2681">
        <v>10021370501</v>
      </c>
      <c r="E2681" t="s">
        <v>47</v>
      </c>
      <c r="F2681" t="s">
        <v>91</v>
      </c>
      <c r="G2681" t="s">
        <v>92</v>
      </c>
      <c r="H2681" t="s">
        <v>1911</v>
      </c>
      <c r="I2681" t="s">
        <v>1912</v>
      </c>
      <c r="J2681" t="s">
        <v>668</v>
      </c>
      <c r="K2681" s="3">
        <v>100911707761</v>
      </c>
      <c r="L2681" s="10">
        <v>41271</v>
      </c>
      <c r="M2681">
        <v>539.206</v>
      </c>
      <c r="N2681" s="11">
        <v>5</v>
      </c>
      <c r="O2681" s="12">
        <v>125.99</v>
      </c>
      <c r="P2681" s="12">
        <v>8.8</v>
      </c>
      <c r="Q2681" s="13">
        <v>-452.386</v>
      </c>
      <c r="R2681" s="36" t="s">
        <v>570</v>
      </c>
      <c r="S2681" s="7">
        <f t="shared" si="221"/>
        <v>3</v>
      </c>
      <c r="T2681" s="15" t="str">
        <f>VLOOKUP(R2681,产品分类!$C$2:$D$1278,2,0)</f>
        <v>办公用品</v>
      </c>
    </row>
    <row r="2682" spans="1:20">
      <c r="A2682" s="8">
        <f>DATE(2012,12,31)-632</f>
        <v>40642</v>
      </c>
      <c r="B2682" s="8">
        <f>DATE(2012,12,31)-632</f>
        <v>40642</v>
      </c>
      <c r="C2682" s="9" t="s">
        <v>336</v>
      </c>
      <c r="D2682">
        <v>10021296604</v>
      </c>
      <c r="E2682" t="s">
        <v>47</v>
      </c>
      <c r="F2682" t="s">
        <v>122</v>
      </c>
      <c r="G2682" t="s">
        <v>123</v>
      </c>
      <c r="H2682" t="s">
        <v>124</v>
      </c>
      <c r="I2682" t="s">
        <v>125</v>
      </c>
      <c r="J2682" t="s">
        <v>668</v>
      </c>
      <c r="K2682" s="3">
        <v>100422570644</v>
      </c>
      <c r="L2682" s="10">
        <v>40642</v>
      </c>
      <c r="M2682">
        <v>60.68</v>
      </c>
      <c r="N2682" s="11">
        <v>29</v>
      </c>
      <c r="O2682" s="12">
        <v>1.98</v>
      </c>
      <c r="P2682" s="12">
        <v>4.77</v>
      </c>
      <c r="Q2682" s="13">
        <v>-115.713</v>
      </c>
      <c r="R2682" s="36" t="s">
        <v>787</v>
      </c>
      <c r="S2682" s="7">
        <f t="shared" si="221"/>
        <v>0</v>
      </c>
      <c r="T2682" s="15" t="str">
        <f>VLOOKUP(R2682,产品分类!$C$2:$D$1278,2,0)</f>
        <v>办公用品</v>
      </c>
    </row>
    <row r="2683" spans="1:20">
      <c r="A2683" s="8">
        <f>DATE(2012,12,31)-632</f>
        <v>40642</v>
      </c>
      <c r="B2683" s="8">
        <f>DATE(2012,12,31)-632</f>
        <v>40642</v>
      </c>
      <c r="C2683" s="9" t="s">
        <v>336</v>
      </c>
      <c r="D2683">
        <v>10021367426</v>
      </c>
      <c r="E2683" t="s">
        <v>47</v>
      </c>
      <c r="F2683" t="s">
        <v>91</v>
      </c>
      <c r="G2683" t="s">
        <v>92</v>
      </c>
      <c r="H2683" t="s">
        <v>1911</v>
      </c>
      <c r="I2683" t="s">
        <v>1912</v>
      </c>
      <c r="J2683" t="s">
        <v>668</v>
      </c>
      <c r="K2683" s="3">
        <v>1004882804</v>
      </c>
      <c r="L2683" s="10">
        <v>40643</v>
      </c>
      <c r="M2683">
        <v>1129.055</v>
      </c>
      <c r="N2683" s="11">
        <v>37</v>
      </c>
      <c r="O2683" s="12">
        <v>35.99</v>
      </c>
      <c r="P2683" s="12">
        <v>1.1</v>
      </c>
      <c r="Q2683" s="13">
        <v>337.725</v>
      </c>
      <c r="R2683" s="36" t="s">
        <v>537</v>
      </c>
      <c r="S2683" s="7">
        <f t="shared" si="221"/>
        <v>1</v>
      </c>
      <c r="T2683" s="15" t="str">
        <f>VLOOKUP(R2683,产品分类!$C$2:$D$1278,2,0)</f>
        <v>办公用品</v>
      </c>
    </row>
    <row r="2684" spans="1:20">
      <c r="A2684" s="8">
        <f>DATE(2012,12,31)-98</f>
        <v>41176</v>
      </c>
      <c r="B2684" s="8">
        <f>DATE(2012,12,31)-98</f>
        <v>41176</v>
      </c>
      <c r="C2684" s="9" t="s">
        <v>2038</v>
      </c>
      <c r="D2684">
        <v>10021525530</v>
      </c>
      <c r="E2684" t="s">
        <v>47</v>
      </c>
      <c r="F2684" t="s">
        <v>122</v>
      </c>
      <c r="G2684" t="s">
        <v>123</v>
      </c>
      <c r="H2684" t="s">
        <v>124</v>
      </c>
      <c r="I2684" t="s">
        <v>125</v>
      </c>
      <c r="J2684" t="s">
        <v>668</v>
      </c>
      <c r="K2684" s="3">
        <v>100321986699</v>
      </c>
      <c r="L2684" s="10">
        <v>41177</v>
      </c>
      <c r="M2684">
        <v>210.24</v>
      </c>
      <c r="N2684" s="11">
        <v>34</v>
      </c>
      <c r="O2684" s="12">
        <v>5.68</v>
      </c>
      <c r="P2684" s="12">
        <v>3.6</v>
      </c>
      <c r="Q2684" s="13">
        <v>-31.67</v>
      </c>
      <c r="R2684" s="36" t="s">
        <v>1538</v>
      </c>
      <c r="S2684" s="7">
        <f t="shared" si="221"/>
        <v>1</v>
      </c>
      <c r="T2684" s="15" t="str">
        <f>VLOOKUP(R2684,产品分类!$C$2:$D$1278,2,0)</f>
        <v>办公用品</v>
      </c>
    </row>
    <row r="2685" spans="1:20">
      <c r="A2685" s="8">
        <f>DATE(2012,12,31)-1225</f>
        <v>40049</v>
      </c>
      <c r="B2685" s="8">
        <f>DATE(2012,12,31)-1225</f>
        <v>40049</v>
      </c>
      <c r="C2685" s="9" t="s">
        <v>1280</v>
      </c>
      <c r="D2685">
        <v>10021301866</v>
      </c>
      <c r="E2685" t="s">
        <v>47</v>
      </c>
      <c r="F2685" t="s">
        <v>55</v>
      </c>
      <c r="G2685" t="s">
        <v>56</v>
      </c>
      <c r="H2685" t="s">
        <v>1869</v>
      </c>
      <c r="I2685" t="s">
        <v>1870</v>
      </c>
      <c r="J2685" t="s">
        <v>668</v>
      </c>
      <c r="K2685" s="3">
        <v>100929387641</v>
      </c>
      <c r="L2685" s="10">
        <v>40049</v>
      </c>
      <c r="M2685">
        <v>240.24</v>
      </c>
      <c r="N2685" s="11">
        <v>2</v>
      </c>
      <c r="O2685" s="12">
        <v>124.49</v>
      </c>
      <c r="P2685" s="12">
        <v>51.94</v>
      </c>
      <c r="Q2685" s="13">
        <v>-84.93</v>
      </c>
      <c r="R2685" s="36" t="s">
        <v>237</v>
      </c>
      <c r="S2685" s="7">
        <f t="shared" si="221"/>
        <v>0</v>
      </c>
      <c r="T2685" s="15" t="str">
        <f>VLOOKUP(R2685,产品分类!$C$2:$D$1278,2,0)</f>
        <v>数码电子</v>
      </c>
    </row>
    <row r="2686" spans="1:20">
      <c r="A2686" s="8">
        <f>DATE(2012,12,31)-779</f>
        <v>40495</v>
      </c>
      <c r="B2686" s="8">
        <f>DATE(2012,12,31)-779</f>
        <v>40495</v>
      </c>
      <c r="C2686" s="9" t="s">
        <v>800</v>
      </c>
      <c r="D2686">
        <v>10021524007</v>
      </c>
      <c r="E2686" t="s">
        <v>47</v>
      </c>
      <c r="F2686" t="s">
        <v>55</v>
      </c>
      <c r="G2686" t="s">
        <v>56</v>
      </c>
      <c r="H2686" t="s">
        <v>1869</v>
      </c>
      <c r="I2686" t="s">
        <v>1870</v>
      </c>
      <c r="J2686" t="s">
        <v>668</v>
      </c>
      <c r="K2686" s="3">
        <v>100715408255</v>
      </c>
      <c r="L2686" s="10">
        <v>40497</v>
      </c>
      <c r="M2686">
        <v>6742.49</v>
      </c>
      <c r="N2686" s="11">
        <v>39</v>
      </c>
      <c r="O2686" s="12">
        <v>167.27</v>
      </c>
      <c r="P2686" s="12">
        <v>35</v>
      </c>
      <c r="Q2686" s="13">
        <v>-502.05</v>
      </c>
      <c r="R2686" s="36" t="s">
        <v>1552</v>
      </c>
      <c r="S2686" s="7">
        <f t="shared" si="221"/>
        <v>2</v>
      </c>
      <c r="T2686" s="15" t="str">
        <f>VLOOKUP(R2686,产品分类!$C$2:$D$1278,2,0)</f>
        <v>数码电子</v>
      </c>
    </row>
    <row r="2687" spans="1:20">
      <c r="A2687" s="8">
        <f>DATE(2012,12,31)-1318</f>
        <v>39956</v>
      </c>
      <c r="B2687" s="8">
        <f>DATE(2012,12,31)-1318</f>
        <v>39956</v>
      </c>
      <c r="C2687" s="9" t="s">
        <v>1670</v>
      </c>
      <c r="D2687">
        <v>10021470232</v>
      </c>
      <c r="E2687" t="s">
        <v>47</v>
      </c>
      <c r="F2687" t="s">
        <v>122</v>
      </c>
      <c r="G2687" t="s">
        <v>123</v>
      </c>
      <c r="H2687" t="s">
        <v>124</v>
      </c>
      <c r="I2687" t="s">
        <v>125</v>
      </c>
      <c r="J2687" t="s">
        <v>668</v>
      </c>
      <c r="K2687" s="3">
        <v>100832659852</v>
      </c>
      <c r="L2687" s="10">
        <v>39958</v>
      </c>
      <c r="M2687">
        <v>16.82</v>
      </c>
      <c r="N2687" s="11">
        <v>4</v>
      </c>
      <c r="O2687" s="12">
        <v>4.13</v>
      </c>
      <c r="P2687" s="12">
        <v>1.17</v>
      </c>
      <c r="Q2687" s="13">
        <v>-5.54</v>
      </c>
      <c r="R2687" s="36" t="s">
        <v>1904</v>
      </c>
      <c r="S2687" s="7">
        <f t="shared" si="221"/>
        <v>2</v>
      </c>
      <c r="T2687" s="15" t="str">
        <f>VLOOKUP(R2687,产品分类!$C$2:$D$1278,2,0)</f>
        <v>办公用品</v>
      </c>
    </row>
    <row r="2688" spans="1:20">
      <c r="A2688" s="8">
        <f>DATE(2012,12,31)-1268</f>
        <v>40006</v>
      </c>
      <c r="B2688" s="8">
        <f>DATE(2012,12,31)-1268</f>
        <v>40006</v>
      </c>
      <c r="C2688" s="9" t="s">
        <v>355</v>
      </c>
      <c r="D2688">
        <v>10021499950</v>
      </c>
      <c r="E2688" t="s">
        <v>47</v>
      </c>
      <c r="F2688" t="s">
        <v>55</v>
      </c>
      <c r="G2688" t="s">
        <v>56</v>
      </c>
      <c r="H2688" t="s">
        <v>1869</v>
      </c>
      <c r="I2688" t="s">
        <v>1870</v>
      </c>
      <c r="J2688" t="s">
        <v>668</v>
      </c>
      <c r="K2688" s="3">
        <v>100825366152</v>
      </c>
      <c r="L2688" s="10">
        <v>40007</v>
      </c>
      <c r="M2688">
        <v>203.49</v>
      </c>
      <c r="N2688" s="11">
        <v>34</v>
      </c>
      <c r="O2688" s="12">
        <v>6.3</v>
      </c>
      <c r="P2688" s="12">
        <v>0.5</v>
      </c>
      <c r="Q2688" s="13">
        <v>90.35</v>
      </c>
      <c r="R2688" s="36" t="s">
        <v>961</v>
      </c>
      <c r="S2688" s="7">
        <f t="shared" si="221"/>
        <v>1</v>
      </c>
      <c r="T2688" s="15" t="str">
        <f>VLOOKUP(R2688,产品分类!$C$2:$D$1278,2,0)</f>
        <v>办公用品</v>
      </c>
    </row>
    <row r="2689" spans="1:20">
      <c r="A2689" s="8">
        <f>DATE(2012,12,31)-1268</f>
        <v>40006</v>
      </c>
      <c r="B2689" s="8">
        <f>DATE(2012,12,31)-1268</f>
        <v>40006</v>
      </c>
      <c r="C2689" s="9" t="s">
        <v>355</v>
      </c>
      <c r="D2689">
        <v>10021433957</v>
      </c>
      <c r="E2689" t="s">
        <v>47</v>
      </c>
      <c r="F2689" t="s">
        <v>91</v>
      </c>
      <c r="G2689" t="s">
        <v>92</v>
      </c>
      <c r="H2689" t="s">
        <v>1911</v>
      </c>
      <c r="I2689" t="s">
        <v>1912</v>
      </c>
      <c r="J2689" t="s">
        <v>668</v>
      </c>
      <c r="K2689" s="3">
        <v>100132640997</v>
      </c>
      <c r="L2689" s="10">
        <v>40008</v>
      </c>
      <c r="M2689">
        <v>5638.798</v>
      </c>
      <c r="N2689" s="11">
        <v>33</v>
      </c>
      <c r="O2689" s="12">
        <v>205.99</v>
      </c>
      <c r="P2689" s="12">
        <v>3</v>
      </c>
      <c r="Q2689" s="13">
        <v>1406.052</v>
      </c>
      <c r="R2689" s="36" t="s">
        <v>2039</v>
      </c>
      <c r="S2689" s="7">
        <f t="shared" si="221"/>
        <v>2</v>
      </c>
      <c r="T2689" s="15" t="str">
        <f>VLOOKUP(R2689,产品分类!$C$2:$D$1278,2,0)</f>
        <v>办公用品</v>
      </c>
    </row>
    <row r="2690" spans="1:20">
      <c r="A2690" s="8">
        <f>DATE(2012,12,31)-468</f>
        <v>40806</v>
      </c>
      <c r="B2690" s="8">
        <f>DATE(2012,12,31)-468</f>
        <v>40806</v>
      </c>
      <c r="C2690" s="9" t="s">
        <v>1696</v>
      </c>
      <c r="D2690">
        <v>10021503668</v>
      </c>
      <c r="E2690" t="s">
        <v>47</v>
      </c>
      <c r="F2690" t="s">
        <v>132</v>
      </c>
      <c r="G2690" t="s">
        <v>133</v>
      </c>
      <c r="H2690" t="s">
        <v>134</v>
      </c>
      <c r="I2690" t="s">
        <v>133</v>
      </c>
      <c r="J2690" t="s">
        <v>668</v>
      </c>
      <c r="K2690" s="3">
        <v>100129703658</v>
      </c>
      <c r="L2690" s="10">
        <v>40807</v>
      </c>
      <c r="M2690">
        <v>206.68</v>
      </c>
      <c r="N2690" s="11">
        <v>2</v>
      </c>
      <c r="O2690" s="12">
        <v>80.98</v>
      </c>
      <c r="P2690" s="12">
        <v>35</v>
      </c>
      <c r="Q2690" s="13">
        <v>-156.47</v>
      </c>
      <c r="R2690" s="36" t="s">
        <v>1459</v>
      </c>
      <c r="S2690" s="7">
        <f t="shared" si="221"/>
        <v>1</v>
      </c>
      <c r="T2690" s="15" t="str">
        <f>VLOOKUP(R2690,产品分类!$C$2:$D$1278,2,0)</f>
        <v>办公用品</v>
      </c>
    </row>
    <row r="2691" spans="1:20">
      <c r="A2691" s="8">
        <f>DATE(2012,12,31)-750</f>
        <v>40524</v>
      </c>
      <c r="B2691" s="8">
        <f>DATE(2012,12,31)-750</f>
        <v>40524</v>
      </c>
      <c r="C2691" s="9" t="s">
        <v>2040</v>
      </c>
      <c r="D2691">
        <v>10021430085</v>
      </c>
      <c r="E2691" t="s">
        <v>47</v>
      </c>
      <c r="F2691" t="s">
        <v>132</v>
      </c>
      <c r="G2691" t="s">
        <v>133</v>
      </c>
      <c r="H2691" t="s">
        <v>134</v>
      </c>
      <c r="I2691" t="s">
        <v>133</v>
      </c>
      <c r="J2691" t="s">
        <v>668</v>
      </c>
      <c r="K2691" s="3">
        <v>100431897994</v>
      </c>
      <c r="L2691" s="10">
        <v>40526</v>
      </c>
      <c r="M2691">
        <v>691.09</v>
      </c>
      <c r="N2691" s="11">
        <v>9</v>
      </c>
      <c r="O2691" s="12">
        <v>78.69</v>
      </c>
      <c r="P2691" s="12">
        <v>19.99</v>
      </c>
      <c r="Q2691" s="13">
        <v>364.03</v>
      </c>
      <c r="R2691" s="36" t="s">
        <v>2041</v>
      </c>
      <c r="S2691" s="7">
        <f t="shared" ref="S2691:S2754" si="225">+L2691-B2691</f>
        <v>2</v>
      </c>
      <c r="T2691" s="15" t="str">
        <f>VLOOKUP(R2691,产品分类!$C$2:$D$1278,2,0)</f>
        <v>办公用品</v>
      </c>
    </row>
    <row r="2692" spans="1:20">
      <c r="A2692" s="8">
        <f>DATE(2012,12,31)-750</f>
        <v>40524</v>
      </c>
      <c r="B2692" s="8">
        <f>DATE(2012,12,31)-750</f>
        <v>40524</v>
      </c>
      <c r="C2692" s="9" t="s">
        <v>2040</v>
      </c>
      <c r="D2692">
        <v>10021303054</v>
      </c>
      <c r="E2692" t="s">
        <v>47</v>
      </c>
      <c r="F2692" t="s">
        <v>97</v>
      </c>
      <c r="G2692" t="s">
        <v>98</v>
      </c>
      <c r="H2692" t="s">
        <v>99</v>
      </c>
      <c r="I2692" t="s">
        <v>98</v>
      </c>
      <c r="J2692" t="s">
        <v>668</v>
      </c>
      <c r="K2692" s="3">
        <v>100931535671</v>
      </c>
      <c r="L2692" s="10">
        <v>40525</v>
      </c>
      <c r="M2692">
        <v>713.7</v>
      </c>
      <c r="N2692" s="11">
        <v>33</v>
      </c>
      <c r="O2692" s="12">
        <v>21.98</v>
      </c>
      <c r="P2692" s="12">
        <v>2.87</v>
      </c>
      <c r="Q2692" s="13">
        <v>176.09</v>
      </c>
      <c r="R2692" s="36" t="s">
        <v>753</v>
      </c>
      <c r="S2692" s="7">
        <f t="shared" si="225"/>
        <v>1</v>
      </c>
      <c r="T2692" s="15" t="str">
        <f>VLOOKUP(R2692,产品分类!$C$2:$D$1278,2,0)</f>
        <v>家具产品</v>
      </c>
    </row>
    <row r="2693" spans="1:20">
      <c r="A2693" s="8">
        <f>DATE(2012,12,31)-1428</f>
        <v>39846</v>
      </c>
      <c r="B2693" s="8">
        <f>DATE(2012,12,31)-1428</f>
        <v>39846</v>
      </c>
      <c r="C2693" s="9" t="s">
        <v>1250</v>
      </c>
      <c r="D2693">
        <v>10021446877</v>
      </c>
      <c r="E2693" t="s">
        <v>47</v>
      </c>
      <c r="F2693" t="s">
        <v>97</v>
      </c>
      <c r="G2693" t="s">
        <v>98</v>
      </c>
      <c r="H2693" t="s">
        <v>99</v>
      </c>
      <c r="I2693" t="s">
        <v>98</v>
      </c>
      <c r="J2693" t="s">
        <v>668</v>
      </c>
      <c r="K2693" s="3">
        <v>100121589997</v>
      </c>
      <c r="L2693" s="10">
        <v>39847</v>
      </c>
      <c r="M2693">
        <v>4713.25</v>
      </c>
      <c r="N2693" s="11">
        <v>31</v>
      </c>
      <c r="O2693" s="12">
        <v>154.13</v>
      </c>
      <c r="P2693" s="12">
        <v>69</v>
      </c>
      <c r="Q2693" s="13">
        <v>-372.485971</v>
      </c>
      <c r="R2693" s="36" t="s">
        <v>2042</v>
      </c>
      <c r="S2693" s="7">
        <f t="shared" si="225"/>
        <v>1</v>
      </c>
      <c r="T2693" s="15" t="str">
        <f>VLOOKUP(R2693,产品分类!$C$2:$D$1278,2,0)</f>
        <v>家具产品</v>
      </c>
    </row>
    <row r="2694" spans="1:20">
      <c r="A2694" s="8">
        <f>DATE(2012,12,31)-1084</f>
        <v>40190</v>
      </c>
      <c r="B2694" s="8">
        <f>DATE(2012,12,31)-1084</f>
        <v>40190</v>
      </c>
      <c r="C2694" s="9" t="s">
        <v>1015</v>
      </c>
      <c r="D2694">
        <v>10021387022</v>
      </c>
      <c r="E2694" t="s">
        <v>47</v>
      </c>
      <c r="F2694" t="s">
        <v>102</v>
      </c>
      <c r="G2694" t="s">
        <v>103</v>
      </c>
      <c r="H2694" t="s">
        <v>1217</v>
      </c>
      <c r="I2694" t="s">
        <v>1218</v>
      </c>
      <c r="J2694" t="s">
        <v>668</v>
      </c>
      <c r="K2694" s="3">
        <v>100815055752</v>
      </c>
      <c r="L2694" s="10">
        <v>40192</v>
      </c>
      <c r="M2694">
        <v>857.32</v>
      </c>
      <c r="N2694" s="11">
        <v>39</v>
      </c>
      <c r="O2694" s="12">
        <v>22.23</v>
      </c>
      <c r="P2694" s="12">
        <v>8.99</v>
      </c>
      <c r="Q2694" s="13">
        <v>195.71</v>
      </c>
      <c r="R2694" s="36" t="s">
        <v>798</v>
      </c>
      <c r="S2694" s="7">
        <f t="shared" si="225"/>
        <v>2</v>
      </c>
      <c r="T2694" s="15" t="str">
        <f>VLOOKUP(R2694,产品分类!$C$2:$D$1278,2,0)</f>
        <v>数码电子</v>
      </c>
    </row>
    <row r="2695" spans="1:20">
      <c r="A2695" s="16">
        <f>DATE(2012,12,31)-1084</f>
        <v>40190</v>
      </c>
      <c r="B2695" s="16">
        <f>DATE(2012,12,31)-1084</f>
        <v>40190</v>
      </c>
      <c r="C2695" s="9" t="s">
        <v>1015</v>
      </c>
      <c r="D2695">
        <v>10021251429</v>
      </c>
      <c r="E2695" t="s">
        <v>47</v>
      </c>
      <c r="F2695" t="s">
        <v>102</v>
      </c>
      <c r="G2695" t="s">
        <v>103</v>
      </c>
      <c r="H2695" t="s">
        <v>1217</v>
      </c>
      <c r="I2695" t="s">
        <v>1218</v>
      </c>
      <c r="J2695" t="s">
        <v>668</v>
      </c>
      <c r="K2695" s="3">
        <v>10047535703</v>
      </c>
      <c r="L2695" s="10">
        <v>40193</v>
      </c>
      <c r="M2695">
        <v>8.87</v>
      </c>
      <c r="N2695" s="17">
        <v>2</v>
      </c>
      <c r="O2695" s="5">
        <v>2.74</v>
      </c>
      <c r="P2695" s="5">
        <v>3.5</v>
      </c>
      <c r="Q2695" s="6">
        <v>-6.79</v>
      </c>
      <c r="R2695" s="37" t="s">
        <v>346</v>
      </c>
      <c r="S2695" s="7">
        <f t="shared" si="225"/>
        <v>3</v>
      </c>
      <c r="T2695" s="15" t="str">
        <f>VLOOKUP(R2695,产品分类!$C$2:$D$1278,2,0)</f>
        <v>数码电子</v>
      </c>
    </row>
    <row r="2696" spans="1:20">
      <c r="A2696" s="8">
        <f>DATE(2012,12,31)-1134</f>
        <v>40140</v>
      </c>
      <c r="B2696" s="8">
        <f>DATE(2012,12,31)-1134</f>
        <v>40140</v>
      </c>
      <c r="C2696" s="9" t="s">
        <v>1821</v>
      </c>
      <c r="D2696">
        <v>10021345604</v>
      </c>
      <c r="E2696" t="s">
        <v>47</v>
      </c>
      <c r="F2696" t="s">
        <v>304</v>
      </c>
      <c r="G2696" t="s">
        <v>305</v>
      </c>
      <c r="H2696" t="s">
        <v>2015</v>
      </c>
      <c r="I2696" t="s">
        <v>2016</v>
      </c>
      <c r="J2696" t="s">
        <v>668</v>
      </c>
      <c r="K2696" s="3">
        <v>100730193275</v>
      </c>
      <c r="L2696" s="10">
        <v>40141</v>
      </c>
      <c r="M2696">
        <v>351.06</v>
      </c>
      <c r="N2696" s="11">
        <v>9</v>
      </c>
      <c r="O2696" s="12">
        <v>35.48</v>
      </c>
      <c r="P2696" s="12">
        <v>35</v>
      </c>
      <c r="Q2696" s="13">
        <v>-306.32</v>
      </c>
      <c r="R2696" s="36" t="s">
        <v>531</v>
      </c>
      <c r="S2696" s="7">
        <f t="shared" si="225"/>
        <v>1</v>
      </c>
      <c r="T2696" s="15" t="str">
        <f>VLOOKUP(R2696,产品分类!$C$2:$D$1278,2,0)</f>
        <v>数码电子</v>
      </c>
    </row>
    <row r="2697" spans="1:20">
      <c r="A2697" s="8">
        <f>DATE(2012,12,31)-1168</f>
        <v>40106</v>
      </c>
      <c r="B2697" s="8">
        <f>DATE(2012,12,31)-1168</f>
        <v>40106</v>
      </c>
      <c r="C2697" s="9" t="s">
        <v>815</v>
      </c>
      <c r="D2697">
        <v>10021320004</v>
      </c>
      <c r="E2697" t="s">
        <v>47</v>
      </c>
      <c r="F2697" t="s">
        <v>102</v>
      </c>
      <c r="G2697" t="s">
        <v>103</v>
      </c>
      <c r="H2697" t="s">
        <v>1217</v>
      </c>
      <c r="I2697" t="s">
        <v>1218</v>
      </c>
      <c r="J2697" t="s">
        <v>668</v>
      </c>
      <c r="K2697" s="3">
        <v>100417229234</v>
      </c>
      <c r="L2697" s="10">
        <v>40107</v>
      </c>
      <c r="M2697">
        <v>161.8</v>
      </c>
      <c r="N2697" s="11">
        <v>44</v>
      </c>
      <c r="O2697" s="12">
        <v>3.8</v>
      </c>
      <c r="P2697" s="12">
        <v>1.49</v>
      </c>
      <c r="Q2697" s="13">
        <v>21.335</v>
      </c>
      <c r="R2697" s="36" t="s">
        <v>648</v>
      </c>
      <c r="S2697" s="7">
        <f t="shared" si="225"/>
        <v>1</v>
      </c>
      <c r="T2697" s="15" t="str">
        <f>VLOOKUP(R2697,产品分类!$C$2:$D$1278,2,0)</f>
        <v>家具产品</v>
      </c>
    </row>
    <row r="2698" spans="1:20">
      <c r="A2698" s="8">
        <f>DATE(2012,12,31)-1168</f>
        <v>40106</v>
      </c>
      <c r="B2698" s="8">
        <f>DATE(2012,12,31)-1168</f>
        <v>40106</v>
      </c>
      <c r="C2698" s="9" t="s">
        <v>815</v>
      </c>
      <c r="D2698">
        <v>10021293062</v>
      </c>
      <c r="E2698" t="s">
        <v>47</v>
      </c>
      <c r="F2698" t="s">
        <v>171</v>
      </c>
      <c r="G2698" t="s">
        <v>172</v>
      </c>
      <c r="H2698" t="s">
        <v>2021</v>
      </c>
      <c r="I2698" t="s">
        <v>2022</v>
      </c>
      <c r="J2698" t="s">
        <v>668</v>
      </c>
      <c r="K2698" s="3">
        <v>10074294795</v>
      </c>
      <c r="L2698" s="10">
        <v>40107</v>
      </c>
      <c r="M2698">
        <v>64.36</v>
      </c>
      <c r="N2698" s="11">
        <v>37</v>
      </c>
      <c r="O2698" s="12">
        <v>1.76</v>
      </c>
      <c r="P2698" s="12">
        <v>0.7</v>
      </c>
      <c r="Q2698" s="13">
        <v>-1.53</v>
      </c>
      <c r="R2698" s="36" t="s">
        <v>561</v>
      </c>
      <c r="S2698" s="7">
        <f t="shared" si="225"/>
        <v>1</v>
      </c>
      <c r="T2698" s="15" t="str">
        <f>VLOOKUP(R2698,产品分类!$C$2:$D$1278,2,0)</f>
        <v>数码电子</v>
      </c>
    </row>
    <row r="2699" spans="1:20">
      <c r="A2699" s="16">
        <f>DATE(2012,12,31)-397</f>
        <v>40877</v>
      </c>
      <c r="B2699" s="16">
        <f>DATE(2012,12,31)-397</f>
        <v>40877</v>
      </c>
      <c r="C2699" s="9" t="s">
        <v>2043</v>
      </c>
      <c r="D2699">
        <v>10021507059</v>
      </c>
      <c r="E2699" t="s">
        <v>47</v>
      </c>
      <c r="F2699" t="s">
        <v>527</v>
      </c>
      <c r="G2699" t="s">
        <v>528</v>
      </c>
      <c r="H2699" t="s">
        <v>1913</v>
      </c>
      <c r="I2699" t="s">
        <v>1914</v>
      </c>
      <c r="J2699" t="s">
        <v>668</v>
      </c>
      <c r="K2699" s="3">
        <v>100931749961</v>
      </c>
      <c r="L2699" s="10">
        <v>40878</v>
      </c>
      <c r="M2699">
        <v>155.78</v>
      </c>
      <c r="N2699" s="17">
        <v>44</v>
      </c>
      <c r="O2699" s="5">
        <v>3.6</v>
      </c>
      <c r="P2699" s="5">
        <v>2.2</v>
      </c>
      <c r="Q2699" s="6">
        <v>-10</v>
      </c>
      <c r="R2699" s="37" t="s">
        <v>2044</v>
      </c>
      <c r="S2699" s="7">
        <f t="shared" si="225"/>
        <v>1</v>
      </c>
      <c r="T2699" s="15" t="str">
        <f>VLOOKUP(R2699,产品分类!$C$2:$D$1278,2,0)</f>
        <v>数码电子</v>
      </c>
    </row>
    <row r="2700" spans="1:20">
      <c r="A2700" s="8">
        <f>DATE(2012,12,31)-1082</f>
        <v>40192</v>
      </c>
      <c r="B2700" s="8">
        <f>DATE(2012,12,31)-1082</f>
        <v>40192</v>
      </c>
      <c r="C2700" s="9" t="s">
        <v>2045</v>
      </c>
      <c r="D2700">
        <v>10021539910</v>
      </c>
      <c r="E2700" t="s">
        <v>47</v>
      </c>
      <c r="F2700" t="s">
        <v>171</v>
      </c>
      <c r="G2700" t="s">
        <v>172</v>
      </c>
      <c r="H2700" t="s">
        <v>2021</v>
      </c>
      <c r="I2700" t="s">
        <v>2022</v>
      </c>
      <c r="J2700" t="s">
        <v>668</v>
      </c>
      <c r="K2700" s="3">
        <v>100912448741</v>
      </c>
      <c r="L2700" s="10">
        <v>40193</v>
      </c>
      <c r="M2700">
        <v>92.02</v>
      </c>
      <c r="N2700" s="11">
        <v>9</v>
      </c>
      <c r="O2700" s="12">
        <v>10.23</v>
      </c>
      <c r="P2700" s="12">
        <v>4.68</v>
      </c>
      <c r="Q2700" s="13">
        <v>-24.88</v>
      </c>
      <c r="R2700" s="36" t="s">
        <v>1222</v>
      </c>
      <c r="S2700" s="7">
        <f t="shared" si="225"/>
        <v>1</v>
      </c>
      <c r="T2700" s="15" t="str">
        <f>VLOOKUP(R2700,产品分类!$C$2:$D$1278,2,0)</f>
        <v>数码电子</v>
      </c>
    </row>
    <row r="2701" spans="1:20">
      <c r="A2701" s="8">
        <f>DATE(2012,12,31)-1054</f>
        <v>40220</v>
      </c>
      <c r="B2701" s="8">
        <f>DATE(2012,12,31)-1054</f>
        <v>40220</v>
      </c>
      <c r="C2701" s="9" t="s">
        <v>488</v>
      </c>
      <c r="D2701">
        <v>10021261969</v>
      </c>
      <c r="E2701" t="s">
        <v>47</v>
      </c>
      <c r="F2701" t="s">
        <v>527</v>
      </c>
      <c r="G2701" t="s">
        <v>528</v>
      </c>
      <c r="H2701" t="s">
        <v>2046</v>
      </c>
      <c r="I2701" t="s">
        <v>2047</v>
      </c>
      <c r="J2701" t="s">
        <v>668</v>
      </c>
      <c r="K2701" s="3">
        <v>100829756362</v>
      </c>
      <c r="L2701" s="10">
        <v>40224</v>
      </c>
      <c r="M2701">
        <v>246.24</v>
      </c>
      <c r="N2701" s="11">
        <v>36</v>
      </c>
      <c r="O2701" s="12">
        <v>6.68</v>
      </c>
      <c r="P2701" s="12">
        <v>7.3</v>
      </c>
      <c r="Q2701" s="13">
        <v>-118.9</v>
      </c>
      <c r="R2701" s="36" t="s">
        <v>1972</v>
      </c>
      <c r="S2701" s="7">
        <f t="shared" si="225"/>
        <v>4</v>
      </c>
      <c r="T2701" s="15" t="str">
        <f>VLOOKUP(R2701,产品分类!$C$2:$D$1278,2,0)</f>
        <v>办公用品</v>
      </c>
    </row>
    <row r="2702" spans="1:20">
      <c r="A2702" s="8">
        <f>DATE(2012,12,31)-1054</f>
        <v>40220</v>
      </c>
      <c r="B2702" s="8">
        <f>DATE(2012,12,31)-1054</f>
        <v>40220</v>
      </c>
      <c r="C2702" s="9" t="s">
        <v>488</v>
      </c>
      <c r="D2702">
        <v>10021364087</v>
      </c>
      <c r="E2702" t="s">
        <v>47</v>
      </c>
      <c r="F2702" t="s">
        <v>171</v>
      </c>
      <c r="G2702" t="s">
        <v>172</v>
      </c>
      <c r="H2702" t="s">
        <v>2021</v>
      </c>
      <c r="I2702" t="s">
        <v>2022</v>
      </c>
      <c r="J2702" t="s">
        <v>668</v>
      </c>
      <c r="K2702" s="3">
        <v>100810058402</v>
      </c>
      <c r="L2702" s="10">
        <v>40227</v>
      </c>
      <c r="M2702">
        <v>78.67</v>
      </c>
      <c r="N2702" s="11">
        <v>8</v>
      </c>
      <c r="O2702" s="12">
        <v>9.11</v>
      </c>
      <c r="P2702" s="12">
        <v>2.15</v>
      </c>
      <c r="Q2702" s="13">
        <v>14.1</v>
      </c>
      <c r="R2702" s="36" t="s">
        <v>1449</v>
      </c>
      <c r="S2702" s="7">
        <f t="shared" si="225"/>
        <v>7</v>
      </c>
      <c r="T2702" s="15" t="str">
        <f>VLOOKUP(R2702,产品分类!$C$2:$D$1278,2,0)</f>
        <v>家具产品</v>
      </c>
    </row>
    <row r="2703" spans="1:20">
      <c r="A2703" s="8">
        <f t="shared" ref="A2703:B2705" si="226">DATE(2012,12,31)-732</f>
        <v>40542</v>
      </c>
      <c r="B2703" s="8">
        <f t="shared" si="226"/>
        <v>40542</v>
      </c>
      <c r="C2703" s="9" t="s">
        <v>780</v>
      </c>
      <c r="D2703">
        <v>10021434233</v>
      </c>
      <c r="E2703" t="s">
        <v>47</v>
      </c>
      <c r="F2703" t="s">
        <v>171</v>
      </c>
      <c r="G2703" t="s">
        <v>172</v>
      </c>
      <c r="H2703" t="s">
        <v>2021</v>
      </c>
      <c r="I2703" t="s">
        <v>2022</v>
      </c>
      <c r="J2703" t="s">
        <v>668</v>
      </c>
      <c r="K2703" s="3">
        <v>100332655009</v>
      </c>
      <c r="L2703" s="10">
        <v>40559</v>
      </c>
      <c r="M2703">
        <v>5785.59</v>
      </c>
      <c r="N2703" s="11">
        <v>45</v>
      </c>
      <c r="O2703" s="12">
        <v>130.98</v>
      </c>
      <c r="P2703" s="12">
        <v>30</v>
      </c>
      <c r="Q2703" s="13">
        <v>-423.77</v>
      </c>
      <c r="R2703" s="36" t="s">
        <v>1025</v>
      </c>
      <c r="S2703" s="7">
        <f t="shared" si="225"/>
        <v>17</v>
      </c>
      <c r="T2703" s="15" t="str">
        <f>VLOOKUP(R2703,产品分类!$C$2:$D$1278,2,0)</f>
        <v>办公用品</v>
      </c>
    </row>
    <row r="2704" spans="1:20">
      <c r="A2704" s="8">
        <f t="shared" si="226"/>
        <v>40542</v>
      </c>
      <c r="B2704" s="8">
        <f t="shared" si="226"/>
        <v>40542</v>
      </c>
      <c r="C2704" s="9" t="s">
        <v>780</v>
      </c>
      <c r="D2704">
        <v>10021511674</v>
      </c>
      <c r="E2704" t="s">
        <v>47</v>
      </c>
      <c r="F2704" t="s">
        <v>527</v>
      </c>
      <c r="G2704" t="s">
        <v>528</v>
      </c>
      <c r="H2704" t="s">
        <v>2046</v>
      </c>
      <c r="I2704" t="s">
        <v>2047</v>
      </c>
      <c r="J2704" t="s">
        <v>668</v>
      </c>
      <c r="K2704" s="3">
        <v>100432733084</v>
      </c>
      <c r="L2704" s="10">
        <v>40553</v>
      </c>
      <c r="M2704">
        <v>1131.93</v>
      </c>
      <c r="N2704" s="11">
        <v>22</v>
      </c>
      <c r="O2704" s="12">
        <v>55.98</v>
      </c>
      <c r="P2704" s="12">
        <v>4.86</v>
      </c>
      <c r="Q2704" s="13">
        <v>469.69</v>
      </c>
      <c r="R2704" s="36" t="s">
        <v>621</v>
      </c>
      <c r="S2704" s="7">
        <f t="shared" si="225"/>
        <v>11</v>
      </c>
      <c r="T2704" s="15" t="str">
        <f>VLOOKUP(R2704,产品分类!$C$2:$D$1278,2,0)</f>
        <v>数码电子</v>
      </c>
    </row>
    <row r="2705" spans="1:20">
      <c r="A2705" s="8">
        <f t="shared" si="226"/>
        <v>40542</v>
      </c>
      <c r="B2705" s="8">
        <f t="shared" si="226"/>
        <v>40542</v>
      </c>
      <c r="C2705" s="9" t="s">
        <v>780</v>
      </c>
      <c r="D2705">
        <v>10021338970</v>
      </c>
      <c r="E2705" t="s">
        <v>47</v>
      </c>
      <c r="F2705" t="s">
        <v>171</v>
      </c>
      <c r="G2705" t="s">
        <v>172</v>
      </c>
      <c r="H2705" t="s">
        <v>2021</v>
      </c>
      <c r="I2705" t="s">
        <v>2022</v>
      </c>
      <c r="J2705" t="s">
        <v>668</v>
      </c>
      <c r="K2705" s="3">
        <v>100424645054</v>
      </c>
      <c r="L2705" s="10">
        <v>40570</v>
      </c>
      <c r="M2705">
        <v>3238.143</v>
      </c>
      <c r="N2705" s="11">
        <v>35</v>
      </c>
      <c r="O2705" s="12">
        <v>115.99</v>
      </c>
      <c r="P2705" s="12">
        <v>4.23</v>
      </c>
      <c r="Q2705" s="13">
        <v>727.362</v>
      </c>
      <c r="R2705" s="36" t="s">
        <v>221</v>
      </c>
      <c r="S2705" s="7">
        <f t="shared" si="225"/>
        <v>28</v>
      </c>
      <c r="T2705" s="15" t="str">
        <f>VLOOKUP(R2705,产品分类!$C$2:$D$1278,2,0)</f>
        <v>办公用品</v>
      </c>
    </row>
    <row r="2706" spans="1:20">
      <c r="A2706" s="8">
        <f>DATE(2012,12,31)-428</f>
        <v>40846</v>
      </c>
      <c r="B2706" s="8">
        <f>DATE(2012,12,31)-428</f>
        <v>40846</v>
      </c>
      <c r="C2706" s="9" t="s">
        <v>268</v>
      </c>
      <c r="D2706">
        <v>10021259986</v>
      </c>
      <c r="E2706" t="s">
        <v>47</v>
      </c>
      <c r="F2706" t="s">
        <v>171</v>
      </c>
      <c r="G2706" t="s">
        <v>172</v>
      </c>
      <c r="H2706" t="s">
        <v>2021</v>
      </c>
      <c r="I2706" t="s">
        <v>2022</v>
      </c>
      <c r="J2706" t="s">
        <v>668</v>
      </c>
      <c r="K2706" s="3">
        <v>100728236135</v>
      </c>
      <c r="L2706" s="10">
        <v>40850</v>
      </c>
      <c r="M2706">
        <v>66.6</v>
      </c>
      <c r="N2706" s="11">
        <v>26</v>
      </c>
      <c r="O2706" s="12">
        <v>2.62</v>
      </c>
      <c r="P2706" s="12">
        <v>0.8</v>
      </c>
      <c r="Q2706" s="13">
        <v>13.99</v>
      </c>
      <c r="R2706" s="36" t="s">
        <v>960</v>
      </c>
      <c r="S2706" s="7">
        <f t="shared" si="225"/>
        <v>4</v>
      </c>
      <c r="T2706" s="15" t="str">
        <f>VLOOKUP(R2706,产品分类!$C$2:$D$1278,2,0)</f>
        <v>家具产品</v>
      </c>
    </row>
    <row r="2707" spans="1:20">
      <c r="A2707" s="8">
        <f>DATE(2012,12,31)-428</f>
        <v>40846</v>
      </c>
      <c r="B2707" s="8">
        <f>DATE(2012,12,31)-428</f>
        <v>40846</v>
      </c>
      <c r="C2707" s="9" t="s">
        <v>268</v>
      </c>
      <c r="D2707">
        <v>10021279767</v>
      </c>
      <c r="E2707" t="s">
        <v>47</v>
      </c>
      <c r="F2707" t="s">
        <v>171</v>
      </c>
      <c r="G2707" t="s">
        <v>172</v>
      </c>
      <c r="H2707" t="s">
        <v>2021</v>
      </c>
      <c r="I2707" t="s">
        <v>2022</v>
      </c>
      <c r="J2707" t="s">
        <v>668</v>
      </c>
      <c r="K2707" s="3">
        <v>10096668221</v>
      </c>
      <c r="L2707" s="10">
        <v>40846</v>
      </c>
      <c r="M2707">
        <v>312.25</v>
      </c>
      <c r="N2707" s="11">
        <v>9</v>
      </c>
      <c r="O2707" s="12">
        <v>33.89</v>
      </c>
      <c r="P2707" s="12">
        <v>5.1</v>
      </c>
      <c r="Q2707" s="13">
        <v>15.56</v>
      </c>
      <c r="R2707" s="36" t="s">
        <v>2048</v>
      </c>
      <c r="S2707" s="7">
        <f t="shared" si="225"/>
        <v>0</v>
      </c>
      <c r="T2707" s="15" t="str">
        <f>VLOOKUP(R2707,产品分类!$C$2:$D$1278,2,0)</f>
        <v>数码电子</v>
      </c>
    </row>
    <row r="2708" spans="1:20">
      <c r="A2708" s="16">
        <f>DATE(2012,12,31)-675</f>
        <v>40599</v>
      </c>
      <c r="B2708" s="16">
        <f>DATE(2012,12,31)-675</f>
        <v>40599</v>
      </c>
      <c r="C2708" s="9" t="s">
        <v>1172</v>
      </c>
      <c r="D2708">
        <v>10021506470</v>
      </c>
      <c r="E2708" t="s">
        <v>47</v>
      </c>
      <c r="F2708" t="s">
        <v>527</v>
      </c>
      <c r="G2708" t="s">
        <v>528</v>
      </c>
      <c r="H2708" t="s">
        <v>2046</v>
      </c>
      <c r="I2708" t="s">
        <v>2047</v>
      </c>
      <c r="J2708" t="s">
        <v>668</v>
      </c>
      <c r="K2708" s="3">
        <v>100731449135</v>
      </c>
      <c r="L2708" s="10">
        <v>40602</v>
      </c>
      <c r="M2708">
        <v>7.98</v>
      </c>
      <c r="N2708" s="17">
        <v>2</v>
      </c>
      <c r="O2708" s="5">
        <v>3.29</v>
      </c>
      <c r="P2708" s="5">
        <v>1.35</v>
      </c>
      <c r="Q2708" s="6">
        <v>-3.93</v>
      </c>
      <c r="R2708" s="37" t="s">
        <v>908</v>
      </c>
      <c r="S2708" s="7">
        <f t="shared" si="225"/>
        <v>3</v>
      </c>
      <c r="T2708" s="15" t="str">
        <f>VLOOKUP(R2708,产品分类!$C$2:$D$1278,2,0)</f>
        <v>办公用品</v>
      </c>
    </row>
    <row r="2709" spans="1:20">
      <c r="A2709" s="8">
        <f t="shared" ref="A2709:B2711" si="227">DATE(2012,12,31)-991</f>
        <v>40283</v>
      </c>
      <c r="B2709" s="8">
        <f t="shared" si="227"/>
        <v>40283</v>
      </c>
      <c r="C2709" s="9" t="s">
        <v>1528</v>
      </c>
      <c r="D2709">
        <v>10021462363</v>
      </c>
      <c r="E2709" t="s">
        <v>47</v>
      </c>
      <c r="F2709" t="s">
        <v>171</v>
      </c>
      <c r="G2709" t="s">
        <v>172</v>
      </c>
      <c r="H2709" t="s">
        <v>2021</v>
      </c>
      <c r="I2709" t="s">
        <v>2022</v>
      </c>
      <c r="J2709" t="s">
        <v>668</v>
      </c>
      <c r="K2709" s="3">
        <v>100121160398</v>
      </c>
      <c r="L2709" s="10">
        <v>40285</v>
      </c>
      <c r="M2709">
        <v>260.77</v>
      </c>
      <c r="N2709" s="11">
        <v>31</v>
      </c>
      <c r="O2709" s="12">
        <v>8.34</v>
      </c>
      <c r="P2709" s="12">
        <v>4.82</v>
      </c>
      <c r="Q2709" s="13">
        <v>-8.75</v>
      </c>
      <c r="R2709" s="36" t="s">
        <v>548</v>
      </c>
      <c r="S2709" s="7">
        <f t="shared" si="225"/>
        <v>2</v>
      </c>
      <c r="T2709" s="15" t="str">
        <f>VLOOKUP(R2709,产品分类!$C$2:$D$1278,2,0)</f>
        <v>办公用品</v>
      </c>
    </row>
    <row r="2710" spans="1:20">
      <c r="A2710" s="8">
        <f t="shared" si="227"/>
        <v>40283</v>
      </c>
      <c r="B2710" s="8">
        <f t="shared" si="227"/>
        <v>40283</v>
      </c>
      <c r="C2710" s="9" t="s">
        <v>1528</v>
      </c>
      <c r="D2710">
        <v>10021265678</v>
      </c>
      <c r="E2710" t="s">
        <v>47</v>
      </c>
      <c r="F2710" t="s">
        <v>527</v>
      </c>
      <c r="G2710" t="s">
        <v>528</v>
      </c>
      <c r="H2710" t="s">
        <v>2046</v>
      </c>
      <c r="I2710" t="s">
        <v>2047</v>
      </c>
      <c r="J2710" t="s">
        <v>668</v>
      </c>
      <c r="K2710" s="3">
        <v>100931532411</v>
      </c>
      <c r="L2710" s="10">
        <v>40284</v>
      </c>
      <c r="M2710">
        <v>2445.212</v>
      </c>
      <c r="N2710" s="11">
        <v>18</v>
      </c>
      <c r="O2710" s="12">
        <v>155.99</v>
      </c>
      <c r="P2710" s="12">
        <v>8.99</v>
      </c>
      <c r="Q2710" s="13">
        <v>275.769</v>
      </c>
      <c r="R2710" s="36" t="s">
        <v>87</v>
      </c>
      <c r="S2710" s="7">
        <f t="shared" si="225"/>
        <v>1</v>
      </c>
      <c r="T2710" s="15" t="str">
        <f>VLOOKUP(R2710,产品分类!$C$2:$D$1278,2,0)</f>
        <v>办公用品</v>
      </c>
    </row>
    <row r="2711" spans="1:20">
      <c r="A2711" s="8">
        <f t="shared" si="227"/>
        <v>40283</v>
      </c>
      <c r="B2711" s="8">
        <f t="shared" si="227"/>
        <v>40283</v>
      </c>
      <c r="C2711" s="9" t="s">
        <v>1528</v>
      </c>
      <c r="D2711">
        <v>10021500708</v>
      </c>
      <c r="E2711" t="s">
        <v>47</v>
      </c>
      <c r="F2711" t="s">
        <v>177</v>
      </c>
      <c r="G2711" t="s">
        <v>178</v>
      </c>
      <c r="H2711" t="s">
        <v>1292</v>
      </c>
      <c r="I2711" t="s">
        <v>1293</v>
      </c>
      <c r="J2711" t="s">
        <v>668</v>
      </c>
      <c r="K2711" s="3">
        <v>100826444712</v>
      </c>
      <c r="L2711" s="10">
        <v>40286</v>
      </c>
      <c r="M2711">
        <v>1032.0275</v>
      </c>
      <c r="N2711" s="11">
        <v>14</v>
      </c>
      <c r="O2711" s="12">
        <v>85.99</v>
      </c>
      <c r="P2711" s="12">
        <v>0.99</v>
      </c>
      <c r="Q2711" s="13">
        <v>97.398</v>
      </c>
      <c r="R2711" s="36" t="s">
        <v>1684</v>
      </c>
      <c r="S2711" s="7">
        <f t="shared" si="225"/>
        <v>3</v>
      </c>
      <c r="T2711" s="15" t="str">
        <f>VLOOKUP(R2711,产品分类!$C$2:$D$1278,2,0)</f>
        <v>办公用品</v>
      </c>
    </row>
    <row r="2712" spans="1:20">
      <c r="A2712" s="8">
        <f>DATE(2012,12,31)-1355</f>
        <v>39919</v>
      </c>
      <c r="B2712" s="8">
        <f>DATE(2012,12,31)-1355</f>
        <v>39919</v>
      </c>
      <c r="C2712" s="9" t="s">
        <v>151</v>
      </c>
      <c r="D2712">
        <v>10021422718</v>
      </c>
      <c r="E2712" t="s">
        <v>47</v>
      </c>
      <c r="F2712" t="s">
        <v>177</v>
      </c>
      <c r="G2712" t="s">
        <v>178</v>
      </c>
      <c r="H2712" t="s">
        <v>1292</v>
      </c>
      <c r="I2712" t="s">
        <v>1293</v>
      </c>
      <c r="J2712" t="s">
        <v>668</v>
      </c>
      <c r="K2712" s="3">
        <v>100127199417</v>
      </c>
      <c r="L2712" s="10">
        <v>39920</v>
      </c>
      <c r="M2712">
        <v>14535.8</v>
      </c>
      <c r="N2712" s="11">
        <v>6</v>
      </c>
      <c r="O2712" s="12">
        <v>2550.14</v>
      </c>
      <c r="P2712" s="12">
        <v>29.7</v>
      </c>
      <c r="Q2712" s="13">
        <v>-3971.0628</v>
      </c>
      <c r="R2712" s="36" t="s">
        <v>769</v>
      </c>
      <c r="S2712" s="7">
        <f t="shared" si="225"/>
        <v>1</v>
      </c>
      <c r="T2712" s="15" t="str">
        <f>VLOOKUP(R2712,产品分类!$C$2:$D$1278,2,0)</f>
        <v>办公用品</v>
      </c>
    </row>
    <row r="2713" spans="1:20">
      <c r="A2713" s="8">
        <f>DATE(2012,12,31)-60</f>
        <v>41214</v>
      </c>
      <c r="B2713" s="8">
        <f>DATE(2012,12,31)-60</f>
        <v>41214</v>
      </c>
      <c r="C2713" s="9" t="s">
        <v>1407</v>
      </c>
      <c r="D2713">
        <v>10021426357</v>
      </c>
      <c r="E2713" t="s">
        <v>47</v>
      </c>
      <c r="F2713" t="s">
        <v>177</v>
      </c>
      <c r="G2713" t="s">
        <v>178</v>
      </c>
      <c r="H2713" t="s">
        <v>1292</v>
      </c>
      <c r="I2713" t="s">
        <v>1293</v>
      </c>
      <c r="J2713" t="s">
        <v>668</v>
      </c>
      <c r="K2713" s="3">
        <v>100130086517</v>
      </c>
      <c r="L2713" s="10">
        <v>41216</v>
      </c>
      <c r="M2713">
        <v>70.63</v>
      </c>
      <c r="N2713" s="11">
        <v>36</v>
      </c>
      <c r="O2713" s="12">
        <v>2.08</v>
      </c>
      <c r="P2713" s="12">
        <v>2.56</v>
      </c>
      <c r="Q2713" s="13">
        <v>-66.87</v>
      </c>
      <c r="R2713" s="36" t="s">
        <v>59</v>
      </c>
      <c r="S2713" s="7">
        <f t="shared" si="225"/>
        <v>2</v>
      </c>
      <c r="T2713" s="15" t="str">
        <f>VLOOKUP(R2713,产品分类!$C$2:$D$1278,2,0)</f>
        <v>数码电子</v>
      </c>
    </row>
    <row r="2714" spans="1:20">
      <c r="A2714" s="16">
        <f>DATE(2012,12,31)-375</f>
        <v>40899</v>
      </c>
      <c r="B2714" s="16">
        <f>DATE(2012,12,31)-375</f>
        <v>40899</v>
      </c>
      <c r="C2714" s="9" t="s">
        <v>1809</v>
      </c>
      <c r="D2714">
        <v>10021253094</v>
      </c>
      <c r="E2714" t="s">
        <v>47</v>
      </c>
      <c r="F2714" t="s">
        <v>177</v>
      </c>
      <c r="G2714" t="s">
        <v>178</v>
      </c>
      <c r="H2714" t="s">
        <v>1292</v>
      </c>
      <c r="I2714" t="s">
        <v>1293</v>
      </c>
      <c r="J2714" t="s">
        <v>668</v>
      </c>
      <c r="K2714" s="3">
        <v>100417776624</v>
      </c>
      <c r="L2714" s="10">
        <v>40900</v>
      </c>
      <c r="M2714">
        <v>92.31</v>
      </c>
      <c r="N2714" s="17">
        <v>3</v>
      </c>
      <c r="O2714" s="5">
        <v>28.15</v>
      </c>
      <c r="P2714" s="5">
        <v>6.17</v>
      </c>
      <c r="Q2714" s="6">
        <v>-28.95</v>
      </c>
      <c r="R2714" s="37" t="s">
        <v>645</v>
      </c>
      <c r="S2714" s="7">
        <f t="shared" si="225"/>
        <v>1</v>
      </c>
      <c r="T2714" s="15" t="str">
        <f>VLOOKUP(R2714,产品分类!$C$2:$D$1278,2,0)</f>
        <v>数码电子</v>
      </c>
    </row>
    <row r="2715" spans="1:20">
      <c r="A2715" s="16">
        <f>DATE(2012,12,31)-375</f>
        <v>40899</v>
      </c>
      <c r="B2715" s="16">
        <f>DATE(2012,12,31)-375</f>
        <v>40899</v>
      </c>
      <c r="C2715" s="9" t="s">
        <v>1809</v>
      </c>
      <c r="D2715">
        <v>10021253330</v>
      </c>
      <c r="E2715" t="s">
        <v>47</v>
      </c>
      <c r="F2715" t="s">
        <v>342</v>
      </c>
      <c r="G2715" t="s">
        <v>343</v>
      </c>
      <c r="H2715" t="s">
        <v>1806</v>
      </c>
      <c r="I2715" t="s">
        <v>1807</v>
      </c>
      <c r="J2715" t="s">
        <v>668</v>
      </c>
      <c r="K2715" s="3">
        <v>100318725809</v>
      </c>
      <c r="L2715" s="10">
        <v>40900</v>
      </c>
      <c r="M2715">
        <v>116.94</v>
      </c>
      <c r="N2715" s="17">
        <v>42</v>
      </c>
      <c r="O2715" s="5">
        <v>2.78</v>
      </c>
      <c r="P2715" s="5">
        <v>1.25</v>
      </c>
      <c r="Q2715" s="6">
        <v>-10.01</v>
      </c>
      <c r="R2715" s="37" t="s">
        <v>863</v>
      </c>
      <c r="S2715" s="7">
        <f t="shared" si="225"/>
        <v>1</v>
      </c>
      <c r="T2715" s="15" t="str">
        <f>VLOOKUP(R2715,产品分类!$C$2:$D$1278,2,0)</f>
        <v>办公用品</v>
      </c>
    </row>
    <row r="2716" spans="1:20">
      <c r="A2716" s="8">
        <f>DATE(2012,12,31)-346</f>
        <v>40928</v>
      </c>
      <c r="B2716" s="8">
        <f>DATE(2012,12,31)-346</f>
        <v>40928</v>
      </c>
      <c r="C2716" s="9" t="s">
        <v>948</v>
      </c>
      <c r="D2716">
        <v>10021497079</v>
      </c>
      <c r="E2716" t="s">
        <v>47</v>
      </c>
      <c r="F2716" t="s">
        <v>342</v>
      </c>
      <c r="G2716" t="s">
        <v>343</v>
      </c>
      <c r="H2716" t="s">
        <v>1806</v>
      </c>
      <c r="I2716" t="s">
        <v>1807</v>
      </c>
      <c r="J2716" t="s">
        <v>668</v>
      </c>
      <c r="K2716" s="3">
        <v>100116625398</v>
      </c>
      <c r="L2716" s="10">
        <v>40930</v>
      </c>
      <c r="M2716">
        <v>952.47</v>
      </c>
      <c r="N2716" s="11">
        <v>38</v>
      </c>
      <c r="O2716" s="12">
        <v>23.99</v>
      </c>
      <c r="P2716" s="12">
        <v>6.3</v>
      </c>
      <c r="Q2716" s="13">
        <v>270.69</v>
      </c>
      <c r="R2716" s="36" t="s">
        <v>1267</v>
      </c>
      <c r="S2716" s="7">
        <f t="shared" si="225"/>
        <v>2</v>
      </c>
      <c r="T2716" s="15" t="str">
        <f>VLOOKUP(R2716,产品分类!$C$2:$D$1278,2,0)</f>
        <v>数码电子</v>
      </c>
    </row>
    <row r="2717" spans="1:20">
      <c r="A2717" s="8">
        <f>DATE(2012,12,31)-346</f>
        <v>40928</v>
      </c>
      <c r="B2717" s="8">
        <f>DATE(2012,12,31)-346</f>
        <v>40928</v>
      </c>
      <c r="C2717" s="9" t="s">
        <v>948</v>
      </c>
      <c r="D2717">
        <v>10021505912</v>
      </c>
      <c r="E2717" t="s">
        <v>47</v>
      </c>
      <c r="F2717" t="s">
        <v>61</v>
      </c>
      <c r="G2717" t="s">
        <v>62</v>
      </c>
      <c r="H2717" t="s">
        <v>47</v>
      </c>
      <c r="I2717" t="s">
        <v>1778</v>
      </c>
      <c r="J2717" t="s">
        <v>668</v>
      </c>
      <c r="K2717" s="3">
        <v>100131148986</v>
      </c>
      <c r="L2717" s="10">
        <v>40928</v>
      </c>
      <c r="M2717">
        <v>171.9635</v>
      </c>
      <c r="N2717" s="11">
        <v>3</v>
      </c>
      <c r="O2717" s="12">
        <v>65.99</v>
      </c>
      <c r="P2717" s="12">
        <v>8.99</v>
      </c>
      <c r="Q2717" s="13">
        <v>-296.373</v>
      </c>
      <c r="R2717" s="36" t="s">
        <v>1486</v>
      </c>
      <c r="S2717" s="7">
        <f t="shared" si="225"/>
        <v>0</v>
      </c>
      <c r="T2717" s="15" t="str">
        <f>VLOOKUP(R2717,产品分类!$C$2:$D$1278,2,0)</f>
        <v>办公用品</v>
      </c>
    </row>
    <row r="2718" spans="1:20">
      <c r="A2718" s="8">
        <f>DATE(2012,12,31)-481</f>
        <v>40793</v>
      </c>
      <c r="B2718" s="8">
        <f>DATE(2012,12,31)-481</f>
        <v>40793</v>
      </c>
      <c r="C2718" s="9" t="s">
        <v>1404</v>
      </c>
      <c r="D2718">
        <v>10021483668</v>
      </c>
      <c r="E2718" t="s">
        <v>47</v>
      </c>
      <c r="F2718" t="s">
        <v>253</v>
      </c>
      <c r="G2718" t="s">
        <v>254</v>
      </c>
      <c r="H2718" t="s">
        <v>1998</v>
      </c>
      <c r="I2718" t="s">
        <v>1999</v>
      </c>
      <c r="J2718" t="s">
        <v>668</v>
      </c>
      <c r="K2718" s="3">
        <v>100325949939</v>
      </c>
      <c r="L2718" s="10">
        <v>40794</v>
      </c>
      <c r="M2718">
        <v>67.03</v>
      </c>
      <c r="N2718" s="11">
        <v>20</v>
      </c>
      <c r="O2718" s="12">
        <v>3.14</v>
      </c>
      <c r="P2718" s="12">
        <v>1.92</v>
      </c>
      <c r="Q2718" s="13">
        <v>-30.4</v>
      </c>
      <c r="R2718" s="36" t="s">
        <v>157</v>
      </c>
      <c r="S2718" s="7">
        <f t="shared" si="225"/>
        <v>1</v>
      </c>
      <c r="T2718" s="15" t="str">
        <f>VLOOKUP(R2718,产品分类!$C$2:$D$1278,2,0)</f>
        <v>数码电子</v>
      </c>
    </row>
    <row r="2719" spans="1:20">
      <c r="A2719" s="8">
        <f>DATE(2012,12,31)-481</f>
        <v>40793</v>
      </c>
      <c r="B2719" s="8">
        <f>DATE(2012,12,31)-481</f>
        <v>40793</v>
      </c>
      <c r="C2719" s="9" t="s">
        <v>1404</v>
      </c>
      <c r="D2719">
        <v>10021445438</v>
      </c>
      <c r="E2719" t="s">
        <v>47</v>
      </c>
      <c r="F2719" t="s">
        <v>61</v>
      </c>
      <c r="G2719" t="s">
        <v>62</v>
      </c>
      <c r="H2719" t="s">
        <v>47</v>
      </c>
      <c r="I2719" t="s">
        <v>1778</v>
      </c>
      <c r="J2719" t="s">
        <v>668</v>
      </c>
      <c r="K2719" s="3">
        <v>100713210085</v>
      </c>
      <c r="L2719" s="10">
        <v>40794</v>
      </c>
      <c r="M2719">
        <v>140.82</v>
      </c>
      <c r="N2719" s="11">
        <v>15</v>
      </c>
      <c r="O2719" s="12">
        <v>7.98</v>
      </c>
      <c r="P2719" s="12">
        <v>6.5</v>
      </c>
      <c r="Q2719" s="13">
        <v>-43.26</v>
      </c>
      <c r="R2719" s="36" t="s">
        <v>1029</v>
      </c>
      <c r="S2719" s="7">
        <f t="shared" si="225"/>
        <v>1</v>
      </c>
      <c r="T2719" s="15" t="str">
        <f>VLOOKUP(R2719,产品分类!$C$2:$D$1278,2,0)</f>
        <v>家具产品</v>
      </c>
    </row>
    <row r="2720" spans="1:20">
      <c r="A2720" s="8">
        <f>DATE(2012,12,31)-607</f>
        <v>40667</v>
      </c>
      <c r="B2720" s="8">
        <f>DATE(2012,12,31)-607</f>
        <v>40667</v>
      </c>
      <c r="C2720" s="9" t="s">
        <v>466</v>
      </c>
      <c r="D2720">
        <v>10021403218</v>
      </c>
      <c r="E2720" t="s">
        <v>47</v>
      </c>
      <c r="F2720" t="s">
        <v>61</v>
      </c>
      <c r="G2720" t="s">
        <v>62</v>
      </c>
      <c r="H2720" t="s">
        <v>47</v>
      </c>
      <c r="I2720" t="s">
        <v>1778</v>
      </c>
      <c r="J2720" t="s">
        <v>668</v>
      </c>
      <c r="K2720" s="3">
        <v>100314221659</v>
      </c>
      <c r="L2720" s="10">
        <v>40669</v>
      </c>
      <c r="M2720">
        <v>375.74</v>
      </c>
      <c r="N2720" s="11">
        <v>25</v>
      </c>
      <c r="O2720" s="12">
        <v>14.42</v>
      </c>
      <c r="P2720" s="12">
        <v>6.75</v>
      </c>
      <c r="Q2720" s="13">
        <v>-9.31</v>
      </c>
      <c r="R2720" s="36" t="s">
        <v>441</v>
      </c>
      <c r="S2720" s="7">
        <f t="shared" si="225"/>
        <v>2</v>
      </c>
      <c r="T2720" s="15" t="str">
        <f>VLOOKUP(R2720,产品分类!$C$2:$D$1278,2,0)</f>
        <v>办公用品</v>
      </c>
    </row>
    <row r="2721" spans="1:20">
      <c r="A2721" s="8">
        <f>DATE(2012,12,31)-607</f>
        <v>40667</v>
      </c>
      <c r="B2721" s="8">
        <f>DATE(2012,12,31)-607</f>
        <v>40667</v>
      </c>
      <c r="C2721" s="9" t="s">
        <v>466</v>
      </c>
      <c r="D2721">
        <v>10021499277</v>
      </c>
      <c r="E2721" t="s">
        <v>47</v>
      </c>
      <c r="F2721" t="s">
        <v>61</v>
      </c>
      <c r="G2721" t="s">
        <v>62</v>
      </c>
      <c r="H2721" t="s">
        <v>47</v>
      </c>
      <c r="I2721" t="s">
        <v>1778</v>
      </c>
      <c r="J2721" t="s">
        <v>668</v>
      </c>
      <c r="K2721" s="3">
        <v>100119533027</v>
      </c>
      <c r="L2721" s="10">
        <v>40668</v>
      </c>
      <c r="M2721">
        <v>1095.11</v>
      </c>
      <c r="N2721" s="11">
        <v>36</v>
      </c>
      <c r="O2721" s="12">
        <v>31.76</v>
      </c>
      <c r="P2721" s="12">
        <v>45.51</v>
      </c>
      <c r="Q2721" s="13">
        <v>-1286.43</v>
      </c>
      <c r="R2721" s="36" t="s">
        <v>576</v>
      </c>
      <c r="S2721" s="7">
        <f t="shared" si="225"/>
        <v>1</v>
      </c>
      <c r="T2721" s="15" t="str">
        <f>VLOOKUP(R2721,产品分类!$C$2:$D$1278,2,0)</f>
        <v>办公用品</v>
      </c>
    </row>
    <row r="2722" spans="1:20">
      <c r="A2722" s="8">
        <f>DATE(2012,12,31)-212</f>
        <v>41062</v>
      </c>
      <c r="B2722" s="8">
        <f>DATE(2012,12,31)-212</f>
        <v>41062</v>
      </c>
      <c r="C2722" s="9" t="s">
        <v>1415</v>
      </c>
      <c r="D2722">
        <v>10021509460</v>
      </c>
      <c r="E2722" t="s">
        <v>47</v>
      </c>
      <c r="F2722" t="s">
        <v>253</v>
      </c>
      <c r="G2722" t="s">
        <v>254</v>
      </c>
      <c r="H2722" t="s">
        <v>1998</v>
      </c>
      <c r="I2722" t="s">
        <v>1999</v>
      </c>
      <c r="J2722" t="s">
        <v>668</v>
      </c>
      <c r="K2722" s="3">
        <v>100132368648</v>
      </c>
      <c r="L2722" s="10">
        <v>41063</v>
      </c>
      <c r="M2722">
        <v>2711.14</v>
      </c>
      <c r="N2722" s="11">
        <v>28</v>
      </c>
      <c r="O2722" s="12">
        <v>89.99</v>
      </c>
      <c r="P2722" s="12">
        <v>42</v>
      </c>
      <c r="Q2722" s="13">
        <v>-307.86</v>
      </c>
      <c r="R2722" s="36" t="s">
        <v>891</v>
      </c>
      <c r="S2722" s="7">
        <f t="shared" si="225"/>
        <v>1</v>
      </c>
      <c r="T2722" s="15" t="str">
        <f>VLOOKUP(R2722,产品分类!$C$2:$D$1278,2,0)</f>
        <v>家具产品</v>
      </c>
    </row>
    <row r="2723" spans="1:20">
      <c r="A2723" s="8">
        <f>DATE(2012,12,31)-212</f>
        <v>41062</v>
      </c>
      <c r="B2723" s="8">
        <f>DATE(2012,12,31)-212</f>
        <v>41062</v>
      </c>
      <c r="C2723" s="9" t="s">
        <v>1415</v>
      </c>
      <c r="D2723">
        <v>10021511682</v>
      </c>
      <c r="E2723" t="s">
        <v>47</v>
      </c>
      <c r="F2723" t="s">
        <v>61</v>
      </c>
      <c r="G2723" t="s">
        <v>62</v>
      </c>
      <c r="H2723" t="s">
        <v>47</v>
      </c>
      <c r="I2723" t="s">
        <v>1778</v>
      </c>
      <c r="J2723" t="s">
        <v>668</v>
      </c>
      <c r="K2723" s="3">
        <v>100332733499</v>
      </c>
      <c r="L2723" s="10">
        <v>41064</v>
      </c>
      <c r="M2723">
        <v>1829.8715</v>
      </c>
      <c r="N2723" s="11">
        <v>34</v>
      </c>
      <c r="O2723" s="12">
        <v>65.99</v>
      </c>
      <c r="P2723" s="12">
        <v>3.99</v>
      </c>
      <c r="Q2723" s="13">
        <v>367.461</v>
      </c>
      <c r="R2723" s="36" t="s">
        <v>1876</v>
      </c>
      <c r="S2723" s="7">
        <f t="shared" si="225"/>
        <v>2</v>
      </c>
      <c r="T2723" s="15" t="str">
        <f>VLOOKUP(R2723,产品分类!$C$2:$D$1278,2,0)</f>
        <v>家具产品</v>
      </c>
    </row>
    <row r="2724" spans="1:20">
      <c r="A2724" s="8">
        <f>DATE(2012,12,31)-111</f>
        <v>41163</v>
      </c>
      <c r="B2724" s="8">
        <f>DATE(2012,12,31)-111</f>
        <v>41163</v>
      </c>
      <c r="C2724" s="9" t="s">
        <v>369</v>
      </c>
      <c r="D2724">
        <v>10021255616</v>
      </c>
      <c r="E2724" t="s">
        <v>47</v>
      </c>
      <c r="F2724" t="s">
        <v>253</v>
      </c>
      <c r="G2724" t="s">
        <v>254</v>
      </c>
      <c r="H2724" t="s">
        <v>1998</v>
      </c>
      <c r="I2724" t="s">
        <v>1999</v>
      </c>
      <c r="J2724" t="s">
        <v>668</v>
      </c>
      <c r="K2724" s="3">
        <v>100924328191</v>
      </c>
      <c r="L2724" s="10">
        <v>41163</v>
      </c>
      <c r="M2724">
        <v>125.46</v>
      </c>
      <c r="N2724" s="11">
        <v>34</v>
      </c>
      <c r="O2724" s="12">
        <v>3.58</v>
      </c>
      <c r="P2724" s="12">
        <v>5.47</v>
      </c>
      <c r="Q2724" s="13">
        <v>-129.628</v>
      </c>
      <c r="R2724" s="36" t="s">
        <v>320</v>
      </c>
      <c r="S2724" s="7">
        <f t="shared" si="225"/>
        <v>0</v>
      </c>
      <c r="T2724" s="15" t="str">
        <f>VLOOKUP(R2724,产品分类!$C$2:$D$1278,2,0)</f>
        <v>办公用品</v>
      </c>
    </row>
    <row r="2725" spans="1:20">
      <c r="A2725" s="8">
        <f>DATE(2012,12,31)-722</f>
        <v>40552</v>
      </c>
      <c r="B2725" s="8">
        <f>DATE(2012,12,31)-722</f>
        <v>40552</v>
      </c>
      <c r="C2725" s="9" t="s">
        <v>2049</v>
      </c>
      <c r="D2725">
        <v>10021465954</v>
      </c>
      <c r="E2725" t="s">
        <v>47</v>
      </c>
      <c r="F2725" t="s">
        <v>253</v>
      </c>
      <c r="G2725" t="s">
        <v>254</v>
      </c>
      <c r="H2725" t="s">
        <v>1998</v>
      </c>
      <c r="I2725" t="s">
        <v>1999</v>
      </c>
      <c r="J2725" t="s">
        <v>668</v>
      </c>
      <c r="K2725" s="3">
        <v>100828954462</v>
      </c>
      <c r="L2725" s="10">
        <v>40552</v>
      </c>
      <c r="M2725">
        <v>381.69</v>
      </c>
      <c r="N2725" s="11">
        <v>8</v>
      </c>
      <c r="O2725" s="12">
        <v>46.94</v>
      </c>
      <c r="P2725" s="12">
        <v>6.77</v>
      </c>
      <c r="Q2725" s="13">
        <v>256.18</v>
      </c>
      <c r="R2725" s="36" t="s">
        <v>1507</v>
      </c>
      <c r="S2725" s="7">
        <f t="shared" si="225"/>
        <v>0</v>
      </c>
      <c r="T2725" s="15" t="str">
        <f>VLOOKUP(R2725,产品分类!$C$2:$D$1278,2,0)</f>
        <v>办公用品</v>
      </c>
    </row>
    <row r="2726" spans="1:20">
      <c r="A2726" s="8">
        <f>DATE(2012,12,31)-1450</f>
        <v>39824</v>
      </c>
      <c r="B2726" s="8">
        <f>DATE(2012,12,31)-1450</f>
        <v>39824</v>
      </c>
      <c r="C2726" s="9" t="s">
        <v>693</v>
      </c>
      <c r="D2726">
        <v>10021500433</v>
      </c>
      <c r="E2726" t="s">
        <v>47</v>
      </c>
      <c r="F2726" t="s">
        <v>61</v>
      </c>
      <c r="G2726" t="s">
        <v>62</v>
      </c>
      <c r="H2726" t="s">
        <v>47</v>
      </c>
      <c r="I2726" t="s">
        <v>1778</v>
      </c>
      <c r="J2726" t="s">
        <v>668</v>
      </c>
      <c r="K2726" s="3">
        <v>100125904226</v>
      </c>
      <c r="L2726" s="10">
        <v>39825</v>
      </c>
      <c r="M2726">
        <v>1143.45</v>
      </c>
      <c r="N2726" s="11">
        <v>31</v>
      </c>
      <c r="O2726" s="12">
        <v>39.24</v>
      </c>
      <c r="P2726" s="12">
        <v>1.99</v>
      </c>
      <c r="Q2726" s="13">
        <v>304.42</v>
      </c>
      <c r="R2726" s="36" t="s">
        <v>2050</v>
      </c>
      <c r="S2726" s="7">
        <f t="shared" si="225"/>
        <v>1</v>
      </c>
      <c r="T2726" s="15" t="str">
        <f>VLOOKUP(R2726,产品分类!$C$2:$D$1278,2,0)</f>
        <v>家具产品</v>
      </c>
    </row>
    <row r="2727" spans="1:20">
      <c r="A2727" s="8">
        <f>DATE(2012,12,31)-869</f>
        <v>40405</v>
      </c>
      <c r="B2727" s="8">
        <f>DATE(2012,12,31)-869</f>
        <v>40405</v>
      </c>
      <c r="C2727" s="9" t="s">
        <v>693</v>
      </c>
      <c r="D2727">
        <v>10021495930</v>
      </c>
      <c r="E2727" t="s">
        <v>47</v>
      </c>
      <c r="F2727" t="s">
        <v>61</v>
      </c>
      <c r="G2727" t="s">
        <v>62</v>
      </c>
      <c r="H2727" t="s">
        <v>47</v>
      </c>
      <c r="I2727" t="s">
        <v>1778</v>
      </c>
      <c r="J2727" t="s">
        <v>668</v>
      </c>
      <c r="K2727" s="3">
        <v>100314467549</v>
      </c>
      <c r="L2727" s="10">
        <v>40405</v>
      </c>
      <c r="M2727">
        <v>42.31</v>
      </c>
      <c r="N2727" s="11">
        <v>2</v>
      </c>
      <c r="O2727" s="12">
        <v>17.98</v>
      </c>
      <c r="P2727" s="12">
        <v>8.51</v>
      </c>
      <c r="Q2727" s="13">
        <v>-53.0787</v>
      </c>
      <c r="R2727" s="36" t="s">
        <v>1430</v>
      </c>
      <c r="S2727" s="7">
        <f t="shared" si="225"/>
        <v>0</v>
      </c>
      <c r="T2727" s="15" t="str">
        <f>VLOOKUP(R2727,产品分类!$C$2:$D$1278,2,0)</f>
        <v>办公用品</v>
      </c>
    </row>
    <row r="2728" spans="1:20">
      <c r="A2728" s="8">
        <f>DATE(2012,12,31)-869</f>
        <v>40405</v>
      </c>
      <c r="B2728" s="8">
        <f>DATE(2012,12,31)-869</f>
        <v>40405</v>
      </c>
      <c r="C2728" s="9" t="s">
        <v>693</v>
      </c>
      <c r="D2728">
        <v>10021530076</v>
      </c>
      <c r="E2728" t="s">
        <v>47</v>
      </c>
      <c r="F2728" t="s">
        <v>61</v>
      </c>
      <c r="G2728" t="s">
        <v>62</v>
      </c>
      <c r="H2728" t="s">
        <v>47</v>
      </c>
      <c r="I2728" t="s">
        <v>1778</v>
      </c>
      <c r="J2728" t="s">
        <v>668</v>
      </c>
      <c r="K2728" s="3">
        <v>100129865758</v>
      </c>
      <c r="L2728" s="10">
        <v>40407</v>
      </c>
      <c r="M2728">
        <v>152.67</v>
      </c>
      <c r="N2728" s="11">
        <v>11</v>
      </c>
      <c r="O2728" s="12">
        <v>12.95</v>
      </c>
      <c r="P2728" s="12">
        <v>4.98</v>
      </c>
      <c r="Q2728" s="13">
        <v>12.7585</v>
      </c>
      <c r="R2728" s="36" t="s">
        <v>312</v>
      </c>
      <c r="S2728" s="7">
        <f t="shared" si="225"/>
        <v>2</v>
      </c>
      <c r="T2728" s="15" t="str">
        <f>VLOOKUP(R2728,产品分类!$C$2:$D$1278,2,0)</f>
        <v>数码电子</v>
      </c>
    </row>
    <row r="2729" spans="1:20">
      <c r="A2729" s="8">
        <f>DATE(2012,12,31)-871</f>
        <v>40403</v>
      </c>
      <c r="B2729" s="8">
        <f>DATE(2012,12,31)-871</f>
        <v>40403</v>
      </c>
      <c r="C2729" s="9" t="s">
        <v>1753</v>
      </c>
      <c r="D2729">
        <v>10021451525</v>
      </c>
      <c r="E2729" t="s">
        <v>47</v>
      </c>
      <c r="F2729" t="s">
        <v>61</v>
      </c>
      <c r="G2729" t="s">
        <v>62</v>
      </c>
      <c r="H2729" t="s">
        <v>47</v>
      </c>
      <c r="I2729" t="s">
        <v>1778</v>
      </c>
      <c r="J2729" t="s">
        <v>668</v>
      </c>
      <c r="K2729" s="3">
        <v>100730367335</v>
      </c>
      <c r="L2729" s="10">
        <v>40404</v>
      </c>
      <c r="M2729">
        <v>47.99</v>
      </c>
      <c r="N2729" s="11">
        <v>33</v>
      </c>
      <c r="O2729" s="12">
        <v>1.48</v>
      </c>
      <c r="P2729" s="12">
        <v>0.7</v>
      </c>
      <c r="Q2729" s="13">
        <v>3.86</v>
      </c>
      <c r="R2729" s="36" t="s">
        <v>1220</v>
      </c>
      <c r="S2729" s="7">
        <f t="shared" si="225"/>
        <v>1</v>
      </c>
      <c r="T2729" s="15" t="str">
        <f>VLOOKUP(R2729,产品分类!$C$2:$D$1278,2,0)</f>
        <v>家具产品</v>
      </c>
    </row>
    <row r="2730" spans="1:20">
      <c r="A2730" s="8">
        <f>DATE(2012,12,31)-871</f>
        <v>40403</v>
      </c>
      <c r="B2730" s="8">
        <f>DATE(2012,12,31)-871</f>
        <v>40403</v>
      </c>
      <c r="C2730" s="9" t="s">
        <v>1753</v>
      </c>
      <c r="D2730">
        <v>10021421779</v>
      </c>
      <c r="E2730" t="s">
        <v>47</v>
      </c>
      <c r="F2730" t="s">
        <v>61</v>
      </c>
      <c r="G2730" t="s">
        <v>62</v>
      </c>
      <c r="H2730" t="s">
        <v>47</v>
      </c>
      <c r="I2730" t="s">
        <v>1778</v>
      </c>
      <c r="J2730" t="s">
        <v>668</v>
      </c>
      <c r="K2730" s="3">
        <v>100826236542</v>
      </c>
      <c r="L2730" s="10">
        <v>40405</v>
      </c>
      <c r="M2730">
        <v>829.617</v>
      </c>
      <c r="N2730" s="11">
        <v>23</v>
      </c>
      <c r="O2730" s="12">
        <v>45.99</v>
      </c>
      <c r="P2730" s="12">
        <v>4.99</v>
      </c>
      <c r="Q2730" s="13">
        <v>25.533</v>
      </c>
      <c r="R2730" s="36" t="s">
        <v>1623</v>
      </c>
      <c r="S2730" s="7">
        <f t="shared" si="225"/>
        <v>2</v>
      </c>
      <c r="T2730" s="15" t="str">
        <f>VLOOKUP(R2730,产品分类!$C$2:$D$1278,2,0)</f>
        <v>办公用品</v>
      </c>
    </row>
    <row r="2731" spans="1:20">
      <c r="A2731" s="8">
        <f>DATE(2012,12,31)-1189</f>
        <v>40085</v>
      </c>
      <c r="B2731" s="8">
        <f>DATE(2012,12,31)-1189</f>
        <v>40085</v>
      </c>
      <c r="C2731" s="9" t="s">
        <v>2051</v>
      </c>
      <c r="D2731">
        <v>10021278004</v>
      </c>
      <c r="E2731" t="s">
        <v>47</v>
      </c>
      <c r="F2731" t="s">
        <v>230</v>
      </c>
      <c r="G2731" t="s">
        <v>231</v>
      </c>
      <c r="H2731" t="s">
        <v>1798</v>
      </c>
      <c r="I2731" t="s">
        <v>1799</v>
      </c>
      <c r="J2731" t="s">
        <v>668</v>
      </c>
      <c r="K2731" s="3">
        <v>100832777932</v>
      </c>
      <c r="L2731" s="10">
        <v>40092</v>
      </c>
      <c r="M2731">
        <v>616.1055</v>
      </c>
      <c r="N2731" s="11">
        <v>5</v>
      </c>
      <c r="O2731" s="12">
        <v>140.99</v>
      </c>
      <c r="P2731" s="12">
        <v>4.2</v>
      </c>
      <c r="Q2731" s="13">
        <v>-458.744</v>
      </c>
      <c r="R2731" s="36" t="s">
        <v>198</v>
      </c>
      <c r="S2731" s="7">
        <f t="shared" si="225"/>
        <v>7</v>
      </c>
      <c r="T2731" s="15" t="str">
        <f>VLOOKUP(R2731,产品分类!$C$2:$D$1278,2,0)</f>
        <v>数码电子</v>
      </c>
    </row>
    <row r="2732" spans="1:20">
      <c r="A2732" s="8">
        <f>DATE(2012,12,31)-190</f>
        <v>41084</v>
      </c>
      <c r="B2732" s="8">
        <f>DATE(2012,12,31)-190</f>
        <v>41084</v>
      </c>
      <c r="C2732" s="9" t="s">
        <v>1261</v>
      </c>
      <c r="D2732">
        <v>10021305658</v>
      </c>
      <c r="E2732" t="s">
        <v>47</v>
      </c>
      <c r="F2732" t="s">
        <v>72</v>
      </c>
      <c r="G2732" t="s">
        <v>73</v>
      </c>
      <c r="H2732" t="s">
        <v>2008</v>
      </c>
      <c r="I2732" t="s">
        <v>2009</v>
      </c>
      <c r="J2732" t="s">
        <v>668</v>
      </c>
      <c r="K2732" s="3">
        <v>100332797039</v>
      </c>
      <c r="L2732" s="10">
        <v>41089</v>
      </c>
      <c r="M2732">
        <v>89.75</v>
      </c>
      <c r="N2732" s="11">
        <v>6</v>
      </c>
      <c r="O2732" s="12">
        <v>13.99</v>
      </c>
      <c r="P2732" s="12">
        <v>7.51</v>
      </c>
      <c r="Q2732" s="13">
        <v>-38.2887</v>
      </c>
      <c r="R2732" s="36" t="s">
        <v>397</v>
      </c>
      <c r="S2732" s="7">
        <f t="shared" si="225"/>
        <v>5</v>
      </c>
      <c r="T2732" s="15" t="str">
        <f>VLOOKUP(R2732,产品分类!$C$2:$D$1278,2,0)</f>
        <v>办公用品</v>
      </c>
    </row>
    <row r="2733" spans="1:20">
      <c r="A2733" s="8">
        <f>DATE(2012,12,31)-1023</f>
        <v>40251</v>
      </c>
      <c r="B2733" s="8">
        <f>DATE(2012,12,31)-1023</f>
        <v>40251</v>
      </c>
      <c r="C2733" s="9" t="s">
        <v>1247</v>
      </c>
      <c r="D2733">
        <v>10021384751</v>
      </c>
      <c r="E2733" t="s">
        <v>47</v>
      </c>
      <c r="F2733" t="s">
        <v>72</v>
      </c>
      <c r="G2733" t="s">
        <v>73</v>
      </c>
      <c r="H2733" t="s">
        <v>2008</v>
      </c>
      <c r="I2733" t="s">
        <v>2009</v>
      </c>
      <c r="J2733" t="s">
        <v>668</v>
      </c>
      <c r="K2733" s="3">
        <v>100132905416</v>
      </c>
      <c r="L2733" s="10">
        <v>40253</v>
      </c>
      <c r="M2733">
        <v>478.38</v>
      </c>
      <c r="N2733" s="11">
        <v>41</v>
      </c>
      <c r="O2733" s="12">
        <v>11.97</v>
      </c>
      <c r="P2733" s="12">
        <v>4.98</v>
      </c>
      <c r="Q2733" s="13">
        <v>-34.39</v>
      </c>
      <c r="R2733" s="36" t="s">
        <v>1833</v>
      </c>
      <c r="S2733" s="7">
        <f t="shared" si="225"/>
        <v>2</v>
      </c>
      <c r="T2733" s="15" t="str">
        <f>VLOOKUP(R2733,产品分类!$C$2:$D$1278,2,0)</f>
        <v>办公用品</v>
      </c>
    </row>
    <row r="2734" spans="1:20">
      <c r="A2734" s="8">
        <f t="shared" ref="A2734:B2737" si="228">DATE(2012,12,31)-13</f>
        <v>41261</v>
      </c>
      <c r="B2734" s="8">
        <f t="shared" si="228"/>
        <v>41261</v>
      </c>
      <c r="C2734" s="9" t="s">
        <v>2052</v>
      </c>
      <c r="D2734">
        <v>10021490843</v>
      </c>
      <c r="E2734" t="s">
        <v>47</v>
      </c>
      <c r="F2734" t="s">
        <v>91</v>
      </c>
      <c r="G2734" t="s">
        <v>92</v>
      </c>
      <c r="H2734" t="s">
        <v>2053</v>
      </c>
      <c r="I2734" t="s">
        <v>2054</v>
      </c>
      <c r="J2734" t="s">
        <v>668</v>
      </c>
      <c r="K2734" s="3">
        <v>100733049425</v>
      </c>
      <c r="L2734" s="10">
        <v>41262</v>
      </c>
      <c r="M2734">
        <v>1071.77</v>
      </c>
      <c r="N2734" s="11">
        <v>25</v>
      </c>
      <c r="O2734" s="12">
        <v>45.98</v>
      </c>
      <c r="P2734" s="12">
        <v>4.8</v>
      </c>
      <c r="Q2734" s="13">
        <v>262.07</v>
      </c>
      <c r="R2734" s="36" t="s">
        <v>1364</v>
      </c>
      <c r="S2734" s="7">
        <f t="shared" si="225"/>
        <v>1</v>
      </c>
      <c r="T2734" s="15" t="str">
        <f>VLOOKUP(R2734,产品分类!$C$2:$D$1278,2,0)</f>
        <v>数码电子</v>
      </c>
    </row>
    <row r="2735" spans="1:20">
      <c r="A2735" s="8">
        <f t="shared" si="228"/>
        <v>41261</v>
      </c>
      <c r="B2735" s="8">
        <f t="shared" si="228"/>
        <v>41261</v>
      </c>
      <c r="C2735" s="9" t="s">
        <v>2052</v>
      </c>
      <c r="D2735">
        <v>10021534304</v>
      </c>
      <c r="E2735" t="s">
        <v>47</v>
      </c>
      <c r="F2735" t="s">
        <v>137</v>
      </c>
      <c r="G2735" t="s">
        <v>138</v>
      </c>
      <c r="H2735" t="s">
        <v>139</v>
      </c>
      <c r="I2735" t="s">
        <v>601</v>
      </c>
      <c r="J2735" t="s">
        <v>668</v>
      </c>
      <c r="K2735" s="3">
        <v>100433083904</v>
      </c>
      <c r="L2735" s="10">
        <v>41262</v>
      </c>
      <c r="M2735">
        <v>8635.61</v>
      </c>
      <c r="N2735" s="11">
        <v>29</v>
      </c>
      <c r="O2735" s="12">
        <v>300.97</v>
      </c>
      <c r="P2735" s="12">
        <v>7.18</v>
      </c>
      <c r="Q2735" s="13">
        <v>2733.04</v>
      </c>
      <c r="R2735" s="36" t="s">
        <v>755</v>
      </c>
      <c r="S2735" s="7">
        <f t="shared" si="225"/>
        <v>1</v>
      </c>
      <c r="T2735" s="15" t="str">
        <f>VLOOKUP(R2735,产品分类!$C$2:$D$1278,2,0)</f>
        <v>办公用品</v>
      </c>
    </row>
    <row r="2736" spans="1:20">
      <c r="A2736" s="8">
        <f t="shared" si="228"/>
        <v>41261</v>
      </c>
      <c r="B2736" s="8">
        <f t="shared" si="228"/>
        <v>41261</v>
      </c>
      <c r="C2736" s="9" t="s">
        <v>2052</v>
      </c>
      <c r="D2736">
        <v>10021355284</v>
      </c>
      <c r="E2736" t="s">
        <v>47</v>
      </c>
      <c r="F2736" t="s">
        <v>171</v>
      </c>
      <c r="G2736" t="s">
        <v>172</v>
      </c>
      <c r="H2736" t="s">
        <v>2021</v>
      </c>
      <c r="I2736" t="s">
        <v>2022</v>
      </c>
      <c r="J2736" t="s">
        <v>668</v>
      </c>
      <c r="K2736" s="3">
        <v>100932866411</v>
      </c>
      <c r="L2736" s="10">
        <v>41263</v>
      </c>
      <c r="M2736">
        <v>63.96</v>
      </c>
      <c r="N2736" s="11">
        <v>2</v>
      </c>
      <c r="O2736" s="12">
        <v>29.89</v>
      </c>
      <c r="P2736" s="12">
        <v>1.99</v>
      </c>
      <c r="Q2736" s="13">
        <v>-119.36</v>
      </c>
      <c r="R2736" s="36" t="s">
        <v>866</v>
      </c>
      <c r="S2736" s="7">
        <f t="shared" si="225"/>
        <v>2</v>
      </c>
      <c r="T2736" s="15" t="str">
        <f>VLOOKUP(R2736,产品分类!$C$2:$D$1278,2,0)</f>
        <v>办公用品</v>
      </c>
    </row>
    <row r="2737" spans="1:20">
      <c r="A2737" s="8">
        <f t="shared" si="228"/>
        <v>41261</v>
      </c>
      <c r="B2737" s="8">
        <f t="shared" si="228"/>
        <v>41261</v>
      </c>
      <c r="C2737" s="9" t="s">
        <v>2052</v>
      </c>
      <c r="D2737">
        <v>10021454928</v>
      </c>
      <c r="E2737" t="s">
        <v>47</v>
      </c>
      <c r="F2737" t="s">
        <v>253</v>
      </c>
      <c r="G2737" t="s">
        <v>254</v>
      </c>
      <c r="H2737" t="s">
        <v>1998</v>
      </c>
      <c r="I2737" t="s">
        <v>1999</v>
      </c>
      <c r="J2737" t="s">
        <v>668</v>
      </c>
      <c r="K2737" s="3">
        <v>100132988857</v>
      </c>
      <c r="L2737" s="10">
        <v>41262</v>
      </c>
      <c r="M2737">
        <v>833</v>
      </c>
      <c r="N2737" s="11">
        <v>50</v>
      </c>
      <c r="O2737" s="12">
        <v>15.57</v>
      </c>
      <c r="P2737" s="12">
        <v>1.39</v>
      </c>
      <c r="Q2737" s="13">
        <v>436.53</v>
      </c>
      <c r="R2737" s="36" t="s">
        <v>843</v>
      </c>
      <c r="S2737" s="7">
        <f t="shared" si="225"/>
        <v>1</v>
      </c>
      <c r="T2737" s="15" t="str">
        <f>VLOOKUP(R2737,产品分类!$C$2:$D$1278,2,0)</f>
        <v>办公用品</v>
      </c>
    </row>
    <row r="2738" spans="1:20">
      <c r="A2738" s="8">
        <f>DATE(2012,12,31)-880</f>
        <v>40394</v>
      </c>
      <c r="B2738" s="8">
        <f>DATE(2012,12,31)-880</f>
        <v>40394</v>
      </c>
      <c r="C2738" s="9" t="s">
        <v>781</v>
      </c>
      <c r="D2738">
        <v>10021318421</v>
      </c>
      <c r="E2738" t="s">
        <v>47</v>
      </c>
      <c r="F2738" t="s">
        <v>48</v>
      </c>
      <c r="G2738" t="s">
        <v>49</v>
      </c>
      <c r="H2738" t="s">
        <v>2032</v>
      </c>
      <c r="I2738" t="s">
        <v>2033</v>
      </c>
      <c r="J2738" t="s">
        <v>668</v>
      </c>
      <c r="K2738" s="3">
        <v>100432830293</v>
      </c>
      <c r="L2738" s="10">
        <v>40395</v>
      </c>
      <c r="M2738">
        <v>124.65</v>
      </c>
      <c r="N2738" s="11">
        <v>6</v>
      </c>
      <c r="O2738" s="12">
        <v>18.97</v>
      </c>
      <c r="P2738" s="12">
        <v>5.21</v>
      </c>
      <c r="Q2738" s="13">
        <v>13.34</v>
      </c>
      <c r="R2738" s="36" t="s">
        <v>1516</v>
      </c>
      <c r="S2738" s="7">
        <f t="shared" si="225"/>
        <v>1</v>
      </c>
      <c r="T2738" s="15" t="str">
        <f>VLOOKUP(R2738,产品分类!$C$2:$D$1278,2,0)</f>
        <v>办公用品</v>
      </c>
    </row>
    <row r="2739" spans="1:20">
      <c r="A2739" s="8">
        <f t="shared" ref="A2739:B2741" si="229">DATE(2012,12,31)-73</f>
        <v>41201</v>
      </c>
      <c r="B2739" s="8">
        <f t="shared" si="229"/>
        <v>41201</v>
      </c>
      <c r="C2739" s="9" t="s">
        <v>119</v>
      </c>
      <c r="D2739">
        <v>10021512918</v>
      </c>
      <c r="E2739" t="s">
        <v>47</v>
      </c>
      <c r="F2739" t="s">
        <v>66</v>
      </c>
      <c r="G2739" t="s">
        <v>67</v>
      </c>
      <c r="H2739" t="s">
        <v>1435</v>
      </c>
      <c r="I2739" t="s">
        <v>1436</v>
      </c>
      <c r="J2739" t="s">
        <v>668</v>
      </c>
      <c r="K2739" s="3">
        <v>100833058452</v>
      </c>
      <c r="L2739" s="10">
        <v>41201</v>
      </c>
      <c r="M2739">
        <v>321.91</v>
      </c>
      <c r="N2739" s="11">
        <v>22</v>
      </c>
      <c r="O2739" s="12">
        <v>15.01</v>
      </c>
      <c r="P2739" s="12">
        <v>8.4</v>
      </c>
      <c r="Q2739" s="13">
        <v>-24.955</v>
      </c>
      <c r="R2739" s="36" t="s">
        <v>1374</v>
      </c>
      <c r="S2739" s="7">
        <f t="shared" si="225"/>
        <v>0</v>
      </c>
      <c r="T2739" s="15" t="str">
        <f>VLOOKUP(R2739,产品分类!$C$2:$D$1278,2,0)</f>
        <v>办公用品</v>
      </c>
    </row>
    <row r="2740" spans="1:20">
      <c r="A2740" s="8">
        <f t="shared" si="229"/>
        <v>41201</v>
      </c>
      <c r="B2740" s="8">
        <f t="shared" si="229"/>
        <v>41201</v>
      </c>
      <c r="C2740" s="9" t="s">
        <v>119</v>
      </c>
      <c r="D2740">
        <v>10021398216</v>
      </c>
      <c r="E2740" t="s">
        <v>47</v>
      </c>
      <c r="F2740" t="s">
        <v>72</v>
      </c>
      <c r="G2740" t="s">
        <v>73</v>
      </c>
      <c r="H2740" t="s">
        <v>2008</v>
      </c>
      <c r="I2740" t="s">
        <v>2009</v>
      </c>
      <c r="J2740" t="s">
        <v>668</v>
      </c>
      <c r="K2740" s="3">
        <v>100932922101</v>
      </c>
      <c r="L2740" s="10">
        <v>41203</v>
      </c>
      <c r="M2740">
        <v>132.96</v>
      </c>
      <c r="N2740" s="11">
        <v>2</v>
      </c>
      <c r="O2740" s="12">
        <v>59.78</v>
      </c>
      <c r="P2740" s="12">
        <v>10.29</v>
      </c>
      <c r="Q2740" s="13">
        <v>-61.8815</v>
      </c>
      <c r="R2740" s="36" t="s">
        <v>1405</v>
      </c>
      <c r="S2740" s="7">
        <f t="shared" si="225"/>
        <v>2</v>
      </c>
      <c r="T2740" s="15" t="str">
        <f>VLOOKUP(R2740,产品分类!$C$2:$D$1278,2,0)</f>
        <v>办公用品</v>
      </c>
    </row>
    <row r="2741" spans="1:20">
      <c r="A2741" s="8">
        <f t="shared" si="229"/>
        <v>41201</v>
      </c>
      <c r="B2741" s="8">
        <f t="shared" si="229"/>
        <v>41201</v>
      </c>
      <c r="C2741" s="9" t="s">
        <v>119</v>
      </c>
      <c r="D2741">
        <v>10021408162</v>
      </c>
      <c r="E2741" t="s">
        <v>47</v>
      </c>
      <c r="F2741" t="s">
        <v>97</v>
      </c>
      <c r="G2741" t="s">
        <v>98</v>
      </c>
      <c r="H2741" t="s">
        <v>99</v>
      </c>
      <c r="I2741" t="s">
        <v>98</v>
      </c>
      <c r="J2741" t="s">
        <v>668</v>
      </c>
      <c r="K2741" s="3">
        <v>100332947609</v>
      </c>
      <c r="L2741" s="10">
        <v>41203</v>
      </c>
      <c r="M2741">
        <v>3268.7515</v>
      </c>
      <c r="N2741" s="11">
        <v>24</v>
      </c>
      <c r="O2741" s="12">
        <v>155.99</v>
      </c>
      <c r="P2741" s="12">
        <v>8.08</v>
      </c>
      <c r="Q2741" s="13">
        <v>562.914</v>
      </c>
      <c r="R2741" s="36" t="s">
        <v>2055</v>
      </c>
      <c r="S2741" s="7">
        <f t="shared" si="225"/>
        <v>2</v>
      </c>
      <c r="T2741" s="15" t="str">
        <f>VLOOKUP(R2741,产品分类!$C$2:$D$1278,2,0)</f>
        <v>数码电子</v>
      </c>
    </row>
    <row r="2742" spans="1:20">
      <c r="A2742" s="8">
        <f>DATE(2012,12,31)-74</f>
        <v>41200</v>
      </c>
      <c r="B2742" s="8">
        <f>DATE(2012,12,31)-74</f>
        <v>41200</v>
      </c>
      <c r="C2742" s="9" t="s">
        <v>1269</v>
      </c>
      <c r="D2742">
        <v>10021456147</v>
      </c>
      <c r="E2742" t="s">
        <v>47</v>
      </c>
      <c r="F2742" t="s">
        <v>171</v>
      </c>
      <c r="G2742" t="s">
        <v>172</v>
      </c>
      <c r="H2742" t="s">
        <v>2021</v>
      </c>
      <c r="I2742" t="s">
        <v>2022</v>
      </c>
      <c r="J2742" t="s">
        <v>668</v>
      </c>
      <c r="K2742" s="3">
        <v>100932994031</v>
      </c>
      <c r="L2742" s="10">
        <v>41204</v>
      </c>
      <c r="M2742">
        <v>33.21</v>
      </c>
      <c r="N2742" s="11">
        <v>18</v>
      </c>
      <c r="O2742" s="12">
        <v>1.81</v>
      </c>
      <c r="P2742" s="12">
        <v>0.75</v>
      </c>
      <c r="Q2742" s="13">
        <v>-0.85</v>
      </c>
      <c r="R2742" s="36" t="s">
        <v>1253</v>
      </c>
      <c r="S2742" s="7">
        <f t="shared" si="225"/>
        <v>4</v>
      </c>
      <c r="T2742" s="15" t="str">
        <f>VLOOKUP(R2742,产品分类!$C$2:$D$1278,2,0)</f>
        <v>办公用品</v>
      </c>
    </row>
    <row r="2743" spans="1:20">
      <c r="A2743" s="8">
        <f>DATE(2012,12,31)-511</f>
        <v>40763</v>
      </c>
      <c r="B2743" s="8">
        <f>DATE(2012,12,31)-511</f>
        <v>40763</v>
      </c>
      <c r="C2743" s="9" t="s">
        <v>2056</v>
      </c>
      <c r="D2743">
        <v>10021438376</v>
      </c>
      <c r="E2743" t="s">
        <v>47</v>
      </c>
      <c r="F2743" t="s">
        <v>171</v>
      </c>
      <c r="G2743" t="s">
        <v>172</v>
      </c>
      <c r="H2743" t="s">
        <v>2021</v>
      </c>
      <c r="I2743" t="s">
        <v>2022</v>
      </c>
      <c r="J2743" t="s">
        <v>668</v>
      </c>
      <c r="K2743" s="3">
        <v>100332972629</v>
      </c>
      <c r="L2743" s="10">
        <v>40768</v>
      </c>
      <c r="M2743">
        <v>450.66</v>
      </c>
      <c r="N2743" s="11">
        <v>49</v>
      </c>
      <c r="O2743" s="12">
        <v>8.57</v>
      </c>
      <c r="P2743" s="12">
        <v>6.14</v>
      </c>
      <c r="Q2743" s="13">
        <v>-115.1</v>
      </c>
      <c r="R2743" s="36" t="s">
        <v>1824</v>
      </c>
      <c r="S2743" s="7">
        <f t="shared" si="225"/>
        <v>5</v>
      </c>
      <c r="T2743" s="15" t="str">
        <f>VLOOKUP(R2743,产品分类!$C$2:$D$1278,2,0)</f>
        <v>家具产品</v>
      </c>
    </row>
    <row r="2744" spans="1:20">
      <c r="A2744" s="8">
        <f>DATE(2012,12,31)-1004</f>
        <v>40270</v>
      </c>
      <c r="B2744" s="8">
        <f>DATE(2012,12,31)-1004</f>
        <v>40270</v>
      </c>
      <c r="C2744" s="9" t="s">
        <v>1362</v>
      </c>
      <c r="D2744">
        <v>10021288831</v>
      </c>
      <c r="E2744" t="s">
        <v>47</v>
      </c>
      <c r="F2744" t="s">
        <v>177</v>
      </c>
      <c r="G2744" t="s">
        <v>178</v>
      </c>
      <c r="H2744" t="s">
        <v>1292</v>
      </c>
      <c r="I2744" t="s">
        <v>1293</v>
      </c>
      <c r="J2744" t="s">
        <v>668</v>
      </c>
      <c r="K2744" s="3">
        <v>100132782918</v>
      </c>
      <c r="L2744" s="10">
        <v>40275</v>
      </c>
      <c r="M2744">
        <v>1358.776</v>
      </c>
      <c r="N2744" s="11">
        <v>3</v>
      </c>
      <c r="O2744" s="12">
        <v>550.98</v>
      </c>
      <c r="P2744" s="12">
        <v>45.7</v>
      </c>
      <c r="Q2744" s="13">
        <v>-163.2</v>
      </c>
      <c r="R2744" s="36" t="s">
        <v>1215</v>
      </c>
      <c r="S2744" s="7">
        <f t="shared" si="225"/>
        <v>5</v>
      </c>
      <c r="T2744" s="15" t="str">
        <f>VLOOKUP(R2744,产品分类!$C$2:$D$1278,2,0)</f>
        <v>家具产品</v>
      </c>
    </row>
    <row r="2745" spans="1:20">
      <c r="A2745" s="8">
        <f>DATE(2012,12,31)-1035</f>
        <v>40239</v>
      </c>
      <c r="B2745" s="8">
        <f>DATE(2012,12,31)-1035</f>
        <v>40239</v>
      </c>
      <c r="C2745" s="9" t="s">
        <v>882</v>
      </c>
      <c r="D2745">
        <v>10021247876</v>
      </c>
      <c r="E2745" t="s">
        <v>47</v>
      </c>
      <c r="F2745" t="s">
        <v>177</v>
      </c>
      <c r="G2745" t="s">
        <v>178</v>
      </c>
      <c r="H2745" t="s">
        <v>1292</v>
      </c>
      <c r="I2745" t="s">
        <v>1293</v>
      </c>
      <c r="J2745" t="s">
        <v>668</v>
      </c>
      <c r="K2745" s="3">
        <v>100732755945</v>
      </c>
      <c r="L2745" s="10">
        <v>40240</v>
      </c>
      <c r="M2745">
        <v>1098.506</v>
      </c>
      <c r="N2745" s="11">
        <v>29</v>
      </c>
      <c r="O2745" s="12">
        <v>45.99</v>
      </c>
      <c r="P2745" s="12">
        <v>2.5</v>
      </c>
      <c r="Q2745" s="13">
        <v>218.727</v>
      </c>
      <c r="R2745" s="36" t="s">
        <v>2057</v>
      </c>
      <c r="S2745" s="7">
        <f t="shared" si="225"/>
        <v>1</v>
      </c>
      <c r="T2745" s="15" t="str">
        <f>VLOOKUP(R2745,产品分类!$C$2:$D$1278,2,0)</f>
        <v>办公用品</v>
      </c>
    </row>
    <row r="2746" spans="1:20">
      <c r="A2746" s="8">
        <f>DATE(2012,12,31)-1012</f>
        <v>40262</v>
      </c>
      <c r="B2746" s="8">
        <f>DATE(2012,12,31)-1012</f>
        <v>40262</v>
      </c>
      <c r="C2746" s="9" t="s">
        <v>373</v>
      </c>
      <c r="D2746">
        <v>10021455413</v>
      </c>
      <c r="E2746" t="s">
        <v>47</v>
      </c>
      <c r="F2746" t="s">
        <v>61</v>
      </c>
      <c r="G2746" t="s">
        <v>62</v>
      </c>
      <c r="H2746" t="s">
        <v>47</v>
      </c>
      <c r="I2746" t="s">
        <v>1778</v>
      </c>
      <c r="J2746" t="s">
        <v>668</v>
      </c>
      <c r="K2746" s="3">
        <v>100432990944</v>
      </c>
      <c r="L2746" s="10">
        <v>40265</v>
      </c>
      <c r="M2746">
        <v>167.07</v>
      </c>
      <c r="N2746" s="11">
        <v>33</v>
      </c>
      <c r="O2746" s="12">
        <v>4.98</v>
      </c>
      <c r="P2746" s="12">
        <v>6.07</v>
      </c>
      <c r="Q2746" s="13">
        <v>-102.36</v>
      </c>
      <c r="R2746" s="36" t="s">
        <v>1586</v>
      </c>
      <c r="S2746" s="7">
        <f t="shared" si="225"/>
        <v>3</v>
      </c>
      <c r="T2746" s="15" t="str">
        <f>VLOOKUP(R2746,产品分类!$C$2:$D$1278,2,0)</f>
        <v>家具产品</v>
      </c>
    </row>
    <row r="2747" spans="1:20">
      <c r="A2747" s="8">
        <f>DATE(2012,12,31)-952</f>
        <v>40322</v>
      </c>
      <c r="B2747" s="8">
        <f>DATE(2012,12,31)-952</f>
        <v>40322</v>
      </c>
      <c r="C2747" s="9" t="s">
        <v>1563</v>
      </c>
      <c r="D2747">
        <v>10021337222</v>
      </c>
      <c r="E2747" t="s">
        <v>47</v>
      </c>
      <c r="F2747" t="s">
        <v>66</v>
      </c>
      <c r="G2747" t="s">
        <v>67</v>
      </c>
      <c r="H2747" t="s">
        <v>1435</v>
      </c>
      <c r="I2747" t="s">
        <v>1436</v>
      </c>
      <c r="J2747" t="s">
        <v>668</v>
      </c>
      <c r="K2747" s="3">
        <v>100421460043</v>
      </c>
      <c r="L2747" s="10">
        <v>40325</v>
      </c>
      <c r="M2747">
        <v>8270.57</v>
      </c>
      <c r="N2747" s="11">
        <v>25</v>
      </c>
      <c r="O2747" s="12">
        <v>400.97</v>
      </c>
      <c r="P2747" s="12">
        <v>48.26</v>
      </c>
      <c r="Q2747" s="13">
        <v>2851.46</v>
      </c>
      <c r="R2747" s="36" t="s">
        <v>2058</v>
      </c>
      <c r="S2747" s="7">
        <f t="shared" si="225"/>
        <v>3</v>
      </c>
      <c r="T2747" s="15" t="str">
        <f>VLOOKUP(R2747,产品分类!$C$2:$D$1278,2,0)</f>
        <v>数码电子</v>
      </c>
    </row>
    <row r="2748" spans="1:20">
      <c r="A2748" s="8">
        <f t="shared" ref="A2748:B2750" si="230">DATE(2012,12,31)-736</f>
        <v>40538</v>
      </c>
      <c r="B2748" s="8">
        <f t="shared" si="230"/>
        <v>40538</v>
      </c>
      <c r="C2748" s="9" t="s">
        <v>564</v>
      </c>
      <c r="D2748">
        <v>10021504593</v>
      </c>
      <c r="E2748" t="s">
        <v>47</v>
      </c>
      <c r="F2748" t="s">
        <v>277</v>
      </c>
      <c r="G2748" t="s">
        <v>278</v>
      </c>
      <c r="H2748" t="s">
        <v>279</v>
      </c>
      <c r="I2748" t="s">
        <v>280</v>
      </c>
      <c r="J2748" t="s">
        <v>668</v>
      </c>
      <c r="K2748" s="3">
        <v>100830398322</v>
      </c>
      <c r="L2748" s="10">
        <v>40565</v>
      </c>
      <c r="M2748">
        <v>213.06</v>
      </c>
      <c r="N2748" s="11">
        <v>17</v>
      </c>
      <c r="O2748" s="12">
        <v>11.97</v>
      </c>
      <c r="P2748" s="12">
        <v>5.81</v>
      </c>
      <c r="Q2748" s="13">
        <v>-31.74</v>
      </c>
      <c r="R2748" s="36" t="s">
        <v>499</v>
      </c>
      <c r="S2748" s="7">
        <f t="shared" si="225"/>
        <v>27</v>
      </c>
      <c r="T2748" s="15" t="str">
        <f>VLOOKUP(R2748,产品分类!$C$2:$D$1278,2,0)</f>
        <v>办公用品</v>
      </c>
    </row>
    <row r="2749" spans="1:20">
      <c r="A2749" s="8">
        <f t="shared" si="230"/>
        <v>40538</v>
      </c>
      <c r="B2749" s="8">
        <f t="shared" si="230"/>
        <v>40538</v>
      </c>
      <c r="C2749" s="9" t="s">
        <v>564</v>
      </c>
      <c r="D2749">
        <v>10021337799</v>
      </c>
      <c r="E2749" t="s">
        <v>47</v>
      </c>
      <c r="F2749" t="s">
        <v>102</v>
      </c>
      <c r="G2749" t="s">
        <v>103</v>
      </c>
      <c r="H2749" t="s">
        <v>1217</v>
      </c>
      <c r="I2749" t="s">
        <v>1218</v>
      </c>
      <c r="J2749" t="s">
        <v>668</v>
      </c>
      <c r="K2749" s="3">
        <v>100922819521</v>
      </c>
      <c r="L2749" s="10">
        <v>40569</v>
      </c>
      <c r="M2749">
        <v>1126.488</v>
      </c>
      <c r="N2749" s="11">
        <v>7</v>
      </c>
      <c r="O2749" s="12">
        <v>195.99</v>
      </c>
      <c r="P2749" s="12">
        <v>4.2</v>
      </c>
      <c r="Q2749" s="13">
        <v>-557.953</v>
      </c>
      <c r="R2749" s="36" t="s">
        <v>1470</v>
      </c>
      <c r="S2749" s="7">
        <f t="shared" si="225"/>
        <v>31</v>
      </c>
      <c r="T2749" s="15" t="str">
        <f>VLOOKUP(R2749,产品分类!$C$2:$D$1278,2,0)</f>
        <v>数码电子</v>
      </c>
    </row>
    <row r="2750" spans="1:20">
      <c r="A2750" s="8">
        <f t="shared" si="230"/>
        <v>40538</v>
      </c>
      <c r="B2750" s="8">
        <f t="shared" si="230"/>
        <v>40538</v>
      </c>
      <c r="C2750" s="9" t="s">
        <v>564</v>
      </c>
      <c r="D2750">
        <v>10021260746</v>
      </c>
      <c r="E2750" t="s">
        <v>47</v>
      </c>
      <c r="F2750" t="s">
        <v>61</v>
      </c>
      <c r="G2750" t="s">
        <v>62</v>
      </c>
      <c r="H2750" t="s">
        <v>47</v>
      </c>
      <c r="I2750" t="s">
        <v>1778</v>
      </c>
      <c r="J2750" t="s">
        <v>668</v>
      </c>
      <c r="K2750" s="3">
        <v>100829032392</v>
      </c>
      <c r="L2750" s="10">
        <v>40557</v>
      </c>
      <c r="M2750">
        <v>4687.6735</v>
      </c>
      <c r="N2750" s="11">
        <v>43</v>
      </c>
      <c r="O2750" s="12">
        <v>125.99</v>
      </c>
      <c r="P2750" s="12">
        <v>8.08</v>
      </c>
      <c r="Q2750" s="13">
        <v>1304.559</v>
      </c>
      <c r="R2750" s="36" t="s">
        <v>569</v>
      </c>
      <c r="S2750" s="7">
        <f t="shared" si="225"/>
        <v>19</v>
      </c>
      <c r="T2750" s="15" t="str">
        <f>VLOOKUP(R2750,产品分类!$C$2:$D$1278,2,0)</f>
        <v>家具产品</v>
      </c>
    </row>
    <row r="2751" spans="1:20">
      <c r="A2751" s="8">
        <f>DATE(2012,12,31)-886</f>
        <v>40388</v>
      </c>
      <c r="B2751" s="8">
        <f>DATE(2012,12,31)-886</f>
        <v>40388</v>
      </c>
      <c r="C2751" s="9" t="s">
        <v>358</v>
      </c>
      <c r="D2751">
        <v>10021436402</v>
      </c>
      <c r="E2751" t="s">
        <v>47</v>
      </c>
      <c r="F2751" t="s">
        <v>48</v>
      </c>
      <c r="G2751" t="s">
        <v>49</v>
      </c>
      <c r="H2751" t="s">
        <v>2032</v>
      </c>
      <c r="I2751" t="s">
        <v>2033</v>
      </c>
      <c r="J2751" t="s">
        <v>668</v>
      </c>
      <c r="K2751" s="3">
        <v>100932968021</v>
      </c>
      <c r="L2751" s="10">
        <v>40388</v>
      </c>
      <c r="M2751">
        <v>4416.651</v>
      </c>
      <c r="N2751" s="11">
        <v>33</v>
      </c>
      <c r="O2751" s="12">
        <v>155.99</v>
      </c>
      <c r="P2751" s="12">
        <v>8.99</v>
      </c>
      <c r="Q2751" s="13">
        <v>1020.411</v>
      </c>
      <c r="R2751" s="36" t="s">
        <v>469</v>
      </c>
      <c r="S2751" s="7">
        <f t="shared" si="225"/>
        <v>0</v>
      </c>
      <c r="T2751" s="15" t="str">
        <f>VLOOKUP(R2751,产品分类!$C$2:$D$1278,2,0)</f>
        <v>办公用品</v>
      </c>
    </row>
    <row r="2752" spans="1:20">
      <c r="A2752" s="8">
        <f>DATE(2012,12,31)-206</f>
        <v>41068</v>
      </c>
      <c r="B2752" s="8">
        <f>DATE(2012,12,31)-206</f>
        <v>41068</v>
      </c>
      <c r="C2752" s="9" t="s">
        <v>1196</v>
      </c>
      <c r="D2752">
        <v>10021372468</v>
      </c>
      <c r="E2752" t="s">
        <v>47</v>
      </c>
      <c r="F2752" t="s">
        <v>152</v>
      </c>
      <c r="G2752" t="s">
        <v>153</v>
      </c>
      <c r="H2752" t="s">
        <v>1860</v>
      </c>
      <c r="I2752" t="s">
        <v>1861</v>
      </c>
      <c r="J2752" t="s">
        <v>668</v>
      </c>
      <c r="K2752" s="3">
        <v>10046514833</v>
      </c>
      <c r="L2752" s="10">
        <v>41069</v>
      </c>
      <c r="M2752">
        <v>310.46</v>
      </c>
      <c r="N2752" s="11">
        <v>31</v>
      </c>
      <c r="O2752" s="12">
        <v>9.71</v>
      </c>
      <c r="P2752" s="12">
        <v>9.45</v>
      </c>
      <c r="Q2752" s="13">
        <v>-182.52</v>
      </c>
      <c r="R2752" s="36" t="s">
        <v>135</v>
      </c>
      <c r="S2752" s="7">
        <f t="shared" si="225"/>
        <v>1</v>
      </c>
      <c r="T2752" s="15" t="str">
        <f>VLOOKUP(R2752,产品分类!$C$2:$D$1278,2,0)</f>
        <v>办公用品</v>
      </c>
    </row>
    <row r="2753" spans="1:20">
      <c r="A2753" s="8">
        <f>DATE(2012,12,31)-141</f>
        <v>41133</v>
      </c>
      <c r="B2753" s="8">
        <f>DATE(2012,12,31)-141</f>
        <v>41133</v>
      </c>
      <c r="C2753" s="9" t="s">
        <v>182</v>
      </c>
      <c r="D2753">
        <v>10021272624</v>
      </c>
      <c r="E2753" t="s">
        <v>47</v>
      </c>
      <c r="F2753" t="s">
        <v>152</v>
      </c>
      <c r="G2753" t="s">
        <v>153</v>
      </c>
      <c r="H2753" t="s">
        <v>1860</v>
      </c>
      <c r="I2753" t="s">
        <v>1861</v>
      </c>
      <c r="J2753" t="s">
        <v>668</v>
      </c>
      <c r="K2753" s="3">
        <v>100132494567</v>
      </c>
      <c r="L2753" s="10">
        <v>41135</v>
      </c>
      <c r="M2753">
        <v>82.97</v>
      </c>
      <c r="N2753" s="11">
        <v>20</v>
      </c>
      <c r="O2753" s="12">
        <v>4.13</v>
      </c>
      <c r="P2753" s="12">
        <v>0.5</v>
      </c>
      <c r="Q2753" s="13">
        <v>32.5</v>
      </c>
      <c r="R2753" s="36" t="s">
        <v>691</v>
      </c>
      <c r="S2753" s="7">
        <f t="shared" si="225"/>
        <v>2</v>
      </c>
      <c r="T2753" s="15" t="str">
        <f>VLOOKUP(R2753,产品分类!$C$2:$D$1278,2,0)</f>
        <v>办公用品</v>
      </c>
    </row>
    <row r="2754" spans="1:20">
      <c r="A2754" s="8">
        <f>DATE(2012,12,31)-141</f>
        <v>41133</v>
      </c>
      <c r="B2754" s="8">
        <f>DATE(2012,12,31)-141</f>
        <v>41133</v>
      </c>
      <c r="C2754" s="9" t="s">
        <v>182</v>
      </c>
      <c r="D2754">
        <v>10021411030</v>
      </c>
      <c r="E2754" t="s">
        <v>47</v>
      </c>
      <c r="F2754" t="s">
        <v>122</v>
      </c>
      <c r="G2754" t="s">
        <v>123</v>
      </c>
      <c r="H2754" t="s">
        <v>124</v>
      </c>
      <c r="I2754" t="s">
        <v>125</v>
      </c>
      <c r="J2754" t="s">
        <v>668</v>
      </c>
      <c r="K2754" s="3">
        <v>100132394748</v>
      </c>
      <c r="L2754" s="10">
        <v>41135</v>
      </c>
      <c r="M2754">
        <v>13701.35</v>
      </c>
      <c r="N2754" s="11">
        <v>25</v>
      </c>
      <c r="O2754" s="12">
        <v>550.98</v>
      </c>
      <c r="P2754" s="12">
        <v>64.59</v>
      </c>
      <c r="Q2754" s="13">
        <v>-3687.651</v>
      </c>
      <c r="R2754" s="36" t="s">
        <v>1642</v>
      </c>
      <c r="S2754" s="7">
        <f t="shared" si="225"/>
        <v>2</v>
      </c>
      <c r="T2754" s="15" t="str">
        <f>VLOOKUP(R2754,产品分类!$C$2:$D$1278,2,0)</f>
        <v>家具产品</v>
      </c>
    </row>
    <row r="2755" spans="1:20">
      <c r="A2755" s="8">
        <f t="shared" ref="A2755:B2757" si="231">DATE(2012,12,31)-452</f>
        <v>40822</v>
      </c>
      <c r="B2755" s="8">
        <f t="shared" si="231"/>
        <v>40822</v>
      </c>
      <c r="C2755" s="9" t="s">
        <v>2059</v>
      </c>
      <c r="D2755">
        <v>10021454388</v>
      </c>
      <c r="E2755" t="s">
        <v>47</v>
      </c>
      <c r="F2755" t="s">
        <v>91</v>
      </c>
      <c r="G2755" t="s">
        <v>92</v>
      </c>
      <c r="H2755" t="s">
        <v>2053</v>
      </c>
      <c r="I2755" t="s">
        <v>2054</v>
      </c>
      <c r="J2755" t="s">
        <v>668</v>
      </c>
      <c r="K2755" s="3">
        <v>100932614771</v>
      </c>
      <c r="L2755" s="10">
        <v>40823</v>
      </c>
      <c r="M2755">
        <v>1054.7</v>
      </c>
      <c r="N2755" s="11">
        <v>43</v>
      </c>
      <c r="O2755" s="12">
        <v>25.98</v>
      </c>
      <c r="P2755" s="12">
        <v>5.37</v>
      </c>
      <c r="Q2755" s="13">
        <v>213.26</v>
      </c>
      <c r="R2755" s="36" t="s">
        <v>1173</v>
      </c>
      <c r="S2755" s="7">
        <f t="shared" ref="S2755:S2818" si="232">+L2755-B2755</f>
        <v>1</v>
      </c>
      <c r="T2755" s="15" t="str">
        <f>VLOOKUP(R2755,产品分类!$C$2:$D$1278,2,0)</f>
        <v>家具产品</v>
      </c>
    </row>
    <row r="2756" spans="1:20">
      <c r="A2756" s="8">
        <f t="shared" si="231"/>
        <v>40822</v>
      </c>
      <c r="B2756" s="8">
        <f t="shared" si="231"/>
        <v>40822</v>
      </c>
      <c r="C2756" s="9" t="s">
        <v>2059</v>
      </c>
      <c r="D2756">
        <v>10021519896</v>
      </c>
      <c r="E2756" t="s">
        <v>47</v>
      </c>
      <c r="F2756" t="s">
        <v>132</v>
      </c>
      <c r="G2756" t="s">
        <v>133</v>
      </c>
      <c r="H2756" t="s">
        <v>134</v>
      </c>
      <c r="I2756" t="s">
        <v>133</v>
      </c>
      <c r="J2756" t="s">
        <v>668</v>
      </c>
      <c r="K2756" s="3">
        <v>100133079017</v>
      </c>
      <c r="L2756" s="10">
        <v>40824</v>
      </c>
      <c r="M2756">
        <v>5349.21</v>
      </c>
      <c r="N2756" s="11">
        <v>38</v>
      </c>
      <c r="O2756" s="12">
        <v>135.99</v>
      </c>
      <c r="P2756" s="12">
        <v>28.63</v>
      </c>
      <c r="Q2756" s="13">
        <v>61.9</v>
      </c>
      <c r="R2756" s="36" t="s">
        <v>1371</v>
      </c>
      <c r="S2756" s="7">
        <f t="shared" si="232"/>
        <v>2</v>
      </c>
      <c r="T2756" s="15" t="str">
        <f>VLOOKUP(R2756,产品分类!$C$2:$D$1278,2,0)</f>
        <v>数码电子</v>
      </c>
    </row>
    <row r="2757" spans="1:20">
      <c r="A2757" s="8">
        <f t="shared" si="231"/>
        <v>40822</v>
      </c>
      <c r="B2757" s="8">
        <f t="shared" si="231"/>
        <v>40822</v>
      </c>
      <c r="C2757" s="9" t="s">
        <v>2059</v>
      </c>
      <c r="D2757">
        <v>10021484673</v>
      </c>
      <c r="E2757" t="s">
        <v>47</v>
      </c>
      <c r="F2757" t="s">
        <v>132</v>
      </c>
      <c r="G2757" t="s">
        <v>133</v>
      </c>
      <c r="H2757" t="s">
        <v>134</v>
      </c>
      <c r="I2757" t="s">
        <v>133</v>
      </c>
      <c r="J2757" t="s">
        <v>668</v>
      </c>
      <c r="K2757" s="3">
        <v>100932745541</v>
      </c>
      <c r="L2757" s="10">
        <v>40822</v>
      </c>
      <c r="M2757">
        <v>4859.37</v>
      </c>
      <c r="N2757" s="11">
        <v>39</v>
      </c>
      <c r="O2757" s="12">
        <v>150.98</v>
      </c>
      <c r="P2757" s="12">
        <v>13.99</v>
      </c>
      <c r="Q2757" s="13">
        <v>2472.32</v>
      </c>
      <c r="R2757" s="36" t="s">
        <v>126</v>
      </c>
      <c r="S2757" s="7">
        <f t="shared" si="232"/>
        <v>0</v>
      </c>
      <c r="T2757" s="15" t="str">
        <f>VLOOKUP(R2757,产品分类!$C$2:$D$1278,2,0)</f>
        <v>家具产品</v>
      </c>
    </row>
    <row r="2758" spans="1:20">
      <c r="A2758" s="8">
        <f>DATE(2012,12,31)-48</f>
        <v>41226</v>
      </c>
      <c r="B2758" s="8">
        <f>DATE(2012,12,31)-48</f>
        <v>41226</v>
      </c>
      <c r="C2758" s="9" t="s">
        <v>213</v>
      </c>
      <c r="D2758">
        <v>10021372940</v>
      </c>
      <c r="E2758" t="s">
        <v>47</v>
      </c>
      <c r="F2758" t="s">
        <v>102</v>
      </c>
      <c r="G2758" t="s">
        <v>103</v>
      </c>
      <c r="H2758" t="s">
        <v>1217</v>
      </c>
      <c r="I2758" t="s">
        <v>1218</v>
      </c>
      <c r="J2758" t="s">
        <v>668</v>
      </c>
      <c r="K2758" s="3">
        <v>100931069821</v>
      </c>
      <c r="L2758" s="10">
        <v>41227</v>
      </c>
      <c r="M2758">
        <v>36.75</v>
      </c>
      <c r="N2758" s="11">
        <v>19</v>
      </c>
      <c r="O2758" s="12">
        <v>1.88</v>
      </c>
      <c r="P2758" s="12">
        <v>1.49</v>
      </c>
      <c r="Q2758" s="13">
        <v>-9.821</v>
      </c>
      <c r="R2758" s="36" t="s">
        <v>1426</v>
      </c>
      <c r="S2758" s="7">
        <f t="shared" si="232"/>
        <v>1</v>
      </c>
      <c r="T2758" s="15" t="str">
        <f>VLOOKUP(R2758,产品分类!$C$2:$D$1278,2,0)</f>
        <v>办公用品</v>
      </c>
    </row>
    <row r="2759" spans="1:20">
      <c r="A2759" s="8">
        <f>DATE(2012,12,31)-48</f>
        <v>41226</v>
      </c>
      <c r="B2759" s="8">
        <f>DATE(2012,12,31)-48</f>
        <v>41226</v>
      </c>
      <c r="C2759" s="9" t="s">
        <v>213</v>
      </c>
      <c r="D2759">
        <v>10021404860</v>
      </c>
      <c r="E2759" t="s">
        <v>47</v>
      </c>
      <c r="F2759" t="s">
        <v>304</v>
      </c>
      <c r="G2759" t="s">
        <v>305</v>
      </c>
      <c r="H2759" t="s">
        <v>2015</v>
      </c>
      <c r="I2759" t="s">
        <v>2016</v>
      </c>
      <c r="J2759" t="s">
        <v>668</v>
      </c>
      <c r="K2759" s="3">
        <v>100323880379</v>
      </c>
      <c r="L2759" s="10">
        <v>41227</v>
      </c>
      <c r="M2759">
        <v>1115.2</v>
      </c>
      <c r="N2759" s="11">
        <v>41</v>
      </c>
      <c r="O2759" s="12">
        <v>29.89</v>
      </c>
      <c r="P2759" s="12">
        <v>1.99</v>
      </c>
      <c r="Q2759" s="13">
        <v>301.31</v>
      </c>
      <c r="R2759" s="36" t="s">
        <v>866</v>
      </c>
      <c r="S2759" s="7">
        <f t="shared" si="232"/>
        <v>1</v>
      </c>
      <c r="T2759" s="15" t="str">
        <f>VLOOKUP(R2759,产品分类!$C$2:$D$1278,2,0)</f>
        <v>办公用品</v>
      </c>
    </row>
    <row r="2760" spans="1:20">
      <c r="A2760" s="8">
        <f>DATE(2012,12,31)-1133</f>
        <v>40141</v>
      </c>
      <c r="B2760" s="8">
        <f>DATE(2012,12,31)-1133</f>
        <v>40141</v>
      </c>
      <c r="C2760" s="9" t="s">
        <v>2060</v>
      </c>
      <c r="D2760">
        <v>10021442409</v>
      </c>
      <c r="E2760" t="s">
        <v>47</v>
      </c>
      <c r="F2760" t="s">
        <v>61</v>
      </c>
      <c r="G2760" t="s">
        <v>62</v>
      </c>
      <c r="H2760" t="s">
        <v>47</v>
      </c>
      <c r="I2760" t="s">
        <v>1778</v>
      </c>
      <c r="J2760" t="s">
        <v>668</v>
      </c>
      <c r="K2760" s="3">
        <v>100732605095</v>
      </c>
      <c r="L2760" s="10">
        <v>40142</v>
      </c>
      <c r="M2760">
        <v>1959.92</v>
      </c>
      <c r="N2760" s="11">
        <v>16</v>
      </c>
      <c r="O2760" s="12">
        <v>124.49</v>
      </c>
      <c r="P2760" s="12">
        <v>51.94</v>
      </c>
      <c r="Q2760" s="13">
        <v>-374.96</v>
      </c>
      <c r="R2760" s="36" t="s">
        <v>237</v>
      </c>
      <c r="S2760" s="7">
        <f t="shared" si="232"/>
        <v>1</v>
      </c>
      <c r="T2760" s="15" t="str">
        <f>VLOOKUP(R2760,产品分类!$C$2:$D$1278,2,0)</f>
        <v>数码电子</v>
      </c>
    </row>
    <row r="2761" spans="1:20">
      <c r="A2761" s="8">
        <f>DATE(2012,12,31)-198</f>
        <v>41076</v>
      </c>
      <c r="B2761" s="8">
        <f>DATE(2012,12,31)-198</f>
        <v>41076</v>
      </c>
      <c r="C2761" s="9" t="s">
        <v>977</v>
      </c>
      <c r="D2761">
        <v>10021554498</v>
      </c>
      <c r="E2761" t="s">
        <v>47</v>
      </c>
      <c r="F2761" t="s">
        <v>72</v>
      </c>
      <c r="G2761" t="s">
        <v>73</v>
      </c>
      <c r="H2761" t="s">
        <v>2008</v>
      </c>
      <c r="I2761" t="s">
        <v>2009</v>
      </c>
      <c r="J2761" t="s">
        <v>668</v>
      </c>
      <c r="K2761" s="3">
        <v>100329421219</v>
      </c>
      <c r="L2761" s="10">
        <v>41078</v>
      </c>
      <c r="M2761">
        <v>97.86</v>
      </c>
      <c r="N2761" s="11">
        <v>6</v>
      </c>
      <c r="O2761" s="12">
        <v>14.98</v>
      </c>
      <c r="P2761" s="12">
        <v>8.99</v>
      </c>
      <c r="Q2761" s="13">
        <v>-21.09</v>
      </c>
      <c r="R2761" s="36" t="s">
        <v>757</v>
      </c>
      <c r="S2761" s="7">
        <f t="shared" si="232"/>
        <v>2</v>
      </c>
      <c r="T2761" s="15" t="str">
        <f>VLOOKUP(R2761,产品分类!$C$2:$D$1278,2,0)</f>
        <v>办公用品</v>
      </c>
    </row>
    <row r="2762" spans="1:20">
      <c r="A2762" s="8">
        <f>DATE(2012,12,31)-789</f>
        <v>40485</v>
      </c>
      <c r="B2762" s="8">
        <f>DATE(2012,12,31)-789</f>
        <v>40485</v>
      </c>
      <c r="C2762" s="9" t="s">
        <v>525</v>
      </c>
      <c r="D2762">
        <v>10021489961</v>
      </c>
      <c r="E2762" t="s">
        <v>47</v>
      </c>
      <c r="F2762" t="s">
        <v>114</v>
      </c>
      <c r="G2762" t="s">
        <v>115</v>
      </c>
      <c r="H2762" t="s">
        <v>2035</v>
      </c>
      <c r="I2762" t="s">
        <v>2036</v>
      </c>
      <c r="J2762" t="s">
        <v>668</v>
      </c>
      <c r="K2762" s="3">
        <v>100914558891</v>
      </c>
      <c r="L2762" s="10">
        <v>40487</v>
      </c>
      <c r="M2762">
        <v>3830.84</v>
      </c>
      <c r="N2762" s="11">
        <v>14</v>
      </c>
      <c r="O2762" s="12">
        <v>279.81</v>
      </c>
      <c r="P2762" s="12">
        <v>23.19</v>
      </c>
      <c r="Q2762" s="13">
        <v>635.33</v>
      </c>
      <c r="R2762" s="36" t="s">
        <v>720</v>
      </c>
      <c r="S2762" s="7">
        <f t="shared" si="232"/>
        <v>2</v>
      </c>
      <c r="T2762" s="15" t="str">
        <f>VLOOKUP(R2762,产品分类!$C$2:$D$1278,2,0)</f>
        <v>办公用品</v>
      </c>
    </row>
    <row r="2763" spans="1:20">
      <c r="A2763" s="8">
        <f>DATE(2012,12,31)-789</f>
        <v>40485</v>
      </c>
      <c r="B2763" s="8">
        <f>DATE(2012,12,31)-789</f>
        <v>40485</v>
      </c>
      <c r="C2763" s="9" t="s">
        <v>525</v>
      </c>
      <c r="D2763">
        <v>10021489724</v>
      </c>
      <c r="E2763" t="s">
        <v>47</v>
      </c>
      <c r="F2763" t="s">
        <v>91</v>
      </c>
      <c r="G2763" t="s">
        <v>92</v>
      </c>
      <c r="H2763" t="s">
        <v>2053</v>
      </c>
      <c r="I2763" t="s">
        <v>2054</v>
      </c>
      <c r="J2763" t="s">
        <v>668</v>
      </c>
      <c r="K2763" s="3">
        <v>100827877432</v>
      </c>
      <c r="L2763" s="10">
        <v>40487</v>
      </c>
      <c r="M2763">
        <v>267.43</v>
      </c>
      <c r="N2763" s="11">
        <v>22</v>
      </c>
      <c r="O2763" s="12">
        <v>12.28</v>
      </c>
      <c r="P2763" s="12">
        <v>6.13</v>
      </c>
      <c r="Q2763" s="13">
        <v>-45.98</v>
      </c>
      <c r="R2763" s="36" t="s">
        <v>1802</v>
      </c>
      <c r="S2763" s="7">
        <f t="shared" si="232"/>
        <v>2</v>
      </c>
      <c r="T2763" s="15" t="str">
        <f>VLOOKUP(R2763,产品分类!$C$2:$D$1278,2,0)</f>
        <v>办公用品</v>
      </c>
    </row>
    <row r="2764" spans="1:20">
      <c r="A2764" s="16">
        <f>DATE(2012,12,31)-1361</f>
        <v>39913</v>
      </c>
      <c r="B2764" s="16">
        <f>DATE(2012,12,31)-1361</f>
        <v>39913</v>
      </c>
      <c r="C2764" s="9" t="s">
        <v>136</v>
      </c>
      <c r="D2764">
        <v>10021360434</v>
      </c>
      <c r="E2764" t="s">
        <v>47</v>
      </c>
      <c r="F2764" t="s">
        <v>55</v>
      </c>
      <c r="G2764" t="s">
        <v>56</v>
      </c>
      <c r="H2764" t="s">
        <v>1869</v>
      </c>
      <c r="I2764" t="s">
        <v>1870</v>
      </c>
      <c r="J2764" t="s">
        <v>668</v>
      </c>
      <c r="K2764" s="3">
        <v>100825919112</v>
      </c>
      <c r="L2764" s="10">
        <v>39916</v>
      </c>
      <c r="M2764">
        <v>362.17</v>
      </c>
      <c r="N2764" s="17">
        <v>33</v>
      </c>
      <c r="O2764" s="5">
        <v>11.7</v>
      </c>
      <c r="P2764" s="5">
        <v>6.96</v>
      </c>
      <c r="Q2764" s="6">
        <v>-83.96</v>
      </c>
      <c r="R2764" s="37" t="s">
        <v>244</v>
      </c>
      <c r="S2764" s="7">
        <f t="shared" si="232"/>
        <v>3</v>
      </c>
      <c r="T2764" s="15" t="str">
        <f>VLOOKUP(R2764,产品分类!$C$2:$D$1278,2,0)</f>
        <v>办公用品</v>
      </c>
    </row>
    <row r="2765" spans="1:20">
      <c r="A2765" s="8">
        <f>DATE(2012,12,31)-141</f>
        <v>41133</v>
      </c>
      <c r="B2765" s="8">
        <f>DATE(2012,12,31)-141</f>
        <v>41133</v>
      </c>
      <c r="C2765" s="9" t="s">
        <v>1563</v>
      </c>
      <c r="D2765">
        <v>10021475013</v>
      </c>
      <c r="E2765" t="s">
        <v>47</v>
      </c>
      <c r="F2765" t="s">
        <v>171</v>
      </c>
      <c r="G2765" t="s">
        <v>172</v>
      </c>
      <c r="H2765" t="s">
        <v>2021</v>
      </c>
      <c r="I2765" t="s">
        <v>2022</v>
      </c>
      <c r="J2765" t="s">
        <v>668</v>
      </c>
      <c r="K2765" s="3">
        <v>100130679438</v>
      </c>
      <c r="L2765" s="10">
        <v>41134</v>
      </c>
      <c r="M2765">
        <v>41.03</v>
      </c>
      <c r="N2765" s="11">
        <v>9</v>
      </c>
      <c r="O2765" s="12">
        <v>4.77</v>
      </c>
      <c r="P2765" s="12">
        <v>2.39</v>
      </c>
      <c r="Q2765" s="13">
        <v>-30.47</v>
      </c>
      <c r="R2765" s="36" t="s">
        <v>1398</v>
      </c>
      <c r="S2765" s="7">
        <f t="shared" si="232"/>
        <v>1</v>
      </c>
      <c r="T2765" s="15" t="str">
        <f>VLOOKUP(R2765,产品分类!$C$2:$D$1278,2,0)</f>
        <v>办公用品</v>
      </c>
    </row>
    <row r="2766" spans="1:20">
      <c r="A2766" s="8">
        <f>DATE(2012,12,31)-336</f>
        <v>40938</v>
      </c>
      <c r="B2766" s="8">
        <f>DATE(2012,12,31)-336</f>
        <v>40938</v>
      </c>
      <c r="C2766" s="9" t="s">
        <v>2061</v>
      </c>
      <c r="D2766">
        <v>10021400161</v>
      </c>
      <c r="E2766" t="s">
        <v>47</v>
      </c>
      <c r="F2766" t="s">
        <v>167</v>
      </c>
      <c r="G2766" t="s">
        <v>168</v>
      </c>
      <c r="H2766" t="s">
        <v>169</v>
      </c>
      <c r="I2766" t="s">
        <v>168</v>
      </c>
      <c r="J2766" t="s">
        <v>668</v>
      </c>
      <c r="K2766" s="3">
        <v>100932654551</v>
      </c>
      <c r="L2766" s="10">
        <v>40939</v>
      </c>
      <c r="M2766">
        <v>796.08</v>
      </c>
      <c r="N2766" s="11">
        <v>39</v>
      </c>
      <c r="O2766" s="12">
        <v>19.98</v>
      </c>
      <c r="P2766" s="12">
        <v>4</v>
      </c>
      <c r="Q2766" s="13">
        <v>30.29</v>
      </c>
      <c r="R2766" s="36" t="s">
        <v>846</v>
      </c>
      <c r="S2766" s="7">
        <f t="shared" si="232"/>
        <v>1</v>
      </c>
      <c r="T2766" s="15" t="str">
        <f>VLOOKUP(R2766,产品分类!$C$2:$D$1278,2,0)</f>
        <v>数码电子</v>
      </c>
    </row>
    <row r="2767" spans="1:20">
      <c r="A2767" s="8">
        <f>DATE(2012,12,31)-336</f>
        <v>40938</v>
      </c>
      <c r="B2767" s="8">
        <f>DATE(2012,12,31)-336</f>
        <v>40938</v>
      </c>
      <c r="C2767" s="9" t="s">
        <v>2061</v>
      </c>
      <c r="D2767">
        <v>10021522605</v>
      </c>
      <c r="E2767" t="s">
        <v>47</v>
      </c>
      <c r="F2767" t="s">
        <v>66</v>
      </c>
      <c r="G2767" t="s">
        <v>67</v>
      </c>
      <c r="H2767" t="s">
        <v>1435</v>
      </c>
      <c r="I2767" t="s">
        <v>1436</v>
      </c>
      <c r="J2767" t="s">
        <v>668</v>
      </c>
      <c r="K2767" s="3">
        <v>10019942196</v>
      </c>
      <c r="L2767" s="10">
        <v>40940</v>
      </c>
      <c r="M2767">
        <v>141.9755</v>
      </c>
      <c r="N2767" s="11">
        <v>5</v>
      </c>
      <c r="O2767" s="12">
        <v>35.99</v>
      </c>
      <c r="P2767" s="12">
        <v>0.99</v>
      </c>
      <c r="Q2767" s="13">
        <v>-88.935</v>
      </c>
      <c r="R2767" s="36" t="s">
        <v>685</v>
      </c>
      <c r="S2767" s="7">
        <f t="shared" si="232"/>
        <v>2</v>
      </c>
      <c r="T2767" s="15" t="str">
        <f>VLOOKUP(R2767,产品分类!$C$2:$D$1278,2,0)</f>
        <v>办公用品</v>
      </c>
    </row>
    <row r="2768" spans="1:20">
      <c r="A2768" s="8">
        <f>DATE(2012,12,31)-1244</f>
        <v>40030</v>
      </c>
      <c r="B2768" s="8">
        <f>DATE(2012,12,31)-1244</f>
        <v>40030</v>
      </c>
      <c r="C2768" s="9" t="s">
        <v>867</v>
      </c>
      <c r="D2768">
        <v>10021547097</v>
      </c>
      <c r="E2768" t="s">
        <v>47</v>
      </c>
      <c r="F2768" t="s">
        <v>48</v>
      </c>
      <c r="G2768" t="s">
        <v>49</v>
      </c>
      <c r="H2768" t="s">
        <v>2032</v>
      </c>
      <c r="I2768" t="s">
        <v>2033</v>
      </c>
      <c r="J2768" t="s">
        <v>668</v>
      </c>
      <c r="K2768" s="3">
        <v>10018014827</v>
      </c>
      <c r="L2768" s="10">
        <v>40031</v>
      </c>
      <c r="M2768">
        <v>82.61</v>
      </c>
      <c r="N2768" s="11">
        <v>49</v>
      </c>
      <c r="O2768" s="12">
        <v>1.68</v>
      </c>
      <c r="P2768" s="12">
        <v>1.57</v>
      </c>
      <c r="Q2768" s="13">
        <v>-46.25</v>
      </c>
      <c r="R2768" s="36" t="s">
        <v>881</v>
      </c>
      <c r="S2768" s="7">
        <f t="shared" si="232"/>
        <v>1</v>
      </c>
      <c r="T2768" s="15" t="str">
        <f>VLOOKUP(R2768,产品分类!$C$2:$D$1278,2,0)</f>
        <v>家具产品</v>
      </c>
    </row>
    <row r="2769" spans="1:20">
      <c r="A2769" s="8">
        <f>DATE(2012,12,31)-56</f>
        <v>41218</v>
      </c>
      <c r="B2769" s="8">
        <f>DATE(2012,12,31)-56</f>
        <v>41218</v>
      </c>
      <c r="C2769" s="9" t="s">
        <v>808</v>
      </c>
      <c r="D2769">
        <v>10021250021</v>
      </c>
      <c r="E2769" t="s">
        <v>47</v>
      </c>
      <c r="F2769" t="s">
        <v>152</v>
      </c>
      <c r="G2769" t="s">
        <v>153</v>
      </c>
      <c r="H2769" t="s">
        <v>1860</v>
      </c>
      <c r="I2769" t="s">
        <v>1861</v>
      </c>
      <c r="J2769" t="s">
        <v>668</v>
      </c>
      <c r="K2769" s="3">
        <v>100713345365</v>
      </c>
      <c r="L2769" s="10">
        <v>41220</v>
      </c>
      <c r="M2769">
        <v>137.38</v>
      </c>
      <c r="N2769" s="11">
        <v>8</v>
      </c>
      <c r="O2769" s="12">
        <v>17.48</v>
      </c>
      <c r="P2769" s="12">
        <v>1.99</v>
      </c>
      <c r="Q2769" s="13">
        <v>-11.39</v>
      </c>
      <c r="R2769" s="36" t="s">
        <v>1327</v>
      </c>
      <c r="S2769" s="7">
        <f t="shared" si="232"/>
        <v>2</v>
      </c>
      <c r="T2769" s="15" t="str">
        <f>VLOOKUP(R2769,产品分类!$C$2:$D$1278,2,0)</f>
        <v>数码电子</v>
      </c>
    </row>
    <row r="2770" spans="1:20">
      <c r="A2770" s="8">
        <f>DATE(2012,12,31)-955</f>
        <v>40319</v>
      </c>
      <c r="B2770" s="8">
        <f>DATE(2012,12,31)-955</f>
        <v>40319</v>
      </c>
      <c r="C2770" s="9" t="s">
        <v>948</v>
      </c>
      <c r="D2770">
        <v>10021429398</v>
      </c>
      <c r="E2770" t="s">
        <v>47</v>
      </c>
      <c r="F2770" t="s">
        <v>48</v>
      </c>
      <c r="G2770" t="s">
        <v>49</v>
      </c>
      <c r="H2770" t="s">
        <v>2032</v>
      </c>
      <c r="I2770" t="s">
        <v>2033</v>
      </c>
      <c r="J2770" t="s">
        <v>668</v>
      </c>
      <c r="K2770" s="3">
        <v>100931575171</v>
      </c>
      <c r="L2770" s="10">
        <v>40321</v>
      </c>
      <c r="M2770">
        <v>2543.95</v>
      </c>
      <c r="N2770" s="11">
        <v>5</v>
      </c>
      <c r="O2770" s="12">
        <v>499.99</v>
      </c>
      <c r="P2770" s="12">
        <v>24.49</v>
      </c>
      <c r="Q2770" s="13">
        <v>-1011.32</v>
      </c>
      <c r="R2770" s="36" t="s">
        <v>1171</v>
      </c>
      <c r="S2770" s="7">
        <f t="shared" si="232"/>
        <v>2</v>
      </c>
      <c r="T2770" s="15" t="str">
        <f>VLOOKUP(R2770,产品分类!$C$2:$D$1278,2,0)</f>
        <v>办公用品</v>
      </c>
    </row>
    <row r="2771" spans="1:20">
      <c r="A2771" s="8">
        <f t="shared" ref="A2771:B2774" si="233">DATE(2012,12,31)-757</f>
        <v>40517</v>
      </c>
      <c r="B2771" s="8">
        <f t="shared" si="233"/>
        <v>40517</v>
      </c>
      <c r="C2771" s="9" t="s">
        <v>1882</v>
      </c>
      <c r="D2771">
        <v>10021258172</v>
      </c>
      <c r="E2771" t="s">
        <v>47</v>
      </c>
      <c r="F2771" t="s">
        <v>66</v>
      </c>
      <c r="G2771" t="s">
        <v>67</v>
      </c>
      <c r="H2771" t="s">
        <v>1435</v>
      </c>
      <c r="I2771" t="s">
        <v>1436</v>
      </c>
      <c r="J2771" t="s">
        <v>668</v>
      </c>
      <c r="K2771" s="3">
        <v>100410657083</v>
      </c>
      <c r="L2771" s="10">
        <v>40520</v>
      </c>
      <c r="M2771">
        <v>4371.92</v>
      </c>
      <c r="N2771" s="11">
        <v>28</v>
      </c>
      <c r="O2771" s="12">
        <v>150.98</v>
      </c>
      <c r="P2771" s="12">
        <v>66.27</v>
      </c>
      <c r="Q2771" s="13">
        <v>-533.44</v>
      </c>
      <c r="R2771" s="36" t="s">
        <v>1166</v>
      </c>
      <c r="S2771" s="7">
        <f t="shared" si="232"/>
        <v>3</v>
      </c>
      <c r="T2771" s="15" t="str">
        <f>VLOOKUP(R2771,产品分类!$C$2:$D$1278,2,0)</f>
        <v>办公用品</v>
      </c>
    </row>
    <row r="2772" spans="1:20">
      <c r="A2772" s="8">
        <f t="shared" si="233"/>
        <v>40517</v>
      </c>
      <c r="B2772" s="8">
        <f t="shared" si="233"/>
        <v>40517</v>
      </c>
      <c r="C2772" s="9" t="s">
        <v>1882</v>
      </c>
      <c r="D2772">
        <v>10021555218</v>
      </c>
      <c r="E2772" t="s">
        <v>47</v>
      </c>
      <c r="F2772" t="s">
        <v>66</v>
      </c>
      <c r="G2772" t="s">
        <v>67</v>
      </c>
      <c r="H2772" t="s">
        <v>2062</v>
      </c>
      <c r="I2772" t="s">
        <v>2063</v>
      </c>
      <c r="J2772" t="s">
        <v>668</v>
      </c>
      <c r="K2772" s="3">
        <v>100113242918</v>
      </c>
      <c r="L2772" s="10">
        <v>40519</v>
      </c>
      <c r="M2772">
        <v>1745.118</v>
      </c>
      <c r="N2772" s="11">
        <v>21</v>
      </c>
      <c r="O2772" s="12">
        <v>95.99</v>
      </c>
      <c r="P2772" s="12">
        <v>4.9</v>
      </c>
      <c r="Q2772" s="13">
        <v>307.251</v>
      </c>
      <c r="R2772" s="36" t="s">
        <v>509</v>
      </c>
      <c r="S2772" s="7">
        <f t="shared" si="232"/>
        <v>2</v>
      </c>
      <c r="T2772" s="15" t="str">
        <f>VLOOKUP(R2772,产品分类!$C$2:$D$1278,2,0)</f>
        <v>数码电子</v>
      </c>
    </row>
    <row r="2773" spans="1:20">
      <c r="A2773" s="16">
        <f t="shared" si="233"/>
        <v>40517</v>
      </c>
      <c r="B2773" s="16">
        <f t="shared" si="233"/>
        <v>40517</v>
      </c>
      <c r="C2773" s="9" t="s">
        <v>1882</v>
      </c>
      <c r="D2773">
        <v>10021523595</v>
      </c>
      <c r="E2773" t="s">
        <v>47</v>
      </c>
      <c r="F2773" t="s">
        <v>66</v>
      </c>
      <c r="G2773" t="s">
        <v>67</v>
      </c>
      <c r="H2773" t="s">
        <v>2062</v>
      </c>
      <c r="I2773" t="s">
        <v>2063</v>
      </c>
      <c r="J2773" t="s">
        <v>668</v>
      </c>
      <c r="K2773" s="3">
        <v>100411671554</v>
      </c>
      <c r="L2773" s="10">
        <v>40517</v>
      </c>
      <c r="M2773">
        <v>290.46</v>
      </c>
      <c r="N2773" s="17">
        <v>25</v>
      </c>
      <c r="O2773" s="5">
        <v>11.97</v>
      </c>
      <c r="P2773" s="5">
        <v>4.98</v>
      </c>
      <c r="Q2773" s="6">
        <v>-31.55</v>
      </c>
      <c r="R2773" s="37" t="s">
        <v>1833</v>
      </c>
      <c r="S2773" s="7">
        <f t="shared" si="232"/>
        <v>0</v>
      </c>
      <c r="T2773" s="15" t="str">
        <f>VLOOKUP(R2773,产品分类!$C$2:$D$1278,2,0)</f>
        <v>办公用品</v>
      </c>
    </row>
    <row r="2774" spans="1:20">
      <c r="A2774" s="8">
        <f t="shared" si="233"/>
        <v>40517</v>
      </c>
      <c r="B2774" s="8">
        <f t="shared" si="233"/>
        <v>40517</v>
      </c>
      <c r="C2774" s="9" t="s">
        <v>1882</v>
      </c>
      <c r="D2774">
        <v>10021446474</v>
      </c>
      <c r="E2774" t="s">
        <v>47</v>
      </c>
      <c r="F2774" t="s">
        <v>48</v>
      </c>
      <c r="G2774" t="s">
        <v>49</v>
      </c>
      <c r="H2774" t="s">
        <v>2032</v>
      </c>
      <c r="I2774" t="s">
        <v>2033</v>
      </c>
      <c r="J2774" t="s">
        <v>668</v>
      </c>
      <c r="K2774" s="3">
        <v>100419443694</v>
      </c>
      <c r="L2774" s="10">
        <v>40519</v>
      </c>
      <c r="M2774">
        <v>1207.4</v>
      </c>
      <c r="N2774" s="11">
        <v>44</v>
      </c>
      <c r="O2774" s="12">
        <v>26.31</v>
      </c>
      <c r="P2774" s="12">
        <v>5.89</v>
      </c>
      <c r="Q2774" s="13">
        <v>-25.23</v>
      </c>
      <c r="R2774" s="36" t="s">
        <v>1352</v>
      </c>
      <c r="S2774" s="7">
        <f t="shared" si="232"/>
        <v>2</v>
      </c>
      <c r="T2774" s="15" t="str">
        <f>VLOOKUP(R2774,产品分类!$C$2:$D$1278,2,0)</f>
        <v>数码电子</v>
      </c>
    </row>
    <row r="2775" spans="1:20">
      <c r="A2775" s="8">
        <f>DATE(2012,12,31)-1451</f>
        <v>39823</v>
      </c>
      <c r="B2775" s="8">
        <f>DATE(2012,12,31)-1451</f>
        <v>39823</v>
      </c>
      <c r="C2775" s="9" t="s">
        <v>1342</v>
      </c>
      <c r="D2775">
        <v>10021512174</v>
      </c>
      <c r="E2775" t="s">
        <v>47</v>
      </c>
      <c r="F2775" t="s">
        <v>48</v>
      </c>
      <c r="G2775" t="s">
        <v>49</v>
      </c>
      <c r="H2775" t="s">
        <v>2032</v>
      </c>
      <c r="I2775" t="s">
        <v>2033</v>
      </c>
      <c r="J2775" t="s">
        <v>668</v>
      </c>
      <c r="K2775" s="3">
        <v>100332853829</v>
      </c>
      <c r="L2775" s="10">
        <v>39828</v>
      </c>
      <c r="M2775">
        <v>1009.42</v>
      </c>
      <c r="N2775" s="11">
        <v>35</v>
      </c>
      <c r="O2775" s="12">
        <v>29.18</v>
      </c>
      <c r="P2775" s="12">
        <v>8.55</v>
      </c>
      <c r="Q2775" s="13">
        <v>339.58</v>
      </c>
      <c r="R2775" s="36" t="s">
        <v>912</v>
      </c>
      <c r="S2775" s="7">
        <f t="shared" si="232"/>
        <v>5</v>
      </c>
      <c r="T2775" s="15" t="str">
        <f>VLOOKUP(R2775,产品分类!$C$2:$D$1278,2,0)</f>
        <v>办公用品</v>
      </c>
    </row>
    <row r="2776" spans="1:20">
      <c r="A2776" s="8">
        <f>DATE(2012,12,31)-1451</f>
        <v>39823</v>
      </c>
      <c r="B2776" s="8">
        <f>DATE(2012,12,31)-1451</f>
        <v>39823</v>
      </c>
      <c r="C2776" s="9" t="s">
        <v>1342</v>
      </c>
      <c r="D2776">
        <v>10021345025</v>
      </c>
      <c r="E2776" t="s">
        <v>47</v>
      </c>
      <c r="F2776" t="s">
        <v>78</v>
      </c>
      <c r="G2776" t="s">
        <v>79</v>
      </c>
      <c r="H2776" t="s">
        <v>1887</v>
      </c>
      <c r="I2776" t="s">
        <v>1888</v>
      </c>
      <c r="J2776" t="s">
        <v>668</v>
      </c>
      <c r="K2776" s="3">
        <v>100413377964</v>
      </c>
      <c r="L2776" s="10">
        <v>39828</v>
      </c>
      <c r="M2776">
        <v>15137.11</v>
      </c>
      <c r="N2776" s="11">
        <v>49</v>
      </c>
      <c r="O2776" s="12">
        <v>297.64</v>
      </c>
      <c r="P2776" s="12">
        <v>14.7</v>
      </c>
      <c r="Q2776" s="13">
        <v>4913.16</v>
      </c>
      <c r="R2776" s="36" t="s">
        <v>2064</v>
      </c>
      <c r="S2776" s="7">
        <f t="shared" si="232"/>
        <v>5</v>
      </c>
      <c r="T2776" s="15" t="str">
        <f>VLOOKUP(R2776,产品分类!$C$2:$D$1278,2,0)</f>
        <v>家具产品</v>
      </c>
    </row>
    <row r="2777" spans="1:20">
      <c r="A2777" s="8">
        <f>DATE(2012,12,31)-1039</f>
        <v>40235</v>
      </c>
      <c r="B2777" s="8">
        <f>DATE(2012,12,31)-1039</f>
        <v>40235</v>
      </c>
      <c r="C2777" s="9" t="s">
        <v>1537</v>
      </c>
      <c r="D2777">
        <v>10021496522</v>
      </c>
      <c r="E2777" t="s">
        <v>47</v>
      </c>
      <c r="F2777" t="s">
        <v>72</v>
      </c>
      <c r="G2777" t="s">
        <v>73</v>
      </c>
      <c r="H2777" t="s">
        <v>2008</v>
      </c>
      <c r="I2777" t="s">
        <v>2009</v>
      </c>
      <c r="J2777" t="s">
        <v>668</v>
      </c>
      <c r="K2777" s="3">
        <v>100911701731</v>
      </c>
      <c r="L2777" s="10">
        <v>40237</v>
      </c>
      <c r="M2777">
        <v>173.44</v>
      </c>
      <c r="N2777" s="11">
        <v>42</v>
      </c>
      <c r="O2777" s="12">
        <v>4.14</v>
      </c>
      <c r="P2777" s="12">
        <v>6.6</v>
      </c>
      <c r="Q2777" s="13">
        <v>-172.4</v>
      </c>
      <c r="R2777" s="36" t="s">
        <v>1766</v>
      </c>
      <c r="S2777" s="7">
        <f t="shared" si="232"/>
        <v>2</v>
      </c>
      <c r="T2777" s="15" t="str">
        <f>VLOOKUP(R2777,产品分类!$C$2:$D$1278,2,0)</f>
        <v>办公用品</v>
      </c>
    </row>
    <row r="2778" spans="1:20">
      <c r="A2778" s="8">
        <f>DATE(2012,12,31)-120</f>
        <v>41154</v>
      </c>
      <c r="B2778" s="8">
        <f>DATE(2012,12,31)-120</f>
        <v>41154</v>
      </c>
      <c r="C2778" s="9" t="s">
        <v>2065</v>
      </c>
      <c r="D2778">
        <v>10021447827</v>
      </c>
      <c r="E2778" t="s">
        <v>47</v>
      </c>
      <c r="F2778" t="s">
        <v>72</v>
      </c>
      <c r="G2778" t="s">
        <v>73</v>
      </c>
      <c r="H2778" t="s">
        <v>2008</v>
      </c>
      <c r="I2778" t="s">
        <v>2009</v>
      </c>
      <c r="J2778" t="s">
        <v>668</v>
      </c>
      <c r="K2778" s="3">
        <v>100124582298</v>
      </c>
      <c r="L2778" s="10">
        <v>41155</v>
      </c>
      <c r="M2778">
        <v>40.79</v>
      </c>
      <c r="N2778" s="11">
        <v>3</v>
      </c>
      <c r="O2778" s="12">
        <v>11.58</v>
      </c>
      <c r="P2778" s="12">
        <v>5.72</v>
      </c>
      <c r="Q2778" s="13">
        <v>-11.69</v>
      </c>
      <c r="R2778" s="36" t="s">
        <v>1022</v>
      </c>
      <c r="S2778" s="7">
        <f t="shared" si="232"/>
        <v>1</v>
      </c>
      <c r="T2778" s="15" t="str">
        <f>VLOOKUP(R2778,产品分类!$C$2:$D$1278,2,0)</f>
        <v>办公用品</v>
      </c>
    </row>
    <row r="2779" spans="1:20">
      <c r="A2779" s="8">
        <f>DATE(2012,12,31)-120</f>
        <v>41154</v>
      </c>
      <c r="B2779" s="8">
        <f>DATE(2012,12,31)-120</f>
        <v>41154</v>
      </c>
      <c r="C2779" s="9" t="s">
        <v>2065</v>
      </c>
      <c r="D2779">
        <v>10021253043</v>
      </c>
      <c r="E2779" t="s">
        <v>47</v>
      </c>
      <c r="F2779" t="s">
        <v>78</v>
      </c>
      <c r="G2779" t="s">
        <v>79</v>
      </c>
      <c r="H2779" t="s">
        <v>1887</v>
      </c>
      <c r="I2779" t="s">
        <v>1888</v>
      </c>
      <c r="J2779" t="s">
        <v>668</v>
      </c>
      <c r="K2779" s="3">
        <v>100417523714</v>
      </c>
      <c r="L2779" s="10">
        <v>41156</v>
      </c>
      <c r="M2779">
        <v>524.25</v>
      </c>
      <c r="N2779" s="11">
        <v>16</v>
      </c>
      <c r="O2779" s="12">
        <v>30.98</v>
      </c>
      <c r="P2779" s="12">
        <v>8.74</v>
      </c>
      <c r="Q2779" s="13">
        <v>124.18</v>
      </c>
      <c r="R2779" s="36" t="s">
        <v>496</v>
      </c>
      <c r="S2779" s="7">
        <f t="shared" si="232"/>
        <v>2</v>
      </c>
      <c r="T2779" s="15" t="str">
        <f>VLOOKUP(R2779,产品分类!$C$2:$D$1278,2,0)</f>
        <v>办公用品</v>
      </c>
    </row>
    <row r="2780" spans="1:20">
      <c r="A2780" s="8">
        <f>DATE(2012,12,31)-672</f>
        <v>40602</v>
      </c>
      <c r="B2780" s="8">
        <f>DATE(2012,12,31)-672</f>
        <v>40602</v>
      </c>
      <c r="C2780" s="9" t="s">
        <v>2066</v>
      </c>
      <c r="D2780">
        <v>10021461317</v>
      </c>
      <c r="E2780" t="s">
        <v>47</v>
      </c>
      <c r="F2780" t="s">
        <v>72</v>
      </c>
      <c r="G2780" t="s">
        <v>73</v>
      </c>
      <c r="H2780" t="s">
        <v>2008</v>
      </c>
      <c r="I2780" t="s">
        <v>2009</v>
      </c>
      <c r="J2780" t="s">
        <v>668</v>
      </c>
      <c r="K2780" s="3">
        <v>100914818351</v>
      </c>
      <c r="L2780" s="10">
        <v>40603</v>
      </c>
      <c r="M2780">
        <v>53.18</v>
      </c>
      <c r="N2780" s="11">
        <v>9</v>
      </c>
      <c r="O2780" s="12">
        <v>5.53</v>
      </c>
      <c r="P2780" s="12">
        <v>6.98</v>
      </c>
      <c r="Q2780" s="13">
        <v>-46.1265</v>
      </c>
      <c r="R2780" s="36" t="s">
        <v>1566</v>
      </c>
      <c r="S2780" s="7">
        <f t="shared" si="232"/>
        <v>1</v>
      </c>
      <c r="T2780" s="15" t="str">
        <f>VLOOKUP(R2780,产品分类!$C$2:$D$1278,2,0)</f>
        <v>数码电子</v>
      </c>
    </row>
    <row r="2781" spans="1:20">
      <c r="A2781" s="8">
        <f>DATE(2012,12,31)-1192</f>
        <v>40082</v>
      </c>
      <c r="B2781" s="8">
        <f>DATE(2012,12,31)-1192</f>
        <v>40082</v>
      </c>
      <c r="C2781" s="9" t="s">
        <v>714</v>
      </c>
      <c r="D2781">
        <v>10021332176</v>
      </c>
      <c r="E2781" t="s">
        <v>47</v>
      </c>
      <c r="F2781" t="s">
        <v>72</v>
      </c>
      <c r="G2781" t="s">
        <v>73</v>
      </c>
      <c r="H2781" t="s">
        <v>2008</v>
      </c>
      <c r="I2781" t="s">
        <v>2009</v>
      </c>
      <c r="J2781" t="s">
        <v>668</v>
      </c>
      <c r="K2781" s="3">
        <v>10094396711</v>
      </c>
      <c r="L2781" s="10">
        <v>40084</v>
      </c>
      <c r="M2781">
        <v>247.15</v>
      </c>
      <c r="N2781" s="11">
        <v>6</v>
      </c>
      <c r="O2781" s="12">
        <v>40.89</v>
      </c>
      <c r="P2781" s="12">
        <v>18.98</v>
      </c>
      <c r="Q2781" s="13">
        <v>-88.35</v>
      </c>
      <c r="R2781" s="36" t="s">
        <v>670</v>
      </c>
      <c r="S2781" s="7">
        <f t="shared" si="232"/>
        <v>2</v>
      </c>
      <c r="T2781" s="15" t="str">
        <f>VLOOKUP(R2781,产品分类!$C$2:$D$1278,2,0)</f>
        <v>办公用品</v>
      </c>
    </row>
    <row r="2782" spans="1:20">
      <c r="A2782" s="8">
        <f>DATE(2012,12,31)-471</f>
        <v>40803</v>
      </c>
      <c r="B2782" s="8">
        <f>DATE(2012,12,31)-471</f>
        <v>40803</v>
      </c>
      <c r="C2782" s="9" t="s">
        <v>2067</v>
      </c>
      <c r="D2782">
        <v>10021422612</v>
      </c>
      <c r="E2782" t="s">
        <v>47</v>
      </c>
      <c r="F2782" t="s">
        <v>72</v>
      </c>
      <c r="G2782" t="s">
        <v>73</v>
      </c>
      <c r="H2782" t="s">
        <v>2008</v>
      </c>
      <c r="I2782" t="s">
        <v>2009</v>
      </c>
      <c r="J2782" t="s">
        <v>668</v>
      </c>
      <c r="K2782" s="3">
        <v>100127131637</v>
      </c>
      <c r="L2782" s="10">
        <v>40805</v>
      </c>
      <c r="M2782">
        <v>789.94</v>
      </c>
      <c r="N2782" s="11">
        <v>31</v>
      </c>
      <c r="O2782" s="12">
        <v>25.98</v>
      </c>
      <c r="P2782" s="12">
        <v>14.36</v>
      </c>
      <c r="Q2782" s="13">
        <v>-190.41</v>
      </c>
      <c r="R2782" s="36" t="s">
        <v>1510</v>
      </c>
      <c r="S2782" s="7">
        <f t="shared" si="232"/>
        <v>2</v>
      </c>
      <c r="T2782" s="15" t="str">
        <f>VLOOKUP(R2782,产品分类!$C$2:$D$1278,2,0)</f>
        <v>办公用品</v>
      </c>
    </row>
    <row r="2783" spans="1:20">
      <c r="A2783" s="8">
        <f>DATE(2012,12,31)-134</f>
        <v>41140</v>
      </c>
      <c r="B2783" s="8">
        <f>DATE(2012,12,31)-134</f>
        <v>41140</v>
      </c>
      <c r="C2783" s="9" t="s">
        <v>1263</v>
      </c>
      <c r="D2783">
        <v>10021250127</v>
      </c>
      <c r="E2783" t="s">
        <v>47</v>
      </c>
      <c r="F2783" t="s">
        <v>230</v>
      </c>
      <c r="G2783" t="s">
        <v>231</v>
      </c>
      <c r="H2783" t="s">
        <v>1798</v>
      </c>
      <c r="I2783" t="s">
        <v>1799</v>
      </c>
      <c r="J2783" t="s">
        <v>668</v>
      </c>
      <c r="K2783" s="3">
        <v>10032410229</v>
      </c>
      <c r="L2783" s="10">
        <v>41145</v>
      </c>
      <c r="M2783">
        <v>6116.11</v>
      </c>
      <c r="N2783" s="11">
        <v>35</v>
      </c>
      <c r="O2783" s="12">
        <v>179.29</v>
      </c>
      <c r="P2783" s="12">
        <v>29.21</v>
      </c>
      <c r="Q2783" s="13">
        <v>91.57</v>
      </c>
      <c r="R2783" s="36" t="s">
        <v>629</v>
      </c>
      <c r="S2783" s="7">
        <f t="shared" si="232"/>
        <v>5</v>
      </c>
      <c r="T2783" s="15" t="str">
        <f>VLOOKUP(R2783,产品分类!$C$2:$D$1278,2,0)</f>
        <v>办公用品</v>
      </c>
    </row>
    <row r="2784" spans="1:20">
      <c r="A2784" s="8">
        <f>DATE(2012,12,31)-389</f>
        <v>40885</v>
      </c>
      <c r="B2784" s="8">
        <f>DATE(2012,12,31)-389</f>
        <v>40885</v>
      </c>
      <c r="C2784" s="9" t="s">
        <v>1685</v>
      </c>
      <c r="D2784">
        <v>10021349035</v>
      </c>
      <c r="E2784" t="s">
        <v>47</v>
      </c>
      <c r="F2784" t="s">
        <v>473</v>
      </c>
      <c r="G2784" t="s">
        <v>474</v>
      </c>
      <c r="H2784" t="s">
        <v>475</v>
      </c>
      <c r="I2784" t="s">
        <v>476</v>
      </c>
      <c r="J2784" t="s">
        <v>668</v>
      </c>
      <c r="K2784" s="3">
        <v>100431818423</v>
      </c>
      <c r="L2784" s="10">
        <v>40887</v>
      </c>
      <c r="M2784">
        <v>183.32</v>
      </c>
      <c r="N2784" s="11">
        <v>11</v>
      </c>
      <c r="O2784" s="12">
        <v>15.99</v>
      </c>
      <c r="P2784" s="12">
        <v>9.4</v>
      </c>
      <c r="Q2784" s="13">
        <v>-61.1001</v>
      </c>
      <c r="R2784" s="36" t="s">
        <v>349</v>
      </c>
      <c r="S2784" s="7">
        <f t="shared" si="232"/>
        <v>2</v>
      </c>
      <c r="T2784" s="15" t="str">
        <f>VLOOKUP(R2784,产品分类!$C$2:$D$1278,2,0)</f>
        <v>数码电子</v>
      </c>
    </row>
    <row r="2785" spans="1:20">
      <c r="A2785" s="8">
        <f>DATE(2012,12,31)-389</f>
        <v>40885</v>
      </c>
      <c r="B2785" s="8">
        <f>DATE(2012,12,31)-389</f>
        <v>40885</v>
      </c>
      <c r="C2785" s="9" t="s">
        <v>1685</v>
      </c>
      <c r="D2785">
        <v>10021423887</v>
      </c>
      <c r="E2785" t="s">
        <v>47</v>
      </c>
      <c r="F2785" t="s">
        <v>473</v>
      </c>
      <c r="G2785" t="s">
        <v>474</v>
      </c>
      <c r="H2785" t="s">
        <v>475</v>
      </c>
      <c r="I2785" t="s">
        <v>476</v>
      </c>
      <c r="J2785" t="s">
        <v>668</v>
      </c>
      <c r="K2785" s="3">
        <v>100428331553</v>
      </c>
      <c r="L2785" s="10">
        <v>40885</v>
      </c>
      <c r="M2785">
        <v>194.11</v>
      </c>
      <c r="N2785" s="11">
        <v>8</v>
      </c>
      <c r="O2785" s="12">
        <v>22.72</v>
      </c>
      <c r="P2785" s="12">
        <v>8.99</v>
      </c>
      <c r="Q2785" s="13">
        <v>87.66</v>
      </c>
      <c r="R2785" s="36" t="s">
        <v>972</v>
      </c>
      <c r="S2785" s="7">
        <f t="shared" si="232"/>
        <v>0</v>
      </c>
      <c r="T2785" s="15" t="str">
        <f>VLOOKUP(R2785,产品分类!$C$2:$D$1278,2,0)</f>
        <v>办公用品</v>
      </c>
    </row>
    <row r="2786" spans="1:20">
      <c r="A2786" s="8">
        <f>DATE(2012,12,31)-575</f>
        <v>40699</v>
      </c>
      <c r="B2786" s="8">
        <f>DATE(2012,12,31)-575</f>
        <v>40699</v>
      </c>
      <c r="C2786" s="9" t="s">
        <v>953</v>
      </c>
      <c r="D2786">
        <v>10021444672</v>
      </c>
      <c r="E2786" t="s">
        <v>47</v>
      </c>
      <c r="F2786" t="s">
        <v>55</v>
      </c>
      <c r="G2786" t="s">
        <v>56</v>
      </c>
      <c r="H2786" t="s">
        <v>1869</v>
      </c>
      <c r="I2786" t="s">
        <v>1870</v>
      </c>
      <c r="J2786" t="s">
        <v>668</v>
      </c>
      <c r="K2786" s="3">
        <v>10076587905</v>
      </c>
      <c r="L2786" s="10">
        <v>40700</v>
      </c>
      <c r="M2786">
        <v>333.3</v>
      </c>
      <c r="N2786" s="11">
        <v>15</v>
      </c>
      <c r="O2786" s="12">
        <v>22.24</v>
      </c>
      <c r="P2786" s="12">
        <v>1.99</v>
      </c>
      <c r="Q2786" s="13">
        <v>71.04</v>
      </c>
      <c r="R2786" s="36" t="s">
        <v>1479</v>
      </c>
      <c r="S2786" s="7">
        <f t="shared" si="232"/>
        <v>1</v>
      </c>
      <c r="T2786" s="15" t="str">
        <f>VLOOKUP(R2786,产品分类!$C$2:$D$1278,2,0)</f>
        <v>数码电子</v>
      </c>
    </row>
    <row r="2787" spans="1:20">
      <c r="A2787" s="8">
        <f>DATE(2012,12,31)-1054</f>
        <v>40220</v>
      </c>
      <c r="B2787" s="8">
        <f>DATE(2012,12,31)-1054</f>
        <v>40220</v>
      </c>
      <c r="C2787" s="9" t="s">
        <v>341</v>
      </c>
      <c r="D2787">
        <v>10021389706</v>
      </c>
      <c r="E2787" t="s">
        <v>47</v>
      </c>
      <c r="F2787" t="s">
        <v>91</v>
      </c>
      <c r="G2787" t="s">
        <v>92</v>
      </c>
      <c r="H2787" t="s">
        <v>2053</v>
      </c>
      <c r="I2787" t="s">
        <v>2054</v>
      </c>
      <c r="J2787" t="s">
        <v>668</v>
      </c>
      <c r="K2787" s="3">
        <v>100415710303</v>
      </c>
      <c r="L2787" s="10">
        <v>40221</v>
      </c>
      <c r="M2787">
        <v>314.93</v>
      </c>
      <c r="N2787" s="11">
        <v>30</v>
      </c>
      <c r="O2787" s="12">
        <v>9.99</v>
      </c>
      <c r="P2787" s="12">
        <v>6.24</v>
      </c>
      <c r="Q2787" s="13">
        <v>-17.5044</v>
      </c>
      <c r="R2787" s="36" t="s">
        <v>1463</v>
      </c>
      <c r="S2787" s="7">
        <f t="shared" si="232"/>
        <v>1</v>
      </c>
      <c r="T2787" s="15" t="str">
        <f>VLOOKUP(R2787,产品分类!$C$2:$D$1278,2,0)</f>
        <v>办公用品</v>
      </c>
    </row>
    <row r="2788" spans="1:20">
      <c r="A2788" s="8">
        <f>DATE(2012,12,31)-1054</f>
        <v>40220</v>
      </c>
      <c r="B2788" s="8">
        <f>DATE(2012,12,31)-1054</f>
        <v>40220</v>
      </c>
      <c r="C2788" s="9" t="s">
        <v>341</v>
      </c>
      <c r="D2788">
        <v>10021414714</v>
      </c>
      <c r="E2788" t="s">
        <v>47</v>
      </c>
      <c r="F2788" t="s">
        <v>91</v>
      </c>
      <c r="G2788" t="s">
        <v>92</v>
      </c>
      <c r="H2788" t="s">
        <v>2053</v>
      </c>
      <c r="I2788" t="s">
        <v>2054</v>
      </c>
      <c r="J2788" t="s">
        <v>668</v>
      </c>
      <c r="K2788" s="3">
        <v>10046057174</v>
      </c>
      <c r="L2788" s="10">
        <v>40222</v>
      </c>
      <c r="M2788">
        <v>726.82</v>
      </c>
      <c r="N2788" s="11">
        <v>25</v>
      </c>
      <c r="O2788" s="12">
        <v>30.42</v>
      </c>
      <c r="P2788" s="12">
        <v>8.65</v>
      </c>
      <c r="Q2788" s="13">
        <v>-173.88</v>
      </c>
      <c r="R2788" s="36" t="s">
        <v>1231</v>
      </c>
      <c r="S2788" s="7">
        <f t="shared" si="232"/>
        <v>2</v>
      </c>
      <c r="T2788" s="15" t="str">
        <f>VLOOKUP(R2788,产品分类!$C$2:$D$1278,2,0)</f>
        <v>办公用品</v>
      </c>
    </row>
    <row r="2789" spans="1:20">
      <c r="A2789" s="8">
        <f>DATE(2012,12,31)-1218</f>
        <v>40056</v>
      </c>
      <c r="B2789" s="8">
        <f>DATE(2012,12,31)-1218</f>
        <v>40056</v>
      </c>
      <c r="C2789" s="9" t="s">
        <v>1258</v>
      </c>
      <c r="D2789">
        <v>10021318796</v>
      </c>
      <c r="E2789" t="s">
        <v>47</v>
      </c>
      <c r="F2789" t="s">
        <v>55</v>
      </c>
      <c r="G2789" t="s">
        <v>56</v>
      </c>
      <c r="H2789" t="s">
        <v>1869</v>
      </c>
      <c r="I2789" t="s">
        <v>1870</v>
      </c>
      <c r="J2789" t="s">
        <v>668</v>
      </c>
      <c r="K2789" s="3">
        <v>10017750966</v>
      </c>
      <c r="L2789" s="10">
        <v>40058</v>
      </c>
      <c r="M2789">
        <v>279.43</v>
      </c>
      <c r="N2789" s="11">
        <v>32</v>
      </c>
      <c r="O2789" s="12">
        <v>8.5</v>
      </c>
      <c r="P2789" s="12">
        <v>1.99</v>
      </c>
      <c r="Q2789" s="13">
        <v>48.47</v>
      </c>
      <c r="R2789" s="36" t="s">
        <v>973</v>
      </c>
      <c r="S2789" s="7">
        <f t="shared" si="232"/>
        <v>2</v>
      </c>
      <c r="T2789" s="15" t="str">
        <f>VLOOKUP(R2789,产品分类!$C$2:$D$1278,2,0)</f>
        <v>办公用品</v>
      </c>
    </row>
    <row r="2790" spans="1:20">
      <c r="A2790" s="8">
        <f>DATE(2012,12,31)-1218</f>
        <v>40056</v>
      </c>
      <c r="B2790" s="8">
        <f>DATE(2012,12,31)-1218</f>
        <v>40056</v>
      </c>
      <c r="C2790" s="9" t="s">
        <v>1258</v>
      </c>
      <c r="D2790">
        <v>10021413796</v>
      </c>
      <c r="E2790" t="s">
        <v>47</v>
      </c>
      <c r="F2790" t="s">
        <v>55</v>
      </c>
      <c r="G2790" t="s">
        <v>56</v>
      </c>
      <c r="H2790" t="s">
        <v>1869</v>
      </c>
      <c r="I2790" t="s">
        <v>1870</v>
      </c>
      <c r="J2790" t="s">
        <v>668</v>
      </c>
      <c r="K2790" s="3">
        <v>10042460314</v>
      </c>
      <c r="L2790" s="10">
        <v>40058</v>
      </c>
      <c r="M2790">
        <v>515.22</v>
      </c>
      <c r="N2790" s="11">
        <v>5</v>
      </c>
      <c r="O2790" s="12">
        <v>95.43</v>
      </c>
      <c r="P2790" s="12">
        <v>19.99</v>
      </c>
      <c r="Q2790" s="13">
        <v>-152.54</v>
      </c>
      <c r="R2790" s="36" t="s">
        <v>406</v>
      </c>
      <c r="S2790" s="7">
        <f t="shared" si="232"/>
        <v>2</v>
      </c>
      <c r="T2790" s="15" t="str">
        <f>VLOOKUP(R2790,产品分类!$C$2:$D$1278,2,0)</f>
        <v>办公用品</v>
      </c>
    </row>
    <row r="2791" spans="1:20">
      <c r="A2791" s="8">
        <f>DATE(2012,12,31)-959</f>
        <v>40315</v>
      </c>
      <c r="B2791" s="8">
        <f>DATE(2012,12,31)-959</f>
        <v>40315</v>
      </c>
      <c r="C2791" s="9" t="s">
        <v>1894</v>
      </c>
      <c r="D2791">
        <v>10021450605</v>
      </c>
      <c r="E2791" t="s">
        <v>47</v>
      </c>
      <c r="F2791" t="s">
        <v>91</v>
      </c>
      <c r="G2791" t="s">
        <v>92</v>
      </c>
      <c r="H2791" t="s">
        <v>2053</v>
      </c>
      <c r="I2791" t="s">
        <v>2054</v>
      </c>
      <c r="J2791" t="s">
        <v>668</v>
      </c>
      <c r="K2791" s="3">
        <v>1001354747</v>
      </c>
      <c r="L2791" s="10">
        <v>40322</v>
      </c>
      <c r="M2791">
        <v>8719.69</v>
      </c>
      <c r="N2791" s="11">
        <v>30</v>
      </c>
      <c r="O2791" s="12">
        <v>270.97</v>
      </c>
      <c r="P2791" s="12">
        <v>28.06</v>
      </c>
      <c r="Q2791" s="13">
        <v>2241.71</v>
      </c>
      <c r="R2791" s="36" t="s">
        <v>1975</v>
      </c>
      <c r="S2791" s="7">
        <f t="shared" si="232"/>
        <v>7</v>
      </c>
      <c r="T2791" s="15" t="str">
        <f>VLOOKUP(R2791,产品分类!$C$2:$D$1278,2,0)</f>
        <v>办公用品</v>
      </c>
    </row>
    <row r="2792" spans="1:20">
      <c r="A2792" s="8">
        <f>DATE(2012,12,31)-660</f>
        <v>40614</v>
      </c>
      <c r="B2792" s="8">
        <f>DATE(2012,12,31)-660</f>
        <v>40614</v>
      </c>
      <c r="C2792" s="9" t="s">
        <v>818</v>
      </c>
      <c r="D2792">
        <v>10021367455</v>
      </c>
      <c r="E2792" t="s">
        <v>47</v>
      </c>
      <c r="F2792" t="s">
        <v>55</v>
      </c>
      <c r="G2792" t="s">
        <v>56</v>
      </c>
      <c r="H2792" t="s">
        <v>1869</v>
      </c>
      <c r="I2792" t="s">
        <v>1870</v>
      </c>
      <c r="J2792" t="s">
        <v>668</v>
      </c>
      <c r="K2792" s="3">
        <v>10047345083</v>
      </c>
      <c r="L2792" s="10">
        <v>40618</v>
      </c>
      <c r="M2792">
        <v>583.56</v>
      </c>
      <c r="N2792" s="11">
        <v>26</v>
      </c>
      <c r="O2792" s="12">
        <v>20.97</v>
      </c>
      <c r="P2792" s="12">
        <v>6.5</v>
      </c>
      <c r="Q2792" s="13">
        <v>-94.59</v>
      </c>
      <c r="R2792" s="36" t="s">
        <v>420</v>
      </c>
      <c r="S2792" s="7">
        <f t="shared" si="232"/>
        <v>4</v>
      </c>
      <c r="T2792" s="15" t="str">
        <f>VLOOKUP(R2792,产品分类!$C$2:$D$1278,2,0)</f>
        <v>数码电子</v>
      </c>
    </row>
    <row r="2793" spans="1:20">
      <c r="A2793" s="8">
        <f>DATE(2012,12,31)-660</f>
        <v>40614</v>
      </c>
      <c r="B2793" s="8">
        <f>DATE(2012,12,31)-660</f>
        <v>40614</v>
      </c>
      <c r="C2793" s="9" t="s">
        <v>818</v>
      </c>
      <c r="D2793">
        <v>10021279880</v>
      </c>
      <c r="E2793" t="s">
        <v>47</v>
      </c>
      <c r="F2793" t="s">
        <v>122</v>
      </c>
      <c r="G2793" t="s">
        <v>123</v>
      </c>
      <c r="H2793" t="s">
        <v>124</v>
      </c>
      <c r="I2793" t="s">
        <v>125</v>
      </c>
      <c r="J2793" t="s">
        <v>668</v>
      </c>
      <c r="K2793" s="3">
        <v>10078640345</v>
      </c>
      <c r="L2793" s="10">
        <v>40621</v>
      </c>
      <c r="M2793">
        <v>281.47</v>
      </c>
      <c r="N2793" s="11">
        <v>47</v>
      </c>
      <c r="O2793" s="12">
        <v>6.48</v>
      </c>
      <c r="P2793" s="12">
        <v>7.37</v>
      </c>
      <c r="Q2793" s="13">
        <v>-190.57</v>
      </c>
      <c r="R2793" s="36" t="s">
        <v>1045</v>
      </c>
      <c r="S2793" s="7">
        <f t="shared" si="232"/>
        <v>7</v>
      </c>
      <c r="T2793" s="15" t="str">
        <f>VLOOKUP(R2793,产品分类!$C$2:$D$1278,2,0)</f>
        <v>数码电子</v>
      </c>
    </row>
    <row r="2794" spans="1:20">
      <c r="A2794" s="8">
        <f>DATE(2012,12,31)-1280</f>
        <v>39994</v>
      </c>
      <c r="B2794" s="8">
        <f>DATE(2012,12,31)-1280</f>
        <v>39994</v>
      </c>
      <c r="C2794" s="9" t="s">
        <v>319</v>
      </c>
      <c r="D2794">
        <v>10021331362</v>
      </c>
      <c r="E2794" t="s">
        <v>47</v>
      </c>
      <c r="F2794" t="s">
        <v>55</v>
      </c>
      <c r="G2794" t="s">
        <v>56</v>
      </c>
      <c r="H2794" t="s">
        <v>1869</v>
      </c>
      <c r="I2794" t="s">
        <v>1870</v>
      </c>
      <c r="J2794" t="s">
        <v>668</v>
      </c>
      <c r="K2794" s="3">
        <v>10042634203</v>
      </c>
      <c r="L2794" s="10">
        <v>39994</v>
      </c>
      <c r="M2794">
        <v>115.24</v>
      </c>
      <c r="N2794" s="11">
        <v>44</v>
      </c>
      <c r="O2794" s="12">
        <v>2.61</v>
      </c>
      <c r="P2794" s="12">
        <v>0.5</v>
      </c>
      <c r="Q2794" s="13">
        <v>43.23</v>
      </c>
      <c r="R2794" s="36" t="s">
        <v>630</v>
      </c>
      <c r="S2794" s="7">
        <f t="shared" si="232"/>
        <v>0</v>
      </c>
      <c r="T2794" s="15" t="str">
        <f>VLOOKUP(R2794,产品分类!$C$2:$D$1278,2,0)</f>
        <v>数码电子</v>
      </c>
    </row>
    <row r="2795" spans="1:20">
      <c r="A2795" s="8">
        <f>DATE(2012,12,31)-1280</f>
        <v>39994</v>
      </c>
      <c r="B2795" s="8">
        <f>DATE(2012,12,31)-1280</f>
        <v>39994</v>
      </c>
      <c r="C2795" s="9" t="s">
        <v>319</v>
      </c>
      <c r="D2795">
        <v>10021388943</v>
      </c>
      <c r="E2795" t="s">
        <v>47</v>
      </c>
      <c r="F2795" t="s">
        <v>122</v>
      </c>
      <c r="G2795" t="s">
        <v>123</v>
      </c>
      <c r="H2795" t="s">
        <v>124</v>
      </c>
      <c r="I2795" t="s">
        <v>125</v>
      </c>
      <c r="J2795" t="s">
        <v>668</v>
      </c>
      <c r="K2795" s="3">
        <v>100930805491</v>
      </c>
      <c r="L2795" s="10">
        <v>39996</v>
      </c>
      <c r="M2795">
        <v>9601.94</v>
      </c>
      <c r="N2795" s="11">
        <v>28</v>
      </c>
      <c r="O2795" s="12">
        <v>349.45</v>
      </c>
      <c r="P2795" s="12">
        <v>60</v>
      </c>
      <c r="Q2795" s="13">
        <v>2428.59</v>
      </c>
      <c r="R2795" s="36" t="s">
        <v>1081</v>
      </c>
      <c r="S2795" s="7">
        <f t="shared" si="232"/>
        <v>2</v>
      </c>
      <c r="T2795" s="15" t="str">
        <f>VLOOKUP(R2795,产品分类!$C$2:$D$1278,2,0)</f>
        <v>办公用品</v>
      </c>
    </row>
    <row r="2796" spans="1:20">
      <c r="A2796" s="8">
        <f>DATE(2012,12,31)-436</f>
        <v>40838</v>
      </c>
      <c r="B2796" s="8">
        <f>DATE(2012,12,31)-436</f>
        <v>40838</v>
      </c>
      <c r="C2796" s="9" t="s">
        <v>2068</v>
      </c>
      <c r="D2796">
        <v>10021332895</v>
      </c>
      <c r="E2796" t="s">
        <v>47</v>
      </c>
      <c r="F2796" t="s">
        <v>55</v>
      </c>
      <c r="G2796" t="s">
        <v>56</v>
      </c>
      <c r="H2796" t="s">
        <v>1869</v>
      </c>
      <c r="I2796" t="s">
        <v>1870</v>
      </c>
      <c r="J2796" t="s">
        <v>668</v>
      </c>
      <c r="K2796" s="3">
        <v>100312960679</v>
      </c>
      <c r="L2796" s="10">
        <v>40840</v>
      </c>
      <c r="M2796">
        <v>435.24</v>
      </c>
      <c r="N2796" s="11">
        <v>42</v>
      </c>
      <c r="O2796" s="12">
        <v>10.31</v>
      </c>
      <c r="P2796" s="12">
        <v>1.79</v>
      </c>
      <c r="Q2796" s="13">
        <v>174.89</v>
      </c>
      <c r="R2796" s="36" t="s">
        <v>1059</v>
      </c>
      <c r="S2796" s="7">
        <f t="shared" si="232"/>
        <v>2</v>
      </c>
      <c r="T2796" s="15" t="str">
        <f>VLOOKUP(R2796,产品分类!$C$2:$D$1278,2,0)</f>
        <v>办公用品</v>
      </c>
    </row>
    <row r="2797" spans="1:20">
      <c r="A2797" s="8">
        <f>DATE(2012,12,31)-1422</f>
        <v>39852</v>
      </c>
      <c r="B2797" s="8">
        <f>DATE(2012,12,31)-1422</f>
        <v>39852</v>
      </c>
      <c r="C2797" s="9" t="s">
        <v>108</v>
      </c>
      <c r="D2797">
        <v>10021530644</v>
      </c>
      <c r="E2797" t="s">
        <v>47</v>
      </c>
      <c r="F2797" t="s">
        <v>91</v>
      </c>
      <c r="G2797" t="s">
        <v>92</v>
      </c>
      <c r="H2797" t="s">
        <v>2053</v>
      </c>
      <c r="I2797" t="s">
        <v>2054</v>
      </c>
      <c r="J2797" t="s">
        <v>668</v>
      </c>
      <c r="K2797" s="3">
        <v>100430057663</v>
      </c>
      <c r="L2797" s="10">
        <v>39853</v>
      </c>
      <c r="M2797">
        <v>607.42</v>
      </c>
      <c r="N2797" s="11">
        <v>38</v>
      </c>
      <c r="O2797" s="12">
        <v>15.16</v>
      </c>
      <c r="P2797" s="12">
        <v>15.09</v>
      </c>
      <c r="Q2797" s="13">
        <v>-254.1385</v>
      </c>
      <c r="R2797" s="36" t="s">
        <v>2069</v>
      </c>
      <c r="S2797" s="7">
        <f t="shared" si="232"/>
        <v>1</v>
      </c>
      <c r="T2797" s="15" t="str">
        <f>VLOOKUP(R2797,产品分类!$C$2:$D$1278,2,0)</f>
        <v>办公用品</v>
      </c>
    </row>
    <row r="2798" spans="1:20">
      <c r="A2798" s="8">
        <f>DATE(2012,12,31)-1398</f>
        <v>39876</v>
      </c>
      <c r="B2798" s="8">
        <f>DATE(2012,12,31)-1398</f>
        <v>39876</v>
      </c>
      <c r="C2798" s="9" t="s">
        <v>859</v>
      </c>
      <c r="D2798">
        <v>10021364422</v>
      </c>
      <c r="E2798" t="s">
        <v>47</v>
      </c>
      <c r="F2798" t="s">
        <v>527</v>
      </c>
      <c r="G2798" t="s">
        <v>528</v>
      </c>
      <c r="H2798" t="s">
        <v>2046</v>
      </c>
      <c r="I2798" t="s">
        <v>2047</v>
      </c>
      <c r="J2798" t="s">
        <v>668</v>
      </c>
      <c r="K2798" s="3">
        <v>1004995313</v>
      </c>
      <c r="L2798" s="10">
        <v>39880</v>
      </c>
      <c r="M2798">
        <v>973.862</v>
      </c>
      <c r="N2798" s="11">
        <v>6</v>
      </c>
      <c r="O2798" s="12">
        <v>205.99</v>
      </c>
      <c r="P2798" s="12">
        <v>8.99</v>
      </c>
      <c r="Q2798" s="13">
        <v>-693.33</v>
      </c>
      <c r="R2798" s="36" t="s">
        <v>1543</v>
      </c>
      <c r="S2798" s="7">
        <f t="shared" si="232"/>
        <v>4</v>
      </c>
      <c r="T2798" s="15" t="str">
        <f>VLOOKUP(R2798,产品分类!$C$2:$D$1278,2,0)</f>
        <v>家具产品</v>
      </c>
    </row>
    <row r="2799" spans="1:20">
      <c r="A2799" s="8">
        <f>DATE(2012,12,31)-817</f>
        <v>40457</v>
      </c>
      <c r="B2799" s="8">
        <f>DATE(2012,12,31)-817</f>
        <v>40457</v>
      </c>
      <c r="C2799" s="9" t="s">
        <v>1859</v>
      </c>
      <c r="D2799">
        <v>10021293288</v>
      </c>
      <c r="E2799" t="s">
        <v>47</v>
      </c>
      <c r="F2799" t="s">
        <v>97</v>
      </c>
      <c r="G2799" t="s">
        <v>98</v>
      </c>
      <c r="H2799" t="s">
        <v>99</v>
      </c>
      <c r="I2799" t="s">
        <v>98</v>
      </c>
      <c r="J2799" t="s">
        <v>668</v>
      </c>
      <c r="K2799" s="3">
        <v>10015874088</v>
      </c>
      <c r="L2799" s="10">
        <v>40464</v>
      </c>
      <c r="M2799">
        <v>1624.67</v>
      </c>
      <c r="N2799" s="11">
        <v>35</v>
      </c>
      <c r="O2799" s="12">
        <v>45.19</v>
      </c>
      <c r="P2799" s="12">
        <v>1.99</v>
      </c>
      <c r="Q2799" s="13">
        <v>504.35</v>
      </c>
      <c r="R2799" s="36" t="s">
        <v>921</v>
      </c>
      <c r="S2799" s="7">
        <f t="shared" si="232"/>
        <v>7</v>
      </c>
      <c r="T2799" s="15" t="str">
        <f>VLOOKUP(R2799,产品分类!$C$2:$D$1278,2,0)</f>
        <v>家具产品</v>
      </c>
    </row>
    <row r="2800" spans="1:20">
      <c r="A2800" s="8">
        <f>DATE(2012,12,31)-785</f>
        <v>40489</v>
      </c>
      <c r="B2800" s="8">
        <f>DATE(2012,12,31)-785</f>
        <v>40489</v>
      </c>
      <c r="C2800" s="9" t="s">
        <v>2070</v>
      </c>
      <c r="D2800">
        <v>10021502487</v>
      </c>
      <c r="E2800" t="s">
        <v>47</v>
      </c>
      <c r="F2800" t="s">
        <v>97</v>
      </c>
      <c r="G2800" t="s">
        <v>98</v>
      </c>
      <c r="H2800" t="s">
        <v>99</v>
      </c>
      <c r="I2800" t="s">
        <v>98</v>
      </c>
      <c r="J2800" t="s">
        <v>668</v>
      </c>
      <c r="K2800" s="3">
        <v>100728534305</v>
      </c>
      <c r="L2800" s="10">
        <v>40491</v>
      </c>
      <c r="M2800">
        <v>82.12</v>
      </c>
      <c r="N2800" s="11">
        <v>23</v>
      </c>
      <c r="O2800" s="12">
        <v>3.52</v>
      </c>
      <c r="P2800" s="12">
        <v>6.83</v>
      </c>
      <c r="Q2800" s="13">
        <v>-121.5895</v>
      </c>
      <c r="R2800" s="36" t="s">
        <v>1969</v>
      </c>
      <c r="S2800" s="7">
        <f t="shared" si="232"/>
        <v>2</v>
      </c>
      <c r="T2800" s="15" t="str">
        <f>VLOOKUP(R2800,产品分类!$C$2:$D$1278,2,0)</f>
        <v>办公用品</v>
      </c>
    </row>
    <row r="2801" spans="1:20">
      <c r="A2801" s="8">
        <f>DATE(2012,12,31)-293</f>
        <v>40981</v>
      </c>
      <c r="B2801" s="8">
        <f>DATE(2012,12,31)-293</f>
        <v>40981</v>
      </c>
      <c r="C2801" s="9" t="s">
        <v>1006</v>
      </c>
      <c r="D2801">
        <v>10021526158</v>
      </c>
      <c r="E2801" t="s">
        <v>47</v>
      </c>
      <c r="F2801" t="s">
        <v>97</v>
      </c>
      <c r="G2801" t="s">
        <v>98</v>
      </c>
      <c r="H2801" t="s">
        <v>99</v>
      </c>
      <c r="I2801" t="s">
        <v>98</v>
      </c>
      <c r="J2801" t="s">
        <v>668</v>
      </c>
      <c r="K2801" s="3">
        <v>100924132431</v>
      </c>
      <c r="L2801" s="10">
        <v>40983</v>
      </c>
      <c r="M2801">
        <v>194.29</v>
      </c>
      <c r="N2801" s="11">
        <v>10</v>
      </c>
      <c r="O2801" s="12">
        <v>20.24</v>
      </c>
      <c r="P2801" s="12">
        <v>6.67</v>
      </c>
      <c r="Q2801" s="13">
        <v>68.89</v>
      </c>
      <c r="R2801" s="36" t="s">
        <v>1005</v>
      </c>
      <c r="S2801" s="7">
        <f t="shared" si="232"/>
        <v>2</v>
      </c>
      <c r="T2801" s="15" t="str">
        <f>VLOOKUP(R2801,产品分类!$C$2:$D$1278,2,0)</f>
        <v>办公用品</v>
      </c>
    </row>
    <row r="2802" spans="1:20">
      <c r="A2802" s="8">
        <f>DATE(2012,12,31)-889</f>
        <v>40385</v>
      </c>
      <c r="B2802" s="8">
        <f>DATE(2012,12,31)-889</f>
        <v>40385</v>
      </c>
      <c r="C2802" s="9" t="s">
        <v>575</v>
      </c>
      <c r="D2802">
        <v>10021494041</v>
      </c>
      <c r="E2802" t="s">
        <v>47</v>
      </c>
      <c r="F2802" t="s">
        <v>132</v>
      </c>
      <c r="G2802" t="s">
        <v>133</v>
      </c>
      <c r="H2802" t="s">
        <v>134</v>
      </c>
      <c r="I2802" t="s">
        <v>133</v>
      </c>
      <c r="J2802" t="s">
        <v>668</v>
      </c>
      <c r="K2802" s="3">
        <v>10049651874</v>
      </c>
      <c r="L2802" s="10">
        <v>40392</v>
      </c>
      <c r="M2802">
        <v>124.78</v>
      </c>
      <c r="N2802" s="11">
        <v>33</v>
      </c>
      <c r="O2802" s="12">
        <v>3.98</v>
      </c>
      <c r="P2802" s="12">
        <v>5.26</v>
      </c>
      <c r="Q2802" s="13">
        <v>-122.6705</v>
      </c>
      <c r="R2802" s="36" t="s">
        <v>479</v>
      </c>
      <c r="S2802" s="7">
        <f t="shared" si="232"/>
        <v>7</v>
      </c>
      <c r="T2802" s="15" t="str">
        <f>VLOOKUP(R2802,产品分类!$C$2:$D$1278,2,0)</f>
        <v>办公用品</v>
      </c>
    </row>
    <row r="2803" spans="1:20">
      <c r="A2803" s="8">
        <f>DATE(2012,12,31)-889</f>
        <v>40385</v>
      </c>
      <c r="B2803" s="8">
        <f>DATE(2012,12,31)-889</f>
        <v>40385</v>
      </c>
      <c r="C2803" s="9" t="s">
        <v>575</v>
      </c>
      <c r="D2803">
        <v>10021248966</v>
      </c>
      <c r="E2803" t="s">
        <v>47</v>
      </c>
      <c r="F2803" t="s">
        <v>102</v>
      </c>
      <c r="G2803" t="s">
        <v>103</v>
      </c>
      <c r="H2803" t="s">
        <v>1217</v>
      </c>
      <c r="I2803" t="s">
        <v>1218</v>
      </c>
      <c r="J2803" t="s">
        <v>668</v>
      </c>
      <c r="K2803" s="3">
        <v>10097176541</v>
      </c>
      <c r="L2803" s="10">
        <v>40392</v>
      </c>
      <c r="M2803">
        <v>123.4</v>
      </c>
      <c r="N2803" s="11">
        <v>22</v>
      </c>
      <c r="O2803" s="12">
        <v>5.84</v>
      </c>
      <c r="P2803" s="12">
        <v>0.83</v>
      </c>
      <c r="Q2803" s="13">
        <v>30.5</v>
      </c>
      <c r="R2803" s="36" t="s">
        <v>360</v>
      </c>
      <c r="S2803" s="7">
        <f t="shared" si="232"/>
        <v>7</v>
      </c>
      <c r="T2803" s="15" t="str">
        <f>VLOOKUP(R2803,产品分类!$C$2:$D$1278,2,0)</f>
        <v>家具产品</v>
      </c>
    </row>
    <row r="2804" spans="1:20">
      <c r="A2804" s="8">
        <f>DATE(2012,12,31)-1158</f>
        <v>40116</v>
      </c>
      <c r="B2804" s="8">
        <f>DATE(2012,12,31)-1158</f>
        <v>40116</v>
      </c>
      <c r="C2804" s="9" t="s">
        <v>1407</v>
      </c>
      <c r="D2804">
        <v>10021414126</v>
      </c>
      <c r="E2804" t="s">
        <v>47</v>
      </c>
      <c r="F2804" t="s">
        <v>102</v>
      </c>
      <c r="G2804" t="s">
        <v>103</v>
      </c>
      <c r="H2804" t="s">
        <v>1217</v>
      </c>
      <c r="I2804" t="s">
        <v>1218</v>
      </c>
      <c r="J2804" t="s">
        <v>668</v>
      </c>
      <c r="K2804" s="3">
        <v>10094917721</v>
      </c>
      <c r="L2804" s="10">
        <v>40123</v>
      </c>
      <c r="M2804">
        <v>116.06</v>
      </c>
      <c r="N2804" s="11">
        <v>47</v>
      </c>
      <c r="O2804" s="12">
        <v>2.62</v>
      </c>
      <c r="P2804" s="12">
        <v>0.8</v>
      </c>
      <c r="Q2804" s="13">
        <v>25.2</v>
      </c>
      <c r="R2804" s="36" t="s">
        <v>960</v>
      </c>
      <c r="S2804" s="7">
        <f t="shared" si="232"/>
        <v>7</v>
      </c>
      <c r="T2804" s="15" t="str">
        <f>VLOOKUP(R2804,产品分类!$C$2:$D$1278,2,0)</f>
        <v>家具产品</v>
      </c>
    </row>
    <row r="2805" spans="1:20">
      <c r="A2805" s="8">
        <f>DATE(2012,12,31)-335</f>
        <v>40939</v>
      </c>
      <c r="B2805" s="8">
        <f>DATE(2012,12,31)-335</f>
        <v>40939</v>
      </c>
      <c r="C2805" s="9" t="s">
        <v>2012</v>
      </c>
      <c r="D2805">
        <v>10021268672</v>
      </c>
      <c r="E2805" t="s">
        <v>47</v>
      </c>
      <c r="F2805" t="s">
        <v>208</v>
      </c>
      <c r="G2805" t="s">
        <v>209</v>
      </c>
      <c r="H2805" t="s">
        <v>1956</v>
      </c>
      <c r="I2805" t="s">
        <v>1957</v>
      </c>
      <c r="J2805" t="s">
        <v>668</v>
      </c>
      <c r="K2805" s="3">
        <v>100932406771</v>
      </c>
      <c r="L2805" s="10">
        <v>40944</v>
      </c>
      <c r="M2805">
        <v>512.83</v>
      </c>
      <c r="N2805" s="11">
        <v>24</v>
      </c>
      <c r="O2805" s="12">
        <v>20.89</v>
      </c>
      <c r="P2805" s="12">
        <v>11.52</v>
      </c>
      <c r="Q2805" s="13">
        <v>-221.56</v>
      </c>
      <c r="R2805" s="36" t="s">
        <v>844</v>
      </c>
      <c r="S2805" s="7">
        <f t="shared" si="232"/>
        <v>5</v>
      </c>
      <c r="T2805" s="15" t="str">
        <f>VLOOKUP(R2805,产品分类!$C$2:$D$1278,2,0)</f>
        <v>办公用品</v>
      </c>
    </row>
    <row r="2806" spans="1:20">
      <c r="A2806" s="8">
        <f>DATE(2012,12,31)-587</f>
        <v>40687</v>
      </c>
      <c r="B2806" s="8">
        <f>DATE(2012,12,31)-587</f>
        <v>40687</v>
      </c>
      <c r="C2806" s="9" t="s">
        <v>1226</v>
      </c>
      <c r="D2806">
        <v>10021499130</v>
      </c>
      <c r="E2806" t="s">
        <v>47</v>
      </c>
      <c r="F2806" t="s">
        <v>208</v>
      </c>
      <c r="G2806" t="s">
        <v>209</v>
      </c>
      <c r="H2806" t="s">
        <v>1956</v>
      </c>
      <c r="I2806" t="s">
        <v>1957</v>
      </c>
      <c r="J2806" t="s">
        <v>668</v>
      </c>
      <c r="K2806" s="3">
        <v>100924197701</v>
      </c>
      <c r="L2806" s="10">
        <v>40688</v>
      </c>
      <c r="M2806">
        <v>539.06</v>
      </c>
      <c r="N2806" s="11">
        <v>42</v>
      </c>
      <c r="O2806" s="12">
        <v>12.88</v>
      </c>
      <c r="P2806" s="12">
        <v>4.59</v>
      </c>
      <c r="Q2806" s="13">
        <v>-123.07</v>
      </c>
      <c r="R2806" s="36" t="s">
        <v>1622</v>
      </c>
      <c r="S2806" s="7">
        <f t="shared" si="232"/>
        <v>1</v>
      </c>
      <c r="T2806" s="15" t="str">
        <f>VLOOKUP(R2806,产品分类!$C$2:$D$1278,2,0)</f>
        <v>数码电子</v>
      </c>
    </row>
    <row r="2807" spans="1:20">
      <c r="A2807" s="8">
        <f t="shared" ref="A2807:B2809" si="234">DATE(2012,12,31)-1321</f>
        <v>39953</v>
      </c>
      <c r="B2807" s="8">
        <f t="shared" si="234"/>
        <v>39953</v>
      </c>
      <c r="C2807" s="9" t="s">
        <v>313</v>
      </c>
      <c r="D2807">
        <v>10021426584</v>
      </c>
      <c r="E2807" t="s">
        <v>47</v>
      </c>
      <c r="F2807" t="s">
        <v>102</v>
      </c>
      <c r="G2807" t="s">
        <v>103</v>
      </c>
      <c r="H2807" t="s">
        <v>1217</v>
      </c>
      <c r="I2807" t="s">
        <v>1218</v>
      </c>
      <c r="J2807" t="s">
        <v>668</v>
      </c>
      <c r="K2807" s="3">
        <v>100930235331</v>
      </c>
      <c r="L2807" s="10">
        <v>39953</v>
      </c>
      <c r="M2807">
        <v>751.52</v>
      </c>
      <c r="N2807" s="11">
        <v>25</v>
      </c>
      <c r="O2807" s="12">
        <v>31.74</v>
      </c>
      <c r="P2807" s="12">
        <v>12.62</v>
      </c>
      <c r="Q2807" s="13">
        <v>67.1075</v>
      </c>
      <c r="R2807" s="36" t="s">
        <v>1416</v>
      </c>
      <c r="S2807" s="7">
        <f t="shared" si="232"/>
        <v>0</v>
      </c>
      <c r="T2807" s="15" t="str">
        <f>VLOOKUP(R2807,产品分类!$C$2:$D$1278,2,0)</f>
        <v>数码电子</v>
      </c>
    </row>
    <row r="2808" spans="1:20">
      <c r="A2808" s="8">
        <f t="shared" si="234"/>
        <v>39953</v>
      </c>
      <c r="B2808" s="8">
        <f t="shared" si="234"/>
        <v>39953</v>
      </c>
      <c r="C2808" s="9" t="s">
        <v>313</v>
      </c>
      <c r="D2808">
        <v>10021413749</v>
      </c>
      <c r="E2808" t="s">
        <v>47</v>
      </c>
      <c r="F2808" t="s">
        <v>171</v>
      </c>
      <c r="G2808" t="s">
        <v>172</v>
      </c>
      <c r="H2808" t="s">
        <v>2021</v>
      </c>
      <c r="I2808" t="s">
        <v>2022</v>
      </c>
      <c r="J2808" t="s">
        <v>668</v>
      </c>
      <c r="K2808" s="3">
        <v>10012216216</v>
      </c>
      <c r="L2808" s="10">
        <v>39956</v>
      </c>
      <c r="M2808">
        <v>220.48</v>
      </c>
      <c r="N2808" s="11">
        <v>36</v>
      </c>
      <c r="O2808" s="12">
        <v>6.35</v>
      </c>
      <c r="P2808" s="12">
        <v>1.02</v>
      </c>
      <c r="Q2808" s="13">
        <v>81.91</v>
      </c>
      <c r="R2808" s="36" t="s">
        <v>1265</v>
      </c>
      <c r="S2808" s="7">
        <f t="shared" si="232"/>
        <v>3</v>
      </c>
      <c r="T2808" s="15" t="str">
        <f>VLOOKUP(R2808,产品分类!$C$2:$D$1278,2,0)</f>
        <v>家具产品</v>
      </c>
    </row>
    <row r="2809" spans="1:20">
      <c r="A2809" s="8">
        <f t="shared" si="234"/>
        <v>39953</v>
      </c>
      <c r="B2809" s="8">
        <f t="shared" si="234"/>
        <v>39953</v>
      </c>
      <c r="C2809" s="9" t="s">
        <v>313</v>
      </c>
      <c r="D2809">
        <v>10021507505</v>
      </c>
      <c r="E2809" t="s">
        <v>47</v>
      </c>
      <c r="F2809" t="s">
        <v>171</v>
      </c>
      <c r="G2809" t="s">
        <v>172</v>
      </c>
      <c r="H2809" t="s">
        <v>2021</v>
      </c>
      <c r="I2809" t="s">
        <v>2022</v>
      </c>
      <c r="J2809" t="s">
        <v>668</v>
      </c>
      <c r="K2809" s="3">
        <v>100831984942</v>
      </c>
      <c r="L2809" s="10">
        <v>39954</v>
      </c>
      <c r="M2809">
        <v>1259.4535</v>
      </c>
      <c r="N2809" s="11">
        <v>21</v>
      </c>
      <c r="O2809" s="12">
        <v>65.99</v>
      </c>
      <c r="P2809" s="12">
        <v>8.99</v>
      </c>
      <c r="Q2809" s="13">
        <v>168.237</v>
      </c>
      <c r="R2809" s="36" t="s">
        <v>335</v>
      </c>
      <c r="S2809" s="7">
        <f t="shared" si="232"/>
        <v>1</v>
      </c>
      <c r="T2809" s="15" t="str">
        <f>VLOOKUP(R2809,产品分类!$C$2:$D$1278,2,0)</f>
        <v>办公用品</v>
      </c>
    </row>
    <row r="2810" spans="1:20">
      <c r="A2810" s="8">
        <f>DATE(2012,12,31)-1101</f>
        <v>40173</v>
      </c>
      <c r="B2810" s="8">
        <f>DATE(2012,12,31)-1101</f>
        <v>40173</v>
      </c>
      <c r="C2810" s="9" t="s">
        <v>2071</v>
      </c>
      <c r="D2810">
        <v>10021263038</v>
      </c>
      <c r="E2810" t="s">
        <v>47</v>
      </c>
      <c r="F2810" t="s">
        <v>171</v>
      </c>
      <c r="G2810" t="s">
        <v>172</v>
      </c>
      <c r="H2810" t="s">
        <v>2021</v>
      </c>
      <c r="I2810" t="s">
        <v>2022</v>
      </c>
      <c r="J2810" t="s">
        <v>668</v>
      </c>
      <c r="K2810" s="3">
        <v>100930453861</v>
      </c>
      <c r="L2810" s="10">
        <v>40173</v>
      </c>
      <c r="M2810">
        <v>652.24</v>
      </c>
      <c r="N2810" s="11">
        <v>27</v>
      </c>
      <c r="O2810" s="12">
        <v>22.72</v>
      </c>
      <c r="P2810" s="12">
        <v>8.99</v>
      </c>
      <c r="Q2810" s="13">
        <v>185.04</v>
      </c>
      <c r="R2810" s="36" t="s">
        <v>972</v>
      </c>
      <c r="S2810" s="7">
        <f t="shared" si="232"/>
        <v>0</v>
      </c>
      <c r="T2810" s="15" t="str">
        <f>VLOOKUP(R2810,产品分类!$C$2:$D$1278,2,0)</f>
        <v>办公用品</v>
      </c>
    </row>
    <row r="2811" spans="1:20">
      <c r="A2811" s="8">
        <f>DATE(2012,12,31)-1143</f>
        <v>40131</v>
      </c>
      <c r="B2811" s="8">
        <f>DATE(2012,12,31)-1143</f>
        <v>40131</v>
      </c>
      <c r="C2811" s="9" t="s">
        <v>2072</v>
      </c>
      <c r="D2811">
        <v>10021394795</v>
      </c>
      <c r="E2811" t="s">
        <v>47</v>
      </c>
      <c r="F2811" t="s">
        <v>527</v>
      </c>
      <c r="G2811" t="s">
        <v>528</v>
      </c>
      <c r="H2811" t="s">
        <v>2046</v>
      </c>
      <c r="I2811" t="s">
        <v>2047</v>
      </c>
      <c r="J2811" t="s">
        <v>668</v>
      </c>
      <c r="K2811" s="3">
        <v>1003883399</v>
      </c>
      <c r="L2811" s="10">
        <v>40132</v>
      </c>
      <c r="M2811">
        <v>473.7</v>
      </c>
      <c r="N2811" s="11">
        <v>8</v>
      </c>
      <c r="O2811" s="12">
        <v>59.78</v>
      </c>
      <c r="P2811" s="12">
        <v>10.29</v>
      </c>
      <c r="Q2811" s="13">
        <v>72.5135</v>
      </c>
      <c r="R2811" s="36" t="s">
        <v>1405</v>
      </c>
      <c r="S2811" s="7">
        <f t="shared" si="232"/>
        <v>1</v>
      </c>
      <c r="T2811" s="15" t="str">
        <f>VLOOKUP(R2811,产品分类!$C$2:$D$1278,2,0)</f>
        <v>办公用品</v>
      </c>
    </row>
    <row r="2812" spans="1:20">
      <c r="A2812" s="8">
        <f>DATE(2012,12,31)-1143</f>
        <v>40131</v>
      </c>
      <c r="B2812" s="8">
        <f>DATE(2012,12,31)-1143</f>
        <v>40131</v>
      </c>
      <c r="C2812" s="9" t="s">
        <v>2072</v>
      </c>
      <c r="D2812">
        <v>10021417721</v>
      </c>
      <c r="E2812" t="s">
        <v>47</v>
      </c>
      <c r="F2812" t="s">
        <v>171</v>
      </c>
      <c r="G2812" t="s">
        <v>172</v>
      </c>
      <c r="H2812" t="s">
        <v>2021</v>
      </c>
      <c r="I2812" t="s">
        <v>2022</v>
      </c>
      <c r="J2812" t="s">
        <v>668</v>
      </c>
      <c r="K2812" s="3">
        <v>100917382181</v>
      </c>
      <c r="L2812" s="10">
        <v>40133</v>
      </c>
      <c r="M2812">
        <v>553.5625</v>
      </c>
      <c r="N2812" s="11">
        <v>33</v>
      </c>
      <c r="O2812" s="12">
        <v>20.99</v>
      </c>
      <c r="P2812" s="12">
        <v>1.25</v>
      </c>
      <c r="Q2812" s="13">
        <v>-76.857</v>
      </c>
      <c r="R2812" s="36" t="s">
        <v>1326</v>
      </c>
      <c r="S2812" s="7">
        <f t="shared" si="232"/>
        <v>2</v>
      </c>
      <c r="T2812" s="15" t="str">
        <f>VLOOKUP(R2812,产品分类!$C$2:$D$1278,2,0)</f>
        <v>家具产品</v>
      </c>
    </row>
    <row r="2813" spans="1:20">
      <c r="A2813" s="8">
        <f>DATE(2012,12,31)-53</f>
        <v>41221</v>
      </c>
      <c r="B2813" s="8">
        <f>DATE(2012,12,31)-53</f>
        <v>41221</v>
      </c>
      <c r="C2813" s="9" t="s">
        <v>1594</v>
      </c>
      <c r="D2813">
        <v>10021419041</v>
      </c>
      <c r="E2813" t="s">
        <v>47</v>
      </c>
      <c r="F2813" t="s">
        <v>171</v>
      </c>
      <c r="G2813" t="s">
        <v>172</v>
      </c>
      <c r="H2813" t="s">
        <v>2021</v>
      </c>
      <c r="I2813" t="s">
        <v>2022</v>
      </c>
      <c r="J2813" t="s">
        <v>668</v>
      </c>
      <c r="K2813" s="3">
        <v>100122800008</v>
      </c>
      <c r="L2813" s="10">
        <v>41221</v>
      </c>
      <c r="M2813">
        <v>452.39</v>
      </c>
      <c r="N2813" s="11">
        <v>26</v>
      </c>
      <c r="O2813" s="12">
        <v>17.52</v>
      </c>
      <c r="P2813" s="12">
        <v>8.17</v>
      </c>
      <c r="Q2813" s="13">
        <v>-22.83</v>
      </c>
      <c r="R2813" s="36" t="s">
        <v>333</v>
      </c>
      <c r="S2813" s="7">
        <f t="shared" si="232"/>
        <v>0</v>
      </c>
      <c r="T2813" s="15" t="str">
        <f>VLOOKUP(R2813,产品分类!$C$2:$D$1278,2,0)</f>
        <v>家具产品</v>
      </c>
    </row>
    <row r="2814" spans="1:20">
      <c r="A2814" s="8">
        <f>DATE(2012,12,31)-53</f>
        <v>41221</v>
      </c>
      <c r="B2814" s="8">
        <f>DATE(2012,12,31)-53</f>
        <v>41221</v>
      </c>
      <c r="C2814" s="9" t="s">
        <v>1594</v>
      </c>
      <c r="D2814">
        <v>10021506085</v>
      </c>
      <c r="E2814" t="s">
        <v>47</v>
      </c>
      <c r="F2814" t="s">
        <v>171</v>
      </c>
      <c r="G2814" t="s">
        <v>172</v>
      </c>
      <c r="H2814" t="s">
        <v>2073</v>
      </c>
      <c r="I2814" t="s">
        <v>2074</v>
      </c>
      <c r="J2814" t="s">
        <v>668</v>
      </c>
      <c r="K2814" s="3">
        <v>100931175851</v>
      </c>
      <c r="L2814" s="10">
        <v>41222</v>
      </c>
      <c r="M2814">
        <v>117.13</v>
      </c>
      <c r="N2814" s="11">
        <v>5</v>
      </c>
      <c r="O2814" s="12">
        <v>20.95</v>
      </c>
      <c r="P2814" s="12">
        <v>4</v>
      </c>
      <c r="Q2814" s="13">
        <v>-70.47</v>
      </c>
      <c r="R2814" s="36" t="s">
        <v>1324</v>
      </c>
      <c r="S2814" s="7">
        <f t="shared" si="232"/>
        <v>1</v>
      </c>
      <c r="T2814" s="15" t="str">
        <f>VLOOKUP(R2814,产品分类!$C$2:$D$1278,2,0)</f>
        <v>家具产品</v>
      </c>
    </row>
    <row r="2815" spans="1:20">
      <c r="A2815" s="8">
        <f t="shared" ref="A2815:B2817" si="235">DATE(2012,12,31)-1282</f>
        <v>39992</v>
      </c>
      <c r="B2815" s="8">
        <f t="shared" si="235"/>
        <v>39992</v>
      </c>
      <c r="C2815" s="9" t="s">
        <v>2075</v>
      </c>
      <c r="D2815">
        <v>10021431469</v>
      </c>
      <c r="E2815" t="s">
        <v>47</v>
      </c>
      <c r="F2815" t="s">
        <v>177</v>
      </c>
      <c r="G2815" t="s">
        <v>178</v>
      </c>
      <c r="H2815" t="s">
        <v>1292</v>
      </c>
      <c r="I2815" t="s">
        <v>1293</v>
      </c>
      <c r="J2815" t="s">
        <v>668</v>
      </c>
      <c r="K2815" s="3">
        <v>100432109744</v>
      </c>
      <c r="L2815" s="10">
        <v>39994</v>
      </c>
      <c r="M2815">
        <v>160.27</v>
      </c>
      <c r="N2815" s="11">
        <v>46</v>
      </c>
      <c r="O2815" s="12">
        <v>3.58</v>
      </c>
      <c r="P2815" s="12">
        <v>5.47</v>
      </c>
      <c r="Q2815" s="13">
        <v>-183.356</v>
      </c>
      <c r="R2815" s="36" t="s">
        <v>320</v>
      </c>
      <c r="S2815" s="7">
        <f t="shared" si="232"/>
        <v>2</v>
      </c>
      <c r="T2815" s="15" t="str">
        <f>VLOOKUP(R2815,产品分类!$C$2:$D$1278,2,0)</f>
        <v>办公用品</v>
      </c>
    </row>
    <row r="2816" spans="1:20">
      <c r="A2816" s="8">
        <f t="shared" si="235"/>
        <v>39992</v>
      </c>
      <c r="B2816" s="8">
        <f t="shared" si="235"/>
        <v>39992</v>
      </c>
      <c r="C2816" s="9" t="s">
        <v>2075</v>
      </c>
      <c r="D2816">
        <v>10021499439</v>
      </c>
      <c r="E2816" t="s">
        <v>47</v>
      </c>
      <c r="F2816" t="s">
        <v>61</v>
      </c>
      <c r="G2816" t="s">
        <v>62</v>
      </c>
      <c r="H2816" t="s">
        <v>47</v>
      </c>
      <c r="I2816" t="s">
        <v>1778</v>
      </c>
      <c r="J2816" t="s">
        <v>668</v>
      </c>
      <c r="K2816" s="3">
        <v>100824421322</v>
      </c>
      <c r="L2816" s="10">
        <v>39992</v>
      </c>
      <c r="M2816">
        <v>4601.02</v>
      </c>
      <c r="N2816" s="11">
        <v>46</v>
      </c>
      <c r="O2816" s="12">
        <v>100.98</v>
      </c>
      <c r="P2816" s="12">
        <v>35.84</v>
      </c>
      <c r="Q2816" s="13">
        <v>-129.53</v>
      </c>
      <c r="R2816" s="36" t="s">
        <v>471</v>
      </c>
      <c r="S2816" s="7">
        <f t="shared" si="232"/>
        <v>0</v>
      </c>
      <c r="T2816" s="15" t="str">
        <f>VLOOKUP(R2816,产品分类!$C$2:$D$1278,2,0)</f>
        <v>办公用品</v>
      </c>
    </row>
    <row r="2817" spans="1:20">
      <c r="A2817" s="8">
        <f t="shared" si="235"/>
        <v>39992</v>
      </c>
      <c r="B2817" s="8">
        <f t="shared" si="235"/>
        <v>39992</v>
      </c>
      <c r="C2817" s="9" t="s">
        <v>2075</v>
      </c>
      <c r="D2817">
        <v>10021444017</v>
      </c>
      <c r="E2817" t="s">
        <v>47</v>
      </c>
      <c r="F2817" t="s">
        <v>61</v>
      </c>
      <c r="G2817" t="s">
        <v>62</v>
      </c>
      <c r="H2817" t="s">
        <v>47</v>
      </c>
      <c r="I2817" t="s">
        <v>1778</v>
      </c>
      <c r="J2817" t="s">
        <v>668</v>
      </c>
      <c r="K2817" s="3">
        <v>10094142621</v>
      </c>
      <c r="L2817" s="10">
        <v>39992</v>
      </c>
      <c r="M2817">
        <v>89.89</v>
      </c>
      <c r="N2817" s="11">
        <v>15</v>
      </c>
      <c r="O2817" s="12">
        <v>5.78</v>
      </c>
      <c r="P2817" s="12">
        <v>7.96</v>
      </c>
      <c r="Q2817" s="13">
        <v>-72.28</v>
      </c>
      <c r="R2817" s="36" t="s">
        <v>1065</v>
      </c>
      <c r="S2817" s="7">
        <f t="shared" si="232"/>
        <v>0</v>
      </c>
      <c r="T2817" s="15" t="str">
        <f>VLOOKUP(R2817,产品分类!$C$2:$D$1278,2,0)</f>
        <v>办公用品</v>
      </c>
    </row>
    <row r="2818" spans="1:20">
      <c r="A2818" s="8">
        <f>DATE(2012,12,31)-912</f>
        <v>40362</v>
      </c>
      <c r="B2818" s="8">
        <f>DATE(2012,12,31)-912</f>
        <v>40362</v>
      </c>
      <c r="C2818" s="9" t="s">
        <v>673</v>
      </c>
      <c r="D2818">
        <v>10021251452</v>
      </c>
      <c r="E2818" t="s">
        <v>47</v>
      </c>
      <c r="F2818" t="s">
        <v>61</v>
      </c>
      <c r="G2818" t="s">
        <v>62</v>
      </c>
      <c r="H2818" t="s">
        <v>47</v>
      </c>
      <c r="I2818" t="s">
        <v>1778</v>
      </c>
      <c r="J2818" t="s">
        <v>668</v>
      </c>
      <c r="K2818" s="3">
        <v>10077663945</v>
      </c>
      <c r="L2818" s="10">
        <v>40364</v>
      </c>
      <c r="M2818">
        <v>4043.29</v>
      </c>
      <c r="N2818" s="11">
        <v>35</v>
      </c>
      <c r="O2818" s="12">
        <v>119.99</v>
      </c>
      <c r="P2818" s="12">
        <v>56.14</v>
      </c>
      <c r="Q2818" s="13">
        <v>-34.3041</v>
      </c>
      <c r="R2818" s="36" t="s">
        <v>1626</v>
      </c>
      <c r="S2818" s="7">
        <f t="shared" si="232"/>
        <v>2</v>
      </c>
      <c r="T2818" s="15" t="str">
        <f>VLOOKUP(R2818,产品分类!$C$2:$D$1278,2,0)</f>
        <v>办公用品</v>
      </c>
    </row>
    <row r="2819" spans="1:20">
      <c r="A2819" s="8">
        <f>DATE(2012,12,31)-912</f>
        <v>40362</v>
      </c>
      <c r="B2819" s="8">
        <f>DATE(2012,12,31)-912</f>
        <v>40362</v>
      </c>
      <c r="C2819" s="9" t="s">
        <v>673</v>
      </c>
      <c r="D2819">
        <v>10021252363</v>
      </c>
      <c r="E2819" t="s">
        <v>47</v>
      </c>
      <c r="F2819" t="s">
        <v>61</v>
      </c>
      <c r="G2819" t="s">
        <v>62</v>
      </c>
      <c r="H2819" t="s">
        <v>47</v>
      </c>
      <c r="I2819" t="s">
        <v>1778</v>
      </c>
      <c r="J2819" t="s">
        <v>668</v>
      </c>
      <c r="K2819" s="3">
        <v>10078745105</v>
      </c>
      <c r="L2819" s="10">
        <v>40365</v>
      </c>
      <c r="M2819">
        <v>870.48</v>
      </c>
      <c r="N2819" s="11">
        <v>24</v>
      </c>
      <c r="O2819" s="12">
        <v>36.55</v>
      </c>
      <c r="P2819" s="12">
        <v>13.89</v>
      </c>
      <c r="Q2819" s="13">
        <v>104.37</v>
      </c>
      <c r="R2819" s="36" t="s">
        <v>159</v>
      </c>
      <c r="S2819" s="7">
        <f t="shared" ref="S2819:S2882" si="236">+L2819-B2819</f>
        <v>3</v>
      </c>
      <c r="T2819" s="15" t="str">
        <f>VLOOKUP(R2819,产品分类!$C$2:$D$1278,2,0)</f>
        <v>数码电子</v>
      </c>
    </row>
    <row r="2820" spans="1:20">
      <c r="A2820" s="8">
        <f>DATE(2012,12,31)-103</f>
        <v>41171</v>
      </c>
      <c r="B2820" s="8">
        <f>DATE(2012,12,31)-103</f>
        <v>41171</v>
      </c>
      <c r="C2820" s="9" t="s">
        <v>877</v>
      </c>
      <c r="D2820">
        <v>10021495458</v>
      </c>
      <c r="E2820" t="s">
        <v>47</v>
      </c>
      <c r="F2820" t="s">
        <v>61</v>
      </c>
      <c r="G2820" t="s">
        <v>62</v>
      </c>
      <c r="H2820" t="s">
        <v>47</v>
      </c>
      <c r="I2820" t="s">
        <v>1778</v>
      </c>
      <c r="J2820" t="s">
        <v>668</v>
      </c>
      <c r="K2820" s="3">
        <v>10097343481</v>
      </c>
      <c r="L2820" s="10">
        <v>41173</v>
      </c>
      <c r="M2820">
        <v>76.06</v>
      </c>
      <c r="N2820" s="11">
        <v>24</v>
      </c>
      <c r="O2820" s="12">
        <v>3.15</v>
      </c>
      <c r="P2820" s="12">
        <v>0.49</v>
      </c>
      <c r="Q2820" s="13">
        <v>30.03</v>
      </c>
      <c r="R2820" s="36" t="s">
        <v>888</v>
      </c>
      <c r="S2820" s="7">
        <f t="shared" si="236"/>
        <v>2</v>
      </c>
      <c r="T2820" s="15" t="str">
        <f>VLOOKUP(R2820,产品分类!$C$2:$D$1278,2,0)</f>
        <v>办公用品</v>
      </c>
    </row>
    <row r="2821" spans="1:20">
      <c r="A2821" s="8">
        <f>DATE(2012,12,31)-433</f>
        <v>40841</v>
      </c>
      <c r="B2821" s="8">
        <f>DATE(2012,12,31)-433</f>
        <v>40841</v>
      </c>
      <c r="C2821" s="9" t="s">
        <v>2056</v>
      </c>
      <c r="D2821">
        <v>10021498797</v>
      </c>
      <c r="E2821" t="s">
        <v>47</v>
      </c>
      <c r="F2821" t="s">
        <v>61</v>
      </c>
      <c r="G2821" t="s">
        <v>62</v>
      </c>
      <c r="H2821" t="s">
        <v>47</v>
      </c>
      <c r="I2821" t="s">
        <v>1778</v>
      </c>
      <c r="J2821" t="s">
        <v>668</v>
      </c>
      <c r="K2821" s="3">
        <v>100323533239</v>
      </c>
      <c r="L2821" s="10">
        <v>40848</v>
      </c>
      <c r="M2821">
        <v>396.6</v>
      </c>
      <c r="N2821" s="11">
        <v>30</v>
      </c>
      <c r="O2821" s="12">
        <v>14.03</v>
      </c>
      <c r="P2821" s="12">
        <v>9.37</v>
      </c>
      <c r="Q2821" s="13">
        <v>-148.26</v>
      </c>
      <c r="R2821" s="36" t="s">
        <v>1014</v>
      </c>
      <c r="S2821" s="7">
        <f t="shared" si="236"/>
        <v>7</v>
      </c>
      <c r="T2821" s="15" t="str">
        <f>VLOOKUP(R2821,产品分类!$C$2:$D$1278,2,0)</f>
        <v>数码电子</v>
      </c>
    </row>
    <row r="2822" spans="1:20">
      <c r="A2822" s="8">
        <f>DATE(2012,12,31)-433</f>
        <v>40841</v>
      </c>
      <c r="B2822" s="8">
        <f>DATE(2012,12,31)-433</f>
        <v>40841</v>
      </c>
      <c r="C2822" s="9" t="s">
        <v>2056</v>
      </c>
      <c r="D2822">
        <v>10021429738</v>
      </c>
      <c r="E2822" t="s">
        <v>47</v>
      </c>
      <c r="F2822" t="s">
        <v>253</v>
      </c>
      <c r="G2822" t="s">
        <v>254</v>
      </c>
      <c r="H2822" t="s">
        <v>1998</v>
      </c>
      <c r="I2822" t="s">
        <v>1999</v>
      </c>
      <c r="J2822" t="s">
        <v>668</v>
      </c>
      <c r="K2822" s="3">
        <v>100431661463</v>
      </c>
      <c r="L2822" s="10">
        <v>40845</v>
      </c>
      <c r="M2822">
        <v>6902.51</v>
      </c>
      <c r="N2822" s="11">
        <v>32</v>
      </c>
      <c r="O2822" s="12">
        <v>212.6</v>
      </c>
      <c r="P2822" s="12">
        <v>110.2</v>
      </c>
      <c r="Q2822" s="13">
        <v>-513.79042</v>
      </c>
      <c r="R2822" s="36" t="s">
        <v>652</v>
      </c>
      <c r="S2822" s="7">
        <f t="shared" si="236"/>
        <v>4</v>
      </c>
      <c r="T2822" s="15" t="str">
        <f>VLOOKUP(R2822,产品分类!$C$2:$D$1278,2,0)</f>
        <v>办公用品</v>
      </c>
    </row>
    <row r="2823" spans="1:20">
      <c r="A2823" s="8">
        <f>DATE(2012,12,31)-1038</f>
        <v>40236</v>
      </c>
      <c r="B2823" s="8">
        <f>DATE(2012,12,31)-1038</f>
        <v>40236</v>
      </c>
      <c r="C2823" s="9" t="s">
        <v>1853</v>
      </c>
      <c r="D2823">
        <v>10021414523</v>
      </c>
      <c r="E2823" t="s">
        <v>47</v>
      </c>
      <c r="F2823" t="s">
        <v>61</v>
      </c>
      <c r="G2823" t="s">
        <v>62</v>
      </c>
      <c r="H2823" t="s">
        <v>47</v>
      </c>
      <c r="I2823" t="s">
        <v>1778</v>
      </c>
      <c r="J2823" t="s">
        <v>668</v>
      </c>
      <c r="K2823" s="3">
        <v>10013505197</v>
      </c>
      <c r="L2823" s="10">
        <v>40236</v>
      </c>
      <c r="M2823">
        <v>41.23</v>
      </c>
      <c r="N2823" s="11">
        <v>35</v>
      </c>
      <c r="O2823" s="12">
        <v>1.26</v>
      </c>
      <c r="P2823" s="12">
        <v>0.7</v>
      </c>
      <c r="Q2823" s="13">
        <v>-21.51</v>
      </c>
      <c r="R2823" s="36" t="s">
        <v>339</v>
      </c>
      <c r="S2823" s="7">
        <f t="shared" si="236"/>
        <v>0</v>
      </c>
      <c r="T2823" s="15" t="str">
        <f>VLOOKUP(R2823,产品分类!$C$2:$D$1278,2,0)</f>
        <v>数码电子</v>
      </c>
    </row>
    <row r="2824" spans="1:20">
      <c r="A2824" s="8">
        <f t="shared" ref="A2824:B2826" si="237">DATE(2012,12,31)-1238</f>
        <v>40036</v>
      </c>
      <c r="B2824" s="8">
        <f t="shared" si="237"/>
        <v>40036</v>
      </c>
      <c r="C2824" s="9" t="s">
        <v>977</v>
      </c>
      <c r="D2824">
        <v>10021417052</v>
      </c>
      <c r="E2824" t="s">
        <v>47</v>
      </c>
      <c r="F2824" t="s">
        <v>61</v>
      </c>
      <c r="G2824" t="s">
        <v>62</v>
      </c>
      <c r="H2824" t="s">
        <v>47</v>
      </c>
      <c r="I2824" t="s">
        <v>1778</v>
      </c>
      <c r="J2824" t="s">
        <v>668</v>
      </c>
      <c r="K2824" s="3">
        <v>100115388546</v>
      </c>
      <c r="L2824" s="10">
        <v>40038</v>
      </c>
      <c r="M2824">
        <v>7477.78</v>
      </c>
      <c r="N2824" s="11">
        <v>31</v>
      </c>
      <c r="O2824" s="12">
        <v>260.98</v>
      </c>
      <c r="P2824" s="12">
        <v>41.91</v>
      </c>
      <c r="Q2824" s="13">
        <v>883.29</v>
      </c>
      <c r="R2824" s="36" t="s">
        <v>725</v>
      </c>
      <c r="S2824" s="7">
        <f t="shared" si="236"/>
        <v>2</v>
      </c>
      <c r="T2824" s="15" t="str">
        <f>VLOOKUP(R2824,产品分类!$C$2:$D$1278,2,0)</f>
        <v>家具产品</v>
      </c>
    </row>
    <row r="2825" spans="1:20">
      <c r="A2825" s="8">
        <f t="shared" si="237"/>
        <v>40036</v>
      </c>
      <c r="B2825" s="8">
        <f t="shared" si="237"/>
        <v>40036</v>
      </c>
      <c r="C2825" s="9" t="s">
        <v>977</v>
      </c>
      <c r="D2825">
        <v>10021302295</v>
      </c>
      <c r="E2825" t="s">
        <v>47</v>
      </c>
      <c r="F2825" t="s">
        <v>61</v>
      </c>
      <c r="G2825" t="s">
        <v>62</v>
      </c>
      <c r="H2825" t="s">
        <v>47</v>
      </c>
      <c r="I2825" t="s">
        <v>1778</v>
      </c>
      <c r="J2825" t="s">
        <v>668</v>
      </c>
      <c r="K2825" s="3">
        <v>100830948402</v>
      </c>
      <c r="L2825" s="10">
        <v>40038</v>
      </c>
      <c r="M2825">
        <v>270.39</v>
      </c>
      <c r="N2825" s="11">
        <v>24</v>
      </c>
      <c r="O2825" s="12">
        <v>10.52</v>
      </c>
      <c r="P2825" s="12">
        <v>7.94</v>
      </c>
      <c r="Q2825" s="13">
        <v>-30.42</v>
      </c>
      <c r="R2825" s="36" t="s">
        <v>2076</v>
      </c>
      <c r="S2825" s="7">
        <f t="shared" si="236"/>
        <v>2</v>
      </c>
      <c r="T2825" s="15" t="str">
        <f>VLOOKUP(R2825,产品分类!$C$2:$D$1278,2,0)</f>
        <v>家具产品</v>
      </c>
    </row>
    <row r="2826" spans="1:20">
      <c r="A2826" s="8">
        <f t="shared" si="237"/>
        <v>40036</v>
      </c>
      <c r="B2826" s="8">
        <f t="shared" si="237"/>
        <v>40036</v>
      </c>
      <c r="C2826" s="9" t="s">
        <v>977</v>
      </c>
      <c r="D2826">
        <v>10021524389</v>
      </c>
      <c r="E2826" t="s">
        <v>47</v>
      </c>
      <c r="F2826" t="s">
        <v>61</v>
      </c>
      <c r="G2826" t="s">
        <v>62</v>
      </c>
      <c r="H2826" t="s">
        <v>47</v>
      </c>
      <c r="I2826" t="s">
        <v>1778</v>
      </c>
      <c r="J2826" t="s">
        <v>668</v>
      </c>
      <c r="K2826" s="3">
        <v>100916582071</v>
      </c>
      <c r="L2826" s="10">
        <v>40038</v>
      </c>
      <c r="M2826">
        <v>201.35</v>
      </c>
      <c r="N2826" s="11">
        <v>30</v>
      </c>
      <c r="O2826" s="12">
        <v>5.98</v>
      </c>
      <c r="P2826" s="12">
        <v>7.5</v>
      </c>
      <c r="Q2826" s="13">
        <v>-107.37</v>
      </c>
      <c r="R2826" s="36" t="s">
        <v>1903</v>
      </c>
      <c r="S2826" s="7">
        <f t="shared" si="236"/>
        <v>2</v>
      </c>
      <c r="T2826" s="15" t="str">
        <f>VLOOKUP(R2826,产品分类!$C$2:$D$1278,2,0)</f>
        <v>家具产品</v>
      </c>
    </row>
    <row r="2827" spans="1:20">
      <c r="A2827" s="8">
        <f>DATE(2012,12,31)-1218</f>
        <v>40056</v>
      </c>
      <c r="B2827" s="8">
        <f>DATE(2012,12,31)-1218</f>
        <v>40056</v>
      </c>
      <c r="C2827" s="9" t="s">
        <v>830</v>
      </c>
      <c r="D2827">
        <v>10021295151</v>
      </c>
      <c r="E2827" t="s">
        <v>47</v>
      </c>
      <c r="F2827" t="s">
        <v>61</v>
      </c>
      <c r="G2827" t="s">
        <v>62</v>
      </c>
      <c r="H2827" t="s">
        <v>47</v>
      </c>
      <c r="I2827" t="s">
        <v>1778</v>
      </c>
      <c r="J2827" t="s">
        <v>668</v>
      </c>
      <c r="K2827" s="3">
        <v>100714944945</v>
      </c>
      <c r="L2827" s="10">
        <v>40059</v>
      </c>
      <c r="M2827">
        <v>1271.12</v>
      </c>
      <c r="N2827" s="11">
        <v>35</v>
      </c>
      <c r="O2827" s="12">
        <v>34.98</v>
      </c>
      <c r="P2827" s="12">
        <v>7.53</v>
      </c>
      <c r="Q2827" s="13">
        <v>-62.82</v>
      </c>
      <c r="R2827" s="36" t="s">
        <v>1788</v>
      </c>
      <c r="S2827" s="7">
        <f t="shared" si="236"/>
        <v>3</v>
      </c>
      <c r="T2827" s="15" t="str">
        <f>VLOOKUP(R2827,产品分类!$C$2:$D$1278,2,0)</f>
        <v>办公用品</v>
      </c>
    </row>
    <row r="2828" spans="1:20">
      <c r="A2828" s="16">
        <f>DATE(2012,12,31)-1218</f>
        <v>40056</v>
      </c>
      <c r="B2828" s="16">
        <f>DATE(2012,12,31)-1218</f>
        <v>40056</v>
      </c>
      <c r="C2828" s="9" t="s">
        <v>830</v>
      </c>
      <c r="D2828">
        <v>10021429689</v>
      </c>
      <c r="E2828" t="s">
        <v>47</v>
      </c>
      <c r="F2828" t="s">
        <v>83</v>
      </c>
      <c r="G2828" t="s">
        <v>84</v>
      </c>
      <c r="H2828" t="s">
        <v>1928</v>
      </c>
      <c r="I2828" t="s">
        <v>1929</v>
      </c>
      <c r="J2828" t="s">
        <v>668</v>
      </c>
      <c r="K2828" s="3">
        <v>100831653912</v>
      </c>
      <c r="L2828" s="10">
        <v>40058</v>
      </c>
      <c r="M2828">
        <v>58.5</v>
      </c>
      <c r="N2828" s="17">
        <v>17</v>
      </c>
      <c r="O2828" s="5">
        <v>3.14</v>
      </c>
      <c r="P2828" s="5">
        <v>1.92</v>
      </c>
      <c r="Q2828" s="6">
        <v>-25.26</v>
      </c>
      <c r="R2828" s="37" t="s">
        <v>157</v>
      </c>
      <c r="S2828" s="7">
        <f t="shared" si="236"/>
        <v>2</v>
      </c>
      <c r="T2828" s="15" t="str">
        <f>VLOOKUP(R2828,产品分类!$C$2:$D$1278,2,0)</f>
        <v>数码电子</v>
      </c>
    </row>
    <row r="2829" spans="1:20">
      <c r="A2829" s="8">
        <f>DATE(2012,12,31)-1435</f>
        <v>39839</v>
      </c>
      <c r="B2829" s="8">
        <f>DATE(2012,12,31)-1435</f>
        <v>39839</v>
      </c>
      <c r="C2829" s="9" t="s">
        <v>1372</v>
      </c>
      <c r="D2829">
        <v>10021421453</v>
      </c>
      <c r="E2829" t="s">
        <v>47</v>
      </c>
      <c r="F2829" t="s">
        <v>61</v>
      </c>
      <c r="G2829" t="s">
        <v>62</v>
      </c>
      <c r="H2829" t="s">
        <v>47</v>
      </c>
      <c r="I2829" t="s">
        <v>1778</v>
      </c>
      <c r="J2829" t="s">
        <v>668</v>
      </c>
      <c r="K2829" s="3">
        <v>10033880939</v>
      </c>
      <c r="L2829" s="10">
        <v>39841</v>
      </c>
      <c r="M2829">
        <v>15.38</v>
      </c>
      <c r="N2829" s="11">
        <v>5</v>
      </c>
      <c r="O2829" s="12">
        <v>2.89</v>
      </c>
      <c r="P2829" s="12">
        <v>0.5</v>
      </c>
      <c r="Q2829" s="13">
        <v>1.61</v>
      </c>
      <c r="R2829" s="36" t="s">
        <v>118</v>
      </c>
      <c r="S2829" s="7">
        <f t="shared" si="236"/>
        <v>2</v>
      </c>
      <c r="T2829" s="15" t="str">
        <f>VLOOKUP(R2829,产品分类!$C$2:$D$1278,2,0)</f>
        <v>办公用品</v>
      </c>
    </row>
    <row r="2830" spans="1:20">
      <c r="A2830" s="8">
        <f>DATE(2012,12,31)-1435</f>
        <v>39839</v>
      </c>
      <c r="B2830" s="8">
        <f>DATE(2012,12,31)-1435</f>
        <v>39839</v>
      </c>
      <c r="C2830" s="9" t="s">
        <v>1372</v>
      </c>
      <c r="D2830">
        <v>10021494309</v>
      </c>
      <c r="E2830" t="s">
        <v>47</v>
      </c>
      <c r="F2830" t="s">
        <v>83</v>
      </c>
      <c r="G2830" t="s">
        <v>84</v>
      </c>
      <c r="H2830" t="s">
        <v>1928</v>
      </c>
      <c r="I2830" t="s">
        <v>1929</v>
      </c>
      <c r="J2830" t="s">
        <v>668</v>
      </c>
      <c r="K2830" s="3">
        <v>10033656929</v>
      </c>
      <c r="L2830" s="10">
        <v>39840</v>
      </c>
      <c r="M2830">
        <v>447.33</v>
      </c>
      <c r="N2830" s="11">
        <v>30</v>
      </c>
      <c r="O2830" s="12">
        <v>14.34</v>
      </c>
      <c r="P2830" s="12">
        <v>5</v>
      </c>
      <c r="Q2830" s="13">
        <v>115.21</v>
      </c>
      <c r="R2830" s="36" t="s">
        <v>298</v>
      </c>
      <c r="S2830" s="7">
        <f t="shared" si="236"/>
        <v>1</v>
      </c>
      <c r="T2830" s="15" t="str">
        <f>VLOOKUP(R2830,产品分类!$C$2:$D$1278,2,0)</f>
        <v>办公用品</v>
      </c>
    </row>
    <row r="2831" spans="1:20">
      <c r="A2831" s="8">
        <f>DATE(2012,12,31)-517</f>
        <v>40757</v>
      </c>
      <c r="B2831" s="8">
        <f>DATE(2012,12,31)-517</f>
        <v>40757</v>
      </c>
      <c r="C2831" s="9" t="s">
        <v>2077</v>
      </c>
      <c r="D2831">
        <v>10021249253</v>
      </c>
      <c r="E2831" t="s">
        <v>47</v>
      </c>
      <c r="F2831" t="s">
        <v>61</v>
      </c>
      <c r="G2831" t="s">
        <v>62</v>
      </c>
      <c r="H2831" t="s">
        <v>47</v>
      </c>
      <c r="I2831" t="s">
        <v>1778</v>
      </c>
      <c r="J2831" t="s">
        <v>668</v>
      </c>
      <c r="K2831" s="3">
        <v>10084721682</v>
      </c>
      <c r="L2831" s="10">
        <v>40758</v>
      </c>
      <c r="M2831">
        <v>104.82</v>
      </c>
      <c r="N2831" s="11">
        <v>23</v>
      </c>
      <c r="O2831" s="12">
        <v>3.69</v>
      </c>
      <c r="P2831" s="12">
        <v>2.5</v>
      </c>
      <c r="Q2831" s="13">
        <v>6.84</v>
      </c>
      <c r="R2831" s="36" t="s">
        <v>1982</v>
      </c>
      <c r="S2831" s="7">
        <f t="shared" si="236"/>
        <v>1</v>
      </c>
      <c r="T2831" s="15" t="str">
        <f>VLOOKUP(R2831,产品分类!$C$2:$D$1278,2,0)</f>
        <v>办公用品</v>
      </c>
    </row>
    <row r="2832" spans="1:20">
      <c r="A2832" s="16">
        <f>DATE(2012,12,31)-1093</f>
        <v>40181</v>
      </c>
      <c r="B2832" s="16">
        <f>DATE(2012,12,31)-1093</f>
        <v>40181</v>
      </c>
      <c r="C2832" s="9" t="s">
        <v>617</v>
      </c>
      <c r="D2832">
        <v>10021248912</v>
      </c>
      <c r="E2832" t="s">
        <v>47</v>
      </c>
      <c r="F2832" t="s">
        <v>61</v>
      </c>
      <c r="G2832" t="s">
        <v>62</v>
      </c>
      <c r="H2832" t="s">
        <v>47</v>
      </c>
      <c r="I2832" t="s">
        <v>1778</v>
      </c>
      <c r="J2832" t="s">
        <v>668</v>
      </c>
      <c r="K2832" s="3">
        <v>10094814941</v>
      </c>
      <c r="L2832" s="10">
        <v>40182</v>
      </c>
      <c r="M2832">
        <v>1216.5</v>
      </c>
      <c r="N2832" s="17">
        <v>19</v>
      </c>
      <c r="O2832" s="5">
        <v>67.28</v>
      </c>
      <c r="P2832" s="5">
        <v>19.99</v>
      </c>
      <c r="Q2832" s="6">
        <v>162.18</v>
      </c>
      <c r="R2832" s="37" t="s">
        <v>862</v>
      </c>
      <c r="S2832" s="7">
        <f t="shared" si="236"/>
        <v>1</v>
      </c>
      <c r="T2832" s="15" t="str">
        <f>VLOOKUP(R2832,产品分类!$C$2:$D$1278,2,0)</f>
        <v>办公用品</v>
      </c>
    </row>
    <row r="2833" spans="1:20">
      <c r="A2833" s="8">
        <f>DATE(2012,12,31)-24</f>
        <v>41250</v>
      </c>
      <c r="B2833" s="8">
        <f>DATE(2012,12,31)-24</f>
        <v>41250</v>
      </c>
      <c r="C2833" s="9" t="s">
        <v>421</v>
      </c>
      <c r="D2833">
        <v>10021436099</v>
      </c>
      <c r="E2833" t="s">
        <v>47</v>
      </c>
      <c r="F2833" t="s">
        <v>102</v>
      </c>
      <c r="G2833" t="s">
        <v>103</v>
      </c>
      <c r="H2833" t="s">
        <v>1217</v>
      </c>
      <c r="I2833" t="s">
        <v>1218</v>
      </c>
      <c r="J2833" t="s">
        <v>668</v>
      </c>
      <c r="K2833" s="3">
        <v>100732545065</v>
      </c>
      <c r="L2833" s="10">
        <v>41253</v>
      </c>
      <c r="M2833">
        <v>6878.55</v>
      </c>
      <c r="N2833" s="11">
        <v>26</v>
      </c>
      <c r="O2833" s="12">
        <v>259.71</v>
      </c>
      <c r="P2833" s="12">
        <v>66.67</v>
      </c>
      <c r="Q2833" s="13">
        <v>506.71</v>
      </c>
      <c r="R2833" s="36" t="s">
        <v>1360</v>
      </c>
      <c r="S2833" s="7">
        <f t="shared" si="236"/>
        <v>3</v>
      </c>
      <c r="T2833" s="15" t="str">
        <f>VLOOKUP(R2833,产品分类!$C$2:$D$1278,2,0)</f>
        <v>办公用品</v>
      </c>
    </row>
    <row r="2834" spans="1:20">
      <c r="A2834" s="16">
        <f t="shared" ref="A2834:B2836" si="238">DATE(2012,12,31)-220</f>
        <v>41054</v>
      </c>
      <c r="B2834" s="16">
        <f t="shared" si="238"/>
        <v>41054</v>
      </c>
      <c r="C2834" s="9" t="s">
        <v>1250</v>
      </c>
      <c r="D2834">
        <v>10021304932</v>
      </c>
      <c r="E2834" t="s">
        <v>47</v>
      </c>
      <c r="F2834" t="s">
        <v>61</v>
      </c>
      <c r="G2834" t="s">
        <v>62</v>
      </c>
      <c r="H2834" t="s">
        <v>47</v>
      </c>
      <c r="I2834" t="s">
        <v>1778</v>
      </c>
      <c r="J2834" t="s">
        <v>668</v>
      </c>
      <c r="K2834" s="3">
        <v>100432069253</v>
      </c>
      <c r="L2834" s="10">
        <v>41056</v>
      </c>
      <c r="M2834">
        <v>53.72</v>
      </c>
      <c r="N2834" s="17">
        <v>6</v>
      </c>
      <c r="O2834" s="5">
        <v>8.95</v>
      </c>
      <c r="P2834" s="5">
        <v>2.01</v>
      </c>
      <c r="Q2834" s="6">
        <v>2.82</v>
      </c>
      <c r="R2834" s="37" t="s">
        <v>2078</v>
      </c>
      <c r="S2834" s="7">
        <f t="shared" si="236"/>
        <v>2</v>
      </c>
      <c r="T2834" s="15" t="str">
        <f>VLOOKUP(R2834,产品分类!$C$2:$D$1278,2,0)</f>
        <v>数码电子</v>
      </c>
    </row>
    <row r="2835" spans="1:20">
      <c r="A2835" s="16">
        <f t="shared" si="238"/>
        <v>41054</v>
      </c>
      <c r="B2835" s="16">
        <f t="shared" si="238"/>
        <v>41054</v>
      </c>
      <c r="C2835" s="9" t="s">
        <v>1250</v>
      </c>
      <c r="D2835">
        <v>10021305360</v>
      </c>
      <c r="E2835" t="s">
        <v>47</v>
      </c>
      <c r="F2835" t="s">
        <v>97</v>
      </c>
      <c r="G2835" t="s">
        <v>98</v>
      </c>
      <c r="H2835" t="s">
        <v>99</v>
      </c>
      <c r="I2835" t="s">
        <v>98</v>
      </c>
      <c r="J2835" t="s">
        <v>668</v>
      </c>
      <c r="K2835" s="3">
        <v>100132225187</v>
      </c>
      <c r="L2835" s="10">
        <v>41056</v>
      </c>
      <c r="M2835">
        <v>1809.21</v>
      </c>
      <c r="N2835" s="17">
        <v>33</v>
      </c>
      <c r="O2835" s="5">
        <v>55.29</v>
      </c>
      <c r="P2835" s="5">
        <v>5.08</v>
      </c>
      <c r="Q2835" s="6">
        <v>454.49</v>
      </c>
      <c r="R2835" s="37" t="s">
        <v>1294</v>
      </c>
      <c r="S2835" s="7">
        <f t="shared" si="236"/>
        <v>2</v>
      </c>
      <c r="T2835" s="15" t="str">
        <f>VLOOKUP(R2835,产品分类!$C$2:$D$1278,2,0)</f>
        <v>办公用品</v>
      </c>
    </row>
    <row r="2836" spans="1:20">
      <c r="A2836" s="8">
        <f t="shared" si="238"/>
        <v>41054</v>
      </c>
      <c r="B2836" s="8">
        <f t="shared" si="238"/>
        <v>41054</v>
      </c>
      <c r="C2836" s="9" t="s">
        <v>1250</v>
      </c>
      <c r="D2836">
        <v>10021515768</v>
      </c>
      <c r="E2836" t="s">
        <v>47</v>
      </c>
      <c r="F2836" t="s">
        <v>72</v>
      </c>
      <c r="G2836" t="s">
        <v>73</v>
      </c>
      <c r="H2836" t="s">
        <v>2008</v>
      </c>
      <c r="I2836" t="s">
        <v>2009</v>
      </c>
      <c r="J2836" t="s">
        <v>668</v>
      </c>
      <c r="K2836" s="3">
        <v>100420748153</v>
      </c>
      <c r="L2836" s="10">
        <v>41056</v>
      </c>
      <c r="M2836">
        <v>9150.09</v>
      </c>
      <c r="N2836" s="11">
        <v>17</v>
      </c>
      <c r="O2836" s="12">
        <v>550.98</v>
      </c>
      <c r="P2836" s="12">
        <v>45.7</v>
      </c>
      <c r="Q2836" s="13">
        <v>-1331.553366</v>
      </c>
      <c r="R2836" s="36" t="s">
        <v>1215</v>
      </c>
      <c r="S2836" s="7">
        <f t="shared" si="236"/>
        <v>2</v>
      </c>
      <c r="T2836" s="15" t="str">
        <f>VLOOKUP(R2836,产品分类!$C$2:$D$1278,2,0)</f>
        <v>家具产品</v>
      </c>
    </row>
    <row r="2837" spans="1:20">
      <c r="A2837" s="8">
        <f>DATE(2012,12,31)-662</f>
        <v>40612</v>
      </c>
      <c r="B2837" s="8">
        <f>DATE(2012,12,31)-662</f>
        <v>40612</v>
      </c>
      <c r="C2837" s="9" t="s">
        <v>1934</v>
      </c>
      <c r="D2837">
        <v>10021326360</v>
      </c>
      <c r="E2837" t="s">
        <v>47</v>
      </c>
      <c r="F2837" t="s">
        <v>91</v>
      </c>
      <c r="G2837" t="s">
        <v>92</v>
      </c>
      <c r="H2837" t="s">
        <v>2053</v>
      </c>
      <c r="I2837" t="s">
        <v>2054</v>
      </c>
      <c r="J2837" t="s">
        <v>668</v>
      </c>
      <c r="K2837" s="3">
        <v>100932846161</v>
      </c>
      <c r="L2837" s="10">
        <v>40614</v>
      </c>
      <c r="M2837">
        <v>450.39</v>
      </c>
      <c r="N2837" s="11">
        <v>23</v>
      </c>
      <c r="O2837" s="12">
        <v>19.23</v>
      </c>
      <c r="P2837" s="12">
        <v>6.15</v>
      </c>
      <c r="Q2837" s="13">
        <v>152.79</v>
      </c>
      <c r="R2837" s="36" t="s">
        <v>1245</v>
      </c>
      <c r="S2837" s="7">
        <f t="shared" si="236"/>
        <v>2</v>
      </c>
      <c r="T2837" s="15" t="str">
        <f>VLOOKUP(R2837,产品分类!$C$2:$D$1278,2,0)</f>
        <v>办公用品</v>
      </c>
    </row>
    <row r="2838" spans="1:20">
      <c r="A2838" s="8">
        <f>DATE(2012,12,31)-662</f>
        <v>40612</v>
      </c>
      <c r="B2838" s="8">
        <f>DATE(2012,12,31)-662</f>
        <v>40612</v>
      </c>
      <c r="C2838" s="9" t="s">
        <v>1934</v>
      </c>
      <c r="D2838">
        <v>10021324451</v>
      </c>
      <c r="E2838" t="s">
        <v>47</v>
      </c>
      <c r="F2838" t="s">
        <v>55</v>
      </c>
      <c r="G2838" t="s">
        <v>56</v>
      </c>
      <c r="H2838" t="s">
        <v>1869</v>
      </c>
      <c r="I2838" t="s">
        <v>1870</v>
      </c>
      <c r="J2838" t="s">
        <v>668</v>
      </c>
      <c r="K2838" s="3">
        <v>100130719037</v>
      </c>
      <c r="L2838" s="10">
        <v>40614</v>
      </c>
      <c r="M2838">
        <v>1193.1195</v>
      </c>
      <c r="N2838" s="11">
        <v>17</v>
      </c>
      <c r="O2838" s="12">
        <v>85.99</v>
      </c>
      <c r="P2838" s="12">
        <v>0.99</v>
      </c>
      <c r="Q2838" s="13">
        <v>137.592</v>
      </c>
      <c r="R2838" s="36" t="s">
        <v>1684</v>
      </c>
      <c r="S2838" s="7">
        <f t="shared" si="236"/>
        <v>2</v>
      </c>
      <c r="T2838" s="15" t="str">
        <f>VLOOKUP(R2838,产品分类!$C$2:$D$1278,2,0)</f>
        <v>办公用品</v>
      </c>
    </row>
    <row r="2839" spans="1:20">
      <c r="A2839" s="8">
        <f>DATE(2012,12,31)-917</f>
        <v>40357</v>
      </c>
      <c r="B2839" s="8">
        <f>DATE(2012,12,31)-917</f>
        <v>40357</v>
      </c>
      <c r="C2839" s="9" t="s">
        <v>2079</v>
      </c>
      <c r="D2839">
        <v>10021401827</v>
      </c>
      <c r="E2839" t="s">
        <v>47</v>
      </c>
      <c r="F2839" t="s">
        <v>91</v>
      </c>
      <c r="G2839" t="s">
        <v>92</v>
      </c>
      <c r="H2839" t="s">
        <v>2053</v>
      </c>
      <c r="I2839" t="s">
        <v>2054</v>
      </c>
      <c r="J2839" t="s">
        <v>668</v>
      </c>
      <c r="K2839" s="3">
        <v>10096959461</v>
      </c>
      <c r="L2839" s="10">
        <v>40358</v>
      </c>
      <c r="M2839">
        <v>381.1995</v>
      </c>
      <c r="N2839" s="11">
        <v>7</v>
      </c>
      <c r="O2839" s="12">
        <v>65.99</v>
      </c>
      <c r="P2839" s="12">
        <v>8.99</v>
      </c>
      <c r="Q2839" s="13">
        <v>-233.563</v>
      </c>
      <c r="R2839" s="36" t="s">
        <v>1486</v>
      </c>
      <c r="S2839" s="7">
        <f t="shared" si="236"/>
        <v>1</v>
      </c>
      <c r="T2839" s="15" t="str">
        <f>VLOOKUP(R2839,产品分类!$C$2:$D$1278,2,0)</f>
        <v>办公用品</v>
      </c>
    </row>
    <row r="2840" spans="1:20">
      <c r="A2840" s="16">
        <f>DATE(2012,12,31)-1432</f>
        <v>39842</v>
      </c>
      <c r="B2840" s="16">
        <f>DATE(2012,12,31)-1432</f>
        <v>39842</v>
      </c>
      <c r="C2840" s="9" t="s">
        <v>523</v>
      </c>
      <c r="D2840">
        <v>10021316613</v>
      </c>
      <c r="E2840" t="s">
        <v>47</v>
      </c>
      <c r="F2840" t="s">
        <v>61</v>
      </c>
      <c r="G2840" t="s">
        <v>62</v>
      </c>
      <c r="H2840" t="s">
        <v>47</v>
      </c>
      <c r="I2840" t="s">
        <v>1778</v>
      </c>
      <c r="J2840" t="s">
        <v>668</v>
      </c>
      <c r="K2840" s="3">
        <v>100123028078</v>
      </c>
      <c r="L2840" s="10">
        <v>39845</v>
      </c>
      <c r="M2840">
        <v>16147.61</v>
      </c>
      <c r="N2840" s="17">
        <v>38</v>
      </c>
      <c r="O2840" s="5">
        <v>420.98</v>
      </c>
      <c r="P2840" s="5">
        <v>19.99</v>
      </c>
      <c r="Q2840" s="6">
        <v>7604.95</v>
      </c>
      <c r="R2840" s="37" t="s">
        <v>498</v>
      </c>
      <c r="S2840" s="7">
        <f t="shared" si="236"/>
        <v>3</v>
      </c>
      <c r="T2840" s="15" t="str">
        <f>VLOOKUP(R2840,产品分类!$C$2:$D$1278,2,0)</f>
        <v>家具产品</v>
      </c>
    </row>
    <row r="2841" spans="1:20">
      <c r="A2841" s="8">
        <f>DATE(2012,12,31)-1432</f>
        <v>39842</v>
      </c>
      <c r="B2841" s="8">
        <f>DATE(2012,12,31)-1432</f>
        <v>39842</v>
      </c>
      <c r="C2841" s="9" t="s">
        <v>523</v>
      </c>
      <c r="D2841">
        <v>10021309367</v>
      </c>
      <c r="E2841" t="s">
        <v>47</v>
      </c>
      <c r="F2841" t="s">
        <v>102</v>
      </c>
      <c r="G2841" t="s">
        <v>103</v>
      </c>
      <c r="H2841" t="s">
        <v>1217</v>
      </c>
      <c r="I2841" t="s">
        <v>1218</v>
      </c>
      <c r="J2841" t="s">
        <v>668</v>
      </c>
      <c r="K2841" s="3">
        <v>100913830311</v>
      </c>
      <c r="L2841" s="10">
        <v>39844</v>
      </c>
      <c r="M2841">
        <v>1042.63</v>
      </c>
      <c r="N2841" s="11">
        <v>4</v>
      </c>
      <c r="O2841" s="12">
        <v>240.98</v>
      </c>
      <c r="P2841" s="12">
        <v>60.2</v>
      </c>
      <c r="Q2841" s="13">
        <v>-219.93</v>
      </c>
      <c r="R2841" s="36" t="s">
        <v>1636</v>
      </c>
      <c r="S2841" s="7">
        <f t="shared" si="236"/>
        <v>2</v>
      </c>
      <c r="T2841" s="15" t="str">
        <f>VLOOKUP(R2841,产品分类!$C$2:$D$1278,2,0)</f>
        <v>家具产品</v>
      </c>
    </row>
    <row r="2842" spans="1:20">
      <c r="A2842" s="8">
        <f>DATE(2012,12,31)-532</f>
        <v>40742</v>
      </c>
      <c r="B2842" s="8">
        <f>DATE(2012,12,31)-532</f>
        <v>40742</v>
      </c>
      <c r="C2842" s="9" t="s">
        <v>1487</v>
      </c>
      <c r="D2842">
        <v>10021385203</v>
      </c>
      <c r="E2842" t="s">
        <v>47</v>
      </c>
      <c r="F2842" t="s">
        <v>171</v>
      </c>
      <c r="G2842" t="s">
        <v>172</v>
      </c>
      <c r="H2842" t="s">
        <v>2073</v>
      </c>
      <c r="I2842" t="s">
        <v>2074</v>
      </c>
      <c r="J2842" t="s">
        <v>668</v>
      </c>
      <c r="K2842" s="3">
        <v>10089629022</v>
      </c>
      <c r="L2842" s="10">
        <v>40742</v>
      </c>
      <c r="M2842">
        <v>4650.07</v>
      </c>
      <c r="N2842" s="11">
        <v>38</v>
      </c>
      <c r="O2842" s="12">
        <v>120.98</v>
      </c>
      <c r="P2842" s="12">
        <v>60.19</v>
      </c>
      <c r="Q2842" s="13">
        <v>-1143.15</v>
      </c>
      <c r="R2842" s="36" t="s">
        <v>2080</v>
      </c>
      <c r="S2842" s="7">
        <f t="shared" si="236"/>
        <v>0</v>
      </c>
      <c r="T2842" s="15" t="str">
        <f>VLOOKUP(R2842,产品分类!$C$2:$D$1278,2,0)</f>
        <v>数码电子</v>
      </c>
    </row>
    <row r="2843" spans="1:20">
      <c r="A2843" s="16">
        <f>DATE(2012,12,31)-532</f>
        <v>40742</v>
      </c>
      <c r="B2843" s="16">
        <f>DATE(2012,12,31)-532</f>
        <v>40742</v>
      </c>
      <c r="C2843" s="9" t="s">
        <v>1487</v>
      </c>
      <c r="D2843">
        <v>10021357515</v>
      </c>
      <c r="E2843" t="s">
        <v>47</v>
      </c>
      <c r="F2843" t="s">
        <v>177</v>
      </c>
      <c r="G2843" t="s">
        <v>178</v>
      </c>
      <c r="H2843" t="s">
        <v>1292</v>
      </c>
      <c r="I2843" t="s">
        <v>1293</v>
      </c>
      <c r="J2843" t="s">
        <v>668</v>
      </c>
      <c r="K2843" s="3">
        <v>100716176045</v>
      </c>
      <c r="L2843" s="10">
        <v>40744</v>
      </c>
      <c r="M2843">
        <v>497.52</v>
      </c>
      <c r="N2843" s="17">
        <v>39</v>
      </c>
      <c r="O2843" s="5">
        <v>12.28</v>
      </c>
      <c r="P2843" s="5">
        <v>5.09</v>
      </c>
      <c r="Q2843" s="6">
        <v>92.46</v>
      </c>
      <c r="R2843" s="37" t="s">
        <v>2081</v>
      </c>
      <c r="S2843" s="7">
        <f t="shared" si="236"/>
        <v>2</v>
      </c>
      <c r="T2843" s="15" t="str">
        <f>VLOOKUP(R2843,产品分类!$C$2:$D$1278,2,0)</f>
        <v>办公用品</v>
      </c>
    </row>
    <row r="2844" spans="1:20">
      <c r="A2844" s="8">
        <f>DATE(2012,12,31)-1432</f>
        <v>39842</v>
      </c>
      <c r="B2844" s="8">
        <f>DATE(2012,12,31)-1432</f>
        <v>39842</v>
      </c>
      <c r="C2844" s="9" t="s">
        <v>1935</v>
      </c>
      <c r="D2844">
        <v>10021400401</v>
      </c>
      <c r="E2844" t="s">
        <v>47</v>
      </c>
      <c r="F2844" t="s">
        <v>177</v>
      </c>
      <c r="G2844" t="s">
        <v>178</v>
      </c>
      <c r="H2844" t="s">
        <v>1292</v>
      </c>
      <c r="I2844" t="s">
        <v>1293</v>
      </c>
      <c r="J2844" t="s">
        <v>668</v>
      </c>
      <c r="K2844" s="3">
        <v>100911173251</v>
      </c>
      <c r="L2844" s="10">
        <v>39844</v>
      </c>
      <c r="M2844">
        <v>1122.6375</v>
      </c>
      <c r="N2844" s="11">
        <v>14</v>
      </c>
      <c r="O2844" s="12">
        <v>95.99</v>
      </c>
      <c r="P2844" s="12">
        <v>4.9</v>
      </c>
      <c r="Q2844" s="13">
        <v>17.676</v>
      </c>
      <c r="R2844" s="36" t="s">
        <v>509</v>
      </c>
      <c r="S2844" s="7">
        <f t="shared" si="236"/>
        <v>2</v>
      </c>
      <c r="T2844" s="15" t="str">
        <f>VLOOKUP(R2844,产品分类!$C$2:$D$1278,2,0)</f>
        <v>数码电子</v>
      </c>
    </row>
    <row r="2845" spans="1:20">
      <c r="A2845" s="16">
        <f>DATE(2012,12,31)-667</f>
        <v>40607</v>
      </c>
      <c r="B2845" s="16">
        <f>DATE(2012,12,31)-667</f>
        <v>40607</v>
      </c>
      <c r="C2845" s="9" t="s">
        <v>586</v>
      </c>
      <c r="D2845">
        <v>10021317337</v>
      </c>
      <c r="E2845" t="s">
        <v>47</v>
      </c>
      <c r="F2845" t="s">
        <v>61</v>
      </c>
      <c r="G2845" t="s">
        <v>62</v>
      </c>
      <c r="H2845" t="s">
        <v>47</v>
      </c>
      <c r="I2845" t="s">
        <v>1778</v>
      </c>
      <c r="J2845" t="s">
        <v>668</v>
      </c>
      <c r="K2845" s="3">
        <v>100432827134</v>
      </c>
      <c r="L2845" s="10">
        <v>40608</v>
      </c>
      <c r="M2845">
        <v>306.3</v>
      </c>
      <c r="N2845" s="17">
        <v>34</v>
      </c>
      <c r="O2845" s="5">
        <v>9.27</v>
      </c>
      <c r="P2845" s="5">
        <v>4.39</v>
      </c>
      <c r="Q2845" s="6">
        <v>18.73</v>
      </c>
      <c r="R2845" s="37" t="s">
        <v>465</v>
      </c>
      <c r="S2845" s="7">
        <f t="shared" si="236"/>
        <v>1</v>
      </c>
      <c r="T2845" s="15" t="str">
        <f>VLOOKUP(R2845,产品分类!$C$2:$D$1278,2,0)</f>
        <v>办公用品</v>
      </c>
    </row>
    <row r="2846" spans="1:20">
      <c r="A2846" s="16">
        <f>DATE(2012,12,31)-667</f>
        <v>40607</v>
      </c>
      <c r="B2846" s="16">
        <f>DATE(2012,12,31)-667</f>
        <v>40607</v>
      </c>
      <c r="C2846" s="9" t="s">
        <v>586</v>
      </c>
      <c r="D2846">
        <v>10021322114</v>
      </c>
      <c r="E2846" t="s">
        <v>47</v>
      </c>
      <c r="F2846" t="s">
        <v>253</v>
      </c>
      <c r="G2846" t="s">
        <v>254</v>
      </c>
      <c r="H2846" t="s">
        <v>1998</v>
      </c>
      <c r="I2846" t="s">
        <v>1999</v>
      </c>
      <c r="J2846" t="s">
        <v>668</v>
      </c>
      <c r="K2846" s="3">
        <v>100926167431</v>
      </c>
      <c r="L2846" s="10">
        <v>40608</v>
      </c>
      <c r="M2846">
        <v>163.98</v>
      </c>
      <c r="N2846" s="17">
        <v>42</v>
      </c>
      <c r="O2846" s="5">
        <v>3.85</v>
      </c>
      <c r="P2846" s="5">
        <v>0.7</v>
      </c>
      <c r="Q2846" s="6">
        <v>55.73</v>
      </c>
      <c r="R2846" s="37" t="s">
        <v>242</v>
      </c>
      <c r="S2846" s="7">
        <f t="shared" si="236"/>
        <v>1</v>
      </c>
      <c r="T2846" s="15" t="str">
        <f>VLOOKUP(R2846,产品分类!$C$2:$D$1278,2,0)</f>
        <v>办公用品</v>
      </c>
    </row>
    <row r="2847" spans="1:20">
      <c r="A2847" s="8">
        <f>DATE(2012,12,31)-1273</f>
        <v>40001</v>
      </c>
      <c r="B2847" s="8">
        <f>DATE(2012,12,31)-1273</f>
        <v>40001</v>
      </c>
      <c r="C2847" s="9" t="s">
        <v>966</v>
      </c>
      <c r="D2847">
        <v>10021401106</v>
      </c>
      <c r="E2847" t="s">
        <v>47</v>
      </c>
      <c r="F2847" t="s">
        <v>61</v>
      </c>
      <c r="G2847" t="s">
        <v>62</v>
      </c>
      <c r="H2847" t="s">
        <v>47</v>
      </c>
      <c r="I2847" t="s">
        <v>1778</v>
      </c>
      <c r="J2847" t="s">
        <v>668</v>
      </c>
      <c r="K2847" s="3">
        <v>100112800496</v>
      </c>
      <c r="L2847" s="10">
        <v>40002</v>
      </c>
      <c r="M2847">
        <v>42.27</v>
      </c>
      <c r="N2847" s="11">
        <v>13</v>
      </c>
      <c r="O2847" s="12">
        <v>2.84</v>
      </c>
      <c r="P2847" s="12">
        <v>0.93</v>
      </c>
      <c r="Q2847" s="13">
        <v>4.56</v>
      </c>
      <c r="R2847" s="36" t="s">
        <v>544</v>
      </c>
      <c r="S2847" s="7">
        <f t="shared" si="236"/>
        <v>1</v>
      </c>
      <c r="T2847" s="15" t="str">
        <f>VLOOKUP(R2847,产品分类!$C$2:$D$1278,2,0)</f>
        <v>办公用品</v>
      </c>
    </row>
    <row r="2848" spans="1:20">
      <c r="A2848" s="8">
        <f>DATE(2012,12,31)-838</f>
        <v>40436</v>
      </c>
      <c r="B2848" s="8">
        <f>DATE(2012,12,31)-838</f>
        <v>40436</v>
      </c>
      <c r="C2848" s="9" t="s">
        <v>1571</v>
      </c>
      <c r="D2848">
        <v>10021438899</v>
      </c>
      <c r="E2848" t="s">
        <v>47</v>
      </c>
      <c r="F2848" t="s">
        <v>83</v>
      </c>
      <c r="G2848" t="s">
        <v>84</v>
      </c>
      <c r="H2848" t="s">
        <v>1928</v>
      </c>
      <c r="I2848" t="s">
        <v>1929</v>
      </c>
      <c r="J2848" t="s">
        <v>668</v>
      </c>
      <c r="K2848" s="3">
        <v>100131045007</v>
      </c>
      <c r="L2848" s="10">
        <v>40438</v>
      </c>
      <c r="M2848">
        <v>116.63</v>
      </c>
      <c r="N2848" s="11">
        <v>39</v>
      </c>
      <c r="O2848" s="12">
        <v>2.94</v>
      </c>
      <c r="P2848" s="12">
        <v>0.96</v>
      </c>
      <c r="Q2848" s="13">
        <v>6.81</v>
      </c>
      <c r="R2848" s="36" t="s">
        <v>872</v>
      </c>
      <c r="S2848" s="7">
        <f t="shared" si="236"/>
        <v>2</v>
      </c>
      <c r="T2848" s="15" t="str">
        <f>VLOOKUP(R2848,产品分类!$C$2:$D$1278,2,0)</f>
        <v>数码电子</v>
      </c>
    </row>
    <row r="2849" spans="1:20">
      <c r="A2849" s="8">
        <f>DATE(2012,12,31)-1183</f>
        <v>40091</v>
      </c>
      <c r="B2849" s="8">
        <f>DATE(2012,12,31)-1183</f>
        <v>40091</v>
      </c>
      <c r="C2849" s="9" t="s">
        <v>592</v>
      </c>
      <c r="D2849">
        <v>10021377853</v>
      </c>
      <c r="E2849" t="s">
        <v>47</v>
      </c>
      <c r="F2849" t="s">
        <v>61</v>
      </c>
      <c r="G2849" t="s">
        <v>62</v>
      </c>
      <c r="H2849" t="s">
        <v>47</v>
      </c>
      <c r="I2849" t="s">
        <v>1778</v>
      </c>
      <c r="J2849" t="s">
        <v>668</v>
      </c>
      <c r="K2849" s="3">
        <v>100127048117</v>
      </c>
      <c r="L2849" s="10">
        <v>40092</v>
      </c>
      <c r="M2849">
        <v>8252.361</v>
      </c>
      <c r="N2849" s="11">
        <v>49</v>
      </c>
      <c r="O2849" s="12">
        <v>200.99</v>
      </c>
      <c r="P2849" s="12">
        <v>4.2</v>
      </c>
      <c r="Q2849" s="13">
        <v>2418.561</v>
      </c>
      <c r="R2849" s="36" t="s">
        <v>779</v>
      </c>
      <c r="S2849" s="7">
        <f t="shared" si="236"/>
        <v>1</v>
      </c>
      <c r="T2849" s="15" t="str">
        <f>VLOOKUP(R2849,产品分类!$C$2:$D$1278,2,0)</f>
        <v>家具产品</v>
      </c>
    </row>
    <row r="2850" spans="1:20">
      <c r="A2850" s="8">
        <f>DATE(2012,12,31)-1183</f>
        <v>40091</v>
      </c>
      <c r="B2850" s="8">
        <f>DATE(2012,12,31)-1183</f>
        <v>40091</v>
      </c>
      <c r="C2850" s="9" t="s">
        <v>592</v>
      </c>
      <c r="D2850">
        <v>10021377874</v>
      </c>
      <c r="E2850" t="s">
        <v>47</v>
      </c>
      <c r="F2850" t="s">
        <v>61</v>
      </c>
      <c r="G2850" t="s">
        <v>62</v>
      </c>
      <c r="H2850" t="s">
        <v>47</v>
      </c>
      <c r="I2850" t="s">
        <v>1778</v>
      </c>
      <c r="J2850" t="s">
        <v>668</v>
      </c>
      <c r="K2850" s="3">
        <v>10099128181</v>
      </c>
      <c r="L2850" s="10">
        <v>40092</v>
      </c>
      <c r="M2850">
        <v>2205.84</v>
      </c>
      <c r="N2850" s="11">
        <v>7</v>
      </c>
      <c r="O2850" s="12">
        <v>297.48</v>
      </c>
      <c r="P2850" s="12">
        <v>18.06</v>
      </c>
      <c r="Q2850" s="13">
        <v>-313.1304</v>
      </c>
      <c r="R2850" s="36" t="s">
        <v>2064</v>
      </c>
      <c r="S2850" s="7">
        <f t="shared" si="236"/>
        <v>1</v>
      </c>
      <c r="T2850" s="15" t="str">
        <f>VLOOKUP(R2850,产品分类!$C$2:$D$1278,2,0)</f>
        <v>家具产品</v>
      </c>
    </row>
    <row r="2851" spans="1:20">
      <c r="A2851" s="8">
        <f>DATE(2012,12,31)-1361</f>
        <v>39913</v>
      </c>
      <c r="B2851" s="8">
        <f>DATE(2012,12,31)-1361</f>
        <v>39913</v>
      </c>
      <c r="C2851" s="9" t="s">
        <v>158</v>
      </c>
      <c r="D2851">
        <v>10021563770</v>
      </c>
      <c r="E2851" t="s">
        <v>47</v>
      </c>
      <c r="F2851" t="s">
        <v>48</v>
      </c>
      <c r="G2851" t="s">
        <v>49</v>
      </c>
      <c r="H2851" t="s">
        <v>2032</v>
      </c>
      <c r="I2851" t="s">
        <v>2033</v>
      </c>
      <c r="J2851" t="s">
        <v>668</v>
      </c>
      <c r="K2851" s="3">
        <v>100129433126</v>
      </c>
      <c r="L2851" s="10">
        <v>39914</v>
      </c>
      <c r="M2851">
        <v>124.19</v>
      </c>
      <c r="N2851" s="11">
        <v>7</v>
      </c>
      <c r="O2851" s="12">
        <v>15.99</v>
      </c>
      <c r="P2851" s="12">
        <v>11.28</v>
      </c>
      <c r="Q2851" s="13">
        <v>-53.2962</v>
      </c>
      <c r="R2851" s="36" t="s">
        <v>2082</v>
      </c>
      <c r="S2851" s="7">
        <f t="shared" si="236"/>
        <v>1</v>
      </c>
      <c r="T2851" s="15" t="str">
        <f>VLOOKUP(R2851,产品分类!$C$2:$D$1278,2,0)</f>
        <v>家具产品</v>
      </c>
    </row>
    <row r="2852" spans="1:20">
      <c r="A2852" s="8">
        <f t="shared" ref="A2852:B2854" si="239">DATE(2012,12,31)-814</f>
        <v>40460</v>
      </c>
      <c r="B2852" s="8">
        <f t="shared" si="239"/>
        <v>40460</v>
      </c>
      <c r="C2852" s="9" t="s">
        <v>739</v>
      </c>
      <c r="D2852">
        <v>10021327958</v>
      </c>
      <c r="E2852" t="s">
        <v>47</v>
      </c>
      <c r="F2852" t="s">
        <v>91</v>
      </c>
      <c r="G2852" t="s">
        <v>92</v>
      </c>
      <c r="H2852" t="s">
        <v>2053</v>
      </c>
      <c r="I2852" t="s">
        <v>2054</v>
      </c>
      <c r="J2852" t="s">
        <v>668</v>
      </c>
      <c r="K2852" s="3">
        <v>100912247031</v>
      </c>
      <c r="L2852" s="10">
        <v>40461</v>
      </c>
      <c r="M2852">
        <v>361.94</v>
      </c>
      <c r="N2852" s="11">
        <v>1</v>
      </c>
      <c r="O2852" s="12">
        <v>284.98</v>
      </c>
      <c r="P2852" s="12">
        <v>69.55</v>
      </c>
      <c r="Q2852" s="13">
        <v>-163.58</v>
      </c>
      <c r="R2852" s="36" t="s">
        <v>1740</v>
      </c>
      <c r="S2852" s="7">
        <f t="shared" si="236"/>
        <v>1</v>
      </c>
      <c r="T2852" s="15" t="str">
        <f>VLOOKUP(R2852,产品分类!$C$2:$D$1278,2,0)</f>
        <v>办公用品</v>
      </c>
    </row>
    <row r="2853" spans="1:20">
      <c r="A2853" s="8">
        <f t="shared" si="239"/>
        <v>40460</v>
      </c>
      <c r="B2853" s="8">
        <f t="shared" si="239"/>
        <v>40460</v>
      </c>
      <c r="C2853" s="9" t="s">
        <v>739</v>
      </c>
      <c r="D2853">
        <v>10021280012</v>
      </c>
      <c r="E2853" t="s">
        <v>47</v>
      </c>
      <c r="F2853" t="s">
        <v>66</v>
      </c>
      <c r="G2853" t="s">
        <v>67</v>
      </c>
      <c r="H2853" t="s">
        <v>2062</v>
      </c>
      <c r="I2853" t="s">
        <v>2063</v>
      </c>
      <c r="J2853" t="s">
        <v>668</v>
      </c>
      <c r="K2853" s="3">
        <v>10079950025</v>
      </c>
      <c r="L2853" s="10">
        <v>40462</v>
      </c>
      <c r="M2853">
        <v>1276.04</v>
      </c>
      <c r="N2853" s="11">
        <v>31</v>
      </c>
      <c r="O2853" s="12">
        <v>40.99</v>
      </c>
      <c r="P2853" s="12">
        <v>5.86</v>
      </c>
      <c r="Q2853" s="13">
        <v>554.95</v>
      </c>
      <c r="R2853" s="36" t="s">
        <v>2083</v>
      </c>
      <c r="S2853" s="7">
        <f t="shared" si="236"/>
        <v>2</v>
      </c>
      <c r="T2853" s="15" t="str">
        <f>VLOOKUP(R2853,产品分类!$C$2:$D$1278,2,0)</f>
        <v>家具产品</v>
      </c>
    </row>
    <row r="2854" spans="1:20">
      <c r="A2854" s="8">
        <f t="shared" si="239"/>
        <v>40460</v>
      </c>
      <c r="B2854" s="8">
        <f t="shared" si="239"/>
        <v>40460</v>
      </c>
      <c r="C2854" s="9" t="s">
        <v>739</v>
      </c>
      <c r="D2854">
        <v>10021522087</v>
      </c>
      <c r="E2854" t="s">
        <v>47</v>
      </c>
      <c r="F2854" t="s">
        <v>66</v>
      </c>
      <c r="G2854" t="s">
        <v>67</v>
      </c>
      <c r="H2854" t="s">
        <v>2062</v>
      </c>
      <c r="I2854" t="s">
        <v>2063</v>
      </c>
      <c r="J2854" t="s">
        <v>668</v>
      </c>
      <c r="K2854" s="3">
        <v>10089843682</v>
      </c>
      <c r="L2854" s="10">
        <v>40462</v>
      </c>
      <c r="M2854">
        <v>2894.68</v>
      </c>
      <c r="N2854" s="11">
        <v>40</v>
      </c>
      <c r="O2854" s="12">
        <v>71.37</v>
      </c>
      <c r="P2854" s="12">
        <v>69</v>
      </c>
      <c r="Q2854" s="13">
        <v>-1754.388</v>
      </c>
      <c r="R2854" s="36" t="s">
        <v>426</v>
      </c>
      <c r="S2854" s="7">
        <f t="shared" si="236"/>
        <v>2</v>
      </c>
      <c r="T2854" s="15" t="str">
        <f>VLOOKUP(R2854,产品分类!$C$2:$D$1278,2,0)</f>
        <v>家具产品</v>
      </c>
    </row>
    <row r="2855" spans="1:20">
      <c r="A2855" s="8">
        <f>DATE(2012,12,31)-1449</f>
        <v>39825</v>
      </c>
      <c r="B2855" s="8">
        <f>DATE(2012,12,31)-1449</f>
        <v>39825</v>
      </c>
      <c r="C2855" s="9" t="s">
        <v>2084</v>
      </c>
      <c r="D2855">
        <v>10021333553</v>
      </c>
      <c r="E2855" t="s">
        <v>47</v>
      </c>
      <c r="F2855" t="s">
        <v>48</v>
      </c>
      <c r="G2855" t="s">
        <v>49</v>
      </c>
      <c r="H2855" t="s">
        <v>2032</v>
      </c>
      <c r="I2855" t="s">
        <v>2033</v>
      </c>
      <c r="J2855" t="s">
        <v>668</v>
      </c>
      <c r="K2855" s="3">
        <v>100113467298</v>
      </c>
      <c r="L2855" s="10">
        <v>39826</v>
      </c>
      <c r="M2855">
        <v>1030.09</v>
      </c>
      <c r="N2855" s="11">
        <v>40</v>
      </c>
      <c r="O2855" s="12">
        <v>27.75</v>
      </c>
      <c r="P2855" s="12">
        <v>19.99</v>
      </c>
      <c r="Q2855" s="13">
        <v>-568.71</v>
      </c>
      <c r="R2855" s="36" t="s">
        <v>1289</v>
      </c>
      <c r="S2855" s="7">
        <f t="shared" si="236"/>
        <v>1</v>
      </c>
      <c r="T2855" s="15" t="str">
        <f>VLOOKUP(R2855,产品分类!$C$2:$D$1278,2,0)</f>
        <v>数码电子</v>
      </c>
    </row>
    <row r="2856" spans="1:20">
      <c r="A2856" s="8">
        <f>DATE(2012,12,31)-1056</f>
        <v>40218</v>
      </c>
      <c r="B2856" s="8">
        <f>DATE(2012,12,31)-1056</f>
        <v>40218</v>
      </c>
      <c r="C2856" s="9" t="s">
        <v>2071</v>
      </c>
      <c r="D2856">
        <v>10021416622</v>
      </c>
      <c r="E2856" t="s">
        <v>47</v>
      </c>
      <c r="F2856" t="s">
        <v>48</v>
      </c>
      <c r="G2856" t="s">
        <v>49</v>
      </c>
      <c r="H2856" t="s">
        <v>2032</v>
      </c>
      <c r="I2856" t="s">
        <v>2033</v>
      </c>
      <c r="J2856" t="s">
        <v>668</v>
      </c>
      <c r="K2856" s="3">
        <v>100411213534</v>
      </c>
      <c r="L2856" s="10">
        <v>40220</v>
      </c>
      <c r="M2856">
        <v>611.68</v>
      </c>
      <c r="N2856" s="11">
        <v>15</v>
      </c>
      <c r="O2856" s="12">
        <v>39.06</v>
      </c>
      <c r="P2856" s="12">
        <v>10.55</v>
      </c>
      <c r="Q2856" s="13">
        <v>134.7505</v>
      </c>
      <c r="R2856" s="36" t="s">
        <v>1244</v>
      </c>
      <c r="S2856" s="7">
        <f t="shared" si="236"/>
        <v>2</v>
      </c>
      <c r="T2856" s="15" t="str">
        <f>VLOOKUP(R2856,产品分类!$C$2:$D$1278,2,0)</f>
        <v>办公用品</v>
      </c>
    </row>
    <row r="2857" spans="1:20">
      <c r="A2857" s="8">
        <f>DATE(2012,12,31)-91</f>
        <v>41183</v>
      </c>
      <c r="B2857" s="8">
        <f>DATE(2012,12,31)-91</f>
        <v>41183</v>
      </c>
      <c r="C2857" s="9" t="s">
        <v>413</v>
      </c>
      <c r="D2857">
        <v>10021502885</v>
      </c>
      <c r="E2857" t="s">
        <v>47</v>
      </c>
      <c r="F2857" t="s">
        <v>66</v>
      </c>
      <c r="G2857" t="s">
        <v>67</v>
      </c>
      <c r="H2857" t="s">
        <v>2062</v>
      </c>
      <c r="I2857" t="s">
        <v>2063</v>
      </c>
      <c r="J2857" t="s">
        <v>668</v>
      </c>
      <c r="K2857" s="3">
        <v>100329020089</v>
      </c>
      <c r="L2857" s="10">
        <v>41186</v>
      </c>
      <c r="M2857">
        <v>1434.086</v>
      </c>
      <c r="N2857" s="11">
        <v>16</v>
      </c>
      <c r="O2857" s="12">
        <v>110.99</v>
      </c>
      <c r="P2857" s="12">
        <v>8.99</v>
      </c>
      <c r="Q2857" s="13">
        <v>-26.246</v>
      </c>
      <c r="R2857" s="36" t="s">
        <v>852</v>
      </c>
      <c r="S2857" s="7">
        <f t="shared" si="236"/>
        <v>3</v>
      </c>
      <c r="T2857" s="15" t="str">
        <f>VLOOKUP(R2857,产品分类!$C$2:$D$1278,2,0)</f>
        <v>家具产品</v>
      </c>
    </row>
    <row r="2858" spans="1:20">
      <c r="A2858" s="8">
        <f>DATE(2012,12,31)-1323</f>
        <v>39951</v>
      </c>
      <c r="B2858" s="8">
        <f>DATE(2012,12,31)-1323</f>
        <v>39951</v>
      </c>
      <c r="C2858" s="9" t="s">
        <v>1782</v>
      </c>
      <c r="D2858">
        <v>10021353461</v>
      </c>
      <c r="E2858" t="s">
        <v>47</v>
      </c>
      <c r="F2858" t="s">
        <v>152</v>
      </c>
      <c r="G2858" t="s">
        <v>153</v>
      </c>
      <c r="H2858" t="s">
        <v>1860</v>
      </c>
      <c r="I2858" t="s">
        <v>1861</v>
      </c>
      <c r="J2858" t="s">
        <v>668</v>
      </c>
      <c r="K2858" s="3">
        <v>100132567926</v>
      </c>
      <c r="L2858" s="10">
        <v>39953</v>
      </c>
      <c r="M2858">
        <v>3596.36</v>
      </c>
      <c r="N2858" s="11">
        <v>47</v>
      </c>
      <c r="O2858" s="12">
        <v>73.98</v>
      </c>
      <c r="P2858" s="12">
        <v>12.14</v>
      </c>
      <c r="Q2858" s="13">
        <v>326.25</v>
      </c>
      <c r="R2858" s="36" t="s">
        <v>600</v>
      </c>
      <c r="S2858" s="7">
        <f t="shared" si="236"/>
        <v>2</v>
      </c>
      <c r="T2858" s="15" t="str">
        <f>VLOOKUP(R2858,产品分类!$C$2:$D$1278,2,0)</f>
        <v>数码电子</v>
      </c>
    </row>
    <row r="2859" spans="1:20">
      <c r="A2859" s="8">
        <f>DATE(2012,12,31)-260</f>
        <v>41014</v>
      </c>
      <c r="B2859" s="8">
        <f>DATE(2012,12,31)-260</f>
        <v>41014</v>
      </c>
      <c r="C2859" s="9" t="s">
        <v>1391</v>
      </c>
      <c r="D2859">
        <v>10021333792</v>
      </c>
      <c r="E2859" t="s">
        <v>47</v>
      </c>
      <c r="F2859" t="s">
        <v>78</v>
      </c>
      <c r="G2859" t="s">
        <v>79</v>
      </c>
      <c r="H2859" t="s">
        <v>1887</v>
      </c>
      <c r="I2859" t="s">
        <v>1888</v>
      </c>
      <c r="J2859" t="s">
        <v>668</v>
      </c>
      <c r="K2859" s="3">
        <v>100814356452</v>
      </c>
      <c r="L2859" s="10">
        <v>41015</v>
      </c>
      <c r="M2859">
        <v>151.09</v>
      </c>
      <c r="N2859" s="11">
        <v>29</v>
      </c>
      <c r="O2859" s="12">
        <v>4.76</v>
      </c>
      <c r="P2859" s="12">
        <v>3.01</v>
      </c>
      <c r="Q2859" s="13">
        <v>4.59</v>
      </c>
      <c r="R2859" s="36" t="s">
        <v>1401</v>
      </c>
      <c r="S2859" s="7">
        <f t="shared" si="236"/>
        <v>1</v>
      </c>
      <c r="T2859" s="15" t="str">
        <f>VLOOKUP(R2859,产品分类!$C$2:$D$1278,2,0)</f>
        <v>办公用品</v>
      </c>
    </row>
    <row r="2860" spans="1:20">
      <c r="A2860" s="8">
        <f>DATE(2012,12,31)-226</f>
        <v>41048</v>
      </c>
      <c r="B2860" s="8">
        <f>DATE(2012,12,31)-226</f>
        <v>41048</v>
      </c>
      <c r="C2860" s="9" t="s">
        <v>1325</v>
      </c>
      <c r="D2860">
        <v>10021248527</v>
      </c>
      <c r="E2860" t="s">
        <v>47</v>
      </c>
      <c r="F2860" t="s">
        <v>78</v>
      </c>
      <c r="G2860" t="s">
        <v>79</v>
      </c>
      <c r="H2860" t="s">
        <v>1887</v>
      </c>
      <c r="I2860" t="s">
        <v>1888</v>
      </c>
      <c r="J2860" t="s">
        <v>668</v>
      </c>
      <c r="K2860" s="3">
        <v>10092618481</v>
      </c>
      <c r="L2860" s="10">
        <v>41049</v>
      </c>
      <c r="M2860">
        <v>135.2</v>
      </c>
      <c r="N2860" s="11">
        <v>32</v>
      </c>
      <c r="O2860" s="12">
        <v>4.13</v>
      </c>
      <c r="P2860" s="12">
        <v>0.5</v>
      </c>
      <c r="Q2860" s="13">
        <v>59.4</v>
      </c>
      <c r="R2860" s="36" t="s">
        <v>691</v>
      </c>
      <c r="S2860" s="7">
        <f t="shared" si="236"/>
        <v>1</v>
      </c>
      <c r="T2860" s="15" t="str">
        <f>VLOOKUP(R2860,产品分类!$C$2:$D$1278,2,0)</f>
        <v>办公用品</v>
      </c>
    </row>
    <row r="2861" spans="1:20">
      <c r="A2861" s="8">
        <f>DATE(2012,12,31)-226</f>
        <v>41048</v>
      </c>
      <c r="B2861" s="8">
        <f>DATE(2012,12,31)-226</f>
        <v>41048</v>
      </c>
      <c r="C2861" s="9" t="s">
        <v>1325</v>
      </c>
      <c r="D2861">
        <v>10021505936</v>
      </c>
      <c r="E2861" t="s">
        <v>47</v>
      </c>
      <c r="F2861" t="s">
        <v>230</v>
      </c>
      <c r="G2861" t="s">
        <v>231</v>
      </c>
      <c r="H2861" t="s">
        <v>1798</v>
      </c>
      <c r="I2861" t="s">
        <v>1799</v>
      </c>
      <c r="J2861" t="s">
        <v>668</v>
      </c>
      <c r="K2861" s="3">
        <v>100131151487</v>
      </c>
      <c r="L2861" s="10">
        <v>41048</v>
      </c>
      <c r="M2861">
        <v>1078.98</v>
      </c>
      <c r="N2861" s="11">
        <v>47</v>
      </c>
      <c r="O2861" s="12">
        <v>20.98</v>
      </c>
      <c r="P2861" s="12">
        <v>45</v>
      </c>
      <c r="Q2861" s="13">
        <v>-1637.52</v>
      </c>
      <c r="R2861" s="36" t="s">
        <v>944</v>
      </c>
      <c r="S2861" s="7">
        <f t="shared" si="236"/>
        <v>0</v>
      </c>
      <c r="T2861" s="15" t="str">
        <f>VLOOKUP(R2861,产品分类!$C$2:$D$1278,2,0)</f>
        <v>数码电子</v>
      </c>
    </row>
    <row r="2862" spans="1:20">
      <c r="A2862" s="8">
        <f>DATE(2012,12,31)-642</f>
        <v>40632</v>
      </c>
      <c r="B2862" s="8">
        <f>DATE(2012,12,31)-642</f>
        <v>40632</v>
      </c>
      <c r="C2862" s="9" t="s">
        <v>1074</v>
      </c>
      <c r="D2862">
        <v>10021531580</v>
      </c>
      <c r="E2862" t="s">
        <v>47</v>
      </c>
      <c r="F2862" t="s">
        <v>78</v>
      </c>
      <c r="G2862" t="s">
        <v>79</v>
      </c>
      <c r="H2862" t="s">
        <v>1887</v>
      </c>
      <c r="I2862" t="s">
        <v>1888</v>
      </c>
      <c r="J2862" t="s">
        <v>668</v>
      </c>
      <c r="K2862" s="3">
        <v>100130826588</v>
      </c>
      <c r="L2862" s="10">
        <v>40634</v>
      </c>
      <c r="M2862">
        <v>1204.0845</v>
      </c>
      <c r="N2862" s="11">
        <v>41</v>
      </c>
      <c r="O2862" s="12">
        <v>35.99</v>
      </c>
      <c r="P2862" s="12">
        <v>1.1</v>
      </c>
      <c r="Q2862" s="13">
        <v>341.955</v>
      </c>
      <c r="R2862" s="36" t="s">
        <v>537</v>
      </c>
      <c r="S2862" s="7">
        <f t="shared" si="236"/>
        <v>2</v>
      </c>
      <c r="T2862" s="15" t="str">
        <f>VLOOKUP(R2862,产品分类!$C$2:$D$1278,2,0)</f>
        <v>办公用品</v>
      </c>
    </row>
    <row r="2863" spans="1:20">
      <c r="A2863" s="8">
        <f>DATE(2012,12,31)-754</f>
        <v>40520</v>
      </c>
      <c r="B2863" s="8">
        <f>DATE(2012,12,31)-754</f>
        <v>40520</v>
      </c>
      <c r="C2863" s="9" t="s">
        <v>734</v>
      </c>
      <c r="D2863">
        <v>10021504861</v>
      </c>
      <c r="E2863" t="s">
        <v>47</v>
      </c>
      <c r="F2863" t="s">
        <v>230</v>
      </c>
      <c r="G2863" t="s">
        <v>231</v>
      </c>
      <c r="H2863" t="s">
        <v>1798</v>
      </c>
      <c r="I2863" t="s">
        <v>1799</v>
      </c>
      <c r="J2863" t="s">
        <v>668</v>
      </c>
      <c r="K2863" s="3">
        <v>100430726813</v>
      </c>
      <c r="L2863" s="10">
        <v>40521</v>
      </c>
      <c r="M2863">
        <v>17717.34</v>
      </c>
      <c r="N2863" s="11">
        <v>37</v>
      </c>
      <c r="O2863" s="12">
        <v>500.97</v>
      </c>
      <c r="P2863" s="12">
        <v>69.3</v>
      </c>
      <c r="Q2863" s="13">
        <v>8291.08</v>
      </c>
      <c r="R2863" s="36" t="s">
        <v>1694</v>
      </c>
      <c r="S2863" s="7">
        <f t="shared" si="236"/>
        <v>1</v>
      </c>
      <c r="T2863" s="15" t="str">
        <f>VLOOKUP(R2863,产品分类!$C$2:$D$1278,2,0)</f>
        <v>家具产品</v>
      </c>
    </row>
    <row r="2864" spans="1:20">
      <c r="A2864" s="8">
        <f>DATE(2012,12,31)-39</f>
        <v>41235</v>
      </c>
      <c r="B2864" s="8">
        <f>DATE(2012,12,31)-39</f>
        <v>41235</v>
      </c>
      <c r="C2864" s="9" t="s">
        <v>497</v>
      </c>
      <c r="D2864">
        <v>10021483233</v>
      </c>
      <c r="E2864" t="s">
        <v>47</v>
      </c>
      <c r="F2864" t="s">
        <v>434</v>
      </c>
      <c r="G2864" t="s">
        <v>435</v>
      </c>
      <c r="H2864" t="s">
        <v>436</v>
      </c>
      <c r="I2864" t="s">
        <v>437</v>
      </c>
      <c r="J2864" t="s">
        <v>668</v>
      </c>
      <c r="K2864" s="3">
        <v>10085881422</v>
      </c>
      <c r="L2864" s="10">
        <v>41239</v>
      </c>
      <c r="M2864">
        <v>43.97</v>
      </c>
      <c r="N2864" s="11">
        <v>22</v>
      </c>
      <c r="O2864" s="12">
        <v>1.88</v>
      </c>
      <c r="P2864" s="12">
        <v>1.49</v>
      </c>
      <c r="Q2864" s="13">
        <v>-9.0505</v>
      </c>
      <c r="R2864" s="36" t="s">
        <v>1426</v>
      </c>
      <c r="S2864" s="7">
        <f t="shared" si="236"/>
        <v>4</v>
      </c>
      <c r="T2864" s="15" t="str">
        <f>VLOOKUP(R2864,产品分类!$C$2:$D$1278,2,0)</f>
        <v>办公用品</v>
      </c>
    </row>
    <row r="2865" spans="1:20">
      <c r="A2865" s="8">
        <f>DATE(2012,12,31)-870</f>
        <v>40404</v>
      </c>
      <c r="B2865" s="8">
        <f>DATE(2012,12,31)-870</f>
        <v>40404</v>
      </c>
      <c r="C2865" s="9" t="s">
        <v>1491</v>
      </c>
      <c r="D2865">
        <v>10021256001</v>
      </c>
      <c r="E2865" t="s">
        <v>47</v>
      </c>
      <c r="F2865" t="s">
        <v>434</v>
      </c>
      <c r="G2865" t="s">
        <v>435</v>
      </c>
      <c r="H2865" t="s">
        <v>436</v>
      </c>
      <c r="I2865" t="s">
        <v>437</v>
      </c>
      <c r="J2865" t="s">
        <v>668</v>
      </c>
      <c r="K2865" s="3">
        <v>100924893121</v>
      </c>
      <c r="L2865" s="10">
        <v>40404</v>
      </c>
      <c r="M2865">
        <v>4976.6</v>
      </c>
      <c r="N2865" s="11">
        <v>32</v>
      </c>
      <c r="O2865" s="12">
        <v>161.55</v>
      </c>
      <c r="P2865" s="12">
        <v>19.99</v>
      </c>
      <c r="Q2865" s="13">
        <v>601.88</v>
      </c>
      <c r="R2865" s="36" t="s">
        <v>1896</v>
      </c>
      <c r="S2865" s="7">
        <f t="shared" si="236"/>
        <v>0</v>
      </c>
      <c r="T2865" s="15" t="str">
        <f>VLOOKUP(R2865,产品分类!$C$2:$D$1278,2,0)</f>
        <v>办公用品</v>
      </c>
    </row>
    <row r="2866" spans="1:20">
      <c r="A2866" s="8">
        <f t="shared" ref="A2866:B2868" si="240">DATE(2012,12,31)-1055</f>
        <v>40219</v>
      </c>
      <c r="B2866" s="8">
        <f t="shared" si="240"/>
        <v>40219</v>
      </c>
      <c r="C2866" s="9" t="s">
        <v>1757</v>
      </c>
      <c r="D2866">
        <v>10021280779</v>
      </c>
      <c r="E2866" t="s">
        <v>47</v>
      </c>
      <c r="F2866" t="s">
        <v>473</v>
      </c>
      <c r="G2866" t="s">
        <v>474</v>
      </c>
      <c r="H2866" t="s">
        <v>475</v>
      </c>
      <c r="I2866" t="s">
        <v>476</v>
      </c>
      <c r="J2866" t="s">
        <v>668</v>
      </c>
      <c r="K2866" s="3">
        <v>100916726341</v>
      </c>
      <c r="L2866" s="10">
        <v>40219</v>
      </c>
      <c r="M2866">
        <v>5.63</v>
      </c>
      <c r="N2866" s="11">
        <v>1</v>
      </c>
      <c r="O2866" s="12">
        <v>4.71</v>
      </c>
      <c r="P2866" s="12">
        <v>0.7</v>
      </c>
      <c r="Q2866" s="13">
        <v>-3.55</v>
      </c>
      <c r="R2866" s="36" t="s">
        <v>487</v>
      </c>
      <c r="S2866" s="7">
        <f t="shared" si="236"/>
        <v>0</v>
      </c>
      <c r="T2866" s="15" t="str">
        <f>VLOOKUP(R2866,产品分类!$C$2:$D$1278,2,0)</f>
        <v>家具产品</v>
      </c>
    </row>
    <row r="2867" spans="1:20">
      <c r="A2867" s="8">
        <f t="shared" si="240"/>
        <v>40219</v>
      </c>
      <c r="B2867" s="8">
        <f t="shared" si="240"/>
        <v>40219</v>
      </c>
      <c r="C2867" s="9" t="s">
        <v>1757</v>
      </c>
      <c r="D2867">
        <v>10021248136</v>
      </c>
      <c r="E2867" t="s">
        <v>47</v>
      </c>
      <c r="F2867" t="s">
        <v>91</v>
      </c>
      <c r="G2867" t="s">
        <v>92</v>
      </c>
      <c r="H2867" t="s">
        <v>2053</v>
      </c>
      <c r="I2867" t="s">
        <v>2054</v>
      </c>
      <c r="J2867" t="s">
        <v>668</v>
      </c>
      <c r="K2867" s="3">
        <v>1007337395</v>
      </c>
      <c r="L2867" s="10">
        <v>40224</v>
      </c>
      <c r="M2867">
        <v>16.48</v>
      </c>
      <c r="N2867" s="11">
        <v>5</v>
      </c>
      <c r="O2867" s="12">
        <v>3.08</v>
      </c>
      <c r="P2867" s="12">
        <v>0.99</v>
      </c>
      <c r="Q2867" s="13">
        <v>-0.33</v>
      </c>
      <c r="R2867" s="36" t="s">
        <v>283</v>
      </c>
      <c r="S2867" s="7">
        <f t="shared" si="236"/>
        <v>5</v>
      </c>
      <c r="T2867" s="15" t="str">
        <f>VLOOKUP(R2867,产品分类!$C$2:$D$1278,2,0)</f>
        <v>办公用品</v>
      </c>
    </row>
    <row r="2868" spans="1:20">
      <c r="A2868" s="8">
        <f t="shared" si="240"/>
        <v>40219</v>
      </c>
      <c r="B2868" s="8">
        <f t="shared" si="240"/>
        <v>40219</v>
      </c>
      <c r="C2868" s="9" t="s">
        <v>1757</v>
      </c>
      <c r="D2868">
        <v>10021446623</v>
      </c>
      <c r="E2868" t="s">
        <v>47</v>
      </c>
      <c r="F2868" t="s">
        <v>91</v>
      </c>
      <c r="G2868" t="s">
        <v>92</v>
      </c>
      <c r="H2868" t="s">
        <v>2053</v>
      </c>
      <c r="I2868" t="s">
        <v>2054</v>
      </c>
      <c r="J2868" t="s">
        <v>668</v>
      </c>
      <c r="K2868" s="3">
        <v>10047193514</v>
      </c>
      <c r="L2868" s="10">
        <v>40224</v>
      </c>
      <c r="M2868">
        <v>15655.24</v>
      </c>
      <c r="N2868" s="11">
        <v>38</v>
      </c>
      <c r="O2868" s="12">
        <v>419.19</v>
      </c>
      <c r="P2868" s="12">
        <v>19.99</v>
      </c>
      <c r="Q2868" s="13">
        <v>4818.29</v>
      </c>
      <c r="R2868" s="36" t="s">
        <v>1223</v>
      </c>
      <c r="S2868" s="7">
        <f t="shared" si="236"/>
        <v>5</v>
      </c>
      <c r="T2868" s="15" t="str">
        <f>VLOOKUP(R2868,产品分类!$C$2:$D$1278,2,0)</f>
        <v>办公用品</v>
      </c>
    </row>
    <row r="2869" spans="1:20">
      <c r="A2869" s="8">
        <f>DATE(2012,12,31)-1268</f>
        <v>40006</v>
      </c>
      <c r="B2869" s="8">
        <f>DATE(2012,12,31)-1268</f>
        <v>40006</v>
      </c>
      <c r="C2869" s="9" t="s">
        <v>1414</v>
      </c>
      <c r="D2869">
        <v>10021334059</v>
      </c>
      <c r="E2869" t="s">
        <v>47</v>
      </c>
      <c r="F2869" t="s">
        <v>55</v>
      </c>
      <c r="G2869" t="s">
        <v>56</v>
      </c>
      <c r="H2869" t="s">
        <v>1869</v>
      </c>
      <c r="I2869" t="s">
        <v>1870</v>
      </c>
      <c r="J2869" t="s">
        <v>668</v>
      </c>
      <c r="K2869" s="3">
        <v>10077044735</v>
      </c>
      <c r="L2869" s="10">
        <v>40008</v>
      </c>
      <c r="M2869">
        <v>5583.27</v>
      </c>
      <c r="N2869" s="11">
        <v>41</v>
      </c>
      <c r="O2869" s="12">
        <v>136.98</v>
      </c>
      <c r="P2869" s="12">
        <v>24.49</v>
      </c>
      <c r="Q2869" s="13">
        <v>1539.59</v>
      </c>
      <c r="R2869" s="36" t="s">
        <v>594</v>
      </c>
      <c r="S2869" s="7">
        <f t="shared" si="236"/>
        <v>2</v>
      </c>
      <c r="T2869" s="15" t="str">
        <f>VLOOKUP(R2869,产品分类!$C$2:$D$1278,2,0)</f>
        <v>数码电子</v>
      </c>
    </row>
    <row r="2870" spans="1:20">
      <c r="A2870" s="8">
        <f>DATE(2012,12,31)-1238</f>
        <v>40036</v>
      </c>
      <c r="B2870" s="8">
        <f>DATE(2012,12,31)-1238</f>
        <v>40036</v>
      </c>
      <c r="C2870" s="9" t="s">
        <v>2085</v>
      </c>
      <c r="D2870">
        <v>10021266115</v>
      </c>
      <c r="E2870" t="s">
        <v>47</v>
      </c>
      <c r="F2870" t="s">
        <v>91</v>
      </c>
      <c r="G2870" t="s">
        <v>92</v>
      </c>
      <c r="H2870" t="s">
        <v>2053</v>
      </c>
      <c r="I2870" t="s">
        <v>2054</v>
      </c>
      <c r="J2870" t="s">
        <v>668</v>
      </c>
      <c r="K2870" s="3">
        <v>10041494273</v>
      </c>
      <c r="L2870" s="10">
        <v>40036</v>
      </c>
      <c r="M2870">
        <v>16.6</v>
      </c>
      <c r="N2870" s="11">
        <v>4</v>
      </c>
      <c r="O2870" s="12">
        <v>4.13</v>
      </c>
      <c r="P2870" s="12">
        <v>0.99</v>
      </c>
      <c r="Q2870" s="13">
        <v>-2.06</v>
      </c>
      <c r="R2870" s="36" t="s">
        <v>971</v>
      </c>
      <c r="S2870" s="7">
        <f t="shared" si="236"/>
        <v>0</v>
      </c>
      <c r="T2870" s="15" t="str">
        <f>VLOOKUP(R2870,产品分类!$C$2:$D$1278,2,0)</f>
        <v>办公用品</v>
      </c>
    </row>
    <row r="2871" spans="1:20">
      <c r="A2871" s="8">
        <f>DATE(2012,12,31)-1238</f>
        <v>40036</v>
      </c>
      <c r="B2871" s="8">
        <f>DATE(2012,12,31)-1238</f>
        <v>40036</v>
      </c>
      <c r="C2871" s="9" t="s">
        <v>2085</v>
      </c>
      <c r="D2871">
        <v>10021422962</v>
      </c>
      <c r="E2871" t="s">
        <v>47</v>
      </c>
      <c r="F2871" t="s">
        <v>122</v>
      </c>
      <c r="G2871" t="s">
        <v>123</v>
      </c>
      <c r="H2871" t="s">
        <v>124</v>
      </c>
      <c r="I2871" t="s">
        <v>125</v>
      </c>
      <c r="J2871" t="s">
        <v>668</v>
      </c>
      <c r="K2871" s="3">
        <v>100827554872</v>
      </c>
      <c r="L2871" s="10">
        <v>40038</v>
      </c>
      <c r="M2871">
        <v>25.1</v>
      </c>
      <c r="N2871" s="11">
        <v>5</v>
      </c>
      <c r="O2871" s="12">
        <v>4.98</v>
      </c>
      <c r="P2871" s="12">
        <v>0.49</v>
      </c>
      <c r="Q2871" s="13">
        <v>2.98</v>
      </c>
      <c r="R2871" s="36" t="s">
        <v>327</v>
      </c>
      <c r="S2871" s="7">
        <f t="shared" si="236"/>
        <v>2</v>
      </c>
      <c r="T2871" s="15" t="str">
        <f>VLOOKUP(R2871,产品分类!$C$2:$D$1278,2,0)</f>
        <v>家具产品</v>
      </c>
    </row>
    <row r="2872" spans="1:20">
      <c r="A2872" s="8">
        <f>DATE(2012,12,31)-1128</f>
        <v>40146</v>
      </c>
      <c r="B2872" s="8">
        <f>DATE(2012,12,31)-1128</f>
        <v>40146</v>
      </c>
      <c r="C2872" s="9" t="s">
        <v>1129</v>
      </c>
      <c r="D2872">
        <v>10021532049</v>
      </c>
      <c r="E2872" t="s">
        <v>47</v>
      </c>
      <c r="F2872" t="s">
        <v>122</v>
      </c>
      <c r="G2872" t="s">
        <v>123</v>
      </c>
      <c r="H2872" t="s">
        <v>124</v>
      </c>
      <c r="I2872" t="s">
        <v>125</v>
      </c>
      <c r="J2872" t="s">
        <v>668</v>
      </c>
      <c r="K2872" s="3">
        <v>100431346184</v>
      </c>
      <c r="L2872" s="10">
        <v>40147</v>
      </c>
      <c r="M2872">
        <v>180.7</v>
      </c>
      <c r="N2872" s="11">
        <v>31</v>
      </c>
      <c r="O2872" s="12">
        <v>5.98</v>
      </c>
      <c r="P2872" s="12">
        <v>3.85</v>
      </c>
      <c r="Q2872" s="13">
        <v>-94.61</v>
      </c>
      <c r="R2872" s="36" t="s">
        <v>1135</v>
      </c>
      <c r="S2872" s="7">
        <f t="shared" si="236"/>
        <v>1</v>
      </c>
      <c r="T2872" s="15" t="str">
        <f>VLOOKUP(R2872,产品分类!$C$2:$D$1278,2,0)</f>
        <v>办公用品</v>
      </c>
    </row>
    <row r="2873" spans="1:20">
      <c r="A2873" s="8">
        <f>DATE(2012,12,31)-1128</f>
        <v>40146</v>
      </c>
      <c r="B2873" s="8">
        <f>DATE(2012,12,31)-1128</f>
        <v>40146</v>
      </c>
      <c r="C2873" s="9" t="s">
        <v>1129</v>
      </c>
      <c r="D2873">
        <v>10021335106</v>
      </c>
      <c r="E2873" t="s">
        <v>47</v>
      </c>
      <c r="F2873" t="s">
        <v>83</v>
      </c>
      <c r="G2873" t="s">
        <v>84</v>
      </c>
      <c r="H2873" t="s">
        <v>1928</v>
      </c>
      <c r="I2873" t="s">
        <v>1929</v>
      </c>
      <c r="J2873" t="s">
        <v>668</v>
      </c>
      <c r="K2873" s="3">
        <v>10088089212</v>
      </c>
      <c r="L2873" s="10">
        <v>40148</v>
      </c>
      <c r="M2873">
        <v>67.4</v>
      </c>
      <c r="N2873" s="11">
        <v>26</v>
      </c>
      <c r="O2873" s="12">
        <v>2.61</v>
      </c>
      <c r="P2873" s="12">
        <v>0.5</v>
      </c>
      <c r="Q2873" s="13">
        <v>22.71</v>
      </c>
      <c r="R2873" s="36" t="s">
        <v>630</v>
      </c>
      <c r="S2873" s="7">
        <f t="shared" si="236"/>
        <v>2</v>
      </c>
      <c r="T2873" s="15" t="str">
        <f>VLOOKUP(R2873,产品分类!$C$2:$D$1278,2,0)</f>
        <v>数码电子</v>
      </c>
    </row>
    <row r="2874" spans="1:20">
      <c r="A2874" s="8">
        <f>DATE(2012,12,31)-1442</f>
        <v>39832</v>
      </c>
      <c r="B2874" s="8">
        <f>DATE(2012,12,31)-1442</f>
        <v>39832</v>
      </c>
      <c r="C2874" s="9" t="s">
        <v>2086</v>
      </c>
      <c r="D2874">
        <v>10021508091</v>
      </c>
      <c r="E2874" t="s">
        <v>47</v>
      </c>
      <c r="F2874" t="s">
        <v>122</v>
      </c>
      <c r="G2874" t="s">
        <v>123</v>
      </c>
      <c r="H2874" t="s">
        <v>124</v>
      </c>
      <c r="I2874" t="s">
        <v>125</v>
      </c>
      <c r="J2874" t="s">
        <v>668</v>
      </c>
      <c r="K2874" s="3">
        <v>100132041118</v>
      </c>
      <c r="L2874" s="10">
        <v>39834</v>
      </c>
      <c r="M2874">
        <v>98.66</v>
      </c>
      <c r="N2874" s="11">
        <v>5</v>
      </c>
      <c r="O2874" s="12">
        <v>18.97</v>
      </c>
      <c r="P2874" s="12">
        <v>9.03</v>
      </c>
      <c r="Q2874" s="13">
        <v>-19.52</v>
      </c>
      <c r="R2874" s="36" t="s">
        <v>131</v>
      </c>
      <c r="S2874" s="7">
        <f t="shared" si="236"/>
        <v>2</v>
      </c>
      <c r="T2874" s="15" t="str">
        <f>VLOOKUP(R2874,产品分类!$C$2:$D$1278,2,0)</f>
        <v>家具产品</v>
      </c>
    </row>
    <row r="2875" spans="1:20">
      <c r="A2875" s="8">
        <f>DATE(2012,12,31)-1442</f>
        <v>39832</v>
      </c>
      <c r="B2875" s="8">
        <f>DATE(2012,12,31)-1442</f>
        <v>39832</v>
      </c>
      <c r="C2875" s="9" t="s">
        <v>2086</v>
      </c>
      <c r="D2875">
        <v>10021338066</v>
      </c>
      <c r="E2875" t="s">
        <v>47</v>
      </c>
      <c r="F2875" t="s">
        <v>127</v>
      </c>
      <c r="G2875" t="s">
        <v>128</v>
      </c>
      <c r="H2875" t="s">
        <v>1936</v>
      </c>
      <c r="I2875" t="s">
        <v>1937</v>
      </c>
      <c r="J2875" t="s">
        <v>668</v>
      </c>
      <c r="K2875" s="3">
        <v>100717611905</v>
      </c>
      <c r="L2875" s="10">
        <v>39833</v>
      </c>
      <c r="M2875">
        <v>2215.96</v>
      </c>
      <c r="N2875" s="11">
        <v>18</v>
      </c>
      <c r="O2875" s="12">
        <v>119.99</v>
      </c>
      <c r="P2875" s="12">
        <v>56.14</v>
      </c>
      <c r="Q2875" s="13">
        <v>-101.6595</v>
      </c>
      <c r="R2875" s="36" t="s">
        <v>1626</v>
      </c>
      <c r="S2875" s="7">
        <f t="shared" si="236"/>
        <v>1</v>
      </c>
      <c r="T2875" s="15" t="str">
        <f>VLOOKUP(R2875,产品分类!$C$2:$D$1278,2,0)</f>
        <v>办公用品</v>
      </c>
    </row>
    <row r="2876" spans="1:20">
      <c r="A2876" s="8">
        <f>DATE(2012,12,31)-372</f>
        <v>40902</v>
      </c>
      <c r="B2876" s="8">
        <f>DATE(2012,12,31)-372</f>
        <v>40902</v>
      </c>
      <c r="C2876" s="9" t="s">
        <v>1609</v>
      </c>
      <c r="D2876">
        <v>10021266475</v>
      </c>
      <c r="E2876" t="s">
        <v>47</v>
      </c>
      <c r="F2876" t="s">
        <v>97</v>
      </c>
      <c r="G2876" t="s">
        <v>98</v>
      </c>
      <c r="H2876" t="s">
        <v>99</v>
      </c>
      <c r="I2876" t="s">
        <v>98</v>
      </c>
      <c r="J2876" t="s">
        <v>668</v>
      </c>
      <c r="K2876" s="3">
        <v>100931785781</v>
      </c>
      <c r="L2876" s="10">
        <v>40903</v>
      </c>
      <c r="M2876">
        <v>1410.93</v>
      </c>
      <c r="N2876" s="11">
        <v>10</v>
      </c>
      <c r="O2876" s="12">
        <v>140.98</v>
      </c>
      <c r="P2876" s="12">
        <v>36.09</v>
      </c>
      <c r="Q2876" s="13">
        <v>-317.48</v>
      </c>
      <c r="R2876" s="36" t="s">
        <v>1090</v>
      </c>
      <c r="S2876" s="7">
        <f t="shared" si="236"/>
        <v>1</v>
      </c>
      <c r="T2876" s="15" t="str">
        <f>VLOOKUP(R2876,产品分类!$C$2:$D$1278,2,0)</f>
        <v>办公用品</v>
      </c>
    </row>
    <row r="2877" spans="1:20">
      <c r="A2877" s="8">
        <f>DATE(2012,12,31)-372</f>
        <v>40902</v>
      </c>
      <c r="B2877" s="8">
        <f>DATE(2012,12,31)-372</f>
        <v>40902</v>
      </c>
      <c r="C2877" s="9" t="s">
        <v>1609</v>
      </c>
      <c r="D2877">
        <v>10021469809</v>
      </c>
      <c r="E2877" t="s">
        <v>47</v>
      </c>
      <c r="F2877" t="s">
        <v>97</v>
      </c>
      <c r="G2877" t="s">
        <v>98</v>
      </c>
      <c r="H2877" t="s">
        <v>99</v>
      </c>
      <c r="I2877" t="s">
        <v>98</v>
      </c>
      <c r="J2877" t="s">
        <v>668</v>
      </c>
      <c r="K2877" s="3">
        <v>100932493531</v>
      </c>
      <c r="L2877" s="10">
        <v>40904</v>
      </c>
      <c r="M2877">
        <v>3364.248</v>
      </c>
      <c r="N2877" s="11">
        <v>15</v>
      </c>
      <c r="O2877" s="12">
        <v>286.85</v>
      </c>
      <c r="P2877" s="12">
        <v>61.76</v>
      </c>
      <c r="Q2877" s="13">
        <v>-693.230395</v>
      </c>
      <c r="R2877" s="36" t="s">
        <v>1252</v>
      </c>
      <c r="S2877" s="7">
        <f t="shared" si="236"/>
        <v>2</v>
      </c>
      <c r="T2877" s="15" t="str">
        <f>VLOOKUP(R2877,产品分类!$C$2:$D$1278,2,0)</f>
        <v>办公用品</v>
      </c>
    </row>
    <row r="2878" spans="1:20">
      <c r="A2878" s="8">
        <f>DATE(2012,12,31)-793</f>
        <v>40481</v>
      </c>
      <c r="B2878" s="8">
        <f>DATE(2012,12,31)-793</f>
        <v>40481</v>
      </c>
      <c r="C2878" s="9" t="s">
        <v>481</v>
      </c>
      <c r="D2878">
        <v>10021444098</v>
      </c>
      <c r="E2878" t="s">
        <v>47</v>
      </c>
      <c r="F2878" t="s">
        <v>97</v>
      </c>
      <c r="G2878" t="s">
        <v>98</v>
      </c>
      <c r="H2878" t="s">
        <v>99</v>
      </c>
      <c r="I2878" t="s">
        <v>98</v>
      </c>
      <c r="J2878" t="s">
        <v>668</v>
      </c>
      <c r="K2878" s="3">
        <v>10014941327</v>
      </c>
      <c r="L2878" s="10">
        <v>40488</v>
      </c>
      <c r="M2878">
        <v>1711.02</v>
      </c>
      <c r="N2878" s="11">
        <v>43</v>
      </c>
      <c r="O2878" s="12">
        <v>43.98</v>
      </c>
      <c r="P2878" s="12">
        <v>8.99</v>
      </c>
      <c r="Q2878" s="13">
        <v>139.63</v>
      </c>
      <c r="R2878" s="36" t="s">
        <v>189</v>
      </c>
      <c r="S2878" s="7">
        <f t="shared" si="236"/>
        <v>7</v>
      </c>
      <c r="T2878" s="15" t="str">
        <f>VLOOKUP(R2878,产品分类!$C$2:$D$1278,2,0)</f>
        <v>数码电子</v>
      </c>
    </row>
    <row r="2879" spans="1:20">
      <c r="A2879" s="8">
        <f>DATE(2012,12,31)-382</f>
        <v>40892</v>
      </c>
      <c r="B2879" s="8">
        <f>DATE(2012,12,31)-382</f>
        <v>40892</v>
      </c>
      <c r="C2879" s="9" t="s">
        <v>1339</v>
      </c>
      <c r="D2879">
        <v>10021343787</v>
      </c>
      <c r="E2879" t="s">
        <v>47</v>
      </c>
      <c r="F2879" t="s">
        <v>208</v>
      </c>
      <c r="G2879" t="s">
        <v>209</v>
      </c>
      <c r="H2879" t="s">
        <v>2087</v>
      </c>
      <c r="I2879" t="s">
        <v>2088</v>
      </c>
      <c r="J2879" t="s">
        <v>668</v>
      </c>
      <c r="K2879" s="3">
        <v>100329171839</v>
      </c>
      <c r="L2879" s="10">
        <v>40893</v>
      </c>
      <c r="M2879">
        <v>231.21</v>
      </c>
      <c r="N2879" s="11">
        <v>39</v>
      </c>
      <c r="O2879" s="12">
        <v>5.28</v>
      </c>
      <c r="P2879" s="12">
        <v>8.16</v>
      </c>
      <c r="Q2879" s="13">
        <v>-179.96</v>
      </c>
      <c r="R2879" s="36" t="s">
        <v>2089</v>
      </c>
      <c r="S2879" s="7">
        <f t="shared" si="236"/>
        <v>1</v>
      </c>
      <c r="T2879" s="15" t="str">
        <f>VLOOKUP(R2879,产品分类!$C$2:$D$1278,2,0)</f>
        <v>家具产品</v>
      </c>
    </row>
    <row r="2880" spans="1:20">
      <c r="A2880" s="8">
        <f>DATE(2012,12,31)-1397</f>
        <v>39877</v>
      </c>
      <c r="B2880" s="8">
        <f>DATE(2012,12,31)-1397</f>
        <v>39877</v>
      </c>
      <c r="C2880" s="9" t="s">
        <v>897</v>
      </c>
      <c r="D2880">
        <v>10021414314</v>
      </c>
      <c r="E2880" t="s">
        <v>47</v>
      </c>
      <c r="F2880" t="s">
        <v>208</v>
      </c>
      <c r="G2880" t="s">
        <v>209</v>
      </c>
      <c r="H2880" t="s">
        <v>2087</v>
      </c>
      <c r="I2880" t="s">
        <v>2088</v>
      </c>
      <c r="J2880" t="s">
        <v>668</v>
      </c>
      <c r="K2880" s="3">
        <v>10089475582</v>
      </c>
      <c r="L2880" s="10">
        <v>39878</v>
      </c>
      <c r="M2880">
        <v>479.96</v>
      </c>
      <c r="N2880" s="11">
        <v>44</v>
      </c>
      <c r="O2880" s="12">
        <v>10.91</v>
      </c>
      <c r="P2880" s="12">
        <v>2.99</v>
      </c>
      <c r="Q2880" s="13">
        <v>122.536</v>
      </c>
      <c r="R2880" s="36" t="s">
        <v>588</v>
      </c>
      <c r="S2880" s="7">
        <f t="shared" si="236"/>
        <v>1</v>
      </c>
      <c r="T2880" s="15" t="str">
        <f>VLOOKUP(R2880,产品分类!$C$2:$D$1278,2,0)</f>
        <v>家具产品</v>
      </c>
    </row>
    <row r="2881" spans="1:20">
      <c r="A2881" s="8">
        <f>DATE(2012,12,31)-401</f>
        <v>40873</v>
      </c>
      <c r="B2881" s="8">
        <f>DATE(2012,12,31)-401</f>
        <v>40873</v>
      </c>
      <c r="C2881" s="9" t="s">
        <v>1141</v>
      </c>
      <c r="D2881">
        <v>10021523392</v>
      </c>
      <c r="E2881" t="s">
        <v>47</v>
      </c>
      <c r="F2881" t="s">
        <v>208</v>
      </c>
      <c r="G2881" t="s">
        <v>209</v>
      </c>
      <c r="H2881" t="s">
        <v>2087</v>
      </c>
      <c r="I2881" t="s">
        <v>2088</v>
      </c>
      <c r="J2881" t="s">
        <v>668</v>
      </c>
      <c r="K2881" s="3">
        <v>10037530069</v>
      </c>
      <c r="L2881" s="10">
        <v>40880</v>
      </c>
      <c r="M2881">
        <v>4393.75</v>
      </c>
      <c r="N2881" s="11">
        <v>13</v>
      </c>
      <c r="O2881" s="12">
        <v>442.14</v>
      </c>
      <c r="P2881" s="12">
        <v>14.7</v>
      </c>
      <c r="Q2881" s="13">
        <v>215.31</v>
      </c>
      <c r="R2881" s="36" t="s">
        <v>1214</v>
      </c>
      <c r="S2881" s="7">
        <f t="shared" si="236"/>
        <v>7</v>
      </c>
      <c r="T2881" s="15" t="str">
        <f>VLOOKUP(R2881,产品分类!$C$2:$D$1278,2,0)</f>
        <v>数码电子</v>
      </c>
    </row>
    <row r="2882" spans="1:20">
      <c r="A2882" s="8">
        <f t="shared" ref="A2882:B2885" si="241">DATE(2012,12,31)-721</f>
        <v>40553</v>
      </c>
      <c r="B2882" s="8">
        <f t="shared" si="241"/>
        <v>40553</v>
      </c>
      <c r="C2882" s="9" t="s">
        <v>596</v>
      </c>
      <c r="D2882">
        <v>10021493867</v>
      </c>
      <c r="E2882" t="s">
        <v>47</v>
      </c>
      <c r="F2882" t="s">
        <v>102</v>
      </c>
      <c r="G2882" t="s">
        <v>103</v>
      </c>
      <c r="H2882" t="s">
        <v>1217</v>
      </c>
      <c r="I2882" t="s">
        <v>1218</v>
      </c>
      <c r="J2882" t="s">
        <v>668</v>
      </c>
      <c r="K2882" s="3">
        <v>10098928941</v>
      </c>
      <c r="L2882" s="10">
        <v>40556</v>
      </c>
      <c r="M2882">
        <v>69.98</v>
      </c>
      <c r="N2882" s="11">
        <v>12</v>
      </c>
      <c r="O2882" s="12">
        <v>5.53</v>
      </c>
      <c r="P2882" s="12">
        <v>6.98</v>
      </c>
      <c r="Q2882" s="13">
        <v>-58.328</v>
      </c>
      <c r="R2882" s="36" t="s">
        <v>1566</v>
      </c>
      <c r="S2882" s="7">
        <f t="shared" si="236"/>
        <v>3</v>
      </c>
      <c r="T2882" s="15" t="str">
        <f>VLOOKUP(R2882,产品分类!$C$2:$D$1278,2,0)</f>
        <v>数码电子</v>
      </c>
    </row>
    <row r="2883" spans="1:20">
      <c r="A2883" s="8">
        <f t="shared" si="241"/>
        <v>40553</v>
      </c>
      <c r="B2883" s="8">
        <f t="shared" si="241"/>
        <v>40553</v>
      </c>
      <c r="C2883" s="9" t="s">
        <v>596</v>
      </c>
      <c r="D2883">
        <v>10021508742</v>
      </c>
      <c r="E2883" t="s">
        <v>47</v>
      </c>
      <c r="F2883" t="s">
        <v>603</v>
      </c>
      <c r="G2883" t="s">
        <v>604</v>
      </c>
      <c r="H2883" t="s">
        <v>605</v>
      </c>
      <c r="I2883" t="s">
        <v>606</v>
      </c>
      <c r="J2883" t="s">
        <v>668</v>
      </c>
      <c r="K2883" s="3">
        <v>100132311938</v>
      </c>
      <c r="L2883" s="10">
        <v>40555</v>
      </c>
      <c r="M2883">
        <v>418.34</v>
      </c>
      <c r="N2883" s="11">
        <v>35</v>
      </c>
      <c r="O2883" s="12">
        <v>12.58</v>
      </c>
      <c r="P2883" s="12">
        <v>5.16</v>
      </c>
      <c r="Q2883" s="13">
        <v>73.57</v>
      </c>
      <c r="R2883" s="36" t="s">
        <v>883</v>
      </c>
      <c r="S2883" s="7">
        <f t="shared" ref="S2883:S2946" si="242">+L2883-B2883</f>
        <v>2</v>
      </c>
      <c r="T2883" s="15" t="str">
        <f>VLOOKUP(R2883,产品分类!$C$2:$D$1278,2,0)</f>
        <v>家具产品</v>
      </c>
    </row>
    <row r="2884" spans="1:20">
      <c r="A2884" s="8">
        <f t="shared" si="241"/>
        <v>40553</v>
      </c>
      <c r="B2884" s="8">
        <f t="shared" si="241"/>
        <v>40553</v>
      </c>
      <c r="C2884" s="9" t="s">
        <v>596</v>
      </c>
      <c r="D2884">
        <v>10021524027</v>
      </c>
      <c r="E2884" t="s">
        <v>47</v>
      </c>
      <c r="F2884" t="s">
        <v>102</v>
      </c>
      <c r="G2884" t="s">
        <v>103</v>
      </c>
      <c r="H2884" t="s">
        <v>1217</v>
      </c>
      <c r="I2884" t="s">
        <v>1218</v>
      </c>
      <c r="J2884" t="s">
        <v>668</v>
      </c>
      <c r="K2884" s="3">
        <v>100115475387</v>
      </c>
      <c r="L2884" s="10">
        <v>40554</v>
      </c>
      <c r="M2884">
        <v>17.7</v>
      </c>
      <c r="N2884" s="11">
        <v>3</v>
      </c>
      <c r="O2884" s="12">
        <v>4.28</v>
      </c>
      <c r="P2884" s="12">
        <v>4.79</v>
      </c>
      <c r="Q2884" s="13">
        <v>-10.37</v>
      </c>
      <c r="R2884" s="36" t="s">
        <v>1515</v>
      </c>
      <c r="S2884" s="7">
        <f t="shared" si="242"/>
        <v>1</v>
      </c>
      <c r="T2884" s="15" t="str">
        <f>VLOOKUP(R2884,产品分类!$C$2:$D$1278,2,0)</f>
        <v>办公用品</v>
      </c>
    </row>
    <row r="2885" spans="1:20">
      <c r="A2885" s="8">
        <f t="shared" si="241"/>
        <v>40553</v>
      </c>
      <c r="B2885" s="8">
        <f t="shared" si="241"/>
        <v>40553</v>
      </c>
      <c r="C2885" s="9" t="s">
        <v>596</v>
      </c>
      <c r="D2885">
        <v>10021301643</v>
      </c>
      <c r="E2885" t="s">
        <v>47</v>
      </c>
      <c r="F2885" t="s">
        <v>208</v>
      </c>
      <c r="G2885" t="s">
        <v>209</v>
      </c>
      <c r="H2885" t="s">
        <v>2087</v>
      </c>
      <c r="I2885" t="s">
        <v>2088</v>
      </c>
      <c r="J2885" t="s">
        <v>668</v>
      </c>
      <c r="K2885" s="3">
        <v>10092507691</v>
      </c>
      <c r="L2885" s="10">
        <v>40554</v>
      </c>
      <c r="M2885">
        <v>45.61</v>
      </c>
      <c r="N2885" s="11">
        <v>12</v>
      </c>
      <c r="O2885" s="12">
        <v>3.85</v>
      </c>
      <c r="P2885" s="12">
        <v>0.7</v>
      </c>
      <c r="Q2885" s="13">
        <v>9.18</v>
      </c>
      <c r="R2885" s="36" t="s">
        <v>242</v>
      </c>
      <c r="S2885" s="7">
        <f t="shared" si="242"/>
        <v>1</v>
      </c>
      <c r="T2885" s="15" t="str">
        <f>VLOOKUP(R2885,产品分类!$C$2:$D$1278,2,0)</f>
        <v>办公用品</v>
      </c>
    </row>
    <row r="2886" spans="1:20">
      <c r="A2886" s="8">
        <f>DATE(2012,12,31)-163</f>
        <v>41111</v>
      </c>
      <c r="B2886" s="8">
        <f>DATE(2012,12,31)-163</f>
        <v>41111</v>
      </c>
      <c r="C2886" s="9" t="s">
        <v>149</v>
      </c>
      <c r="D2886">
        <v>10021263487</v>
      </c>
      <c r="E2886" t="s">
        <v>47</v>
      </c>
      <c r="F2886" t="s">
        <v>102</v>
      </c>
      <c r="G2886" t="s">
        <v>103</v>
      </c>
      <c r="H2886" t="s">
        <v>1217</v>
      </c>
      <c r="I2886" t="s">
        <v>1218</v>
      </c>
      <c r="J2886" t="s">
        <v>668</v>
      </c>
      <c r="K2886" s="3">
        <v>100430574083</v>
      </c>
      <c r="L2886" s="10">
        <v>41112</v>
      </c>
      <c r="M2886">
        <v>466.9475</v>
      </c>
      <c r="N2886" s="11">
        <v>16</v>
      </c>
      <c r="O2886" s="12">
        <v>35.99</v>
      </c>
      <c r="P2886" s="12">
        <v>3.3</v>
      </c>
      <c r="Q2886" s="13">
        <v>82.818</v>
      </c>
      <c r="R2886" s="36" t="s">
        <v>1817</v>
      </c>
      <c r="S2886" s="7">
        <f t="shared" si="242"/>
        <v>1</v>
      </c>
      <c r="T2886" s="15" t="str">
        <f>VLOOKUP(R2886,产品分类!$C$2:$D$1278,2,0)</f>
        <v>数码电子</v>
      </c>
    </row>
    <row r="2887" spans="1:20">
      <c r="A2887" s="8">
        <f>DATE(2012,12,31)-163</f>
        <v>41111</v>
      </c>
      <c r="B2887" s="8">
        <f>DATE(2012,12,31)-163</f>
        <v>41111</v>
      </c>
      <c r="C2887" s="9" t="s">
        <v>149</v>
      </c>
      <c r="D2887">
        <v>10021503398</v>
      </c>
      <c r="E2887" t="s">
        <v>47</v>
      </c>
      <c r="F2887" t="s">
        <v>177</v>
      </c>
      <c r="G2887" t="s">
        <v>178</v>
      </c>
      <c r="H2887" t="s">
        <v>1292</v>
      </c>
      <c r="I2887" t="s">
        <v>1293</v>
      </c>
      <c r="J2887" t="s">
        <v>668</v>
      </c>
      <c r="K2887" s="3">
        <v>100129634286</v>
      </c>
      <c r="L2887" s="10">
        <v>41113</v>
      </c>
      <c r="M2887">
        <v>6152.52</v>
      </c>
      <c r="N2887" s="11">
        <v>39</v>
      </c>
      <c r="O2887" s="12">
        <v>160.98</v>
      </c>
      <c r="P2887" s="12">
        <v>30</v>
      </c>
      <c r="Q2887" s="13">
        <v>768.06</v>
      </c>
      <c r="R2887" s="36" t="s">
        <v>764</v>
      </c>
      <c r="S2887" s="7">
        <f t="shared" si="242"/>
        <v>2</v>
      </c>
      <c r="T2887" s="15" t="str">
        <f>VLOOKUP(R2887,产品分类!$C$2:$D$1278,2,0)</f>
        <v>家具产品</v>
      </c>
    </row>
    <row r="2888" spans="1:20">
      <c r="A2888" s="8">
        <f>DATE(2012,12,31)-885</f>
        <v>40389</v>
      </c>
      <c r="B2888" s="8">
        <f>DATE(2012,12,31)-885</f>
        <v>40389</v>
      </c>
      <c r="C2888" s="9" t="s">
        <v>358</v>
      </c>
      <c r="D2888">
        <v>10021352334</v>
      </c>
      <c r="E2888" t="s">
        <v>47</v>
      </c>
      <c r="F2888" t="s">
        <v>527</v>
      </c>
      <c r="G2888" t="s">
        <v>528</v>
      </c>
      <c r="H2888" t="s">
        <v>2046</v>
      </c>
      <c r="I2888" t="s">
        <v>2047</v>
      </c>
      <c r="J2888" t="s">
        <v>668</v>
      </c>
      <c r="K2888" s="3">
        <v>100132520657</v>
      </c>
      <c r="L2888" s="10">
        <v>40389</v>
      </c>
      <c r="M2888">
        <v>88.7</v>
      </c>
      <c r="N2888" s="11">
        <v>47</v>
      </c>
      <c r="O2888" s="12">
        <v>1.88</v>
      </c>
      <c r="P2888" s="12">
        <v>1.49</v>
      </c>
      <c r="Q2888" s="13">
        <v>-20.447</v>
      </c>
      <c r="R2888" s="36" t="s">
        <v>1426</v>
      </c>
      <c r="S2888" s="7">
        <f t="shared" si="242"/>
        <v>0</v>
      </c>
      <c r="T2888" s="15" t="str">
        <f>VLOOKUP(R2888,产品分类!$C$2:$D$1278,2,0)</f>
        <v>办公用品</v>
      </c>
    </row>
    <row r="2889" spans="1:20">
      <c r="A2889" s="8">
        <f>DATE(2012,12,31)-885</f>
        <v>40389</v>
      </c>
      <c r="B2889" s="8">
        <f>DATE(2012,12,31)-885</f>
        <v>40389</v>
      </c>
      <c r="C2889" s="9" t="s">
        <v>358</v>
      </c>
      <c r="D2889">
        <v>10021509884</v>
      </c>
      <c r="E2889" t="s">
        <v>47</v>
      </c>
      <c r="F2889" t="s">
        <v>171</v>
      </c>
      <c r="G2889" t="s">
        <v>172</v>
      </c>
      <c r="H2889" t="s">
        <v>2073</v>
      </c>
      <c r="I2889" t="s">
        <v>2074</v>
      </c>
      <c r="J2889" t="s">
        <v>668</v>
      </c>
      <c r="K2889" s="3">
        <v>100732529955</v>
      </c>
      <c r="L2889" s="10">
        <v>40391</v>
      </c>
      <c r="M2889">
        <v>105.89</v>
      </c>
      <c r="N2889" s="11">
        <v>39</v>
      </c>
      <c r="O2889" s="12">
        <v>2.84</v>
      </c>
      <c r="P2889" s="12">
        <v>0.93</v>
      </c>
      <c r="Q2889" s="13">
        <v>4.13</v>
      </c>
      <c r="R2889" s="36" t="s">
        <v>544</v>
      </c>
      <c r="S2889" s="7">
        <f t="shared" si="242"/>
        <v>2</v>
      </c>
      <c r="T2889" s="15" t="str">
        <f>VLOOKUP(R2889,产品分类!$C$2:$D$1278,2,0)</f>
        <v>办公用品</v>
      </c>
    </row>
    <row r="2890" spans="1:20">
      <c r="A2890" s="8">
        <f>DATE(2012,12,31)-1361</f>
        <v>39913</v>
      </c>
      <c r="B2890" s="8">
        <f>DATE(2012,12,31)-1361</f>
        <v>39913</v>
      </c>
      <c r="C2890" s="9" t="s">
        <v>497</v>
      </c>
      <c r="D2890">
        <v>10021509895</v>
      </c>
      <c r="E2890" t="s">
        <v>47</v>
      </c>
      <c r="F2890" t="s">
        <v>171</v>
      </c>
      <c r="G2890" t="s">
        <v>172</v>
      </c>
      <c r="H2890" t="s">
        <v>2073</v>
      </c>
      <c r="I2890" t="s">
        <v>2074</v>
      </c>
      <c r="J2890" t="s">
        <v>668</v>
      </c>
      <c r="K2890" s="3">
        <v>100132548846</v>
      </c>
      <c r="L2890" s="10">
        <v>39914</v>
      </c>
      <c r="M2890">
        <v>20.17</v>
      </c>
      <c r="N2890" s="11">
        <v>5</v>
      </c>
      <c r="O2890" s="12">
        <v>3.28</v>
      </c>
      <c r="P2890" s="12">
        <v>3.97</v>
      </c>
      <c r="Q2890" s="13">
        <v>-15.42</v>
      </c>
      <c r="R2890" s="36" t="s">
        <v>1756</v>
      </c>
      <c r="S2890" s="7">
        <f t="shared" si="242"/>
        <v>1</v>
      </c>
      <c r="T2890" s="15" t="str">
        <f>VLOOKUP(R2890,产品分类!$C$2:$D$1278,2,0)</f>
        <v>办公用品</v>
      </c>
    </row>
    <row r="2891" spans="1:20">
      <c r="A2891" s="8">
        <f>DATE(2012,12,31)-1361</f>
        <v>39913</v>
      </c>
      <c r="B2891" s="8">
        <f>DATE(2012,12,31)-1361</f>
        <v>39913</v>
      </c>
      <c r="C2891" s="9" t="s">
        <v>497</v>
      </c>
      <c r="D2891">
        <v>10021352377</v>
      </c>
      <c r="E2891" t="s">
        <v>47</v>
      </c>
      <c r="F2891" t="s">
        <v>171</v>
      </c>
      <c r="G2891" t="s">
        <v>172</v>
      </c>
      <c r="H2891" t="s">
        <v>2073</v>
      </c>
      <c r="I2891" t="s">
        <v>2074</v>
      </c>
      <c r="J2891" t="s">
        <v>668</v>
      </c>
      <c r="K2891" s="3">
        <v>100932522051</v>
      </c>
      <c r="L2891" s="10">
        <v>39914</v>
      </c>
      <c r="M2891">
        <v>235.98</v>
      </c>
      <c r="N2891" s="11">
        <v>21</v>
      </c>
      <c r="O2891" s="12">
        <v>10.98</v>
      </c>
      <c r="P2891" s="12">
        <v>3.37</v>
      </c>
      <c r="Q2891" s="13">
        <v>11.82</v>
      </c>
      <c r="R2891" s="36" t="s">
        <v>1792</v>
      </c>
      <c r="S2891" s="7">
        <f t="shared" si="242"/>
        <v>1</v>
      </c>
      <c r="T2891" s="15" t="str">
        <f>VLOOKUP(R2891,产品分类!$C$2:$D$1278,2,0)</f>
        <v>办公用品</v>
      </c>
    </row>
    <row r="2892" spans="1:20">
      <c r="A2892" s="8">
        <f>DATE(2012,12,31)-391</f>
        <v>40883</v>
      </c>
      <c r="B2892" s="8">
        <f>DATE(2012,12,31)-391</f>
        <v>40883</v>
      </c>
      <c r="C2892" s="9" t="s">
        <v>1563</v>
      </c>
      <c r="D2892">
        <v>10021498818</v>
      </c>
      <c r="E2892" t="s">
        <v>47</v>
      </c>
      <c r="F2892" t="s">
        <v>171</v>
      </c>
      <c r="G2892" t="s">
        <v>172</v>
      </c>
      <c r="H2892" t="s">
        <v>2073</v>
      </c>
      <c r="I2892" t="s">
        <v>2074</v>
      </c>
      <c r="J2892" t="s">
        <v>668</v>
      </c>
      <c r="K2892" s="3">
        <v>100923549791</v>
      </c>
      <c r="L2892" s="10">
        <v>40885</v>
      </c>
      <c r="M2892">
        <v>251.45</v>
      </c>
      <c r="N2892" s="11">
        <v>19</v>
      </c>
      <c r="O2892" s="12">
        <v>13.4</v>
      </c>
      <c r="P2892" s="12">
        <v>4.95</v>
      </c>
      <c r="Q2892" s="13">
        <v>90</v>
      </c>
      <c r="R2892" s="36" t="s">
        <v>2000</v>
      </c>
      <c r="S2892" s="7">
        <f t="shared" si="242"/>
        <v>2</v>
      </c>
      <c r="T2892" s="15" t="str">
        <f>VLOOKUP(R2892,产品分类!$C$2:$D$1278,2,0)</f>
        <v>办公用品</v>
      </c>
    </row>
    <row r="2893" spans="1:20">
      <c r="A2893" s="8">
        <f>DATE(2012,12,31)-814</f>
        <v>40460</v>
      </c>
      <c r="B2893" s="8">
        <f>DATE(2012,12,31)-814</f>
        <v>40460</v>
      </c>
      <c r="C2893" s="9" t="s">
        <v>2024</v>
      </c>
      <c r="D2893">
        <v>10021252989</v>
      </c>
      <c r="E2893" t="s">
        <v>47</v>
      </c>
      <c r="F2893" t="s">
        <v>171</v>
      </c>
      <c r="G2893" t="s">
        <v>172</v>
      </c>
      <c r="H2893" t="s">
        <v>2073</v>
      </c>
      <c r="I2893" t="s">
        <v>2074</v>
      </c>
      <c r="J2893" t="s">
        <v>668</v>
      </c>
      <c r="K2893" s="3">
        <v>100416069864</v>
      </c>
      <c r="L2893" s="10">
        <v>40467</v>
      </c>
      <c r="M2893">
        <v>1609.19</v>
      </c>
      <c r="N2893" s="11">
        <v>9</v>
      </c>
      <c r="O2893" s="12">
        <v>178.47</v>
      </c>
      <c r="P2893" s="12">
        <v>19.99</v>
      </c>
      <c r="Q2893" s="13">
        <v>188.91</v>
      </c>
      <c r="R2893" s="36" t="s">
        <v>249</v>
      </c>
      <c r="S2893" s="7">
        <f t="shared" si="242"/>
        <v>7</v>
      </c>
      <c r="T2893" s="15" t="str">
        <f>VLOOKUP(R2893,产品分类!$C$2:$D$1278,2,0)</f>
        <v>办公用品</v>
      </c>
    </row>
    <row r="2894" spans="1:20">
      <c r="A2894" s="8">
        <f>DATE(2012,12,31)-428</f>
        <v>40846</v>
      </c>
      <c r="B2894" s="8">
        <f>DATE(2012,12,31)-428</f>
        <v>40846</v>
      </c>
      <c r="C2894" s="9" t="s">
        <v>1749</v>
      </c>
      <c r="D2894">
        <v>10021387351</v>
      </c>
      <c r="E2894" t="s">
        <v>47</v>
      </c>
      <c r="F2894" t="s">
        <v>171</v>
      </c>
      <c r="G2894" t="s">
        <v>172</v>
      </c>
      <c r="H2894" t="s">
        <v>2073</v>
      </c>
      <c r="I2894" t="s">
        <v>2074</v>
      </c>
      <c r="J2894" t="s">
        <v>668</v>
      </c>
      <c r="K2894" s="3">
        <v>100118937066</v>
      </c>
      <c r="L2894" s="10">
        <v>40848</v>
      </c>
      <c r="M2894">
        <v>1756.593</v>
      </c>
      <c r="N2894" s="11">
        <v>33</v>
      </c>
      <c r="O2894" s="12">
        <v>65.99</v>
      </c>
      <c r="P2894" s="12">
        <v>5.63</v>
      </c>
      <c r="Q2894" s="13">
        <v>298.206</v>
      </c>
      <c r="R2894" s="36" t="s">
        <v>733</v>
      </c>
      <c r="S2894" s="7">
        <f t="shared" si="242"/>
        <v>2</v>
      </c>
      <c r="T2894" s="15" t="str">
        <f>VLOOKUP(R2894,产品分类!$C$2:$D$1278,2,0)</f>
        <v>家具产品</v>
      </c>
    </row>
    <row r="2895" spans="1:20">
      <c r="A2895" s="16">
        <f>DATE(2012,12,31)-994</f>
        <v>40280</v>
      </c>
      <c r="B2895" s="16">
        <f>DATE(2012,12,31)-994</f>
        <v>40280</v>
      </c>
      <c r="C2895" s="9" t="s">
        <v>273</v>
      </c>
      <c r="D2895">
        <v>10021349661</v>
      </c>
      <c r="E2895" t="s">
        <v>47</v>
      </c>
      <c r="F2895" t="s">
        <v>171</v>
      </c>
      <c r="G2895" t="s">
        <v>172</v>
      </c>
      <c r="H2895" t="s">
        <v>2073</v>
      </c>
      <c r="I2895" t="s">
        <v>2074</v>
      </c>
      <c r="J2895" t="s">
        <v>668</v>
      </c>
      <c r="K2895" s="3">
        <v>100131885636</v>
      </c>
      <c r="L2895" s="10">
        <v>40289</v>
      </c>
      <c r="M2895">
        <v>495.1</v>
      </c>
      <c r="N2895" s="17">
        <v>9</v>
      </c>
      <c r="O2895" s="5">
        <v>54.96</v>
      </c>
      <c r="P2895" s="5">
        <v>10.75</v>
      </c>
      <c r="Q2895" s="6">
        <v>110.36</v>
      </c>
      <c r="R2895" s="37" t="s">
        <v>1702</v>
      </c>
      <c r="S2895" s="7">
        <f t="shared" si="242"/>
        <v>9</v>
      </c>
      <c r="T2895" s="15" t="str">
        <f>VLOOKUP(R2895,产品分类!$C$2:$D$1278,2,0)</f>
        <v>办公用品</v>
      </c>
    </row>
    <row r="2896" spans="1:20">
      <c r="A2896" s="8">
        <f>DATE(2012,12,31)-768</f>
        <v>40506</v>
      </c>
      <c r="B2896" s="8">
        <f>DATE(2012,12,31)-768</f>
        <v>40506</v>
      </c>
      <c r="C2896" s="9" t="s">
        <v>1172</v>
      </c>
      <c r="D2896">
        <v>10021427504</v>
      </c>
      <c r="E2896" t="s">
        <v>47</v>
      </c>
      <c r="F2896" t="s">
        <v>342</v>
      </c>
      <c r="G2896" t="s">
        <v>343</v>
      </c>
      <c r="H2896" t="s">
        <v>1806</v>
      </c>
      <c r="I2896" t="s">
        <v>1807</v>
      </c>
      <c r="J2896" t="s">
        <v>668</v>
      </c>
      <c r="K2896" s="3">
        <v>100721747955</v>
      </c>
      <c r="L2896" s="10">
        <v>40508</v>
      </c>
      <c r="M2896">
        <v>1978.3665</v>
      </c>
      <c r="N2896" s="11">
        <v>50</v>
      </c>
      <c r="O2896" s="12">
        <v>45.99</v>
      </c>
      <c r="P2896" s="12">
        <v>4.99</v>
      </c>
      <c r="Q2896" s="13">
        <v>483.597</v>
      </c>
      <c r="R2896" s="36" t="s">
        <v>1623</v>
      </c>
      <c r="S2896" s="7">
        <f t="shared" si="242"/>
        <v>2</v>
      </c>
      <c r="T2896" s="15" t="str">
        <f>VLOOKUP(R2896,产品分类!$C$2:$D$1278,2,0)</f>
        <v>办公用品</v>
      </c>
    </row>
    <row r="2897" spans="1:20">
      <c r="A2897" s="8">
        <f>DATE(2012,12,31)-1321</f>
        <v>39953</v>
      </c>
      <c r="B2897" s="8">
        <f>DATE(2012,12,31)-1321</f>
        <v>39953</v>
      </c>
      <c r="C2897" s="9" t="s">
        <v>1921</v>
      </c>
      <c r="D2897">
        <v>10021539370</v>
      </c>
      <c r="E2897" t="s">
        <v>47</v>
      </c>
      <c r="F2897" t="s">
        <v>177</v>
      </c>
      <c r="G2897" t="s">
        <v>178</v>
      </c>
      <c r="H2897" t="s">
        <v>1292</v>
      </c>
      <c r="I2897" t="s">
        <v>1293</v>
      </c>
      <c r="J2897" t="s">
        <v>668</v>
      </c>
      <c r="K2897" s="3">
        <v>10046025953</v>
      </c>
      <c r="L2897" s="10">
        <v>39954</v>
      </c>
      <c r="M2897">
        <v>442.99</v>
      </c>
      <c r="N2897" s="11">
        <v>4</v>
      </c>
      <c r="O2897" s="12">
        <v>100.98</v>
      </c>
      <c r="P2897" s="12">
        <v>35.84</v>
      </c>
      <c r="Q2897" s="13">
        <v>-152.76</v>
      </c>
      <c r="R2897" s="36" t="s">
        <v>471</v>
      </c>
      <c r="S2897" s="7">
        <f t="shared" si="242"/>
        <v>1</v>
      </c>
      <c r="T2897" s="15" t="str">
        <f>VLOOKUP(R2897,产品分类!$C$2:$D$1278,2,0)</f>
        <v>办公用品</v>
      </c>
    </row>
    <row r="2898" spans="1:20">
      <c r="A2898" s="8">
        <f>DATE(2012,12,31)-155</f>
        <v>41119</v>
      </c>
      <c r="B2898" s="8">
        <f>DATE(2012,12,31)-155</f>
        <v>41119</v>
      </c>
      <c r="C2898" s="9" t="s">
        <v>1130</v>
      </c>
      <c r="D2898">
        <v>10021341022</v>
      </c>
      <c r="E2898" t="s">
        <v>47</v>
      </c>
      <c r="F2898" t="s">
        <v>342</v>
      </c>
      <c r="G2898" t="s">
        <v>343</v>
      </c>
      <c r="H2898" t="s">
        <v>2090</v>
      </c>
      <c r="I2898" t="s">
        <v>2091</v>
      </c>
      <c r="J2898" t="s">
        <v>668</v>
      </c>
      <c r="K2898" s="3">
        <v>10097481551</v>
      </c>
      <c r="L2898" s="10">
        <v>41121</v>
      </c>
      <c r="M2898">
        <v>123.26</v>
      </c>
      <c r="N2898" s="11">
        <v>38</v>
      </c>
      <c r="O2898" s="12">
        <v>3.26</v>
      </c>
      <c r="P2898" s="12">
        <v>1.86</v>
      </c>
      <c r="Q2898" s="13">
        <v>-4.73</v>
      </c>
      <c r="R2898" s="36" t="s">
        <v>829</v>
      </c>
      <c r="S2898" s="7">
        <f t="shared" si="242"/>
        <v>2</v>
      </c>
      <c r="T2898" s="15" t="str">
        <f>VLOOKUP(R2898,产品分类!$C$2:$D$1278,2,0)</f>
        <v>数码电子</v>
      </c>
    </row>
    <row r="2899" spans="1:20">
      <c r="A2899" s="8">
        <f>DATE(2012,12,31)-127</f>
        <v>41147</v>
      </c>
      <c r="B2899" s="8">
        <f>DATE(2012,12,31)-127</f>
        <v>41147</v>
      </c>
      <c r="C2899" s="9" t="s">
        <v>598</v>
      </c>
      <c r="D2899">
        <v>10021448259</v>
      </c>
      <c r="E2899" t="s">
        <v>47</v>
      </c>
      <c r="F2899" t="s">
        <v>177</v>
      </c>
      <c r="G2899" t="s">
        <v>178</v>
      </c>
      <c r="H2899" t="s">
        <v>1292</v>
      </c>
      <c r="I2899" t="s">
        <v>1293</v>
      </c>
      <c r="J2899" t="s">
        <v>668</v>
      </c>
      <c r="K2899" s="3">
        <v>100825471722</v>
      </c>
      <c r="L2899" s="10">
        <v>41149</v>
      </c>
      <c r="M2899">
        <v>2079.474</v>
      </c>
      <c r="N2899" s="11">
        <v>45</v>
      </c>
      <c r="O2899" s="12">
        <v>55.99</v>
      </c>
      <c r="P2899" s="12">
        <v>5</v>
      </c>
      <c r="Q2899" s="13">
        <v>-81.565</v>
      </c>
      <c r="R2899" s="36" t="s">
        <v>1020</v>
      </c>
      <c r="S2899" s="7">
        <f t="shared" si="242"/>
        <v>2</v>
      </c>
      <c r="T2899" s="15" t="str">
        <f>VLOOKUP(R2899,产品分类!$C$2:$D$1278,2,0)</f>
        <v>办公用品</v>
      </c>
    </row>
    <row r="2900" spans="1:20">
      <c r="A2900" s="8">
        <f>DATE(2012,12,31)-1076</f>
        <v>40198</v>
      </c>
      <c r="B2900" s="8">
        <f>DATE(2012,12,31)-1076</f>
        <v>40198</v>
      </c>
      <c r="C2900" s="9" t="s">
        <v>309</v>
      </c>
      <c r="D2900">
        <v>10021493521</v>
      </c>
      <c r="E2900" t="s">
        <v>47</v>
      </c>
      <c r="F2900" t="s">
        <v>61</v>
      </c>
      <c r="G2900" t="s">
        <v>62</v>
      </c>
      <c r="H2900" t="s">
        <v>47</v>
      </c>
      <c r="I2900" t="s">
        <v>1778</v>
      </c>
      <c r="J2900" t="s">
        <v>668</v>
      </c>
      <c r="K2900" s="3">
        <v>10042766973</v>
      </c>
      <c r="L2900" s="10">
        <v>40199</v>
      </c>
      <c r="M2900">
        <v>1253.89</v>
      </c>
      <c r="N2900" s="11">
        <v>5</v>
      </c>
      <c r="O2900" s="12">
        <v>264.98</v>
      </c>
      <c r="P2900" s="12">
        <v>17.86</v>
      </c>
      <c r="Q2900" s="13">
        <v>-577.4799</v>
      </c>
      <c r="R2900" s="36" t="s">
        <v>821</v>
      </c>
      <c r="S2900" s="7">
        <f t="shared" si="242"/>
        <v>1</v>
      </c>
      <c r="T2900" s="15" t="str">
        <f>VLOOKUP(R2900,产品分类!$C$2:$D$1278,2,0)</f>
        <v>办公用品</v>
      </c>
    </row>
    <row r="2901" spans="1:20">
      <c r="A2901" s="8">
        <f>DATE(2012,12,31)-409</f>
        <v>40865</v>
      </c>
      <c r="B2901" s="8">
        <f>DATE(2012,12,31)-409</f>
        <v>40865</v>
      </c>
      <c r="C2901" s="9" t="s">
        <v>213</v>
      </c>
      <c r="D2901">
        <v>10021331800</v>
      </c>
      <c r="E2901" t="s">
        <v>47</v>
      </c>
      <c r="F2901" t="s">
        <v>61</v>
      </c>
      <c r="G2901" t="s">
        <v>62</v>
      </c>
      <c r="H2901" t="s">
        <v>47</v>
      </c>
      <c r="I2901" t="s">
        <v>1778</v>
      </c>
      <c r="J2901" t="s">
        <v>668</v>
      </c>
      <c r="K2901" s="3">
        <v>10089040872</v>
      </c>
      <c r="L2901" s="10">
        <v>40870</v>
      </c>
      <c r="M2901">
        <v>195.96</v>
      </c>
      <c r="N2901" s="11">
        <v>19</v>
      </c>
      <c r="O2901" s="12">
        <v>10.97</v>
      </c>
      <c r="P2901" s="12">
        <v>6.5</v>
      </c>
      <c r="Q2901" s="13">
        <v>-104.82</v>
      </c>
      <c r="R2901" s="36" t="s">
        <v>381</v>
      </c>
      <c r="S2901" s="7">
        <f t="shared" si="242"/>
        <v>5</v>
      </c>
      <c r="T2901" s="15" t="str">
        <f>VLOOKUP(R2901,产品分类!$C$2:$D$1278,2,0)</f>
        <v>数码电子</v>
      </c>
    </row>
    <row r="2902" spans="1:20">
      <c r="A2902" s="8">
        <f>DATE(2012,12,31)-1082</f>
        <v>40192</v>
      </c>
      <c r="B2902" s="8">
        <f>DATE(2012,12,31)-1082</f>
        <v>40192</v>
      </c>
      <c r="C2902" s="9" t="s">
        <v>442</v>
      </c>
      <c r="D2902">
        <v>10021493489</v>
      </c>
      <c r="E2902" t="s">
        <v>47</v>
      </c>
      <c r="F2902" t="s">
        <v>83</v>
      </c>
      <c r="G2902" t="s">
        <v>84</v>
      </c>
      <c r="H2902" t="s">
        <v>1928</v>
      </c>
      <c r="I2902" t="s">
        <v>1929</v>
      </c>
      <c r="J2902" t="s">
        <v>668</v>
      </c>
      <c r="K2902" s="3">
        <v>10032539939</v>
      </c>
      <c r="L2902" s="10">
        <v>40194</v>
      </c>
      <c r="M2902">
        <v>6607.92</v>
      </c>
      <c r="N2902" s="11">
        <v>34</v>
      </c>
      <c r="O2902" s="12">
        <v>199.99</v>
      </c>
      <c r="P2902" s="12">
        <v>24.49</v>
      </c>
      <c r="Q2902" s="13">
        <v>1462.724</v>
      </c>
      <c r="R2902" s="36" t="s">
        <v>2092</v>
      </c>
      <c r="S2902" s="7">
        <f t="shared" si="242"/>
        <v>2</v>
      </c>
      <c r="T2902" s="15" t="str">
        <f>VLOOKUP(R2902,产品分类!$C$2:$D$1278,2,0)</f>
        <v>办公用品</v>
      </c>
    </row>
    <row r="2903" spans="1:20">
      <c r="A2903" s="8">
        <f>DATE(2012,12,31)-276</f>
        <v>40998</v>
      </c>
      <c r="B2903" s="8">
        <f>DATE(2012,12,31)-276</f>
        <v>40998</v>
      </c>
      <c r="C2903" s="9" t="s">
        <v>1565</v>
      </c>
      <c r="D2903">
        <v>10021525511</v>
      </c>
      <c r="E2903" t="s">
        <v>47</v>
      </c>
      <c r="F2903" t="s">
        <v>61</v>
      </c>
      <c r="G2903" t="s">
        <v>62</v>
      </c>
      <c r="H2903" t="s">
        <v>47</v>
      </c>
      <c r="I2903" t="s">
        <v>1778</v>
      </c>
      <c r="J2903" t="s">
        <v>668</v>
      </c>
      <c r="K2903" s="3">
        <v>100121875926</v>
      </c>
      <c r="L2903" s="10">
        <v>41000</v>
      </c>
      <c r="M2903">
        <v>629.5865</v>
      </c>
      <c r="N2903" s="11">
        <v>11</v>
      </c>
      <c r="O2903" s="12">
        <v>65.99</v>
      </c>
      <c r="P2903" s="12">
        <v>8.99</v>
      </c>
      <c r="Q2903" s="13">
        <v>-120.087</v>
      </c>
      <c r="R2903" s="36" t="s">
        <v>1486</v>
      </c>
      <c r="S2903" s="7">
        <f t="shared" si="242"/>
        <v>2</v>
      </c>
      <c r="T2903" s="15" t="str">
        <f>VLOOKUP(R2903,产品分类!$C$2:$D$1278,2,0)</f>
        <v>办公用品</v>
      </c>
    </row>
    <row r="2904" spans="1:20">
      <c r="A2904" s="8">
        <f>DATE(2012,12,31)-1107</f>
        <v>40167</v>
      </c>
      <c r="B2904" s="8">
        <f>DATE(2012,12,31)-1107</f>
        <v>40167</v>
      </c>
      <c r="C2904" s="9" t="s">
        <v>222</v>
      </c>
      <c r="D2904">
        <v>10021334016</v>
      </c>
      <c r="E2904" t="s">
        <v>47</v>
      </c>
      <c r="F2904" t="s">
        <v>61</v>
      </c>
      <c r="G2904" t="s">
        <v>62</v>
      </c>
      <c r="H2904" t="s">
        <v>47</v>
      </c>
      <c r="I2904" t="s">
        <v>1778</v>
      </c>
      <c r="J2904" t="s">
        <v>668</v>
      </c>
      <c r="K2904" s="3">
        <v>10094923841</v>
      </c>
      <c r="L2904" s="10">
        <v>40170</v>
      </c>
      <c r="M2904">
        <v>2315.11</v>
      </c>
      <c r="N2904" s="11">
        <v>38</v>
      </c>
      <c r="O2904" s="12">
        <v>59.76</v>
      </c>
      <c r="P2904" s="12">
        <v>9.71</v>
      </c>
      <c r="Q2904" s="13">
        <v>532.21</v>
      </c>
      <c r="R2904" s="36" t="s">
        <v>1747</v>
      </c>
      <c r="S2904" s="7">
        <f t="shared" si="242"/>
        <v>3</v>
      </c>
      <c r="T2904" s="15" t="str">
        <f>VLOOKUP(R2904,产品分类!$C$2:$D$1278,2,0)</f>
        <v>办公用品</v>
      </c>
    </row>
    <row r="2905" spans="1:20">
      <c r="A2905" s="8">
        <f>DATE(2012,12,31)-1107</f>
        <v>40167</v>
      </c>
      <c r="B2905" s="8">
        <f>DATE(2012,12,31)-1107</f>
        <v>40167</v>
      </c>
      <c r="C2905" s="9" t="s">
        <v>222</v>
      </c>
      <c r="D2905">
        <v>10021335201</v>
      </c>
      <c r="E2905" t="s">
        <v>47</v>
      </c>
      <c r="F2905" t="s">
        <v>61</v>
      </c>
      <c r="G2905" t="s">
        <v>62</v>
      </c>
      <c r="H2905" t="s">
        <v>47</v>
      </c>
      <c r="I2905" t="s">
        <v>1778</v>
      </c>
      <c r="J2905" t="s">
        <v>668</v>
      </c>
      <c r="K2905" s="3">
        <v>10078578705</v>
      </c>
      <c r="L2905" s="10">
        <v>40170</v>
      </c>
      <c r="M2905">
        <v>1264.2305</v>
      </c>
      <c r="N2905" s="11">
        <v>8</v>
      </c>
      <c r="O2905" s="12">
        <v>195.99</v>
      </c>
      <c r="P2905" s="12">
        <v>4.2</v>
      </c>
      <c r="Q2905" s="13">
        <v>-444.686</v>
      </c>
      <c r="R2905" s="36" t="s">
        <v>1279</v>
      </c>
      <c r="S2905" s="7">
        <f t="shared" si="242"/>
        <v>3</v>
      </c>
      <c r="T2905" s="15" t="str">
        <f>VLOOKUP(R2905,产品分类!$C$2:$D$1278,2,0)</f>
        <v>家具产品</v>
      </c>
    </row>
    <row r="2906" spans="1:20">
      <c r="A2906" s="8">
        <f t="shared" ref="A2906:B2908" si="243">DATE(2012,12,31)-835</f>
        <v>40439</v>
      </c>
      <c r="B2906" s="8">
        <f t="shared" si="243"/>
        <v>40439</v>
      </c>
      <c r="C2906" s="9" t="s">
        <v>1700</v>
      </c>
      <c r="D2906">
        <v>10021331868</v>
      </c>
      <c r="E2906" t="s">
        <v>47</v>
      </c>
      <c r="F2906" t="s">
        <v>61</v>
      </c>
      <c r="G2906" t="s">
        <v>62</v>
      </c>
      <c r="H2906" t="s">
        <v>47</v>
      </c>
      <c r="I2906" t="s">
        <v>1778</v>
      </c>
      <c r="J2906" t="s">
        <v>668</v>
      </c>
      <c r="K2906" s="3">
        <v>10079343425</v>
      </c>
      <c r="L2906" s="10">
        <v>40443</v>
      </c>
      <c r="M2906">
        <v>39.42</v>
      </c>
      <c r="N2906" s="11">
        <v>10</v>
      </c>
      <c r="O2906" s="12">
        <v>3.85</v>
      </c>
      <c r="P2906" s="12">
        <v>0.7</v>
      </c>
      <c r="Q2906" s="13">
        <v>7.78</v>
      </c>
      <c r="R2906" s="36" t="s">
        <v>242</v>
      </c>
      <c r="S2906" s="7">
        <f t="shared" si="242"/>
        <v>4</v>
      </c>
      <c r="T2906" s="15" t="str">
        <f>VLOOKUP(R2906,产品分类!$C$2:$D$1278,2,0)</f>
        <v>办公用品</v>
      </c>
    </row>
    <row r="2907" spans="1:20">
      <c r="A2907" s="8">
        <f t="shared" si="243"/>
        <v>40439</v>
      </c>
      <c r="B2907" s="8">
        <f t="shared" si="243"/>
        <v>40439</v>
      </c>
      <c r="C2907" s="9" t="s">
        <v>1700</v>
      </c>
      <c r="D2907">
        <v>10021445571</v>
      </c>
      <c r="E2907" t="s">
        <v>47</v>
      </c>
      <c r="F2907" t="s">
        <v>61</v>
      </c>
      <c r="G2907" t="s">
        <v>62</v>
      </c>
      <c r="H2907" t="s">
        <v>47</v>
      </c>
      <c r="I2907" t="s">
        <v>1778</v>
      </c>
      <c r="J2907" t="s">
        <v>668</v>
      </c>
      <c r="K2907" s="3">
        <v>100414444904</v>
      </c>
      <c r="L2907" s="10">
        <v>40443</v>
      </c>
      <c r="M2907">
        <v>801.44</v>
      </c>
      <c r="N2907" s="11">
        <v>35</v>
      </c>
      <c r="O2907" s="12">
        <v>22.24</v>
      </c>
      <c r="P2907" s="12">
        <v>1.99</v>
      </c>
      <c r="Q2907" s="13">
        <v>308.12</v>
      </c>
      <c r="R2907" s="36" t="s">
        <v>1479</v>
      </c>
      <c r="S2907" s="7">
        <f t="shared" si="242"/>
        <v>4</v>
      </c>
      <c r="T2907" s="15" t="str">
        <f>VLOOKUP(R2907,产品分类!$C$2:$D$1278,2,0)</f>
        <v>数码电子</v>
      </c>
    </row>
    <row r="2908" spans="1:20">
      <c r="A2908" s="8">
        <f t="shared" si="243"/>
        <v>40439</v>
      </c>
      <c r="B2908" s="8">
        <f t="shared" si="243"/>
        <v>40439</v>
      </c>
      <c r="C2908" s="9" t="s">
        <v>1700</v>
      </c>
      <c r="D2908">
        <v>10021450825</v>
      </c>
      <c r="E2908" t="s">
        <v>47</v>
      </c>
      <c r="F2908" t="s">
        <v>61</v>
      </c>
      <c r="G2908" t="s">
        <v>62</v>
      </c>
      <c r="H2908" t="s">
        <v>47</v>
      </c>
      <c r="I2908" t="s">
        <v>1778</v>
      </c>
      <c r="J2908" t="s">
        <v>668</v>
      </c>
      <c r="K2908" s="3">
        <v>100428776893</v>
      </c>
      <c r="L2908" s="10">
        <v>40446</v>
      </c>
      <c r="M2908">
        <v>1194.06</v>
      </c>
      <c r="N2908" s="11">
        <v>22</v>
      </c>
      <c r="O2908" s="12">
        <v>54.74</v>
      </c>
      <c r="P2908" s="12">
        <v>14.83</v>
      </c>
      <c r="Q2908" s="13">
        <v>326.97</v>
      </c>
      <c r="R2908" s="36" t="s">
        <v>2093</v>
      </c>
      <c r="S2908" s="7">
        <f t="shared" si="242"/>
        <v>7</v>
      </c>
      <c r="T2908" s="15" t="str">
        <f>VLOOKUP(R2908,产品分类!$C$2:$D$1278,2,0)</f>
        <v>办公用品</v>
      </c>
    </row>
    <row r="2909" spans="1:20">
      <c r="A2909" s="8">
        <f>DATE(2012,12,31)-657</f>
        <v>40617</v>
      </c>
      <c r="B2909" s="8">
        <f>DATE(2012,12,31)-657</f>
        <v>40617</v>
      </c>
      <c r="C2909" s="9" t="s">
        <v>1612</v>
      </c>
      <c r="D2909">
        <v>10021427186</v>
      </c>
      <c r="E2909" t="s">
        <v>47</v>
      </c>
      <c r="F2909" t="s">
        <v>61</v>
      </c>
      <c r="G2909" t="s">
        <v>62</v>
      </c>
      <c r="H2909" t="s">
        <v>47</v>
      </c>
      <c r="I2909" t="s">
        <v>1778</v>
      </c>
      <c r="J2909" t="s">
        <v>668</v>
      </c>
      <c r="K2909" s="3">
        <v>100930605061</v>
      </c>
      <c r="L2909" s="10">
        <v>40617</v>
      </c>
      <c r="M2909">
        <v>28664.52</v>
      </c>
      <c r="N2909" s="11">
        <v>50</v>
      </c>
      <c r="O2909" s="12">
        <v>599.99</v>
      </c>
      <c r="P2909" s="12">
        <v>24.49</v>
      </c>
      <c r="Q2909" s="13">
        <v>13340.26</v>
      </c>
      <c r="R2909" s="36" t="s">
        <v>634</v>
      </c>
      <c r="S2909" s="7">
        <f t="shared" si="242"/>
        <v>0</v>
      </c>
      <c r="T2909" s="15" t="str">
        <f>VLOOKUP(R2909,产品分类!$C$2:$D$1278,2,0)</f>
        <v>办公用品</v>
      </c>
    </row>
    <row r="2910" spans="1:20">
      <c r="A2910" s="8">
        <f>DATE(2012,12,31)-657</f>
        <v>40617</v>
      </c>
      <c r="B2910" s="8">
        <f>DATE(2012,12,31)-657</f>
        <v>40617</v>
      </c>
      <c r="C2910" s="9" t="s">
        <v>1612</v>
      </c>
      <c r="D2910">
        <v>10021539488</v>
      </c>
      <c r="E2910" t="s">
        <v>47</v>
      </c>
      <c r="F2910" t="s">
        <v>61</v>
      </c>
      <c r="G2910" t="s">
        <v>62</v>
      </c>
      <c r="H2910" t="s">
        <v>47</v>
      </c>
      <c r="I2910" t="s">
        <v>1778</v>
      </c>
      <c r="J2910" t="s">
        <v>668</v>
      </c>
      <c r="K2910" s="3">
        <v>10098208571</v>
      </c>
      <c r="L2910" s="10">
        <v>40618</v>
      </c>
      <c r="M2910">
        <v>635.7405</v>
      </c>
      <c r="N2910" s="11">
        <v>6</v>
      </c>
      <c r="O2910" s="12">
        <v>125.99</v>
      </c>
      <c r="P2910" s="12">
        <v>8.08</v>
      </c>
      <c r="Q2910" s="13">
        <v>-397.529</v>
      </c>
      <c r="R2910" s="36" t="s">
        <v>569</v>
      </c>
      <c r="S2910" s="7">
        <f t="shared" si="242"/>
        <v>1</v>
      </c>
      <c r="T2910" s="15" t="str">
        <f>VLOOKUP(R2910,产品分类!$C$2:$D$1278,2,0)</f>
        <v>家具产品</v>
      </c>
    </row>
    <row r="2911" spans="1:20">
      <c r="A2911" s="8">
        <f>DATE(2012,12,31)-279</f>
        <v>40995</v>
      </c>
      <c r="B2911" s="8">
        <f>DATE(2012,12,31)-279</f>
        <v>40995</v>
      </c>
      <c r="C2911" s="9" t="s">
        <v>1828</v>
      </c>
      <c r="D2911">
        <v>10021419859</v>
      </c>
      <c r="E2911" t="s">
        <v>47</v>
      </c>
      <c r="F2911" t="s">
        <v>61</v>
      </c>
      <c r="G2911" t="s">
        <v>62</v>
      </c>
      <c r="H2911" t="s">
        <v>47</v>
      </c>
      <c r="I2911" t="s">
        <v>1778</v>
      </c>
      <c r="J2911" t="s">
        <v>668</v>
      </c>
      <c r="K2911" s="3">
        <v>100424104504</v>
      </c>
      <c r="L2911" s="10">
        <v>40996</v>
      </c>
      <c r="M2911">
        <v>5817.88</v>
      </c>
      <c r="N2911" s="11">
        <v>37</v>
      </c>
      <c r="O2911" s="12">
        <v>150.98</v>
      </c>
      <c r="P2911" s="12">
        <v>66.27</v>
      </c>
      <c r="Q2911" s="13">
        <v>-567.14</v>
      </c>
      <c r="R2911" s="36" t="s">
        <v>1166</v>
      </c>
      <c r="S2911" s="7">
        <f t="shared" si="242"/>
        <v>1</v>
      </c>
      <c r="T2911" s="15" t="str">
        <f>VLOOKUP(R2911,产品分类!$C$2:$D$1278,2,0)</f>
        <v>办公用品</v>
      </c>
    </row>
    <row r="2912" spans="1:20">
      <c r="A2912" s="8">
        <f>DATE(2012,12,31)-734</f>
        <v>40540</v>
      </c>
      <c r="B2912" s="8">
        <f>DATE(2012,12,31)-734</f>
        <v>40540</v>
      </c>
      <c r="C2912" s="9" t="s">
        <v>2094</v>
      </c>
      <c r="D2912">
        <v>10021248480</v>
      </c>
      <c r="E2912" t="s">
        <v>47</v>
      </c>
      <c r="F2912" t="s">
        <v>61</v>
      </c>
      <c r="G2912" t="s">
        <v>62</v>
      </c>
      <c r="H2912" t="s">
        <v>47</v>
      </c>
      <c r="I2912" t="s">
        <v>1778</v>
      </c>
      <c r="J2912" t="s">
        <v>668</v>
      </c>
      <c r="K2912" s="3">
        <v>10042403713</v>
      </c>
      <c r="L2912" s="10">
        <v>40542</v>
      </c>
      <c r="M2912">
        <v>195.49</v>
      </c>
      <c r="N2912" s="11">
        <v>34</v>
      </c>
      <c r="O2912" s="12">
        <v>5.84</v>
      </c>
      <c r="P2912" s="12">
        <v>1.2</v>
      </c>
      <c r="Q2912" s="13">
        <v>33.8</v>
      </c>
      <c r="R2912" s="36" t="s">
        <v>1478</v>
      </c>
      <c r="S2912" s="7">
        <f t="shared" si="242"/>
        <v>2</v>
      </c>
      <c r="T2912" s="15" t="str">
        <f>VLOOKUP(R2912,产品分类!$C$2:$D$1278,2,0)</f>
        <v>办公用品</v>
      </c>
    </row>
    <row r="2913" spans="1:20">
      <c r="A2913" s="8">
        <f>DATE(2012,12,31)-842</f>
        <v>40432</v>
      </c>
      <c r="B2913" s="8">
        <f>DATE(2012,12,31)-842</f>
        <v>40432</v>
      </c>
      <c r="C2913" s="9" t="s">
        <v>1753</v>
      </c>
      <c r="D2913">
        <v>10021458426</v>
      </c>
      <c r="E2913" t="s">
        <v>47</v>
      </c>
      <c r="F2913" t="s">
        <v>230</v>
      </c>
      <c r="G2913" t="s">
        <v>231</v>
      </c>
      <c r="H2913" t="s">
        <v>1798</v>
      </c>
      <c r="I2913" t="s">
        <v>1799</v>
      </c>
      <c r="J2913" t="s">
        <v>668</v>
      </c>
      <c r="K2913" s="3">
        <v>100432998504</v>
      </c>
      <c r="L2913" s="10">
        <v>40434</v>
      </c>
      <c r="M2913">
        <v>553.02</v>
      </c>
      <c r="N2913" s="11">
        <v>38</v>
      </c>
      <c r="O2913" s="12">
        <v>15.98</v>
      </c>
      <c r="P2913" s="12">
        <v>6.5</v>
      </c>
      <c r="Q2913" s="13">
        <v>-49.38</v>
      </c>
      <c r="R2913" s="36" t="s">
        <v>371</v>
      </c>
      <c r="S2913" s="7">
        <f t="shared" si="242"/>
        <v>2</v>
      </c>
      <c r="T2913" s="15" t="str">
        <f>VLOOKUP(R2913,产品分类!$C$2:$D$1278,2,0)</f>
        <v>办公用品</v>
      </c>
    </row>
    <row r="2914" spans="1:20">
      <c r="A2914" s="8">
        <f>DATE(2012,12,31)-207</f>
        <v>41067</v>
      </c>
      <c r="B2914" s="8">
        <f>DATE(2012,12,31)-207</f>
        <v>41067</v>
      </c>
      <c r="C2914" s="9" t="s">
        <v>2085</v>
      </c>
      <c r="D2914">
        <v>10021304648</v>
      </c>
      <c r="E2914" t="s">
        <v>47</v>
      </c>
      <c r="F2914" t="s">
        <v>102</v>
      </c>
      <c r="G2914" t="s">
        <v>103</v>
      </c>
      <c r="H2914" t="s">
        <v>1217</v>
      </c>
      <c r="I2914" t="s">
        <v>1218</v>
      </c>
      <c r="J2914" t="s">
        <v>668</v>
      </c>
      <c r="K2914" s="3">
        <v>100132794096</v>
      </c>
      <c r="L2914" s="10">
        <v>41069</v>
      </c>
      <c r="M2914">
        <v>437.86</v>
      </c>
      <c r="N2914" s="11">
        <v>38</v>
      </c>
      <c r="O2914" s="12">
        <v>11.58</v>
      </c>
      <c r="P2914" s="12">
        <v>6.97</v>
      </c>
      <c r="Q2914" s="13">
        <v>-4.17</v>
      </c>
      <c r="R2914" s="36" t="s">
        <v>1022</v>
      </c>
      <c r="S2914" s="7">
        <f t="shared" si="242"/>
        <v>2</v>
      </c>
      <c r="T2914" s="15" t="str">
        <f>VLOOKUP(R2914,产品分类!$C$2:$D$1278,2,0)</f>
        <v>办公用品</v>
      </c>
    </row>
    <row r="2915" spans="1:20">
      <c r="A2915" s="8">
        <f>DATE(2012,12,31)-697</f>
        <v>40577</v>
      </c>
      <c r="B2915" s="8">
        <f>DATE(2012,12,31)-697</f>
        <v>40577</v>
      </c>
      <c r="C2915" s="9" t="s">
        <v>2095</v>
      </c>
      <c r="D2915">
        <v>10021490401</v>
      </c>
      <c r="E2915" t="s">
        <v>47</v>
      </c>
      <c r="F2915" t="s">
        <v>78</v>
      </c>
      <c r="G2915" t="s">
        <v>79</v>
      </c>
      <c r="H2915" t="s">
        <v>1887</v>
      </c>
      <c r="I2915" t="s">
        <v>1888</v>
      </c>
      <c r="J2915" t="s">
        <v>668</v>
      </c>
      <c r="K2915" s="3">
        <v>100933048111</v>
      </c>
      <c r="L2915" s="10">
        <v>40584</v>
      </c>
      <c r="M2915">
        <v>1103.67</v>
      </c>
      <c r="N2915" s="11">
        <v>28</v>
      </c>
      <c r="O2915" s="12">
        <v>39.48</v>
      </c>
      <c r="P2915" s="12">
        <v>1.99</v>
      </c>
      <c r="Q2915" s="13">
        <v>253.61</v>
      </c>
      <c r="R2915" s="36" t="s">
        <v>235</v>
      </c>
      <c r="S2915" s="7">
        <f t="shared" si="242"/>
        <v>7</v>
      </c>
      <c r="T2915" s="15" t="str">
        <f>VLOOKUP(R2915,产品分类!$C$2:$D$1278,2,0)</f>
        <v>办公用品</v>
      </c>
    </row>
    <row r="2916" spans="1:20">
      <c r="A2916" s="8">
        <f>DATE(2012,12,31)-626</f>
        <v>40648</v>
      </c>
      <c r="B2916" s="8">
        <f>DATE(2012,12,31)-626</f>
        <v>40648</v>
      </c>
      <c r="C2916" s="9" t="s">
        <v>1700</v>
      </c>
      <c r="D2916">
        <v>10021357431</v>
      </c>
      <c r="E2916" t="s">
        <v>47</v>
      </c>
      <c r="F2916" t="s">
        <v>55</v>
      </c>
      <c r="G2916" t="s">
        <v>56</v>
      </c>
      <c r="H2916" t="s">
        <v>1869</v>
      </c>
      <c r="I2916" t="s">
        <v>1870</v>
      </c>
      <c r="J2916" t="s">
        <v>668</v>
      </c>
      <c r="K2916" s="3">
        <v>100132873746</v>
      </c>
      <c r="L2916" s="10">
        <v>40652</v>
      </c>
      <c r="M2916">
        <v>377.02</v>
      </c>
      <c r="N2916" s="11">
        <v>49</v>
      </c>
      <c r="O2916" s="12">
        <v>7.08</v>
      </c>
      <c r="P2916" s="12">
        <v>2.35</v>
      </c>
      <c r="Q2916" s="13">
        <v>84.66</v>
      </c>
      <c r="R2916" s="36" t="s">
        <v>1940</v>
      </c>
      <c r="S2916" s="7">
        <f t="shared" si="242"/>
        <v>4</v>
      </c>
      <c r="T2916" s="15" t="str">
        <f>VLOOKUP(R2916,产品分类!$C$2:$D$1278,2,0)</f>
        <v>数码电子</v>
      </c>
    </row>
    <row r="2917" spans="1:20">
      <c r="A2917" s="8">
        <f>DATE(2012,12,31)-626</f>
        <v>40648</v>
      </c>
      <c r="B2917" s="8">
        <f>DATE(2012,12,31)-626</f>
        <v>40648</v>
      </c>
      <c r="C2917" s="9" t="s">
        <v>1700</v>
      </c>
      <c r="D2917">
        <v>10021317593</v>
      </c>
      <c r="E2917" t="s">
        <v>47</v>
      </c>
      <c r="F2917" t="s">
        <v>342</v>
      </c>
      <c r="G2917" t="s">
        <v>343</v>
      </c>
      <c r="H2917" t="s">
        <v>2090</v>
      </c>
      <c r="I2917" t="s">
        <v>2091</v>
      </c>
      <c r="J2917" t="s">
        <v>668</v>
      </c>
      <c r="K2917" s="3">
        <v>100432827783</v>
      </c>
      <c r="L2917" s="10">
        <v>40648</v>
      </c>
      <c r="M2917">
        <v>7339.24</v>
      </c>
      <c r="N2917" s="11">
        <v>48</v>
      </c>
      <c r="O2917" s="12">
        <v>145.98</v>
      </c>
      <c r="P2917" s="12">
        <v>51.92</v>
      </c>
      <c r="Q2917" s="13">
        <v>-279.74</v>
      </c>
      <c r="R2917" s="36" t="s">
        <v>955</v>
      </c>
      <c r="S2917" s="7">
        <f t="shared" si="242"/>
        <v>0</v>
      </c>
      <c r="T2917" s="15" t="str">
        <f>VLOOKUP(R2917,产品分类!$C$2:$D$1278,2,0)</f>
        <v>办公用品</v>
      </c>
    </row>
    <row r="2918" spans="1:20">
      <c r="A2918" s="8">
        <f>DATE(2012,12,31)-522</f>
        <v>40752</v>
      </c>
      <c r="B2918" s="8">
        <f>DATE(2012,12,31)-522</f>
        <v>40752</v>
      </c>
      <c r="C2918" s="9" t="s">
        <v>1751</v>
      </c>
      <c r="D2918">
        <v>10021533061</v>
      </c>
      <c r="E2918" t="s">
        <v>47</v>
      </c>
      <c r="F2918" t="s">
        <v>91</v>
      </c>
      <c r="G2918" t="s">
        <v>92</v>
      </c>
      <c r="H2918" t="s">
        <v>2053</v>
      </c>
      <c r="I2918" t="s">
        <v>2054</v>
      </c>
      <c r="J2918" t="s">
        <v>668</v>
      </c>
      <c r="K2918" s="3">
        <v>100932255571</v>
      </c>
      <c r="L2918" s="10">
        <v>40754</v>
      </c>
      <c r="M2918">
        <v>559.75</v>
      </c>
      <c r="N2918" s="11">
        <v>4</v>
      </c>
      <c r="O2918" s="12">
        <v>122.99</v>
      </c>
      <c r="P2918" s="12">
        <v>70.2</v>
      </c>
      <c r="Q2918" s="13">
        <v>-331.08</v>
      </c>
      <c r="R2918" s="36" t="s">
        <v>860</v>
      </c>
      <c r="S2918" s="7">
        <f t="shared" si="242"/>
        <v>2</v>
      </c>
      <c r="T2918" s="15" t="str">
        <f>VLOOKUP(R2918,产品分类!$C$2:$D$1278,2,0)</f>
        <v>办公用品</v>
      </c>
    </row>
    <row r="2919" spans="1:20">
      <c r="A2919" s="16">
        <f>DATE(2012,12,31)-1115</f>
        <v>40159</v>
      </c>
      <c r="B2919" s="16">
        <f>DATE(2012,12,31)-1115</f>
        <v>40159</v>
      </c>
      <c r="C2919" s="9" t="s">
        <v>1678</v>
      </c>
      <c r="D2919">
        <v>10021409813</v>
      </c>
      <c r="E2919" t="s">
        <v>47</v>
      </c>
      <c r="F2919" t="s">
        <v>132</v>
      </c>
      <c r="G2919" t="s">
        <v>133</v>
      </c>
      <c r="H2919" t="s">
        <v>134</v>
      </c>
      <c r="I2919" t="s">
        <v>133</v>
      </c>
      <c r="J2919" t="s">
        <v>668</v>
      </c>
      <c r="K2919" s="3">
        <v>100832950722</v>
      </c>
      <c r="L2919" s="10">
        <v>40161</v>
      </c>
      <c r="M2919">
        <v>270.73</v>
      </c>
      <c r="N2919" s="17">
        <v>32</v>
      </c>
      <c r="O2919" s="5">
        <v>8.88</v>
      </c>
      <c r="P2919" s="5">
        <v>6.28</v>
      </c>
      <c r="Q2919" s="6">
        <v>-54.5675</v>
      </c>
      <c r="R2919" s="37" t="s">
        <v>895</v>
      </c>
      <c r="S2919" s="7">
        <f t="shared" si="242"/>
        <v>2</v>
      </c>
      <c r="T2919" s="15" t="str">
        <f>VLOOKUP(R2919,产品分类!$C$2:$D$1278,2,0)</f>
        <v>办公用品</v>
      </c>
    </row>
    <row r="2920" spans="1:20">
      <c r="A2920" s="16">
        <f>DATE(2012,12,31)-1202</f>
        <v>40072</v>
      </c>
      <c r="B2920" s="16">
        <f>DATE(2012,12,31)-1202</f>
        <v>40072</v>
      </c>
      <c r="C2920" s="9" t="s">
        <v>1930</v>
      </c>
      <c r="D2920">
        <v>10021538918</v>
      </c>
      <c r="E2920" t="s">
        <v>47</v>
      </c>
      <c r="F2920" t="s">
        <v>132</v>
      </c>
      <c r="G2920" t="s">
        <v>133</v>
      </c>
      <c r="H2920" t="s">
        <v>134</v>
      </c>
      <c r="I2920" t="s">
        <v>133</v>
      </c>
      <c r="J2920" t="s">
        <v>668</v>
      </c>
      <c r="K2920" s="3">
        <v>100433099583</v>
      </c>
      <c r="L2920" s="10">
        <v>40073</v>
      </c>
      <c r="M2920">
        <v>20175.48</v>
      </c>
      <c r="N2920" s="17">
        <v>50</v>
      </c>
      <c r="O2920" s="5">
        <v>387.99</v>
      </c>
      <c r="P2920" s="5">
        <v>19.99</v>
      </c>
      <c r="Q2920" s="6">
        <v>9373.9615</v>
      </c>
      <c r="R2920" s="37" t="s">
        <v>1742</v>
      </c>
      <c r="S2920" s="7">
        <f t="shared" si="242"/>
        <v>1</v>
      </c>
      <c r="T2920" s="15" t="str">
        <f>VLOOKUP(R2920,产品分类!$C$2:$D$1278,2,0)</f>
        <v>家具产品</v>
      </c>
    </row>
    <row r="2921" spans="1:20">
      <c r="A2921" s="8">
        <f>DATE(2012,12,31)-674</f>
        <v>40600</v>
      </c>
      <c r="B2921" s="8">
        <f>DATE(2012,12,31)-674</f>
        <v>40600</v>
      </c>
      <c r="C2921" s="9" t="s">
        <v>2096</v>
      </c>
      <c r="D2921">
        <v>10021305697</v>
      </c>
      <c r="E2921" t="s">
        <v>47</v>
      </c>
      <c r="F2921" t="s">
        <v>72</v>
      </c>
      <c r="G2921" t="s">
        <v>73</v>
      </c>
      <c r="H2921" t="s">
        <v>2008</v>
      </c>
      <c r="I2921" t="s">
        <v>2009</v>
      </c>
      <c r="J2921" t="s">
        <v>668</v>
      </c>
      <c r="K2921" s="3">
        <v>100432797183</v>
      </c>
      <c r="L2921" s="10">
        <v>40601</v>
      </c>
      <c r="M2921">
        <v>155.17</v>
      </c>
      <c r="N2921" s="11">
        <v>17</v>
      </c>
      <c r="O2921" s="12">
        <v>9.27</v>
      </c>
      <c r="P2921" s="12">
        <v>4.39</v>
      </c>
      <c r="Q2921" s="13">
        <v>2.12</v>
      </c>
      <c r="R2921" s="36" t="s">
        <v>465</v>
      </c>
      <c r="S2921" s="7">
        <f t="shared" si="242"/>
        <v>1</v>
      </c>
      <c r="T2921" s="15" t="str">
        <f>VLOOKUP(R2921,产品分类!$C$2:$D$1278,2,0)</f>
        <v>办公用品</v>
      </c>
    </row>
    <row r="2922" spans="1:20">
      <c r="A2922" s="16">
        <f>DATE(2012,12,31)-695</f>
        <v>40579</v>
      </c>
      <c r="B2922" s="16">
        <f>DATE(2012,12,31)-695</f>
        <v>40579</v>
      </c>
      <c r="C2922" s="9" t="s">
        <v>419</v>
      </c>
      <c r="D2922">
        <v>10021307357</v>
      </c>
      <c r="E2922" t="s">
        <v>47</v>
      </c>
      <c r="F2922" t="s">
        <v>122</v>
      </c>
      <c r="G2922" t="s">
        <v>123</v>
      </c>
      <c r="H2922" t="s">
        <v>124</v>
      </c>
      <c r="I2922" t="s">
        <v>125</v>
      </c>
      <c r="J2922" t="s">
        <v>668</v>
      </c>
      <c r="K2922" s="3">
        <v>100932804761</v>
      </c>
      <c r="L2922" s="10">
        <v>40580</v>
      </c>
      <c r="M2922">
        <v>81.78</v>
      </c>
      <c r="N2922" s="17">
        <v>4</v>
      </c>
      <c r="O2922" s="5">
        <v>19.98</v>
      </c>
      <c r="P2922" s="5">
        <v>5.97</v>
      </c>
      <c r="Q2922" s="6">
        <v>-12.43</v>
      </c>
      <c r="R2922" s="37" t="s">
        <v>1420</v>
      </c>
      <c r="S2922" s="7">
        <f t="shared" si="242"/>
        <v>1</v>
      </c>
      <c r="T2922" s="15" t="str">
        <f>VLOOKUP(R2922,产品分类!$C$2:$D$1278,2,0)</f>
        <v>家具产品</v>
      </c>
    </row>
    <row r="2923" spans="1:20">
      <c r="A2923" s="8">
        <f>DATE(2012,12,31)-573</f>
        <v>40701</v>
      </c>
      <c r="B2923" s="8">
        <f>DATE(2012,12,31)-573</f>
        <v>40701</v>
      </c>
      <c r="C2923" s="9" t="s">
        <v>1604</v>
      </c>
      <c r="D2923">
        <v>10021443519</v>
      </c>
      <c r="E2923" t="s">
        <v>47</v>
      </c>
      <c r="F2923" t="s">
        <v>97</v>
      </c>
      <c r="G2923" t="s">
        <v>98</v>
      </c>
      <c r="H2923" t="s">
        <v>99</v>
      </c>
      <c r="I2923" t="s">
        <v>98</v>
      </c>
      <c r="J2923" t="s">
        <v>668</v>
      </c>
      <c r="K2923" s="3">
        <v>100832986372</v>
      </c>
      <c r="L2923" s="10">
        <v>40705</v>
      </c>
      <c r="M2923">
        <v>20.28</v>
      </c>
      <c r="N2923" s="11">
        <v>5</v>
      </c>
      <c r="O2923" s="12">
        <v>2.98</v>
      </c>
      <c r="P2923" s="12">
        <v>2.03</v>
      </c>
      <c r="Q2923" s="13">
        <v>-4.32</v>
      </c>
      <c r="R2923" s="36" t="s">
        <v>2097</v>
      </c>
      <c r="S2923" s="7">
        <f t="shared" si="242"/>
        <v>4</v>
      </c>
      <c r="T2923" s="15" t="str">
        <f>VLOOKUP(R2923,产品分类!$C$2:$D$1278,2,0)</f>
        <v>数码电子</v>
      </c>
    </row>
    <row r="2924" spans="1:20">
      <c r="A2924" s="8">
        <f>DATE(2012,12,31)-467</f>
        <v>40807</v>
      </c>
      <c r="B2924" s="8">
        <f>DATE(2012,12,31)-467</f>
        <v>40807</v>
      </c>
      <c r="C2924" s="9" t="s">
        <v>1528</v>
      </c>
      <c r="D2924">
        <v>10021315331</v>
      </c>
      <c r="E2924" t="s">
        <v>47</v>
      </c>
      <c r="F2924" t="s">
        <v>177</v>
      </c>
      <c r="G2924" t="s">
        <v>178</v>
      </c>
      <c r="H2924" t="s">
        <v>1292</v>
      </c>
      <c r="I2924" t="s">
        <v>1293</v>
      </c>
      <c r="J2924" t="s">
        <v>668</v>
      </c>
      <c r="K2924" s="3">
        <v>100432768644</v>
      </c>
      <c r="L2924" s="10">
        <v>40809</v>
      </c>
      <c r="M2924">
        <v>21046.74</v>
      </c>
      <c r="N2924" s="11">
        <v>29</v>
      </c>
      <c r="O2924" s="12">
        <v>699.99</v>
      </c>
      <c r="P2924" s="12">
        <v>24.49</v>
      </c>
      <c r="Q2924" s="13">
        <v>5217.267</v>
      </c>
      <c r="R2924" s="36" t="s">
        <v>2098</v>
      </c>
      <c r="S2924" s="7">
        <f t="shared" si="242"/>
        <v>2</v>
      </c>
      <c r="T2924" s="15" t="str">
        <f>VLOOKUP(R2924,产品分类!$C$2:$D$1278,2,0)</f>
        <v>办公用品</v>
      </c>
    </row>
    <row r="2925" spans="1:20">
      <c r="A2925" s="8">
        <f>DATE(2012,12,31)-1313</f>
        <v>39961</v>
      </c>
      <c r="B2925" s="8">
        <f>DATE(2012,12,31)-1313</f>
        <v>39961</v>
      </c>
      <c r="C2925" s="9" t="s">
        <v>431</v>
      </c>
      <c r="D2925">
        <v>10021323926</v>
      </c>
      <c r="E2925" t="s">
        <v>47</v>
      </c>
      <c r="F2925" t="s">
        <v>61</v>
      </c>
      <c r="G2925" t="s">
        <v>62</v>
      </c>
      <c r="H2925" t="s">
        <v>47</v>
      </c>
      <c r="I2925" t="s">
        <v>1778</v>
      </c>
      <c r="J2925" t="s">
        <v>668</v>
      </c>
      <c r="K2925" s="3">
        <v>100831837062</v>
      </c>
      <c r="L2925" s="10">
        <v>39961</v>
      </c>
      <c r="M2925">
        <v>1062.69</v>
      </c>
      <c r="N2925" s="11">
        <v>28</v>
      </c>
      <c r="O2925" s="12">
        <v>35.94</v>
      </c>
      <c r="P2925" s="12">
        <v>6.66</v>
      </c>
      <c r="Q2925" s="13">
        <v>401.8</v>
      </c>
      <c r="R2925" s="36" t="s">
        <v>1954</v>
      </c>
      <c r="S2925" s="7">
        <f t="shared" si="242"/>
        <v>0</v>
      </c>
      <c r="T2925" s="15" t="str">
        <f>VLOOKUP(R2925,产品分类!$C$2:$D$1278,2,0)</f>
        <v>家具产品</v>
      </c>
    </row>
    <row r="2926" spans="1:20">
      <c r="A2926" s="8">
        <f>DATE(2012,12,31)-47</f>
        <v>41227</v>
      </c>
      <c r="B2926" s="8">
        <f>DATE(2012,12,31)-47</f>
        <v>41227</v>
      </c>
      <c r="C2926" s="9" t="s">
        <v>1348</v>
      </c>
      <c r="D2926">
        <v>10021267022</v>
      </c>
      <c r="E2926" t="s">
        <v>47</v>
      </c>
      <c r="F2926" t="s">
        <v>61</v>
      </c>
      <c r="G2926" t="s">
        <v>62</v>
      </c>
      <c r="H2926" t="s">
        <v>47</v>
      </c>
      <c r="I2926" t="s">
        <v>1778</v>
      </c>
      <c r="J2926" t="s">
        <v>668</v>
      </c>
      <c r="K2926" s="3">
        <v>100932070161</v>
      </c>
      <c r="L2926" s="10">
        <v>41227</v>
      </c>
      <c r="M2926">
        <v>7235.83</v>
      </c>
      <c r="N2926" s="11">
        <v>48</v>
      </c>
      <c r="O2926" s="12">
        <v>140.99</v>
      </c>
      <c r="P2926" s="12">
        <v>13.99</v>
      </c>
      <c r="Q2926" s="13">
        <v>3496.37</v>
      </c>
      <c r="R2926" s="36" t="s">
        <v>2099</v>
      </c>
      <c r="S2926" s="7">
        <f t="shared" si="242"/>
        <v>0</v>
      </c>
      <c r="T2926" s="15" t="str">
        <f>VLOOKUP(R2926,产品分类!$C$2:$D$1278,2,0)</f>
        <v>办公用品</v>
      </c>
    </row>
    <row r="2927" spans="1:20">
      <c r="A2927" s="8">
        <f>DATE(2012,12,31)-9</f>
        <v>41265</v>
      </c>
      <c r="B2927" s="8">
        <f>DATE(2012,12,31)-9</f>
        <v>41265</v>
      </c>
      <c r="C2927" s="9" t="s">
        <v>1122</v>
      </c>
      <c r="D2927">
        <v>10021430300</v>
      </c>
      <c r="E2927" t="s">
        <v>47</v>
      </c>
      <c r="F2927" t="s">
        <v>61</v>
      </c>
      <c r="G2927" t="s">
        <v>62</v>
      </c>
      <c r="H2927" t="s">
        <v>47</v>
      </c>
      <c r="I2927" t="s">
        <v>1778</v>
      </c>
      <c r="J2927" t="s">
        <v>668</v>
      </c>
      <c r="K2927" s="3">
        <v>100131916226</v>
      </c>
      <c r="L2927" s="10">
        <v>41268</v>
      </c>
      <c r="M2927">
        <v>476.31</v>
      </c>
      <c r="N2927" s="11">
        <v>4</v>
      </c>
      <c r="O2927" s="12">
        <v>120.97</v>
      </c>
      <c r="P2927" s="12">
        <v>26.3</v>
      </c>
      <c r="Q2927" s="13">
        <v>-258.0768</v>
      </c>
      <c r="R2927" s="36" t="s">
        <v>1989</v>
      </c>
      <c r="S2927" s="7">
        <f t="shared" si="242"/>
        <v>3</v>
      </c>
      <c r="T2927" s="15" t="str">
        <f>VLOOKUP(R2927,产品分类!$C$2:$D$1278,2,0)</f>
        <v>家具产品</v>
      </c>
    </row>
    <row r="2928" spans="1:20">
      <c r="A2928" s="8">
        <f>DATE(2012,12,31)-1427</f>
        <v>39847</v>
      </c>
      <c r="B2928" s="8">
        <f>DATE(2012,12,31)-1427</f>
        <v>39847</v>
      </c>
      <c r="C2928" s="9" t="s">
        <v>488</v>
      </c>
      <c r="D2928">
        <v>10021307053</v>
      </c>
      <c r="E2928" t="s">
        <v>47</v>
      </c>
      <c r="F2928" t="s">
        <v>152</v>
      </c>
      <c r="G2928" t="s">
        <v>153</v>
      </c>
      <c r="H2928" t="s">
        <v>1860</v>
      </c>
      <c r="I2928" t="s">
        <v>1861</v>
      </c>
      <c r="J2928" t="s">
        <v>668</v>
      </c>
      <c r="K2928" s="3">
        <v>100414851803</v>
      </c>
      <c r="L2928" s="10">
        <v>39849</v>
      </c>
      <c r="M2928">
        <v>181.39</v>
      </c>
      <c r="N2928" s="11">
        <v>36</v>
      </c>
      <c r="O2928" s="12">
        <v>5.08</v>
      </c>
      <c r="P2928" s="12">
        <v>3.63</v>
      </c>
      <c r="Q2928" s="13">
        <v>-32.4</v>
      </c>
      <c r="R2928" s="36" t="s">
        <v>1395</v>
      </c>
      <c r="S2928" s="7">
        <f t="shared" si="242"/>
        <v>2</v>
      </c>
      <c r="T2928" s="15" t="str">
        <f>VLOOKUP(R2928,产品分类!$C$2:$D$1278,2,0)</f>
        <v>办公用品</v>
      </c>
    </row>
    <row r="2929" spans="1:20">
      <c r="A2929" s="8">
        <f>DATE(2012,12,31)-1427</f>
        <v>39847</v>
      </c>
      <c r="B2929" s="8">
        <f>DATE(2012,12,31)-1427</f>
        <v>39847</v>
      </c>
      <c r="C2929" s="9" t="s">
        <v>488</v>
      </c>
      <c r="D2929">
        <v>10021438910</v>
      </c>
      <c r="E2929" t="s">
        <v>47</v>
      </c>
      <c r="F2929" t="s">
        <v>230</v>
      </c>
      <c r="G2929" t="s">
        <v>231</v>
      </c>
      <c r="H2929" t="s">
        <v>1798</v>
      </c>
      <c r="I2929" t="s">
        <v>1799</v>
      </c>
      <c r="J2929" t="s">
        <v>668</v>
      </c>
      <c r="K2929" s="3">
        <v>1003996079</v>
      </c>
      <c r="L2929" s="10">
        <v>39849</v>
      </c>
      <c r="M2929">
        <v>846.0815</v>
      </c>
      <c r="N2929" s="11">
        <v>26</v>
      </c>
      <c r="O2929" s="12">
        <v>35.99</v>
      </c>
      <c r="P2929" s="12">
        <v>5</v>
      </c>
      <c r="Q2929" s="13">
        <v>-120.934</v>
      </c>
      <c r="R2929" s="36" t="s">
        <v>1843</v>
      </c>
      <c r="S2929" s="7">
        <f t="shared" si="242"/>
        <v>2</v>
      </c>
      <c r="T2929" s="15" t="str">
        <f>VLOOKUP(R2929,产品分类!$C$2:$D$1278,2,0)</f>
        <v>数码电子</v>
      </c>
    </row>
    <row r="2930" spans="1:20">
      <c r="A2930" s="8">
        <f>DATE(2012,12,31)-291</f>
        <v>40983</v>
      </c>
      <c r="B2930" s="8">
        <f>DATE(2012,12,31)-291</f>
        <v>40983</v>
      </c>
      <c r="C2930" s="9" t="s">
        <v>311</v>
      </c>
      <c r="D2930">
        <v>10021384864</v>
      </c>
      <c r="E2930" t="s">
        <v>47</v>
      </c>
      <c r="F2930" t="s">
        <v>230</v>
      </c>
      <c r="G2930" t="s">
        <v>231</v>
      </c>
      <c r="H2930" t="s">
        <v>1798</v>
      </c>
      <c r="I2930" t="s">
        <v>1799</v>
      </c>
      <c r="J2930" t="s">
        <v>668</v>
      </c>
      <c r="K2930" s="3">
        <v>100128059547</v>
      </c>
      <c r="L2930" s="10">
        <v>40984</v>
      </c>
      <c r="M2930">
        <v>317.95</v>
      </c>
      <c r="N2930" s="11">
        <v>3</v>
      </c>
      <c r="O2930" s="12">
        <v>100.98</v>
      </c>
      <c r="P2930" s="12">
        <v>26.22</v>
      </c>
      <c r="Q2930" s="13">
        <v>-144.43</v>
      </c>
      <c r="R2930" s="36" t="s">
        <v>424</v>
      </c>
      <c r="S2930" s="7">
        <f t="shared" si="242"/>
        <v>1</v>
      </c>
      <c r="T2930" s="15" t="str">
        <f>VLOOKUP(R2930,产品分类!$C$2:$D$1278,2,0)</f>
        <v>数码电子</v>
      </c>
    </row>
    <row r="2931" spans="1:20">
      <c r="A2931" s="8">
        <f>DATE(2012,12,31)-291</f>
        <v>40983</v>
      </c>
      <c r="B2931" s="8">
        <f>DATE(2012,12,31)-291</f>
        <v>40983</v>
      </c>
      <c r="C2931" s="9" t="s">
        <v>311</v>
      </c>
      <c r="D2931">
        <v>10021401618</v>
      </c>
      <c r="E2931" t="s">
        <v>47</v>
      </c>
      <c r="F2931" t="s">
        <v>91</v>
      </c>
      <c r="G2931" t="s">
        <v>92</v>
      </c>
      <c r="H2931" t="s">
        <v>2053</v>
      </c>
      <c r="I2931" t="s">
        <v>2054</v>
      </c>
      <c r="J2931" t="s">
        <v>668</v>
      </c>
      <c r="K2931" s="3">
        <v>10076414465</v>
      </c>
      <c r="L2931" s="10">
        <v>40984</v>
      </c>
      <c r="M2931">
        <v>435.29</v>
      </c>
      <c r="N2931" s="11">
        <v>8</v>
      </c>
      <c r="O2931" s="12">
        <v>51.65</v>
      </c>
      <c r="P2931" s="12">
        <v>18.45</v>
      </c>
      <c r="Q2931" s="13">
        <v>122.41</v>
      </c>
      <c r="R2931" s="36" t="s">
        <v>1271</v>
      </c>
      <c r="S2931" s="7">
        <f t="shared" si="242"/>
        <v>1</v>
      </c>
      <c r="T2931" s="15" t="str">
        <f>VLOOKUP(R2931,产品分类!$C$2:$D$1278,2,0)</f>
        <v>数码电子</v>
      </c>
    </row>
    <row r="2932" spans="1:20">
      <c r="A2932" s="8">
        <f>DATE(2012,12,31)-834</f>
        <v>40440</v>
      </c>
      <c r="B2932" s="8">
        <f>DATE(2012,12,31)-834</f>
        <v>40440</v>
      </c>
      <c r="C2932" s="9" t="s">
        <v>500</v>
      </c>
      <c r="D2932">
        <v>10021479592</v>
      </c>
      <c r="E2932" t="s">
        <v>47</v>
      </c>
      <c r="F2932" t="s">
        <v>91</v>
      </c>
      <c r="G2932" t="s">
        <v>92</v>
      </c>
      <c r="H2932" t="s">
        <v>2053</v>
      </c>
      <c r="I2932" t="s">
        <v>2054</v>
      </c>
      <c r="J2932" t="s">
        <v>668</v>
      </c>
      <c r="K2932" s="3">
        <v>100732946565</v>
      </c>
      <c r="L2932" s="10">
        <v>40442</v>
      </c>
      <c r="M2932">
        <v>1082.8</v>
      </c>
      <c r="N2932" s="11">
        <v>22</v>
      </c>
      <c r="O2932" s="12">
        <v>48.58</v>
      </c>
      <c r="P2932" s="12">
        <v>3.99</v>
      </c>
      <c r="Q2932" s="13">
        <v>299.35</v>
      </c>
      <c r="R2932" s="36" t="s">
        <v>516</v>
      </c>
      <c r="S2932" s="7">
        <f t="shared" si="242"/>
        <v>2</v>
      </c>
      <c r="T2932" s="15" t="str">
        <f>VLOOKUP(R2932,产品分类!$C$2:$D$1278,2,0)</f>
        <v>数码电子</v>
      </c>
    </row>
    <row r="2933" spans="1:20">
      <c r="A2933" s="8">
        <f>DATE(2012,12,31)-834</f>
        <v>40440</v>
      </c>
      <c r="B2933" s="8">
        <f>DATE(2012,12,31)-834</f>
        <v>40440</v>
      </c>
      <c r="C2933" s="9" t="s">
        <v>500</v>
      </c>
      <c r="D2933">
        <v>10021457797</v>
      </c>
      <c r="E2933" t="s">
        <v>47</v>
      </c>
      <c r="F2933" t="s">
        <v>91</v>
      </c>
      <c r="G2933" t="s">
        <v>92</v>
      </c>
      <c r="H2933" t="s">
        <v>2053</v>
      </c>
      <c r="I2933" t="s">
        <v>2054</v>
      </c>
      <c r="J2933" t="s">
        <v>668</v>
      </c>
      <c r="K2933" s="3">
        <v>100931670751</v>
      </c>
      <c r="L2933" s="10">
        <v>40442</v>
      </c>
      <c r="M2933">
        <v>1260.2015</v>
      </c>
      <c r="N2933" s="11">
        <v>7</v>
      </c>
      <c r="O2933" s="12">
        <v>205.99</v>
      </c>
      <c r="P2933" s="12">
        <v>8.99</v>
      </c>
      <c r="Q2933" s="13">
        <v>-522.995</v>
      </c>
      <c r="R2933" s="36" t="s">
        <v>930</v>
      </c>
      <c r="S2933" s="7">
        <f t="shared" si="242"/>
        <v>2</v>
      </c>
      <c r="T2933" s="15" t="str">
        <f>VLOOKUP(R2933,产品分类!$C$2:$D$1278,2,0)</f>
        <v>办公用品</v>
      </c>
    </row>
    <row r="2934" spans="1:20">
      <c r="A2934" s="8">
        <f>DATE(2012,12,31)-258</f>
        <v>41016</v>
      </c>
      <c r="B2934" s="8">
        <f>DATE(2012,12,31)-258</f>
        <v>41016</v>
      </c>
      <c r="C2934" s="9" t="s">
        <v>1336</v>
      </c>
      <c r="D2934">
        <v>10021512469</v>
      </c>
      <c r="E2934" t="s">
        <v>47</v>
      </c>
      <c r="F2934" t="s">
        <v>122</v>
      </c>
      <c r="G2934" t="s">
        <v>123</v>
      </c>
      <c r="H2934" t="s">
        <v>124</v>
      </c>
      <c r="I2934" t="s">
        <v>125</v>
      </c>
      <c r="J2934" t="s">
        <v>668</v>
      </c>
      <c r="K2934" s="3">
        <v>100729793505</v>
      </c>
      <c r="L2934" s="10">
        <v>41017</v>
      </c>
      <c r="M2934">
        <v>455.08</v>
      </c>
      <c r="N2934" s="11">
        <v>5</v>
      </c>
      <c r="O2934" s="12">
        <v>83.93</v>
      </c>
      <c r="P2934" s="12">
        <v>19.99</v>
      </c>
      <c r="Q2934" s="13">
        <v>27.8</v>
      </c>
      <c r="R2934" s="36" t="s">
        <v>1858</v>
      </c>
      <c r="S2934" s="7">
        <f t="shared" si="242"/>
        <v>1</v>
      </c>
      <c r="T2934" s="15" t="str">
        <f>VLOOKUP(R2934,产品分类!$C$2:$D$1278,2,0)</f>
        <v>数码电子</v>
      </c>
    </row>
    <row r="2935" spans="1:20">
      <c r="A2935" s="8">
        <f>DATE(2012,12,31)-912</f>
        <v>40362</v>
      </c>
      <c r="B2935" s="8">
        <f>DATE(2012,12,31)-912</f>
        <v>40362</v>
      </c>
      <c r="C2935" s="9" t="s">
        <v>1028</v>
      </c>
      <c r="D2935">
        <v>10021377290</v>
      </c>
      <c r="E2935" t="s">
        <v>47</v>
      </c>
      <c r="F2935" t="s">
        <v>132</v>
      </c>
      <c r="G2935" t="s">
        <v>133</v>
      </c>
      <c r="H2935" t="s">
        <v>134</v>
      </c>
      <c r="I2935" t="s">
        <v>133</v>
      </c>
      <c r="J2935" t="s">
        <v>668</v>
      </c>
      <c r="K2935" s="3">
        <v>100710582725</v>
      </c>
      <c r="L2935" s="10">
        <v>40363</v>
      </c>
      <c r="M2935">
        <v>54.78</v>
      </c>
      <c r="N2935" s="11">
        <v>32</v>
      </c>
      <c r="O2935" s="12">
        <v>1.68</v>
      </c>
      <c r="P2935" s="12">
        <v>1.57</v>
      </c>
      <c r="Q2935" s="13">
        <v>-30.54</v>
      </c>
      <c r="R2935" s="36" t="s">
        <v>881</v>
      </c>
      <c r="S2935" s="7">
        <f t="shared" si="242"/>
        <v>1</v>
      </c>
      <c r="T2935" s="15" t="str">
        <f>VLOOKUP(R2935,产品分类!$C$2:$D$1278,2,0)</f>
        <v>家具产品</v>
      </c>
    </row>
    <row r="2936" spans="1:20">
      <c r="A2936" s="8">
        <f>DATE(2012,12,31)-912</f>
        <v>40362</v>
      </c>
      <c r="B2936" s="8">
        <f>DATE(2012,12,31)-912</f>
        <v>40362</v>
      </c>
      <c r="C2936" s="9" t="s">
        <v>1028</v>
      </c>
      <c r="D2936">
        <v>10021491283</v>
      </c>
      <c r="E2936" t="s">
        <v>47</v>
      </c>
      <c r="F2936" t="s">
        <v>177</v>
      </c>
      <c r="G2936" t="s">
        <v>178</v>
      </c>
      <c r="H2936" t="s">
        <v>1292</v>
      </c>
      <c r="I2936" t="s">
        <v>1293</v>
      </c>
      <c r="J2936" t="s">
        <v>668</v>
      </c>
      <c r="K2936" s="3">
        <v>100131962117</v>
      </c>
      <c r="L2936" s="10">
        <v>40364</v>
      </c>
      <c r="M2936">
        <v>304.83</v>
      </c>
      <c r="N2936" s="11">
        <v>47</v>
      </c>
      <c r="O2936" s="12">
        <v>7.08</v>
      </c>
      <c r="P2936" s="12">
        <v>2.35</v>
      </c>
      <c r="Q2936" s="13">
        <v>23.82</v>
      </c>
      <c r="R2936" s="36" t="s">
        <v>1940</v>
      </c>
      <c r="S2936" s="7">
        <f t="shared" si="242"/>
        <v>2</v>
      </c>
      <c r="T2936" s="15" t="str">
        <f>VLOOKUP(R2936,产品分类!$C$2:$D$1278,2,0)</f>
        <v>数码电子</v>
      </c>
    </row>
    <row r="2937" spans="1:20">
      <c r="A2937" s="8">
        <f>DATE(2012,12,31)-1325</f>
        <v>39949</v>
      </c>
      <c r="B2937" s="8">
        <f>DATE(2012,12,31)-1325</f>
        <v>39949</v>
      </c>
      <c r="C2937" s="9" t="s">
        <v>739</v>
      </c>
      <c r="D2937">
        <v>10021279398</v>
      </c>
      <c r="E2937" t="s">
        <v>47</v>
      </c>
      <c r="F2937" t="s">
        <v>61</v>
      </c>
      <c r="G2937" t="s">
        <v>62</v>
      </c>
      <c r="H2937" t="s">
        <v>47</v>
      </c>
      <c r="I2937" t="s">
        <v>1778</v>
      </c>
      <c r="J2937" t="s">
        <v>668</v>
      </c>
      <c r="K2937" s="3">
        <v>10049175053</v>
      </c>
      <c r="L2937" s="10">
        <v>39950</v>
      </c>
      <c r="M2937">
        <v>280.39</v>
      </c>
      <c r="N2937" s="11">
        <v>17</v>
      </c>
      <c r="O2937" s="12">
        <v>14.42</v>
      </c>
      <c r="P2937" s="12">
        <v>6.75</v>
      </c>
      <c r="Q2937" s="13">
        <v>9.33</v>
      </c>
      <c r="R2937" s="36" t="s">
        <v>441</v>
      </c>
      <c r="S2937" s="7">
        <f t="shared" si="242"/>
        <v>1</v>
      </c>
      <c r="T2937" s="15" t="str">
        <f>VLOOKUP(R2937,产品分类!$C$2:$D$1278,2,0)</f>
        <v>办公用品</v>
      </c>
    </row>
    <row r="2938" spans="1:20">
      <c r="A2938" s="16">
        <f t="shared" ref="A2938:B2940" si="244">DATE(2012,12,31)-1155</f>
        <v>40119</v>
      </c>
      <c r="B2938" s="16">
        <f t="shared" si="244"/>
        <v>40119</v>
      </c>
      <c r="C2938" s="9" t="s">
        <v>864</v>
      </c>
      <c r="D2938">
        <v>10021570175</v>
      </c>
      <c r="E2938" t="s">
        <v>47</v>
      </c>
      <c r="F2938" t="s">
        <v>61</v>
      </c>
      <c r="G2938" t="s">
        <v>62</v>
      </c>
      <c r="H2938" t="s">
        <v>47</v>
      </c>
      <c r="I2938" t="s">
        <v>1778</v>
      </c>
      <c r="J2938" t="s">
        <v>668</v>
      </c>
      <c r="K2938" s="3">
        <v>10015833047</v>
      </c>
      <c r="L2938" s="10">
        <v>40121</v>
      </c>
      <c r="M2938">
        <v>56.22</v>
      </c>
      <c r="N2938" s="17">
        <v>6</v>
      </c>
      <c r="O2938" s="5">
        <v>8.6</v>
      </c>
      <c r="P2938" s="5">
        <v>6.19</v>
      </c>
      <c r="Q2938" s="6">
        <v>-20.3895</v>
      </c>
      <c r="R2938" s="37" t="s">
        <v>443</v>
      </c>
      <c r="S2938" s="7">
        <f t="shared" si="242"/>
        <v>2</v>
      </c>
      <c r="T2938" s="15" t="str">
        <f>VLOOKUP(R2938,产品分类!$C$2:$D$1278,2,0)</f>
        <v>办公用品</v>
      </c>
    </row>
    <row r="2939" spans="1:20">
      <c r="A2939" s="16">
        <f t="shared" si="244"/>
        <v>40119</v>
      </c>
      <c r="B2939" s="16">
        <f t="shared" si="244"/>
        <v>40119</v>
      </c>
      <c r="C2939" s="9" t="s">
        <v>864</v>
      </c>
      <c r="D2939">
        <v>10021456506</v>
      </c>
      <c r="E2939" t="s">
        <v>47</v>
      </c>
      <c r="F2939" t="s">
        <v>61</v>
      </c>
      <c r="G2939" t="s">
        <v>62</v>
      </c>
      <c r="H2939" t="s">
        <v>47</v>
      </c>
      <c r="I2939" t="s">
        <v>1778</v>
      </c>
      <c r="J2939" t="s">
        <v>668</v>
      </c>
      <c r="K2939" s="3">
        <v>10074841085</v>
      </c>
      <c r="L2939" s="10">
        <v>40123</v>
      </c>
      <c r="M2939">
        <v>107.96</v>
      </c>
      <c r="N2939" s="17">
        <v>30</v>
      </c>
      <c r="O2939" s="5">
        <v>3.58</v>
      </c>
      <c r="P2939" s="5">
        <v>1.63</v>
      </c>
      <c r="Q2939" s="6">
        <v>13.24</v>
      </c>
      <c r="R2939" s="37" t="s">
        <v>401</v>
      </c>
      <c r="S2939" s="7">
        <f t="shared" si="242"/>
        <v>4</v>
      </c>
      <c r="T2939" s="15" t="str">
        <f>VLOOKUP(R2939,产品分类!$C$2:$D$1278,2,0)</f>
        <v>办公用品</v>
      </c>
    </row>
    <row r="2940" spans="1:20">
      <c r="A2940" s="8">
        <f t="shared" si="244"/>
        <v>40119</v>
      </c>
      <c r="B2940" s="8">
        <f t="shared" si="244"/>
        <v>40119</v>
      </c>
      <c r="C2940" s="9" t="s">
        <v>864</v>
      </c>
      <c r="D2940">
        <v>10021375053</v>
      </c>
      <c r="E2940" t="s">
        <v>47</v>
      </c>
      <c r="F2940" t="s">
        <v>152</v>
      </c>
      <c r="G2940" t="s">
        <v>153</v>
      </c>
      <c r="H2940" t="s">
        <v>1860</v>
      </c>
      <c r="I2940" t="s">
        <v>1861</v>
      </c>
      <c r="J2940" t="s">
        <v>668</v>
      </c>
      <c r="K2940" s="3">
        <v>100932891511</v>
      </c>
      <c r="L2940" s="10">
        <v>40126</v>
      </c>
      <c r="M2940">
        <v>3169.992</v>
      </c>
      <c r="N2940" s="11">
        <v>40</v>
      </c>
      <c r="O2940" s="12">
        <v>105.49</v>
      </c>
      <c r="P2940" s="12">
        <v>41.64</v>
      </c>
      <c r="Q2940" s="13">
        <v>-973.3</v>
      </c>
      <c r="R2940" s="36" t="s">
        <v>489</v>
      </c>
      <c r="S2940" s="7">
        <f t="shared" si="242"/>
        <v>7</v>
      </c>
      <c r="T2940" s="15" t="str">
        <f>VLOOKUP(R2940,产品分类!$C$2:$D$1278,2,0)</f>
        <v>办公用品</v>
      </c>
    </row>
    <row r="2941" spans="1:20">
      <c r="A2941" s="8">
        <f>DATE(2012,12,31)-911</f>
        <v>40363</v>
      </c>
      <c r="B2941" s="8">
        <f>DATE(2012,12,31)-911</f>
        <v>40363</v>
      </c>
      <c r="C2941" s="9" t="s">
        <v>546</v>
      </c>
      <c r="D2941">
        <v>10021410333</v>
      </c>
      <c r="E2941" t="s">
        <v>47</v>
      </c>
      <c r="F2941" t="s">
        <v>102</v>
      </c>
      <c r="G2941" t="s">
        <v>103</v>
      </c>
      <c r="H2941" t="s">
        <v>1217</v>
      </c>
      <c r="I2941" t="s">
        <v>1218</v>
      </c>
      <c r="J2941" t="s">
        <v>668</v>
      </c>
      <c r="K2941" s="3">
        <v>100132825488</v>
      </c>
      <c r="L2941" s="10">
        <v>40365</v>
      </c>
      <c r="M2941">
        <v>1384.34</v>
      </c>
      <c r="N2941" s="11">
        <v>40</v>
      </c>
      <c r="O2941" s="12">
        <v>37.7</v>
      </c>
      <c r="P2941" s="12">
        <v>2.99</v>
      </c>
      <c r="Q2941" s="13">
        <v>562.309</v>
      </c>
      <c r="R2941" s="36" t="s">
        <v>418</v>
      </c>
      <c r="S2941" s="7">
        <f t="shared" si="242"/>
        <v>2</v>
      </c>
      <c r="T2941" s="15" t="str">
        <f>VLOOKUP(R2941,产品分类!$C$2:$D$1278,2,0)</f>
        <v>数码电子</v>
      </c>
    </row>
    <row r="2942" spans="1:20">
      <c r="A2942" s="8">
        <f t="shared" ref="A2942:B2944" si="245">DATE(2012,12,31)-977</f>
        <v>40297</v>
      </c>
      <c r="B2942" s="8">
        <f t="shared" si="245"/>
        <v>40297</v>
      </c>
      <c r="C2942" s="9" t="s">
        <v>1685</v>
      </c>
      <c r="D2942">
        <v>10021412790</v>
      </c>
      <c r="E2942" t="s">
        <v>47</v>
      </c>
      <c r="F2942" t="s">
        <v>183</v>
      </c>
      <c r="G2942" t="s">
        <v>184</v>
      </c>
      <c r="H2942" t="s">
        <v>1716</v>
      </c>
      <c r="I2942" t="s">
        <v>1717</v>
      </c>
      <c r="J2942" t="s">
        <v>668</v>
      </c>
      <c r="K2942" s="3">
        <v>100930973611</v>
      </c>
      <c r="L2942" s="10">
        <v>40300</v>
      </c>
      <c r="M2942">
        <v>167.53</v>
      </c>
      <c r="N2942" s="11">
        <v>11</v>
      </c>
      <c r="O2942" s="12">
        <v>14.98</v>
      </c>
      <c r="P2942" s="12">
        <v>7.69</v>
      </c>
      <c r="Q2942" s="13">
        <v>-40.94</v>
      </c>
      <c r="R2942" s="36" t="s">
        <v>1142</v>
      </c>
      <c r="S2942" s="7">
        <f t="shared" si="242"/>
        <v>3</v>
      </c>
      <c r="T2942" s="15" t="str">
        <f>VLOOKUP(R2942,产品分类!$C$2:$D$1278,2,0)</f>
        <v>办公用品</v>
      </c>
    </row>
    <row r="2943" spans="1:20">
      <c r="A2943" s="8">
        <f t="shared" si="245"/>
        <v>40297</v>
      </c>
      <c r="B2943" s="8">
        <f t="shared" si="245"/>
        <v>40297</v>
      </c>
      <c r="C2943" s="9" t="s">
        <v>1685</v>
      </c>
      <c r="D2943">
        <v>10021442677</v>
      </c>
      <c r="E2943" t="s">
        <v>47</v>
      </c>
      <c r="F2943" t="s">
        <v>61</v>
      </c>
      <c r="G2943" t="s">
        <v>62</v>
      </c>
      <c r="H2943" t="s">
        <v>47</v>
      </c>
      <c r="I2943" t="s">
        <v>1778</v>
      </c>
      <c r="J2943" t="s">
        <v>668</v>
      </c>
      <c r="K2943" s="3">
        <v>100710411445</v>
      </c>
      <c r="L2943" s="10">
        <v>40298</v>
      </c>
      <c r="M2943">
        <v>2361.1</v>
      </c>
      <c r="N2943" s="11">
        <v>5</v>
      </c>
      <c r="O2943" s="12">
        <v>449.99</v>
      </c>
      <c r="P2943" s="12">
        <v>49</v>
      </c>
      <c r="Q2943" s="13">
        <v>-1042.714</v>
      </c>
      <c r="R2943" s="36" t="s">
        <v>545</v>
      </c>
      <c r="S2943" s="7">
        <f t="shared" si="242"/>
        <v>1</v>
      </c>
      <c r="T2943" s="15" t="str">
        <f>VLOOKUP(R2943,产品分类!$C$2:$D$1278,2,0)</f>
        <v>办公用品</v>
      </c>
    </row>
    <row r="2944" spans="1:20">
      <c r="A2944" s="8">
        <f t="shared" si="245"/>
        <v>40297</v>
      </c>
      <c r="B2944" s="8">
        <f t="shared" si="245"/>
        <v>40297</v>
      </c>
      <c r="C2944" s="9" t="s">
        <v>1685</v>
      </c>
      <c r="D2944">
        <v>10021525822</v>
      </c>
      <c r="E2944" t="s">
        <v>47</v>
      </c>
      <c r="F2944" t="s">
        <v>97</v>
      </c>
      <c r="G2944" t="s">
        <v>98</v>
      </c>
      <c r="H2944" t="s">
        <v>99</v>
      </c>
      <c r="I2944" t="s">
        <v>98</v>
      </c>
      <c r="J2944" t="s">
        <v>668</v>
      </c>
      <c r="K2944" s="3">
        <v>100423008124</v>
      </c>
      <c r="L2944" s="10">
        <v>40298</v>
      </c>
      <c r="M2944">
        <v>1060.34</v>
      </c>
      <c r="N2944" s="11">
        <v>42</v>
      </c>
      <c r="O2944" s="12">
        <v>23.99</v>
      </c>
      <c r="P2944" s="12">
        <v>15.68</v>
      </c>
      <c r="Q2944" s="13">
        <v>-174.94</v>
      </c>
      <c r="R2944" s="36" t="s">
        <v>2100</v>
      </c>
      <c r="S2944" s="7">
        <f t="shared" si="242"/>
        <v>1</v>
      </c>
      <c r="T2944" s="15" t="str">
        <f>VLOOKUP(R2944,产品分类!$C$2:$D$1278,2,0)</f>
        <v>家具产品</v>
      </c>
    </row>
    <row r="2945" spans="1:20">
      <c r="A2945" s="8">
        <f t="shared" ref="A2945:B2947" si="246">DATE(2012,12,31)-22</f>
        <v>41252</v>
      </c>
      <c r="B2945" s="8">
        <f t="shared" si="246"/>
        <v>41252</v>
      </c>
      <c r="C2945" s="9" t="s">
        <v>1846</v>
      </c>
      <c r="D2945">
        <v>10021500360</v>
      </c>
      <c r="E2945" t="s">
        <v>47</v>
      </c>
      <c r="F2945" t="s">
        <v>97</v>
      </c>
      <c r="G2945" t="s">
        <v>98</v>
      </c>
      <c r="H2945" t="s">
        <v>99</v>
      </c>
      <c r="I2945" t="s">
        <v>98</v>
      </c>
      <c r="J2945" t="s">
        <v>668</v>
      </c>
      <c r="K2945" s="3">
        <v>100725852675</v>
      </c>
      <c r="L2945" s="10">
        <v>41256</v>
      </c>
      <c r="M2945">
        <v>587.2</v>
      </c>
      <c r="N2945" s="11">
        <v>29</v>
      </c>
      <c r="O2945" s="12">
        <v>20.89</v>
      </c>
      <c r="P2945" s="12">
        <v>1.99</v>
      </c>
      <c r="Q2945" s="13">
        <v>134.25</v>
      </c>
      <c r="R2945" s="36" t="s">
        <v>1745</v>
      </c>
      <c r="S2945" s="7">
        <f t="shared" si="242"/>
        <v>4</v>
      </c>
      <c r="T2945" s="15" t="str">
        <f>VLOOKUP(R2945,产品分类!$C$2:$D$1278,2,0)</f>
        <v>数码电子</v>
      </c>
    </row>
    <row r="2946" spans="1:20">
      <c r="A2946" s="16">
        <f t="shared" si="246"/>
        <v>41252</v>
      </c>
      <c r="B2946" s="16">
        <f t="shared" si="246"/>
        <v>41252</v>
      </c>
      <c r="C2946" s="9" t="s">
        <v>1846</v>
      </c>
      <c r="D2946">
        <v>10021500034</v>
      </c>
      <c r="E2946" t="s">
        <v>47</v>
      </c>
      <c r="F2946" t="s">
        <v>152</v>
      </c>
      <c r="G2946" t="s">
        <v>153</v>
      </c>
      <c r="H2946" t="s">
        <v>1860</v>
      </c>
      <c r="I2946" t="s">
        <v>1861</v>
      </c>
      <c r="J2946" t="s">
        <v>668</v>
      </c>
      <c r="K2946" s="3">
        <v>100325525939</v>
      </c>
      <c r="L2946" s="10">
        <v>41261</v>
      </c>
      <c r="M2946">
        <v>110.79</v>
      </c>
      <c r="N2946" s="17">
        <v>39</v>
      </c>
      <c r="O2946" s="5">
        <v>2.89</v>
      </c>
      <c r="P2946" s="5">
        <v>0.5</v>
      </c>
      <c r="Q2946" s="6">
        <v>42.68</v>
      </c>
      <c r="R2946" s="37" t="s">
        <v>118</v>
      </c>
      <c r="S2946" s="7">
        <f t="shared" si="242"/>
        <v>9</v>
      </c>
      <c r="T2946" s="15" t="str">
        <f>VLOOKUP(R2946,产品分类!$C$2:$D$1278,2,0)</f>
        <v>办公用品</v>
      </c>
    </row>
    <row r="2947" spans="1:20">
      <c r="A2947" s="8">
        <f t="shared" si="246"/>
        <v>41252</v>
      </c>
      <c r="B2947" s="8">
        <f t="shared" si="246"/>
        <v>41252</v>
      </c>
      <c r="C2947" s="9" t="s">
        <v>1846</v>
      </c>
      <c r="D2947">
        <v>10021494004</v>
      </c>
      <c r="E2947" t="s">
        <v>47</v>
      </c>
      <c r="F2947" t="s">
        <v>66</v>
      </c>
      <c r="G2947" t="s">
        <v>67</v>
      </c>
      <c r="H2947" t="s">
        <v>2062</v>
      </c>
      <c r="I2947" t="s">
        <v>2063</v>
      </c>
      <c r="J2947" t="s">
        <v>668</v>
      </c>
      <c r="K2947" s="3">
        <v>10079553215</v>
      </c>
      <c r="L2947" s="10">
        <v>41259</v>
      </c>
      <c r="M2947">
        <v>2011.46</v>
      </c>
      <c r="N2947" s="11">
        <v>48</v>
      </c>
      <c r="O2947" s="12">
        <v>41.32</v>
      </c>
      <c r="P2947" s="12">
        <v>8.66</v>
      </c>
      <c r="Q2947" s="13">
        <v>171.07</v>
      </c>
      <c r="R2947" s="36" t="s">
        <v>321</v>
      </c>
      <c r="S2947" s="7">
        <f t="shared" ref="S2947:S3010" si="247">+L2947-B2947</f>
        <v>7</v>
      </c>
      <c r="T2947" s="15" t="str">
        <f>VLOOKUP(R2947,产品分类!$C$2:$D$1278,2,0)</f>
        <v>数码电子</v>
      </c>
    </row>
    <row r="2948" spans="1:20">
      <c r="A2948" s="8">
        <f>DATE(2012,12,31)-573</f>
        <v>40701</v>
      </c>
      <c r="B2948" s="8">
        <f>DATE(2012,12,31)-573</f>
        <v>40701</v>
      </c>
      <c r="C2948" s="9" t="s">
        <v>1604</v>
      </c>
      <c r="D2948">
        <v>10021416138</v>
      </c>
      <c r="E2948" t="s">
        <v>47</v>
      </c>
      <c r="F2948" t="s">
        <v>66</v>
      </c>
      <c r="G2948" t="s">
        <v>67</v>
      </c>
      <c r="H2948" t="s">
        <v>2062</v>
      </c>
      <c r="I2948" t="s">
        <v>2063</v>
      </c>
      <c r="J2948" t="s">
        <v>668</v>
      </c>
      <c r="K2948" s="3">
        <v>100113865638</v>
      </c>
      <c r="L2948" s="10">
        <v>40701</v>
      </c>
      <c r="M2948">
        <v>400.49</v>
      </c>
      <c r="N2948" s="11">
        <v>46</v>
      </c>
      <c r="O2948" s="12">
        <v>9.06</v>
      </c>
      <c r="P2948" s="12">
        <v>9.86</v>
      </c>
      <c r="Q2948" s="13">
        <v>-237.89</v>
      </c>
      <c r="R2948" s="36" t="s">
        <v>2101</v>
      </c>
      <c r="S2948" s="7">
        <f t="shared" si="247"/>
        <v>0</v>
      </c>
      <c r="T2948" s="15" t="str">
        <f>VLOOKUP(R2948,产品分类!$C$2:$D$1278,2,0)</f>
        <v>办公用品</v>
      </c>
    </row>
    <row r="2949" spans="1:20">
      <c r="A2949" s="8">
        <f>DATE(2012,12,31)-676</f>
        <v>40598</v>
      </c>
      <c r="B2949" s="8">
        <f>DATE(2012,12,31)-676</f>
        <v>40598</v>
      </c>
      <c r="C2949" s="9" t="s">
        <v>1047</v>
      </c>
      <c r="D2949">
        <v>10021461497</v>
      </c>
      <c r="E2949" t="s">
        <v>47</v>
      </c>
      <c r="F2949" t="s">
        <v>152</v>
      </c>
      <c r="G2949" t="s">
        <v>153</v>
      </c>
      <c r="H2949" t="s">
        <v>1860</v>
      </c>
      <c r="I2949" t="s">
        <v>1861</v>
      </c>
      <c r="J2949" t="s">
        <v>668</v>
      </c>
      <c r="K2949" s="3">
        <v>100415264264</v>
      </c>
      <c r="L2949" s="10">
        <v>40599</v>
      </c>
      <c r="M2949">
        <v>278.94</v>
      </c>
      <c r="N2949" s="11">
        <v>30</v>
      </c>
      <c r="O2949" s="12">
        <v>9.06</v>
      </c>
      <c r="P2949" s="12">
        <v>9.86</v>
      </c>
      <c r="Q2949" s="13">
        <v>-143.7</v>
      </c>
      <c r="R2949" s="36" t="s">
        <v>2101</v>
      </c>
      <c r="S2949" s="7">
        <f t="shared" si="247"/>
        <v>1</v>
      </c>
      <c r="T2949" s="15" t="str">
        <f>VLOOKUP(R2949,产品分类!$C$2:$D$1278,2,0)</f>
        <v>办公用品</v>
      </c>
    </row>
    <row r="2950" spans="1:20">
      <c r="A2950" s="16">
        <f>DATE(2012,12,31)-512</f>
        <v>40762</v>
      </c>
      <c r="B2950" s="16">
        <f>DATE(2012,12,31)-512</f>
        <v>40762</v>
      </c>
      <c r="C2950" s="9" t="s">
        <v>948</v>
      </c>
      <c r="D2950">
        <v>10021332603</v>
      </c>
      <c r="E2950" t="s">
        <v>47</v>
      </c>
      <c r="F2950" t="s">
        <v>66</v>
      </c>
      <c r="G2950" t="s">
        <v>67</v>
      </c>
      <c r="H2950" t="s">
        <v>2062</v>
      </c>
      <c r="I2950" t="s">
        <v>2063</v>
      </c>
      <c r="J2950" t="s">
        <v>668</v>
      </c>
      <c r="K2950" s="3">
        <v>100110262748</v>
      </c>
      <c r="L2950" s="10">
        <v>40763</v>
      </c>
      <c r="M2950">
        <v>937.04</v>
      </c>
      <c r="N2950" s="17">
        <v>34</v>
      </c>
      <c r="O2950" s="5">
        <v>28.53</v>
      </c>
      <c r="P2950" s="5">
        <v>1.49</v>
      </c>
      <c r="Q2950" s="6">
        <v>391.6035</v>
      </c>
      <c r="R2950" s="37" t="s">
        <v>1651</v>
      </c>
      <c r="S2950" s="7">
        <f t="shared" si="247"/>
        <v>1</v>
      </c>
      <c r="T2950" s="15" t="str">
        <f>VLOOKUP(R2950,产品分类!$C$2:$D$1278,2,0)</f>
        <v>数码电子</v>
      </c>
    </row>
    <row r="2951" spans="1:20">
      <c r="A2951" s="8">
        <f>DATE(2012,12,31)-512</f>
        <v>40762</v>
      </c>
      <c r="B2951" s="8">
        <f>DATE(2012,12,31)-512</f>
        <v>40762</v>
      </c>
      <c r="C2951" s="9" t="s">
        <v>948</v>
      </c>
      <c r="D2951">
        <v>10021446042</v>
      </c>
      <c r="E2951" t="s">
        <v>47</v>
      </c>
      <c r="F2951" t="s">
        <v>152</v>
      </c>
      <c r="G2951" t="s">
        <v>153</v>
      </c>
      <c r="H2951" t="s">
        <v>1860</v>
      </c>
      <c r="I2951" t="s">
        <v>1861</v>
      </c>
      <c r="J2951" t="s">
        <v>668</v>
      </c>
      <c r="K2951" s="3">
        <v>100115979766</v>
      </c>
      <c r="L2951" s="10">
        <v>40765</v>
      </c>
      <c r="M2951">
        <v>1616.64</v>
      </c>
      <c r="N2951" s="11">
        <v>17</v>
      </c>
      <c r="O2951" s="12">
        <v>99.99</v>
      </c>
      <c r="P2951" s="12">
        <v>19.99</v>
      </c>
      <c r="Q2951" s="13">
        <v>26.94</v>
      </c>
      <c r="R2951" s="36" t="s">
        <v>1902</v>
      </c>
      <c r="S2951" s="7">
        <f t="shared" si="247"/>
        <v>3</v>
      </c>
      <c r="T2951" s="15" t="str">
        <f>VLOOKUP(R2951,产品分类!$C$2:$D$1278,2,0)</f>
        <v>办公用品</v>
      </c>
    </row>
    <row r="2952" spans="1:20">
      <c r="A2952" s="8">
        <f>DATE(2012,12,31)-717</f>
        <v>40557</v>
      </c>
      <c r="B2952" s="8">
        <f>DATE(2012,12,31)-717</f>
        <v>40557</v>
      </c>
      <c r="C2952" s="9" t="s">
        <v>628</v>
      </c>
      <c r="D2952">
        <v>10021293523</v>
      </c>
      <c r="E2952" t="s">
        <v>47</v>
      </c>
      <c r="F2952" t="s">
        <v>97</v>
      </c>
      <c r="G2952" t="s">
        <v>98</v>
      </c>
      <c r="H2952" t="s">
        <v>99</v>
      </c>
      <c r="I2952" t="s">
        <v>98</v>
      </c>
      <c r="J2952" t="s">
        <v>668</v>
      </c>
      <c r="K2952" s="3">
        <v>10099900391</v>
      </c>
      <c r="L2952" s="10">
        <v>40559</v>
      </c>
      <c r="M2952">
        <v>5428.49</v>
      </c>
      <c r="N2952" s="11">
        <v>35</v>
      </c>
      <c r="O2952" s="12">
        <v>150.89</v>
      </c>
      <c r="P2952" s="12">
        <v>60.2</v>
      </c>
      <c r="Q2952" s="13">
        <v>-1046.78</v>
      </c>
      <c r="R2952" s="36" t="s">
        <v>274</v>
      </c>
      <c r="S2952" s="7">
        <f t="shared" si="247"/>
        <v>2</v>
      </c>
      <c r="T2952" s="15" t="str">
        <f>VLOOKUP(R2952,产品分类!$C$2:$D$1278,2,0)</f>
        <v>办公用品</v>
      </c>
    </row>
    <row r="2953" spans="1:20">
      <c r="A2953" s="8">
        <f t="shared" ref="A2953:B2955" si="248">DATE(2012,12,31)-354</f>
        <v>40920</v>
      </c>
      <c r="B2953" s="8">
        <f t="shared" si="248"/>
        <v>40920</v>
      </c>
      <c r="C2953" s="9" t="s">
        <v>619</v>
      </c>
      <c r="D2953">
        <v>10021293074</v>
      </c>
      <c r="E2953" t="s">
        <v>47</v>
      </c>
      <c r="F2953" t="s">
        <v>152</v>
      </c>
      <c r="G2953" t="s">
        <v>153</v>
      </c>
      <c r="H2953" t="s">
        <v>1860</v>
      </c>
      <c r="I2953" t="s">
        <v>1861</v>
      </c>
      <c r="J2953" t="s">
        <v>668</v>
      </c>
      <c r="K2953" s="3">
        <v>10014361268</v>
      </c>
      <c r="L2953" s="10">
        <v>40922</v>
      </c>
      <c r="M2953">
        <v>6435.87</v>
      </c>
      <c r="N2953" s="11">
        <v>21</v>
      </c>
      <c r="O2953" s="12">
        <v>300.98</v>
      </c>
      <c r="P2953" s="12">
        <v>64.73</v>
      </c>
      <c r="Q2953" s="13">
        <v>935.06</v>
      </c>
      <c r="R2953" s="36" t="s">
        <v>1063</v>
      </c>
      <c r="S2953" s="7">
        <f t="shared" si="247"/>
        <v>2</v>
      </c>
      <c r="T2953" s="15" t="str">
        <f>VLOOKUP(R2953,产品分类!$C$2:$D$1278,2,0)</f>
        <v>办公用品</v>
      </c>
    </row>
    <row r="2954" spans="1:20">
      <c r="A2954" s="8">
        <f t="shared" si="248"/>
        <v>40920</v>
      </c>
      <c r="B2954" s="8">
        <f t="shared" si="248"/>
        <v>40920</v>
      </c>
      <c r="C2954" s="9" t="s">
        <v>619</v>
      </c>
      <c r="D2954">
        <v>10021267295</v>
      </c>
      <c r="E2954" t="s">
        <v>47</v>
      </c>
      <c r="F2954" t="s">
        <v>152</v>
      </c>
      <c r="G2954" t="s">
        <v>153</v>
      </c>
      <c r="H2954" t="s">
        <v>1860</v>
      </c>
      <c r="I2954" t="s">
        <v>1861</v>
      </c>
      <c r="J2954" t="s">
        <v>668</v>
      </c>
      <c r="K2954" s="3">
        <v>100332081259</v>
      </c>
      <c r="L2954" s="10">
        <v>40922</v>
      </c>
      <c r="M2954">
        <v>312.03</v>
      </c>
      <c r="N2954" s="11">
        <v>11</v>
      </c>
      <c r="O2954" s="12">
        <v>29.99</v>
      </c>
      <c r="P2954" s="12">
        <v>5.5</v>
      </c>
      <c r="Q2954" s="13">
        <v>-66.66</v>
      </c>
      <c r="R2954" s="36" t="s">
        <v>939</v>
      </c>
      <c r="S2954" s="7">
        <f t="shared" si="247"/>
        <v>2</v>
      </c>
      <c r="T2954" s="15" t="str">
        <f>VLOOKUP(R2954,产品分类!$C$2:$D$1278,2,0)</f>
        <v>办公用品</v>
      </c>
    </row>
    <row r="2955" spans="1:20">
      <c r="A2955" s="8">
        <f t="shared" si="248"/>
        <v>40920</v>
      </c>
      <c r="B2955" s="8">
        <f t="shared" si="248"/>
        <v>40920</v>
      </c>
      <c r="C2955" s="9" t="s">
        <v>619</v>
      </c>
      <c r="D2955">
        <v>10021421923</v>
      </c>
      <c r="E2955" t="s">
        <v>47</v>
      </c>
      <c r="F2955" t="s">
        <v>48</v>
      </c>
      <c r="G2955" t="s">
        <v>49</v>
      </c>
      <c r="H2955" t="s">
        <v>2032</v>
      </c>
      <c r="I2955" t="s">
        <v>2033</v>
      </c>
      <c r="J2955" t="s">
        <v>668</v>
      </c>
      <c r="K2955" s="3">
        <v>100126461696</v>
      </c>
      <c r="L2955" s="10">
        <v>40923</v>
      </c>
      <c r="M2955">
        <v>145.93</v>
      </c>
      <c r="N2955" s="11">
        <v>27</v>
      </c>
      <c r="O2955" s="12">
        <v>4.98</v>
      </c>
      <c r="P2955" s="12">
        <v>7.44</v>
      </c>
      <c r="Q2955" s="13">
        <v>-113.32</v>
      </c>
      <c r="R2955" s="36" t="s">
        <v>287</v>
      </c>
      <c r="S2955" s="7">
        <f t="shared" si="247"/>
        <v>3</v>
      </c>
      <c r="T2955" s="15" t="str">
        <f>VLOOKUP(R2955,产品分类!$C$2:$D$1278,2,0)</f>
        <v>办公用品</v>
      </c>
    </row>
    <row r="2956" spans="1:20">
      <c r="A2956" s="8">
        <f>DATE(2012,12,31)-1431</f>
        <v>39843</v>
      </c>
      <c r="B2956" s="8">
        <f>DATE(2012,12,31)-1431</f>
        <v>39843</v>
      </c>
      <c r="C2956" s="9" t="s">
        <v>2102</v>
      </c>
      <c r="D2956">
        <v>10021419185</v>
      </c>
      <c r="E2956" t="s">
        <v>47</v>
      </c>
      <c r="F2956" t="s">
        <v>48</v>
      </c>
      <c r="G2956" t="s">
        <v>49</v>
      </c>
      <c r="H2956" t="s">
        <v>2032</v>
      </c>
      <c r="I2956" t="s">
        <v>2033</v>
      </c>
      <c r="J2956" t="s">
        <v>668</v>
      </c>
      <c r="K2956" s="3">
        <v>100123304198</v>
      </c>
      <c r="L2956" s="10">
        <v>39848</v>
      </c>
      <c r="M2956">
        <v>16066.85</v>
      </c>
      <c r="N2956" s="11">
        <v>31</v>
      </c>
      <c r="O2956" s="12">
        <v>574.74</v>
      </c>
      <c r="P2956" s="12">
        <v>24.49</v>
      </c>
      <c r="Q2956" s="13">
        <v>7416.43</v>
      </c>
      <c r="R2956" s="36" t="s">
        <v>1526</v>
      </c>
      <c r="S2956" s="7">
        <f t="shared" si="247"/>
        <v>5</v>
      </c>
      <c r="T2956" s="15" t="str">
        <f>VLOOKUP(R2956,产品分类!$C$2:$D$1278,2,0)</f>
        <v>办公用品</v>
      </c>
    </row>
    <row r="2957" spans="1:20">
      <c r="A2957" s="8">
        <f>DATE(2012,12,31)-244</f>
        <v>41030</v>
      </c>
      <c r="B2957" s="8">
        <f>DATE(2012,12,31)-244</f>
        <v>41030</v>
      </c>
      <c r="C2957" s="9" t="s">
        <v>1254</v>
      </c>
      <c r="D2957">
        <v>10021444233</v>
      </c>
      <c r="E2957" t="s">
        <v>47</v>
      </c>
      <c r="F2957" t="s">
        <v>152</v>
      </c>
      <c r="G2957" t="s">
        <v>153</v>
      </c>
      <c r="H2957" t="s">
        <v>1860</v>
      </c>
      <c r="I2957" t="s">
        <v>1861</v>
      </c>
      <c r="J2957" t="s">
        <v>668</v>
      </c>
      <c r="K2957" s="3">
        <v>10046143853</v>
      </c>
      <c r="L2957" s="10">
        <v>41032</v>
      </c>
      <c r="M2957">
        <v>2101.59</v>
      </c>
      <c r="N2957" s="11">
        <v>16</v>
      </c>
      <c r="O2957" s="12">
        <v>123.38</v>
      </c>
      <c r="P2957" s="12">
        <v>24.49</v>
      </c>
      <c r="Q2957" s="13">
        <v>554.91</v>
      </c>
      <c r="R2957" s="36" t="s">
        <v>1456</v>
      </c>
      <c r="S2957" s="7">
        <f t="shared" si="247"/>
        <v>2</v>
      </c>
      <c r="T2957" s="15" t="str">
        <f>VLOOKUP(R2957,产品分类!$C$2:$D$1278,2,0)</f>
        <v>数码电子</v>
      </c>
    </row>
    <row r="2958" spans="1:20">
      <c r="A2958" s="8">
        <f>DATE(2012,12,31)-537</f>
        <v>40737</v>
      </c>
      <c r="B2958" s="8">
        <f>DATE(2012,12,31)-537</f>
        <v>40737</v>
      </c>
      <c r="C2958" s="9" t="s">
        <v>2007</v>
      </c>
      <c r="D2958">
        <v>10021497842</v>
      </c>
      <c r="E2958" t="s">
        <v>47</v>
      </c>
      <c r="F2958" t="s">
        <v>48</v>
      </c>
      <c r="G2958" t="s">
        <v>49</v>
      </c>
      <c r="H2958" t="s">
        <v>2032</v>
      </c>
      <c r="I2958" t="s">
        <v>2033</v>
      </c>
      <c r="J2958" t="s">
        <v>668</v>
      </c>
      <c r="K2958" s="3">
        <v>100420045603</v>
      </c>
      <c r="L2958" s="10">
        <v>40739</v>
      </c>
      <c r="M2958">
        <v>137.07</v>
      </c>
      <c r="N2958" s="11">
        <v>38</v>
      </c>
      <c r="O2958" s="12">
        <v>3.52</v>
      </c>
      <c r="P2958" s="12">
        <v>6.83</v>
      </c>
      <c r="Q2958" s="13">
        <v>-199.295</v>
      </c>
      <c r="R2958" s="36" t="s">
        <v>1969</v>
      </c>
      <c r="S2958" s="7">
        <f t="shared" si="247"/>
        <v>2</v>
      </c>
      <c r="T2958" s="15" t="str">
        <f>VLOOKUP(R2958,产品分类!$C$2:$D$1278,2,0)</f>
        <v>办公用品</v>
      </c>
    </row>
    <row r="2959" spans="1:20">
      <c r="A2959" s="8">
        <f>DATE(2012,12,31)-537</f>
        <v>40737</v>
      </c>
      <c r="B2959" s="8">
        <f>DATE(2012,12,31)-537</f>
        <v>40737</v>
      </c>
      <c r="C2959" s="9" t="s">
        <v>2007</v>
      </c>
      <c r="D2959">
        <v>10021522629</v>
      </c>
      <c r="E2959" t="s">
        <v>47</v>
      </c>
      <c r="F2959" t="s">
        <v>78</v>
      </c>
      <c r="G2959" t="s">
        <v>79</v>
      </c>
      <c r="H2959" t="s">
        <v>1887</v>
      </c>
      <c r="I2959" t="s">
        <v>1888</v>
      </c>
      <c r="J2959" t="s">
        <v>668</v>
      </c>
      <c r="K2959" s="3">
        <v>10089970122</v>
      </c>
      <c r="L2959" s="10">
        <v>40738</v>
      </c>
      <c r="M2959">
        <v>203.99</v>
      </c>
      <c r="N2959" s="11">
        <v>28</v>
      </c>
      <c r="O2959" s="12">
        <v>7.28</v>
      </c>
      <c r="P2959" s="12">
        <v>4.23</v>
      </c>
      <c r="Q2959" s="13">
        <v>-8.51</v>
      </c>
      <c r="R2959" s="36" t="s">
        <v>2103</v>
      </c>
      <c r="S2959" s="7">
        <f t="shared" si="247"/>
        <v>1</v>
      </c>
      <c r="T2959" s="15" t="str">
        <f>VLOOKUP(R2959,产品分类!$C$2:$D$1278,2,0)</f>
        <v>家具产品</v>
      </c>
    </row>
    <row r="2960" spans="1:20">
      <c r="A2960" s="8">
        <f t="shared" ref="A2960:B2963" si="249">DATE(2012,12,31)-607</f>
        <v>40667</v>
      </c>
      <c r="B2960" s="8">
        <f t="shared" si="249"/>
        <v>40667</v>
      </c>
      <c r="C2960" s="9" t="s">
        <v>1865</v>
      </c>
      <c r="D2960">
        <v>10021532504</v>
      </c>
      <c r="E2960" t="s">
        <v>47</v>
      </c>
      <c r="F2960" t="s">
        <v>72</v>
      </c>
      <c r="G2960" t="s">
        <v>73</v>
      </c>
      <c r="H2960" t="s">
        <v>2008</v>
      </c>
      <c r="I2960" t="s">
        <v>2009</v>
      </c>
      <c r="J2960" t="s">
        <v>668</v>
      </c>
      <c r="K2960" s="3">
        <v>100331545219</v>
      </c>
      <c r="L2960" s="10">
        <v>40669</v>
      </c>
      <c r="M2960">
        <v>117.91</v>
      </c>
      <c r="N2960" s="11">
        <v>34</v>
      </c>
      <c r="O2960" s="12">
        <v>3.38</v>
      </c>
      <c r="P2960" s="12">
        <v>1.09</v>
      </c>
      <c r="Q2960" s="13">
        <v>29.27</v>
      </c>
      <c r="R2960" s="36" t="s">
        <v>2104</v>
      </c>
      <c r="S2960" s="7">
        <f t="shared" si="247"/>
        <v>2</v>
      </c>
      <c r="T2960" s="15" t="str">
        <f>VLOOKUP(R2960,产品分类!$C$2:$D$1278,2,0)</f>
        <v>办公用品</v>
      </c>
    </row>
    <row r="2961" spans="1:20">
      <c r="A2961" s="8">
        <f t="shared" si="249"/>
        <v>40667</v>
      </c>
      <c r="B2961" s="8">
        <f t="shared" si="249"/>
        <v>40667</v>
      </c>
      <c r="C2961" s="9" t="s">
        <v>1865</v>
      </c>
      <c r="D2961">
        <v>10021497529</v>
      </c>
      <c r="E2961" t="s">
        <v>47</v>
      </c>
      <c r="F2961" t="s">
        <v>78</v>
      </c>
      <c r="G2961" t="s">
        <v>79</v>
      </c>
      <c r="H2961" t="s">
        <v>1887</v>
      </c>
      <c r="I2961" t="s">
        <v>1888</v>
      </c>
      <c r="J2961" t="s">
        <v>668</v>
      </c>
      <c r="K2961" s="3">
        <v>100118373738</v>
      </c>
      <c r="L2961" s="10">
        <v>40669</v>
      </c>
      <c r="M2961">
        <v>3644.6</v>
      </c>
      <c r="N2961" s="11">
        <v>46</v>
      </c>
      <c r="O2961" s="12">
        <v>80.98</v>
      </c>
      <c r="P2961" s="12">
        <v>35</v>
      </c>
      <c r="Q2961" s="13">
        <v>-1144.67</v>
      </c>
      <c r="R2961" s="36" t="s">
        <v>1459</v>
      </c>
      <c r="S2961" s="7">
        <f t="shared" si="247"/>
        <v>2</v>
      </c>
      <c r="T2961" s="15" t="str">
        <f>VLOOKUP(R2961,产品分类!$C$2:$D$1278,2,0)</f>
        <v>办公用品</v>
      </c>
    </row>
    <row r="2962" spans="1:20">
      <c r="A2962" s="8">
        <f t="shared" si="249"/>
        <v>40667</v>
      </c>
      <c r="B2962" s="8">
        <f t="shared" si="249"/>
        <v>40667</v>
      </c>
      <c r="C2962" s="9" t="s">
        <v>1865</v>
      </c>
      <c r="D2962">
        <v>10021427471</v>
      </c>
      <c r="E2962" t="s">
        <v>47</v>
      </c>
      <c r="F2962" t="s">
        <v>72</v>
      </c>
      <c r="G2962" t="s">
        <v>73</v>
      </c>
      <c r="H2962" t="s">
        <v>2008</v>
      </c>
      <c r="I2962" t="s">
        <v>2009</v>
      </c>
      <c r="J2962" t="s">
        <v>668</v>
      </c>
      <c r="K2962" s="3">
        <v>100110476336</v>
      </c>
      <c r="L2962" s="10">
        <v>40668</v>
      </c>
      <c r="M2962">
        <v>3491.613</v>
      </c>
      <c r="N2962" s="11">
        <v>33</v>
      </c>
      <c r="O2962" s="12">
        <v>125.99</v>
      </c>
      <c r="P2962" s="12">
        <v>5.63</v>
      </c>
      <c r="Q2962" s="13">
        <v>717.696</v>
      </c>
      <c r="R2962" s="36" t="s">
        <v>1116</v>
      </c>
      <c r="S2962" s="7">
        <f t="shared" si="247"/>
        <v>1</v>
      </c>
      <c r="T2962" s="15" t="str">
        <f>VLOOKUP(R2962,产品分类!$C$2:$D$1278,2,0)</f>
        <v>办公用品</v>
      </c>
    </row>
    <row r="2963" spans="1:20">
      <c r="A2963" s="16">
        <f t="shared" si="249"/>
        <v>40667</v>
      </c>
      <c r="B2963" s="16">
        <f t="shared" si="249"/>
        <v>40667</v>
      </c>
      <c r="C2963" s="9" t="s">
        <v>1865</v>
      </c>
      <c r="D2963">
        <v>10021416415</v>
      </c>
      <c r="E2963" t="s">
        <v>47</v>
      </c>
      <c r="F2963" t="s">
        <v>78</v>
      </c>
      <c r="G2963" t="s">
        <v>79</v>
      </c>
      <c r="H2963" t="s">
        <v>2105</v>
      </c>
      <c r="I2963" t="s">
        <v>2106</v>
      </c>
      <c r="J2963" t="s">
        <v>668</v>
      </c>
      <c r="K2963" s="3">
        <v>100914704221</v>
      </c>
      <c r="L2963" s="10">
        <v>40667</v>
      </c>
      <c r="M2963">
        <v>103.6</v>
      </c>
      <c r="N2963" s="17">
        <v>43</v>
      </c>
      <c r="O2963" s="5">
        <v>2.52</v>
      </c>
      <c r="P2963" s="5">
        <v>1.92</v>
      </c>
      <c r="Q2963" s="6">
        <v>-72.86</v>
      </c>
      <c r="R2963" s="37" t="s">
        <v>1046</v>
      </c>
      <c r="S2963" s="7">
        <f t="shared" si="247"/>
        <v>0</v>
      </c>
      <c r="T2963" s="15" t="str">
        <f>VLOOKUP(R2963,产品分类!$C$2:$D$1278,2,0)</f>
        <v>家具产品</v>
      </c>
    </row>
    <row r="2964" spans="1:20">
      <c r="A2964" s="8">
        <f>DATE(2012,12,31)-1102</f>
        <v>40172</v>
      </c>
      <c r="B2964" s="8">
        <f>DATE(2012,12,31)-1102</f>
        <v>40172</v>
      </c>
      <c r="C2964" s="9" t="s">
        <v>1900</v>
      </c>
      <c r="D2964">
        <v>10021452900</v>
      </c>
      <c r="E2964" t="s">
        <v>47</v>
      </c>
      <c r="F2964" t="s">
        <v>72</v>
      </c>
      <c r="G2964" t="s">
        <v>73</v>
      </c>
      <c r="H2964" t="s">
        <v>2008</v>
      </c>
      <c r="I2964" t="s">
        <v>2009</v>
      </c>
      <c r="J2964" t="s">
        <v>668</v>
      </c>
      <c r="K2964" s="3">
        <v>100931532971</v>
      </c>
      <c r="L2964" s="10">
        <v>40179</v>
      </c>
      <c r="M2964">
        <v>2962.96</v>
      </c>
      <c r="N2964" s="11">
        <v>48</v>
      </c>
      <c r="O2964" s="12">
        <v>58.14</v>
      </c>
      <c r="P2964" s="12">
        <v>36.61</v>
      </c>
      <c r="Q2964" s="13">
        <v>-612.94</v>
      </c>
      <c r="R2964" s="36" t="s">
        <v>1368</v>
      </c>
      <c r="S2964" s="7">
        <f t="shared" si="247"/>
        <v>7</v>
      </c>
      <c r="T2964" s="15" t="str">
        <f>VLOOKUP(R2964,产品分类!$C$2:$D$1278,2,0)</f>
        <v>数码电子</v>
      </c>
    </row>
    <row r="2965" spans="1:20">
      <c r="A2965" s="8">
        <f>DATE(2012,12,31)-1102</f>
        <v>40172</v>
      </c>
      <c r="B2965" s="8">
        <f>DATE(2012,12,31)-1102</f>
        <v>40172</v>
      </c>
      <c r="C2965" s="9" t="s">
        <v>1900</v>
      </c>
      <c r="D2965">
        <v>10021395291</v>
      </c>
      <c r="E2965" t="s">
        <v>47</v>
      </c>
      <c r="F2965" t="s">
        <v>230</v>
      </c>
      <c r="G2965" t="s">
        <v>231</v>
      </c>
      <c r="H2965" t="s">
        <v>1798</v>
      </c>
      <c r="I2965" t="s">
        <v>1799</v>
      </c>
      <c r="J2965" t="s">
        <v>668</v>
      </c>
      <c r="K2965" s="3">
        <v>10049462324</v>
      </c>
      <c r="L2965" s="10">
        <v>40179</v>
      </c>
      <c r="M2965">
        <v>782.93</v>
      </c>
      <c r="N2965" s="11">
        <v>48</v>
      </c>
      <c r="O2965" s="12">
        <v>15.57</v>
      </c>
      <c r="P2965" s="12">
        <v>1.39</v>
      </c>
      <c r="Q2965" s="13">
        <v>401.07</v>
      </c>
      <c r="R2965" s="36" t="s">
        <v>843</v>
      </c>
      <c r="S2965" s="7">
        <f t="shared" si="247"/>
        <v>7</v>
      </c>
      <c r="T2965" s="15" t="str">
        <f>VLOOKUP(R2965,产品分类!$C$2:$D$1278,2,0)</f>
        <v>办公用品</v>
      </c>
    </row>
    <row r="2966" spans="1:20">
      <c r="A2966" s="8">
        <f>DATE(2012,12,31)-626</f>
        <v>40648</v>
      </c>
      <c r="B2966" s="8">
        <f>DATE(2012,12,31)-626</f>
        <v>40648</v>
      </c>
      <c r="C2966" s="9" t="s">
        <v>1161</v>
      </c>
      <c r="D2966">
        <v>10021281987</v>
      </c>
      <c r="E2966" t="s">
        <v>47</v>
      </c>
      <c r="F2966" t="s">
        <v>230</v>
      </c>
      <c r="G2966" t="s">
        <v>231</v>
      </c>
      <c r="H2966" t="s">
        <v>1798</v>
      </c>
      <c r="I2966" t="s">
        <v>1799</v>
      </c>
      <c r="J2966" t="s">
        <v>668</v>
      </c>
      <c r="K2966" s="3">
        <v>100324286819</v>
      </c>
      <c r="L2966" s="10">
        <v>40649</v>
      </c>
      <c r="M2966">
        <v>34.16</v>
      </c>
      <c r="N2966" s="11">
        <v>17</v>
      </c>
      <c r="O2966" s="12">
        <v>2.1</v>
      </c>
      <c r="P2966" s="12">
        <v>0.7</v>
      </c>
      <c r="Q2966" s="13">
        <v>-2.29</v>
      </c>
      <c r="R2966" s="36" t="s">
        <v>1959</v>
      </c>
      <c r="S2966" s="7">
        <f t="shared" si="247"/>
        <v>1</v>
      </c>
      <c r="T2966" s="15" t="str">
        <f>VLOOKUP(R2966,产品分类!$C$2:$D$1278,2,0)</f>
        <v>办公用品</v>
      </c>
    </row>
    <row r="2967" spans="1:20">
      <c r="A2967" s="16">
        <f>DATE(2012,12,31)-1140</f>
        <v>40134</v>
      </c>
      <c r="B2967" s="16">
        <f>DATE(2012,12,31)-1140</f>
        <v>40134</v>
      </c>
      <c r="C2967" s="9" t="s">
        <v>1015</v>
      </c>
      <c r="D2967">
        <v>10021339531</v>
      </c>
      <c r="E2967" t="s">
        <v>47</v>
      </c>
      <c r="F2967" t="s">
        <v>114</v>
      </c>
      <c r="G2967" t="s">
        <v>115</v>
      </c>
      <c r="H2967" t="s">
        <v>2035</v>
      </c>
      <c r="I2967" t="s">
        <v>2036</v>
      </c>
      <c r="J2967" t="s">
        <v>668</v>
      </c>
      <c r="K2967" s="3">
        <v>100125123476</v>
      </c>
      <c r="L2967" s="10">
        <v>40138</v>
      </c>
      <c r="M2967">
        <v>75.15</v>
      </c>
      <c r="N2967" s="17">
        <v>14</v>
      </c>
      <c r="O2967" s="5">
        <v>4.06</v>
      </c>
      <c r="P2967" s="5">
        <v>6.89</v>
      </c>
      <c r="Q2967" s="6">
        <v>-63.53</v>
      </c>
      <c r="R2967" s="37" t="s">
        <v>1285</v>
      </c>
      <c r="S2967" s="7">
        <f t="shared" si="247"/>
        <v>4</v>
      </c>
      <c r="T2967" s="15" t="str">
        <f>VLOOKUP(R2967,产品分类!$C$2:$D$1278,2,0)</f>
        <v>办公用品</v>
      </c>
    </row>
    <row r="2968" spans="1:20">
      <c r="A2968" s="8">
        <f>DATE(2012,12,31)-1140</f>
        <v>40134</v>
      </c>
      <c r="B2968" s="8">
        <f>DATE(2012,12,31)-1140</f>
        <v>40134</v>
      </c>
      <c r="C2968" s="9" t="s">
        <v>1015</v>
      </c>
      <c r="D2968">
        <v>10021251521</v>
      </c>
      <c r="E2968" t="s">
        <v>47</v>
      </c>
      <c r="F2968" t="s">
        <v>114</v>
      </c>
      <c r="G2968" t="s">
        <v>115</v>
      </c>
      <c r="H2968" t="s">
        <v>2035</v>
      </c>
      <c r="I2968" t="s">
        <v>2036</v>
      </c>
      <c r="J2968" t="s">
        <v>668</v>
      </c>
      <c r="K2968" s="3">
        <v>100910582591</v>
      </c>
      <c r="L2968" s="10">
        <v>40138</v>
      </c>
      <c r="M2968">
        <v>400.45</v>
      </c>
      <c r="N2968" s="11">
        <v>43</v>
      </c>
      <c r="O2968" s="12">
        <v>9.49</v>
      </c>
      <c r="P2968" s="12">
        <v>5.76</v>
      </c>
      <c r="Q2968" s="13">
        <v>-38.5758</v>
      </c>
      <c r="R2968" s="36" t="s">
        <v>2107</v>
      </c>
      <c r="S2968" s="7">
        <f t="shared" si="247"/>
        <v>4</v>
      </c>
      <c r="T2968" s="15" t="str">
        <f>VLOOKUP(R2968,产品分类!$C$2:$D$1278,2,0)</f>
        <v>办公用品</v>
      </c>
    </row>
    <row r="2969" spans="1:20">
      <c r="A2969" s="8">
        <f>DATE(2012,12,31)-942</f>
        <v>40332</v>
      </c>
      <c r="B2969" s="8">
        <f>DATE(2012,12,31)-942</f>
        <v>40332</v>
      </c>
      <c r="C2969" s="9" t="s">
        <v>534</v>
      </c>
      <c r="D2969">
        <v>10021500979</v>
      </c>
      <c r="E2969" t="s">
        <v>47</v>
      </c>
      <c r="F2969" t="s">
        <v>473</v>
      </c>
      <c r="G2969" t="s">
        <v>474</v>
      </c>
      <c r="H2969" t="s">
        <v>475</v>
      </c>
      <c r="I2969" t="s">
        <v>476</v>
      </c>
      <c r="J2969" t="s">
        <v>668</v>
      </c>
      <c r="K2969" s="3">
        <v>100926890131</v>
      </c>
      <c r="L2969" s="10">
        <v>40334</v>
      </c>
      <c r="M2969">
        <v>176.24</v>
      </c>
      <c r="N2969" s="11">
        <v>15</v>
      </c>
      <c r="O2969" s="12">
        <v>10.98</v>
      </c>
      <c r="P2969" s="12">
        <v>3.37</v>
      </c>
      <c r="Q2969" s="13">
        <v>9.85</v>
      </c>
      <c r="R2969" s="36" t="s">
        <v>1792</v>
      </c>
      <c r="S2969" s="7">
        <f t="shared" si="247"/>
        <v>2</v>
      </c>
      <c r="T2969" s="15" t="str">
        <f>VLOOKUP(R2969,产品分类!$C$2:$D$1278,2,0)</f>
        <v>办公用品</v>
      </c>
    </row>
    <row r="2970" spans="1:20">
      <c r="A2970" s="8">
        <f>DATE(2012,12,31)-680</f>
        <v>40594</v>
      </c>
      <c r="B2970" s="8">
        <f>DATE(2012,12,31)-680</f>
        <v>40594</v>
      </c>
      <c r="C2970" s="9" t="s">
        <v>1054</v>
      </c>
      <c r="D2970">
        <v>10021251483</v>
      </c>
      <c r="E2970" t="s">
        <v>47</v>
      </c>
      <c r="F2970" t="s">
        <v>114</v>
      </c>
      <c r="G2970" t="s">
        <v>115</v>
      </c>
      <c r="H2970" t="s">
        <v>2108</v>
      </c>
      <c r="I2970" t="s">
        <v>2109</v>
      </c>
      <c r="J2970" t="s">
        <v>668</v>
      </c>
      <c r="K2970" s="3">
        <v>10019528628</v>
      </c>
      <c r="L2970" s="10">
        <v>40596</v>
      </c>
      <c r="M2970">
        <v>538.14</v>
      </c>
      <c r="N2970" s="11">
        <v>39</v>
      </c>
      <c r="O2970" s="12">
        <v>14.48</v>
      </c>
      <c r="P2970" s="12">
        <v>1.99</v>
      </c>
      <c r="Q2970" s="13">
        <v>111.42</v>
      </c>
      <c r="R2970" s="36" t="s">
        <v>696</v>
      </c>
      <c r="S2970" s="7">
        <f t="shared" si="247"/>
        <v>2</v>
      </c>
      <c r="T2970" s="15" t="str">
        <f>VLOOKUP(R2970,产品分类!$C$2:$D$1278,2,0)</f>
        <v>办公用品</v>
      </c>
    </row>
    <row r="2971" spans="1:20">
      <c r="A2971" s="8">
        <f>DATE(2012,12,31)-680</f>
        <v>40594</v>
      </c>
      <c r="B2971" s="8">
        <f>DATE(2012,12,31)-680</f>
        <v>40594</v>
      </c>
      <c r="C2971" s="9" t="s">
        <v>1054</v>
      </c>
      <c r="D2971">
        <v>10021493326</v>
      </c>
      <c r="E2971" t="s">
        <v>47</v>
      </c>
      <c r="F2971" t="s">
        <v>91</v>
      </c>
      <c r="G2971" t="s">
        <v>92</v>
      </c>
      <c r="H2971" t="s">
        <v>2053</v>
      </c>
      <c r="I2971" t="s">
        <v>2054</v>
      </c>
      <c r="J2971" t="s">
        <v>668</v>
      </c>
      <c r="K2971" s="3">
        <v>10071396975</v>
      </c>
      <c r="L2971" s="10">
        <v>40595</v>
      </c>
      <c r="M2971">
        <v>4956.784</v>
      </c>
      <c r="N2971" s="11">
        <v>15</v>
      </c>
      <c r="O2971" s="12">
        <v>417.4</v>
      </c>
      <c r="P2971" s="12">
        <v>75.23</v>
      </c>
      <c r="Q2971" s="13">
        <v>-296.06</v>
      </c>
      <c r="R2971" s="36" t="s">
        <v>2110</v>
      </c>
      <c r="S2971" s="7">
        <f t="shared" si="247"/>
        <v>1</v>
      </c>
      <c r="T2971" s="15" t="str">
        <f>VLOOKUP(R2971,产品分类!$C$2:$D$1278,2,0)</f>
        <v>办公用品</v>
      </c>
    </row>
    <row r="2972" spans="1:20">
      <c r="A2972" s="8">
        <f>DATE(2012,12,31)-590</f>
        <v>40684</v>
      </c>
      <c r="B2972" s="8">
        <f>DATE(2012,12,31)-590</f>
        <v>40684</v>
      </c>
      <c r="C2972" s="9" t="s">
        <v>1761</v>
      </c>
      <c r="D2972">
        <v>10021249230</v>
      </c>
      <c r="E2972" t="s">
        <v>47</v>
      </c>
      <c r="F2972" t="s">
        <v>122</v>
      </c>
      <c r="G2972" t="s">
        <v>123</v>
      </c>
      <c r="H2972" t="s">
        <v>124</v>
      </c>
      <c r="I2972" t="s">
        <v>125</v>
      </c>
      <c r="J2972" t="s">
        <v>668</v>
      </c>
      <c r="K2972" s="3">
        <v>10074283535</v>
      </c>
      <c r="L2972" s="10">
        <v>40684</v>
      </c>
      <c r="M2972">
        <v>189.73</v>
      </c>
      <c r="N2972" s="11">
        <v>7</v>
      </c>
      <c r="O2972" s="12">
        <v>24.95</v>
      </c>
      <c r="P2972" s="12">
        <v>2.99</v>
      </c>
      <c r="Q2972" s="13">
        <v>43.1715</v>
      </c>
      <c r="R2972" s="36" t="s">
        <v>646</v>
      </c>
      <c r="S2972" s="7">
        <f t="shared" si="247"/>
        <v>0</v>
      </c>
      <c r="T2972" s="15" t="str">
        <f>VLOOKUP(R2972,产品分类!$C$2:$D$1278,2,0)</f>
        <v>数码电子</v>
      </c>
    </row>
    <row r="2973" spans="1:20">
      <c r="A2973" s="8">
        <f>DATE(2012,12,31)-590</f>
        <v>40684</v>
      </c>
      <c r="B2973" s="8">
        <f>DATE(2012,12,31)-590</f>
        <v>40684</v>
      </c>
      <c r="C2973" s="9" t="s">
        <v>1761</v>
      </c>
      <c r="D2973">
        <v>10021386250</v>
      </c>
      <c r="E2973" t="s">
        <v>47</v>
      </c>
      <c r="F2973" t="s">
        <v>91</v>
      </c>
      <c r="G2973" t="s">
        <v>92</v>
      </c>
      <c r="H2973" t="s">
        <v>2053</v>
      </c>
      <c r="I2973" t="s">
        <v>2054</v>
      </c>
      <c r="J2973" t="s">
        <v>668</v>
      </c>
      <c r="K2973" s="3">
        <v>10047908673</v>
      </c>
      <c r="L2973" s="10">
        <v>40686</v>
      </c>
      <c r="M2973">
        <v>278.8</v>
      </c>
      <c r="N2973" s="11">
        <v>40</v>
      </c>
      <c r="O2973" s="12">
        <v>6.88</v>
      </c>
      <c r="P2973" s="12">
        <v>2</v>
      </c>
      <c r="Q2973" s="13">
        <v>77.71</v>
      </c>
      <c r="R2973" s="36" t="s">
        <v>383</v>
      </c>
      <c r="S2973" s="7">
        <f t="shared" si="247"/>
        <v>2</v>
      </c>
      <c r="T2973" s="15" t="str">
        <f>VLOOKUP(R2973,产品分类!$C$2:$D$1278,2,0)</f>
        <v>办公用品</v>
      </c>
    </row>
    <row r="2974" spans="1:20">
      <c r="A2974" s="8">
        <f>DATE(2012,12,31)-304</f>
        <v>40970</v>
      </c>
      <c r="B2974" s="8">
        <f>DATE(2012,12,31)-304</f>
        <v>40970</v>
      </c>
      <c r="C2974" s="9" t="s">
        <v>111</v>
      </c>
      <c r="D2974">
        <v>10021422216</v>
      </c>
      <c r="E2974" t="s">
        <v>47</v>
      </c>
      <c r="F2974" t="s">
        <v>122</v>
      </c>
      <c r="G2974" t="s">
        <v>123</v>
      </c>
      <c r="H2974" t="s">
        <v>124</v>
      </c>
      <c r="I2974" t="s">
        <v>125</v>
      </c>
      <c r="J2974" t="s">
        <v>668</v>
      </c>
      <c r="K2974" s="3">
        <v>100426831244</v>
      </c>
      <c r="L2974" s="10">
        <v>40972</v>
      </c>
      <c r="M2974">
        <v>423.07</v>
      </c>
      <c r="N2974" s="11">
        <v>16</v>
      </c>
      <c r="O2974" s="12">
        <v>25.38</v>
      </c>
      <c r="P2974" s="12">
        <v>8.99</v>
      </c>
      <c r="Q2974" s="13">
        <v>126.95</v>
      </c>
      <c r="R2974" s="36" t="s">
        <v>992</v>
      </c>
      <c r="S2974" s="7">
        <f t="shared" si="247"/>
        <v>2</v>
      </c>
      <c r="T2974" s="15" t="str">
        <f>VLOOKUP(R2974,产品分类!$C$2:$D$1278,2,0)</f>
        <v>数码电子</v>
      </c>
    </row>
    <row r="2975" spans="1:20">
      <c r="A2975" s="8">
        <f>DATE(2012,12,31)-304</f>
        <v>40970</v>
      </c>
      <c r="B2975" s="8">
        <f>DATE(2012,12,31)-304</f>
        <v>40970</v>
      </c>
      <c r="C2975" s="9" t="s">
        <v>111</v>
      </c>
      <c r="D2975">
        <v>10021521478</v>
      </c>
      <c r="E2975" t="s">
        <v>47</v>
      </c>
      <c r="F2975" t="s">
        <v>253</v>
      </c>
      <c r="G2975" t="s">
        <v>254</v>
      </c>
      <c r="H2975" t="s">
        <v>1998</v>
      </c>
      <c r="I2975" t="s">
        <v>1999</v>
      </c>
      <c r="J2975" t="s">
        <v>668</v>
      </c>
      <c r="K2975" s="3">
        <v>10092624061</v>
      </c>
      <c r="L2975" s="10">
        <v>40974</v>
      </c>
      <c r="M2975">
        <v>1602.21</v>
      </c>
      <c r="N2975" s="11">
        <v>33</v>
      </c>
      <c r="O2975" s="12">
        <v>48.04</v>
      </c>
      <c r="P2975" s="12">
        <v>5.79</v>
      </c>
      <c r="Q2975" s="13">
        <v>728.49</v>
      </c>
      <c r="R2975" s="36" t="s">
        <v>2111</v>
      </c>
      <c r="S2975" s="7">
        <f t="shared" si="247"/>
        <v>4</v>
      </c>
      <c r="T2975" s="15" t="str">
        <f>VLOOKUP(R2975,产品分类!$C$2:$D$1278,2,0)</f>
        <v>数码电子</v>
      </c>
    </row>
    <row r="2976" spans="1:20">
      <c r="A2976" s="8">
        <f>DATE(2012,12,31)-1221</f>
        <v>40053</v>
      </c>
      <c r="B2976" s="8">
        <f>DATE(2012,12,31)-1221</f>
        <v>40053</v>
      </c>
      <c r="C2976" s="9" t="s">
        <v>2071</v>
      </c>
      <c r="D2976">
        <v>10021432266</v>
      </c>
      <c r="E2976" t="s">
        <v>47</v>
      </c>
      <c r="F2976" t="s">
        <v>91</v>
      </c>
      <c r="G2976" t="s">
        <v>92</v>
      </c>
      <c r="H2976" t="s">
        <v>2053</v>
      </c>
      <c r="I2976" t="s">
        <v>2054</v>
      </c>
      <c r="J2976" t="s">
        <v>668</v>
      </c>
      <c r="K2976" s="3">
        <v>100932296081</v>
      </c>
      <c r="L2976" s="10">
        <v>40054</v>
      </c>
      <c r="M2976">
        <v>291.16</v>
      </c>
      <c r="N2976" s="11">
        <v>41</v>
      </c>
      <c r="O2976" s="12">
        <v>6.48</v>
      </c>
      <c r="P2976" s="12">
        <v>6.57</v>
      </c>
      <c r="Q2976" s="13">
        <v>-89.47</v>
      </c>
      <c r="R2976" s="36" t="s">
        <v>1945</v>
      </c>
      <c r="S2976" s="7">
        <f t="shared" si="247"/>
        <v>1</v>
      </c>
      <c r="T2976" s="15" t="str">
        <f>VLOOKUP(R2976,产品分类!$C$2:$D$1278,2,0)</f>
        <v>办公用品</v>
      </c>
    </row>
    <row r="2977" spans="1:20">
      <c r="A2977" s="8">
        <f>DATE(2012,12,31)-28</f>
        <v>41246</v>
      </c>
      <c r="B2977" s="8">
        <f>DATE(2012,12,31)-28</f>
        <v>41246</v>
      </c>
      <c r="C2977" s="9" t="s">
        <v>1786</v>
      </c>
      <c r="D2977">
        <v>10021443818</v>
      </c>
      <c r="E2977" t="s">
        <v>47</v>
      </c>
      <c r="F2977" t="s">
        <v>122</v>
      </c>
      <c r="G2977" t="s">
        <v>123</v>
      </c>
      <c r="H2977" t="s">
        <v>124</v>
      </c>
      <c r="I2977" t="s">
        <v>125</v>
      </c>
      <c r="J2977" t="s">
        <v>668</v>
      </c>
      <c r="K2977" s="3">
        <v>10092472141</v>
      </c>
      <c r="L2977" s="10">
        <v>41246</v>
      </c>
      <c r="M2977">
        <v>912.35</v>
      </c>
      <c r="N2977" s="11">
        <v>3</v>
      </c>
      <c r="O2977" s="12">
        <v>284.98</v>
      </c>
      <c r="P2977" s="12">
        <v>69.55</v>
      </c>
      <c r="Q2977" s="13">
        <v>-379.22</v>
      </c>
      <c r="R2977" s="36" t="s">
        <v>1740</v>
      </c>
      <c r="S2977" s="7">
        <f t="shared" si="247"/>
        <v>0</v>
      </c>
      <c r="T2977" s="15" t="str">
        <f>VLOOKUP(R2977,产品分类!$C$2:$D$1278,2,0)</f>
        <v>办公用品</v>
      </c>
    </row>
    <row r="2978" spans="1:20">
      <c r="A2978" s="8">
        <f>DATE(2012,12,31)-181</f>
        <v>41093</v>
      </c>
      <c r="B2978" s="8">
        <f>DATE(2012,12,31)-181</f>
        <v>41093</v>
      </c>
      <c r="C2978" s="9" t="s">
        <v>1006</v>
      </c>
      <c r="D2978">
        <v>10021254087</v>
      </c>
      <c r="E2978" t="s">
        <v>47</v>
      </c>
      <c r="F2978" t="s">
        <v>55</v>
      </c>
      <c r="G2978" t="s">
        <v>56</v>
      </c>
      <c r="H2978" t="s">
        <v>2112</v>
      </c>
      <c r="I2978" t="s">
        <v>2113</v>
      </c>
      <c r="J2978" t="s">
        <v>668</v>
      </c>
      <c r="K2978" s="3">
        <v>100321345799</v>
      </c>
      <c r="L2978" s="10">
        <v>41095</v>
      </c>
      <c r="M2978">
        <v>47.93</v>
      </c>
      <c r="N2978" s="11">
        <v>13</v>
      </c>
      <c r="O2978" s="12">
        <v>3.69</v>
      </c>
      <c r="P2978" s="12">
        <v>0.5</v>
      </c>
      <c r="Q2978" s="13">
        <v>15.82</v>
      </c>
      <c r="R2978" s="36" t="s">
        <v>1224</v>
      </c>
      <c r="S2978" s="7">
        <f t="shared" si="247"/>
        <v>2</v>
      </c>
      <c r="T2978" s="15" t="str">
        <f>VLOOKUP(R2978,产品分类!$C$2:$D$1278,2,0)</f>
        <v>办公用品</v>
      </c>
    </row>
    <row r="2979" spans="1:20">
      <c r="A2979" s="8">
        <f>DATE(2012,12,31)-237</f>
        <v>41037</v>
      </c>
      <c r="B2979" s="8">
        <f>DATE(2012,12,31)-237</f>
        <v>41037</v>
      </c>
      <c r="C2979" s="9" t="s">
        <v>2001</v>
      </c>
      <c r="D2979">
        <v>10021426823</v>
      </c>
      <c r="E2979" t="s">
        <v>47</v>
      </c>
      <c r="F2979" t="s">
        <v>91</v>
      </c>
      <c r="G2979" t="s">
        <v>92</v>
      </c>
      <c r="H2979" t="s">
        <v>2053</v>
      </c>
      <c r="I2979" t="s">
        <v>2054</v>
      </c>
      <c r="J2979" t="s">
        <v>668</v>
      </c>
      <c r="K2979" s="3">
        <v>100830280052</v>
      </c>
      <c r="L2979" s="10">
        <v>41037</v>
      </c>
      <c r="M2979">
        <v>372.09</v>
      </c>
      <c r="N2979" s="11">
        <v>16</v>
      </c>
      <c r="O2979" s="12">
        <v>22.24</v>
      </c>
      <c r="P2979" s="12">
        <v>1.99</v>
      </c>
      <c r="Q2979" s="13">
        <v>98.28</v>
      </c>
      <c r="R2979" s="36" t="s">
        <v>1479</v>
      </c>
      <c r="S2979" s="7">
        <f t="shared" si="247"/>
        <v>0</v>
      </c>
      <c r="T2979" s="15" t="str">
        <f>VLOOKUP(R2979,产品分类!$C$2:$D$1278,2,0)</f>
        <v>数码电子</v>
      </c>
    </row>
    <row r="2980" spans="1:20">
      <c r="A2980" s="8">
        <f>DATE(2012,12,31)-1253</f>
        <v>40021</v>
      </c>
      <c r="B2980" s="8">
        <f>DATE(2012,12,31)-1253</f>
        <v>40021</v>
      </c>
      <c r="C2980" s="9" t="s">
        <v>1323</v>
      </c>
      <c r="D2980">
        <v>10021510068</v>
      </c>
      <c r="E2980" t="s">
        <v>47</v>
      </c>
      <c r="F2980" t="s">
        <v>122</v>
      </c>
      <c r="G2980" t="s">
        <v>123</v>
      </c>
      <c r="H2980" t="s">
        <v>124</v>
      </c>
      <c r="I2980" t="s">
        <v>125</v>
      </c>
      <c r="J2980" t="s">
        <v>668</v>
      </c>
      <c r="K2980" s="3">
        <v>100332667619</v>
      </c>
      <c r="L2980" s="10">
        <v>40023</v>
      </c>
      <c r="M2980">
        <v>87.32</v>
      </c>
      <c r="N2980" s="11">
        <v>31</v>
      </c>
      <c r="O2980" s="12">
        <v>2.94</v>
      </c>
      <c r="P2980" s="12">
        <v>0.96</v>
      </c>
      <c r="Q2980" s="13">
        <v>-1.18</v>
      </c>
      <c r="R2980" s="36" t="s">
        <v>872</v>
      </c>
      <c r="S2980" s="7">
        <f t="shared" si="247"/>
        <v>2</v>
      </c>
      <c r="T2980" s="15" t="str">
        <f>VLOOKUP(R2980,产品分类!$C$2:$D$1278,2,0)</f>
        <v>数码电子</v>
      </c>
    </row>
    <row r="2981" spans="1:20">
      <c r="A2981" s="8">
        <f>DATE(2012,12,31)-906</f>
        <v>40368</v>
      </c>
      <c r="B2981" s="8">
        <f>DATE(2012,12,31)-906</f>
        <v>40368</v>
      </c>
      <c r="C2981" s="9" t="s">
        <v>785</v>
      </c>
      <c r="D2981">
        <v>10021523142</v>
      </c>
      <c r="E2981" t="s">
        <v>47</v>
      </c>
      <c r="F2981" t="s">
        <v>91</v>
      </c>
      <c r="G2981" t="s">
        <v>92</v>
      </c>
      <c r="H2981" t="s">
        <v>2053</v>
      </c>
      <c r="I2981" t="s">
        <v>2054</v>
      </c>
      <c r="J2981" t="s">
        <v>668</v>
      </c>
      <c r="K2981" s="3">
        <v>100114157318</v>
      </c>
      <c r="L2981" s="10">
        <v>40369</v>
      </c>
      <c r="M2981">
        <v>388.13</v>
      </c>
      <c r="N2981" s="11">
        <v>18</v>
      </c>
      <c r="O2981" s="12">
        <v>21.98</v>
      </c>
      <c r="P2981" s="12">
        <v>8.32</v>
      </c>
      <c r="Q2981" s="13">
        <v>40.11</v>
      </c>
      <c r="R2981" s="36" t="s">
        <v>2114</v>
      </c>
      <c r="S2981" s="7">
        <f t="shared" si="247"/>
        <v>1</v>
      </c>
      <c r="T2981" s="15" t="str">
        <f>VLOOKUP(R2981,产品分类!$C$2:$D$1278,2,0)</f>
        <v>办公用品</v>
      </c>
    </row>
    <row r="2982" spans="1:20">
      <c r="A2982" s="8">
        <f>DATE(2012,12,31)-906</f>
        <v>40368</v>
      </c>
      <c r="B2982" s="8">
        <f>DATE(2012,12,31)-906</f>
        <v>40368</v>
      </c>
      <c r="C2982" s="9" t="s">
        <v>785</v>
      </c>
      <c r="D2982">
        <v>10021255303</v>
      </c>
      <c r="E2982" t="s">
        <v>47</v>
      </c>
      <c r="F2982" t="s">
        <v>91</v>
      </c>
      <c r="G2982" t="s">
        <v>92</v>
      </c>
      <c r="H2982" t="s">
        <v>2053</v>
      </c>
      <c r="I2982" t="s">
        <v>2054</v>
      </c>
      <c r="J2982" t="s">
        <v>668</v>
      </c>
      <c r="K2982" s="3">
        <v>100123761227</v>
      </c>
      <c r="L2982" s="10">
        <v>40368</v>
      </c>
      <c r="M2982">
        <v>2339.84</v>
      </c>
      <c r="N2982" s="11">
        <v>39</v>
      </c>
      <c r="O2982" s="12">
        <v>71.37</v>
      </c>
      <c r="P2982" s="12">
        <v>69</v>
      </c>
      <c r="Q2982" s="13">
        <v>-1730.3</v>
      </c>
      <c r="R2982" s="36" t="s">
        <v>426</v>
      </c>
      <c r="S2982" s="7">
        <f t="shared" si="247"/>
        <v>0</v>
      </c>
      <c r="T2982" s="15" t="str">
        <f>VLOOKUP(R2982,产品分类!$C$2:$D$1278,2,0)</f>
        <v>家具产品</v>
      </c>
    </row>
    <row r="2983" spans="1:20">
      <c r="A2983" s="8">
        <f>DATE(2012,12,31)-1180</f>
        <v>40094</v>
      </c>
      <c r="B2983" s="8">
        <f>DATE(2012,12,31)-1180</f>
        <v>40094</v>
      </c>
      <c r="C2983" s="9" t="s">
        <v>686</v>
      </c>
      <c r="D2983">
        <v>10021525465</v>
      </c>
      <c r="E2983" t="s">
        <v>47</v>
      </c>
      <c r="F2983" t="s">
        <v>61</v>
      </c>
      <c r="G2983" t="s">
        <v>62</v>
      </c>
      <c r="H2983" t="s">
        <v>47</v>
      </c>
      <c r="I2983" t="s">
        <v>1778</v>
      </c>
      <c r="J2983" t="s">
        <v>668</v>
      </c>
      <c r="K2983" s="3">
        <v>100421835173</v>
      </c>
      <c r="L2983" s="10">
        <v>40096</v>
      </c>
      <c r="M2983">
        <v>3044.7</v>
      </c>
      <c r="N2983" s="11">
        <v>43</v>
      </c>
      <c r="O2983" s="12">
        <v>70.98</v>
      </c>
      <c r="P2983" s="12">
        <v>26.74</v>
      </c>
      <c r="Q2983" s="13">
        <v>-78.36</v>
      </c>
      <c r="R2983" s="36" t="s">
        <v>1300</v>
      </c>
      <c r="S2983" s="7">
        <f t="shared" si="247"/>
        <v>2</v>
      </c>
      <c r="T2983" s="15" t="str">
        <f>VLOOKUP(R2983,产品分类!$C$2:$D$1278,2,0)</f>
        <v>家具产品</v>
      </c>
    </row>
    <row r="2984" spans="1:20">
      <c r="A2984" s="16">
        <f>DATE(2012,12,31)-590</f>
        <v>40684</v>
      </c>
      <c r="B2984" s="16">
        <f>DATE(2012,12,31)-590</f>
        <v>40684</v>
      </c>
      <c r="C2984" s="9" t="s">
        <v>2115</v>
      </c>
      <c r="D2984">
        <v>10021299241</v>
      </c>
      <c r="E2984" t="s">
        <v>47</v>
      </c>
      <c r="F2984" t="s">
        <v>132</v>
      </c>
      <c r="G2984" t="s">
        <v>133</v>
      </c>
      <c r="H2984" t="s">
        <v>134</v>
      </c>
      <c r="I2984" t="s">
        <v>133</v>
      </c>
      <c r="J2984" t="s">
        <v>668</v>
      </c>
      <c r="K2984" s="3">
        <v>100927538591</v>
      </c>
      <c r="L2984" s="10">
        <v>40685</v>
      </c>
      <c r="M2984">
        <v>404.3</v>
      </c>
      <c r="N2984" s="17">
        <v>18</v>
      </c>
      <c r="O2984" s="5">
        <v>21.38</v>
      </c>
      <c r="P2984" s="5">
        <v>8.99</v>
      </c>
      <c r="Q2984" s="6">
        <v>-27.34</v>
      </c>
      <c r="R2984" s="37" t="s">
        <v>993</v>
      </c>
      <c r="S2984" s="7">
        <f t="shared" si="247"/>
        <v>1</v>
      </c>
      <c r="T2984" s="15" t="str">
        <f>VLOOKUP(R2984,产品分类!$C$2:$D$1278,2,0)</f>
        <v>数码电子</v>
      </c>
    </row>
    <row r="2985" spans="1:20">
      <c r="A2985" s="8">
        <f>DATE(2012,12,31)-590</f>
        <v>40684</v>
      </c>
      <c r="B2985" s="8">
        <f>DATE(2012,12,31)-590</f>
        <v>40684</v>
      </c>
      <c r="C2985" s="9" t="s">
        <v>2115</v>
      </c>
      <c r="D2985">
        <v>10021522873</v>
      </c>
      <c r="E2985" t="s">
        <v>47</v>
      </c>
      <c r="F2985" t="s">
        <v>132</v>
      </c>
      <c r="G2985" t="s">
        <v>133</v>
      </c>
      <c r="H2985" t="s">
        <v>134</v>
      </c>
      <c r="I2985" t="s">
        <v>133</v>
      </c>
      <c r="J2985" t="s">
        <v>668</v>
      </c>
      <c r="K2985" s="3">
        <v>100111989318</v>
      </c>
      <c r="L2985" s="10">
        <v>40685</v>
      </c>
      <c r="M2985">
        <v>11674.968</v>
      </c>
      <c r="N2985" s="11">
        <v>43</v>
      </c>
      <c r="O2985" s="12">
        <v>348.21</v>
      </c>
      <c r="P2985" s="12">
        <v>84.84</v>
      </c>
      <c r="Q2985" s="13">
        <v>715.18</v>
      </c>
      <c r="R2985" s="36" t="s">
        <v>1195</v>
      </c>
      <c r="S2985" s="7">
        <f t="shared" si="247"/>
        <v>1</v>
      </c>
      <c r="T2985" s="15" t="str">
        <f>VLOOKUP(R2985,产品分类!$C$2:$D$1278,2,0)</f>
        <v>办公用品</v>
      </c>
    </row>
    <row r="2986" spans="1:20">
      <c r="A2986" s="8">
        <f>DATE(2012,12,31)-1417</f>
        <v>39857</v>
      </c>
      <c r="B2986" s="8">
        <f>DATE(2012,12,31)-1417</f>
        <v>39857</v>
      </c>
      <c r="C2986" s="9" t="s">
        <v>1511</v>
      </c>
      <c r="D2986">
        <v>10021267155</v>
      </c>
      <c r="E2986" t="s">
        <v>47</v>
      </c>
      <c r="F2986" t="s">
        <v>132</v>
      </c>
      <c r="G2986" t="s">
        <v>133</v>
      </c>
      <c r="H2986" t="s">
        <v>134</v>
      </c>
      <c r="I2986" t="s">
        <v>133</v>
      </c>
      <c r="J2986" t="s">
        <v>668</v>
      </c>
      <c r="K2986" s="3">
        <v>100122639288</v>
      </c>
      <c r="L2986" s="10">
        <v>39859</v>
      </c>
      <c r="M2986">
        <v>8549.04</v>
      </c>
      <c r="N2986" s="11">
        <v>42</v>
      </c>
      <c r="O2986" s="12">
        <v>194.3</v>
      </c>
      <c r="P2986" s="12">
        <v>11.54</v>
      </c>
      <c r="Q2986" s="13">
        <v>2861.01</v>
      </c>
      <c r="R2986" s="36" t="s">
        <v>1720</v>
      </c>
      <c r="S2986" s="7">
        <f t="shared" si="247"/>
        <v>2</v>
      </c>
      <c r="T2986" s="15" t="str">
        <f>VLOOKUP(R2986,产品分类!$C$2:$D$1278,2,0)</f>
        <v>数码电子</v>
      </c>
    </row>
    <row r="2987" spans="1:20">
      <c r="A2987" s="16">
        <f t="shared" ref="A2987:B2989" si="250">DATE(2012,12,31)-250</f>
        <v>41024</v>
      </c>
      <c r="B2987" s="16">
        <f t="shared" si="250"/>
        <v>41024</v>
      </c>
      <c r="C2987" s="9" t="s">
        <v>453</v>
      </c>
      <c r="D2987">
        <v>10021494631</v>
      </c>
      <c r="E2987" t="s">
        <v>47</v>
      </c>
      <c r="F2987" t="s">
        <v>97</v>
      </c>
      <c r="G2987" t="s">
        <v>98</v>
      </c>
      <c r="H2987" t="s">
        <v>99</v>
      </c>
      <c r="I2987" t="s">
        <v>98</v>
      </c>
      <c r="J2987" t="s">
        <v>668</v>
      </c>
      <c r="K2987" s="3">
        <v>10089797882</v>
      </c>
      <c r="L2987" s="10">
        <v>41026</v>
      </c>
      <c r="M2987">
        <v>96.23</v>
      </c>
      <c r="N2987" s="17">
        <v>31</v>
      </c>
      <c r="O2987" s="5">
        <v>3.08</v>
      </c>
      <c r="P2987" s="5">
        <v>0.99</v>
      </c>
      <c r="Q2987" s="6">
        <v>24.05</v>
      </c>
      <c r="R2987" s="37" t="s">
        <v>2031</v>
      </c>
      <c r="S2987" s="7">
        <f t="shared" si="247"/>
        <v>2</v>
      </c>
      <c r="T2987" s="15" t="str">
        <f>VLOOKUP(R2987,产品分类!$C$2:$D$1278,2,0)</f>
        <v>数码电子</v>
      </c>
    </row>
    <row r="2988" spans="1:20">
      <c r="A2988" s="8">
        <f t="shared" si="250"/>
        <v>41024</v>
      </c>
      <c r="B2988" s="8">
        <f t="shared" si="250"/>
        <v>41024</v>
      </c>
      <c r="C2988" s="9" t="s">
        <v>453</v>
      </c>
      <c r="D2988">
        <v>10021263682</v>
      </c>
      <c r="E2988" t="s">
        <v>47</v>
      </c>
      <c r="F2988" t="s">
        <v>132</v>
      </c>
      <c r="G2988" t="s">
        <v>133</v>
      </c>
      <c r="H2988" t="s">
        <v>134</v>
      </c>
      <c r="I2988" t="s">
        <v>133</v>
      </c>
      <c r="J2988" t="s">
        <v>668</v>
      </c>
      <c r="K2988" s="3">
        <v>100730824625</v>
      </c>
      <c r="L2988" s="10">
        <v>41026</v>
      </c>
      <c r="M2988">
        <v>70.08</v>
      </c>
      <c r="N2988" s="11">
        <v>7</v>
      </c>
      <c r="O2988" s="12">
        <v>9.48</v>
      </c>
      <c r="P2988" s="12">
        <v>3.72</v>
      </c>
      <c r="Q2988" s="13">
        <v>8.02</v>
      </c>
      <c r="R2988" s="36" t="s">
        <v>1718</v>
      </c>
      <c r="S2988" s="7">
        <f t="shared" si="247"/>
        <v>2</v>
      </c>
      <c r="T2988" s="15" t="str">
        <f>VLOOKUP(R2988,产品分类!$C$2:$D$1278,2,0)</f>
        <v>办公用品</v>
      </c>
    </row>
    <row r="2989" spans="1:20">
      <c r="A2989" s="8">
        <f t="shared" si="250"/>
        <v>41024</v>
      </c>
      <c r="B2989" s="8">
        <f t="shared" si="250"/>
        <v>41024</v>
      </c>
      <c r="C2989" s="9" t="s">
        <v>453</v>
      </c>
      <c r="D2989">
        <v>10021531557</v>
      </c>
      <c r="E2989" t="s">
        <v>47</v>
      </c>
      <c r="F2989" t="s">
        <v>97</v>
      </c>
      <c r="G2989" t="s">
        <v>98</v>
      </c>
      <c r="H2989" t="s">
        <v>99</v>
      </c>
      <c r="I2989" t="s">
        <v>98</v>
      </c>
      <c r="J2989" t="s">
        <v>668</v>
      </c>
      <c r="K2989" s="3">
        <v>100730808515</v>
      </c>
      <c r="L2989" s="10">
        <v>41026</v>
      </c>
      <c r="M2989">
        <v>234.768</v>
      </c>
      <c r="N2989" s="11">
        <v>3</v>
      </c>
      <c r="O2989" s="12">
        <v>70.89</v>
      </c>
      <c r="P2989" s="12">
        <v>89.3</v>
      </c>
      <c r="Q2989" s="13">
        <v>54.23085</v>
      </c>
      <c r="R2989" s="36" t="s">
        <v>70</v>
      </c>
      <c r="S2989" s="7">
        <f t="shared" si="247"/>
        <v>2</v>
      </c>
      <c r="T2989" s="15" t="str">
        <f>VLOOKUP(R2989,产品分类!$C$2:$D$1278,2,0)</f>
        <v>数码电子</v>
      </c>
    </row>
    <row r="2990" spans="1:20">
      <c r="A2990" s="8">
        <f>DATE(2012,12,31)-1081</f>
        <v>40193</v>
      </c>
      <c r="B2990" s="8">
        <f>DATE(2012,12,31)-1081</f>
        <v>40193</v>
      </c>
      <c r="C2990" s="9" t="s">
        <v>667</v>
      </c>
      <c r="D2990">
        <v>10021332814</v>
      </c>
      <c r="E2990" t="s">
        <v>47</v>
      </c>
      <c r="F2990" t="s">
        <v>132</v>
      </c>
      <c r="G2990" t="s">
        <v>133</v>
      </c>
      <c r="H2990" t="s">
        <v>134</v>
      </c>
      <c r="I2990" t="s">
        <v>133</v>
      </c>
      <c r="J2990" t="s">
        <v>668</v>
      </c>
      <c r="K2990" s="3">
        <v>100112908028</v>
      </c>
      <c r="L2990" s="10">
        <v>40194</v>
      </c>
      <c r="M2990">
        <v>77.55</v>
      </c>
      <c r="N2990" s="11">
        <v>33</v>
      </c>
      <c r="O2990" s="12">
        <v>2.12</v>
      </c>
      <c r="P2990" s="12">
        <v>1.99</v>
      </c>
      <c r="Q2990" s="13">
        <v>-37.2</v>
      </c>
      <c r="R2990" s="36" t="s">
        <v>698</v>
      </c>
      <c r="S2990" s="7">
        <f t="shared" si="247"/>
        <v>1</v>
      </c>
      <c r="T2990" s="15" t="str">
        <f>VLOOKUP(R2990,产品分类!$C$2:$D$1278,2,0)</f>
        <v>办公用品</v>
      </c>
    </row>
    <row r="2991" spans="1:20">
      <c r="A2991" s="8">
        <f>DATE(2012,12,31)-1002</f>
        <v>40272</v>
      </c>
      <c r="B2991" s="8">
        <f>DATE(2012,12,31)-1002</f>
        <v>40272</v>
      </c>
      <c r="C2991" s="9" t="s">
        <v>1110</v>
      </c>
      <c r="D2991">
        <v>10021370944</v>
      </c>
      <c r="E2991" t="s">
        <v>47</v>
      </c>
      <c r="F2991" t="s">
        <v>97</v>
      </c>
      <c r="G2991" t="s">
        <v>98</v>
      </c>
      <c r="H2991" t="s">
        <v>99</v>
      </c>
      <c r="I2991" t="s">
        <v>98</v>
      </c>
      <c r="J2991" t="s">
        <v>668</v>
      </c>
      <c r="K2991" s="3">
        <v>100131566306</v>
      </c>
      <c r="L2991" s="10">
        <v>40279</v>
      </c>
      <c r="M2991">
        <v>169.48</v>
      </c>
      <c r="N2991" s="11">
        <v>17</v>
      </c>
      <c r="O2991" s="12">
        <v>10.14</v>
      </c>
      <c r="P2991" s="12">
        <v>2.27</v>
      </c>
      <c r="Q2991" s="13">
        <v>48.55</v>
      </c>
      <c r="R2991" s="36" t="s">
        <v>1527</v>
      </c>
      <c r="S2991" s="7">
        <f t="shared" si="247"/>
        <v>7</v>
      </c>
      <c r="T2991" s="15" t="str">
        <f>VLOOKUP(R2991,产品分类!$C$2:$D$1278,2,0)</f>
        <v>办公用品</v>
      </c>
    </row>
    <row r="2992" spans="1:20">
      <c r="A2992" s="8">
        <f>DATE(2012,12,31)-635</f>
        <v>40639</v>
      </c>
      <c r="B2992" s="8">
        <f>DATE(2012,12,31)-635</f>
        <v>40639</v>
      </c>
      <c r="C2992" s="9" t="s">
        <v>1159</v>
      </c>
      <c r="D2992">
        <v>10021332724</v>
      </c>
      <c r="E2992" t="s">
        <v>47</v>
      </c>
      <c r="F2992" t="s">
        <v>132</v>
      </c>
      <c r="G2992" t="s">
        <v>133</v>
      </c>
      <c r="H2992" t="s">
        <v>134</v>
      </c>
      <c r="I2992" t="s">
        <v>133</v>
      </c>
      <c r="J2992" t="s">
        <v>668</v>
      </c>
      <c r="K2992" s="3">
        <v>100811265672</v>
      </c>
      <c r="L2992" s="10">
        <v>40639</v>
      </c>
      <c r="M2992">
        <v>2227.34</v>
      </c>
      <c r="N2992" s="11">
        <v>20</v>
      </c>
      <c r="O2992" s="12">
        <v>113.64</v>
      </c>
      <c r="P2992" s="12">
        <v>35</v>
      </c>
      <c r="Q2992" s="13">
        <v>-609.09</v>
      </c>
      <c r="R2992" s="36" t="s">
        <v>2116</v>
      </c>
      <c r="S2992" s="7">
        <f t="shared" si="247"/>
        <v>0</v>
      </c>
      <c r="T2992" s="15" t="str">
        <f>VLOOKUP(R2992,产品分类!$C$2:$D$1278,2,0)</f>
        <v>家具产品</v>
      </c>
    </row>
    <row r="2993" spans="1:20">
      <c r="A2993" s="8">
        <f>DATE(2012,12,31)-1279</f>
        <v>39995</v>
      </c>
      <c r="B2993" s="8">
        <f>DATE(2012,12,31)-1279</f>
        <v>39995</v>
      </c>
      <c r="C2993" s="9" t="s">
        <v>632</v>
      </c>
      <c r="D2993">
        <v>10021259927</v>
      </c>
      <c r="E2993" t="s">
        <v>47</v>
      </c>
      <c r="F2993" t="s">
        <v>132</v>
      </c>
      <c r="G2993" t="s">
        <v>133</v>
      </c>
      <c r="H2993" t="s">
        <v>134</v>
      </c>
      <c r="I2993" t="s">
        <v>133</v>
      </c>
      <c r="J2993" t="s">
        <v>668</v>
      </c>
      <c r="K2993" s="3">
        <v>100328118569</v>
      </c>
      <c r="L2993" s="10">
        <v>39998</v>
      </c>
      <c r="M2993">
        <v>2170.61</v>
      </c>
      <c r="N2993" s="11">
        <v>6</v>
      </c>
      <c r="O2993" s="12">
        <v>348.21</v>
      </c>
      <c r="P2993" s="12">
        <v>40.19</v>
      </c>
      <c r="Q2993" s="13">
        <v>-62.29</v>
      </c>
      <c r="R2993" s="36" t="s">
        <v>1195</v>
      </c>
      <c r="S2993" s="7">
        <f t="shared" si="247"/>
        <v>3</v>
      </c>
      <c r="T2993" s="15" t="str">
        <f>VLOOKUP(R2993,产品分类!$C$2:$D$1278,2,0)</f>
        <v>办公用品</v>
      </c>
    </row>
    <row r="2994" spans="1:20">
      <c r="A2994" s="8">
        <f>DATE(2012,12,31)-274</f>
        <v>41000</v>
      </c>
      <c r="B2994" s="8">
        <f>DATE(2012,12,31)-274</f>
        <v>41000</v>
      </c>
      <c r="C2994" s="9" t="s">
        <v>1934</v>
      </c>
      <c r="D2994">
        <v>10021296738</v>
      </c>
      <c r="E2994" t="s">
        <v>47</v>
      </c>
      <c r="F2994" t="s">
        <v>97</v>
      </c>
      <c r="G2994" t="s">
        <v>98</v>
      </c>
      <c r="H2994" t="s">
        <v>99</v>
      </c>
      <c r="I2994" t="s">
        <v>98</v>
      </c>
      <c r="J2994" t="s">
        <v>668</v>
      </c>
      <c r="K2994" s="3">
        <v>100122600217</v>
      </c>
      <c r="L2994" s="10">
        <v>41002</v>
      </c>
      <c r="M2994">
        <v>2478.88</v>
      </c>
      <c r="N2994" s="11">
        <v>6</v>
      </c>
      <c r="O2994" s="12">
        <v>387.99</v>
      </c>
      <c r="P2994" s="12">
        <v>19.99</v>
      </c>
      <c r="Q2994" s="13">
        <v>593.589</v>
      </c>
      <c r="R2994" s="36" t="s">
        <v>1742</v>
      </c>
      <c r="S2994" s="7">
        <f t="shared" si="247"/>
        <v>2</v>
      </c>
      <c r="T2994" s="15" t="str">
        <f>VLOOKUP(R2994,产品分类!$C$2:$D$1278,2,0)</f>
        <v>家具产品</v>
      </c>
    </row>
    <row r="2995" spans="1:20">
      <c r="A2995" s="8">
        <f>DATE(2012,12,31)-267</f>
        <v>41007</v>
      </c>
      <c r="B2995" s="8">
        <f>DATE(2012,12,31)-267</f>
        <v>41007</v>
      </c>
      <c r="C2995" s="9" t="s">
        <v>1849</v>
      </c>
      <c r="D2995">
        <v>10021259572</v>
      </c>
      <c r="E2995" t="s">
        <v>47</v>
      </c>
      <c r="F2995" t="s">
        <v>102</v>
      </c>
      <c r="G2995" t="s">
        <v>103</v>
      </c>
      <c r="H2995" t="s">
        <v>1217</v>
      </c>
      <c r="I2995" t="s">
        <v>1218</v>
      </c>
      <c r="J2995" t="s">
        <v>668</v>
      </c>
      <c r="K2995" s="3">
        <v>100427975884</v>
      </c>
      <c r="L2995" s="10">
        <v>41009</v>
      </c>
      <c r="M2995">
        <v>1932.97</v>
      </c>
      <c r="N2995" s="11">
        <v>32</v>
      </c>
      <c r="O2995" s="12">
        <v>60.98</v>
      </c>
      <c r="P2995" s="12">
        <v>30</v>
      </c>
      <c r="Q2995" s="13">
        <v>-514.94</v>
      </c>
      <c r="R2995" s="36" t="s">
        <v>1631</v>
      </c>
      <c r="S2995" s="7">
        <f t="shared" si="247"/>
        <v>2</v>
      </c>
      <c r="T2995" s="15" t="str">
        <f>VLOOKUP(R2995,产品分类!$C$2:$D$1278,2,0)</f>
        <v>办公用品</v>
      </c>
    </row>
    <row r="2996" spans="1:20">
      <c r="A2996" s="8">
        <f>DATE(2012,12,31)-267</f>
        <v>41007</v>
      </c>
      <c r="B2996" s="8">
        <f>DATE(2012,12,31)-267</f>
        <v>41007</v>
      </c>
      <c r="C2996" s="9" t="s">
        <v>1849</v>
      </c>
      <c r="D2996">
        <v>10021453752</v>
      </c>
      <c r="E2996" t="s">
        <v>47</v>
      </c>
      <c r="F2996" t="s">
        <v>208</v>
      </c>
      <c r="G2996" t="s">
        <v>209</v>
      </c>
      <c r="H2996" t="s">
        <v>2087</v>
      </c>
      <c r="I2996" t="s">
        <v>2088</v>
      </c>
      <c r="J2996" t="s">
        <v>668</v>
      </c>
      <c r="K2996" s="3">
        <v>100132300778</v>
      </c>
      <c r="L2996" s="10">
        <v>41009</v>
      </c>
      <c r="M2996">
        <v>476.49</v>
      </c>
      <c r="N2996" s="11">
        <v>46</v>
      </c>
      <c r="O2996" s="12">
        <v>10.64</v>
      </c>
      <c r="P2996" s="12">
        <v>5.16</v>
      </c>
      <c r="Q2996" s="13">
        <v>-18.57</v>
      </c>
      <c r="R2996" s="36" t="s">
        <v>644</v>
      </c>
      <c r="S2996" s="7">
        <f t="shared" si="247"/>
        <v>2</v>
      </c>
      <c r="T2996" s="15" t="str">
        <f>VLOOKUP(R2996,产品分类!$C$2:$D$1278,2,0)</f>
        <v>家具产品</v>
      </c>
    </row>
    <row r="2997" spans="1:20">
      <c r="A2997" s="8">
        <f>DATE(2012,12,31)-709</f>
        <v>40565</v>
      </c>
      <c r="B2997" s="8">
        <f>DATE(2012,12,31)-709</f>
        <v>40565</v>
      </c>
      <c r="C2997" s="9" t="s">
        <v>1730</v>
      </c>
      <c r="D2997">
        <v>10021343261</v>
      </c>
      <c r="E2997" t="s">
        <v>47</v>
      </c>
      <c r="F2997" t="s">
        <v>208</v>
      </c>
      <c r="G2997" t="s">
        <v>209</v>
      </c>
      <c r="H2997" t="s">
        <v>2087</v>
      </c>
      <c r="I2997" t="s">
        <v>2088</v>
      </c>
      <c r="J2997" t="s">
        <v>668</v>
      </c>
      <c r="K2997" s="3">
        <v>100328721019</v>
      </c>
      <c r="L2997" s="10">
        <v>40566</v>
      </c>
      <c r="M2997">
        <v>1374.7</v>
      </c>
      <c r="N2997" s="11">
        <v>43</v>
      </c>
      <c r="O2997" s="12">
        <v>32.98</v>
      </c>
      <c r="P2997" s="12">
        <v>5.5</v>
      </c>
      <c r="Q2997" s="13">
        <v>-90.3</v>
      </c>
      <c r="R2997" s="36" t="s">
        <v>1040</v>
      </c>
      <c r="S2997" s="7">
        <f t="shared" si="247"/>
        <v>1</v>
      </c>
      <c r="T2997" s="15" t="str">
        <f>VLOOKUP(R2997,产品分类!$C$2:$D$1278,2,0)</f>
        <v>数码电子</v>
      </c>
    </row>
    <row r="2998" spans="1:20">
      <c r="A2998" s="8">
        <f>DATE(2012,12,31)-709</f>
        <v>40565</v>
      </c>
      <c r="B2998" s="8">
        <f>DATE(2012,12,31)-709</f>
        <v>40565</v>
      </c>
      <c r="C2998" s="9" t="s">
        <v>1730</v>
      </c>
      <c r="D2998">
        <v>10021509685</v>
      </c>
      <c r="E2998" t="s">
        <v>47</v>
      </c>
      <c r="F2998" t="s">
        <v>102</v>
      </c>
      <c r="G2998" t="s">
        <v>103</v>
      </c>
      <c r="H2998" t="s">
        <v>1217</v>
      </c>
      <c r="I2998" t="s">
        <v>1218</v>
      </c>
      <c r="J2998" t="s">
        <v>668</v>
      </c>
      <c r="K2998" s="3">
        <v>100732385135</v>
      </c>
      <c r="L2998" s="10">
        <v>40566</v>
      </c>
      <c r="M2998">
        <v>516.62</v>
      </c>
      <c r="N2998" s="11">
        <v>29</v>
      </c>
      <c r="O2998" s="12">
        <v>17.48</v>
      </c>
      <c r="P2998" s="12">
        <v>1.99</v>
      </c>
      <c r="Q2998" s="13">
        <v>138.33</v>
      </c>
      <c r="R2998" s="36" t="s">
        <v>2117</v>
      </c>
      <c r="S2998" s="7">
        <f t="shared" si="247"/>
        <v>1</v>
      </c>
      <c r="T2998" s="15" t="str">
        <f>VLOOKUP(R2998,产品分类!$C$2:$D$1278,2,0)</f>
        <v>数码电子</v>
      </c>
    </row>
    <row r="2999" spans="1:20">
      <c r="A2999" s="8">
        <f>DATE(2012,12,31)-291</f>
        <v>40983</v>
      </c>
      <c r="B2999" s="8">
        <f>DATE(2012,12,31)-291</f>
        <v>40983</v>
      </c>
      <c r="C2999" s="9" t="s">
        <v>2118</v>
      </c>
      <c r="D2999">
        <v>10021540902</v>
      </c>
      <c r="E2999" t="s">
        <v>47</v>
      </c>
      <c r="F2999" t="s">
        <v>102</v>
      </c>
      <c r="G2999" t="s">
        <v>103</v>
      </c>
      <c r="H2999" t="s">
        <v>1217</v>
      </c>
      <c r="I2999" t="s">
        <v>1218</v>
      </c>
      <c r="J2999" t="s">
        <v>668</v>
      </c>
      <c r="K2999" s="3">
        <v>100120747028</v>
      </c>
      <c r="L2999" s="10">
        <v>40985</v>
      </c>
      <c r="M2999">
        <v>618.9</v>
      </c>
      <c r="N2999" s="11">
        <v>17</v>
      </c>
      <c r="O2999" s="12">
        <v>36.55</v>
      </c>
      <c r="P2999" s="12">
        <v>13.89</v>
      </c>
      <c r="Q2999" s="13">
        <v>54.92</v>
      </c>
      <c r="R2999" s="36" t="s">
        <v>159</v>
      </c>
      <c r="S2999" s="7">
        <f t="shared" si="247"/>
        <v>2</v>
      </c>
      <c r="T2999" s="15" t="str">
        <f>VLOOKUP(R2999,产品分类!$C$2:$D$1278,2,0)</f>
        <v>数码电子</v>
      </c>
    </row>
    <row r="3000" spans="1:20">
      <c r="A3000" s="8">
        <f>DATE(2012,12,31)-1375</f>
        <v>39899</v>
      </c>
      <c r="B3000" s="8">
        <f>DATE(2012,12,31)-1375</f>
        <v>39899</v>
      </c>
      <c r="C3000" s="9" t="s">
        <v>111</v>
      </c>
      <c r="D3000">
        <v>10021508862</v>
      </c>
      <c r="E3000" t="s">
        <v>47</v>
      </c>
      <c r="F3000" t="s">
        <v>102</v>
      </c>
      <c r="G3000" t="s">
        <v>103</v>
      </c>
      <c r="H3000" t="s">
        <v>2119</v>
      </c>
      <c r="I3000" t="s">
        <v>2120</v>
      </c>
      <c r="J3000" t="s">
        <v>668</v>
      </c>
      <c r="K3000" s="3">
        <v>100132323106</v>
      </c>
      <c r="L3000" s="10">
        <v>39900</v>
      </c>
      <c r="M3000">
        <v>547.82</v>
      </c>
      <c r="N3000" s="11">
        <v>29</v>
      </c>
      <c r="O3000" s="12">
        <v>18.7</v>
      </c>
      <c r="P3000" s="12">
        <v>8.99</v>
      </c>
      <c r="Q3000" s="13">
        <v>69.63</v>
      </c>
      <c r="R3000" s="36" t="s">
        <v>2121</v>
      </c>
      <c r="S3000" s="7">
        <f t="shared" si="247"/>
        <v>1</v>
      </c>
      <c r="T3000" s="15" t="str">
        <f>VLOOKUP(R3000,产品分类!$C$2:$D$1278,2,0)</f>
        <v>办公用品</v>
      </c>
    </row>
    <row r="3001" spans="1:20">
      <c r="A3001" s="16">
        <f>DATE(2012,12,31)-64</f>
        <v>41210</v>
      </c>
      <c r="B3001" s="16">
        <f>DATE(2012,12,31)-64</f>
        <v>41210</v>
      </c>
      <c r="C3001" s="9" t="s">
        <v>2122</v>
      </c>
      <c r="D3001">
        <v>10021251781</v>
      </c>
      <c r="E3001" t="s">
        <v>47</v>
      </c>
      <c r="F3001" t="s">
        <v>208</v>
      </c>
      <c r="G3001" t="s">
        <v>209</v>
      </c>
      <c r="H3001" t="s">
        <v>2087</v>
      </c>
      <c r="I3001" t="s">
        <v>2088</v>
      </c>
      <c r="J3001" t="s">
        <v>668</v>
      </c>
      <c r="K3001" s="3">
        <v>100414293443</v>
      </c>
      <c r="L3001" s="10">
        <v>41211</v>
      </c>
      <c r="M3001">
        <v>1611.73</v>
      </c>
      <c r="N3001" s="17">
        <v>8</v>
      </c>
      <c r="O3001" s="5">
        <v>208.16</v>
      </c>
      <c r="P3001" s="5">
        <v>68.02</v>
      </c>
      <c r="Q3001" s="6">
        <v>-314.61</v>
      </c>
      <c r="R3001" s="37" t="s">
        <v>205</v>
      </c>
      <c r="S3001" s="7">
        <f t="shared" si="247"/>
        <v>1</v>
      </c>
      <c r="T3001" s="15" t="str">
        <f>VLOOKUP(R3001,产品分类!$C$2:$D$1278,2,0)</f>
        <v>家具产品</v>
      </c>
    </row>
    <row r="3002" spans="1:20">
      <c r="A3002" s="8">
        <f>DATE(2012,12,31)-64</f>
        <v>41210</v>
      </c>
      <c r="B3002" s="8">
        <f>DATE(2012,12,31)-64</f>
        <v>41210</v>
      </c>
      <c r="C3002" s="9" t="s">
        <v>2122</v>
      </c>
      <c r="D3002">
        <v>10021259566</v>
      </c>
      <c r="E3002" t="s">
        <v>47</v>
      </c>
      <c r="F3002" t="s">
        <v>102</v>
      </c>
      <c r="G3002" t="s">
        <v>103</v>
      </c>
      <c r="H3002" t="s">
        <v>2119</v>
      </c>
      <c r="I3002" t="s">
        <v>2120</v>
      </c>
      <c r="J3002" t="s">
        <v>668</v>
      </c>
      <c r="K3002" s="3">
        <v>100727975055</v>
      </c>
      <c r="L3002" s="10">
        <v>41213</v>
      </c>
      <c r="M3002">
        <v>1946.55</v>
      </c>
      <c r="N3002" s="11">
        <v>1</v>
      </c>
      <c r="O3002" s="12">
        <v>1938.02</v>
      </c>
      <c r="P3002" s="12">
        <v>13.99</v>
      </c>
      <c r="Q3002" s="13">
        <v>-4017.6165</v>
      </c>
      <c r="R3002" s="36" t="s">
        <v>1737</v>
      </c>
      <c r="S3002" s="7">
        <f t="shared" si="247"/>
        <v>3</v>
      </c>
      <c r="T3002" s="15" t="str">
        <f>VLOOKUP(R3002,产品分类!$C$2:$D$1278,2,0)</f>
        <v>数码电子</v>
      </c>
    </row>
    <row r="3003" spans="1:20">
      <c r="A3003" s="8">
        <f>DATE(2012,12,31)-1125</f>
        <v>40149</v>
      </c>
      <c r="B3003" s="8">
        <f>DATE(2012,12,31)-1125</f>
        <v>40149</v>
      </c>
      <c r="C3003" s="9" t="s">
        <v>1674</v>
      </c>
      <c r="D3003">
        <v>10021494146</v>
      </c>
      <c r="E3003" t="s">
        <v>47</v>
      </c>
      <c r="F3003" t="s">
        <v>102</v>
      </c>
      <c r="G3003" t="s">
        <v>103</v>
      </c>
      <c r="H3003" t="s">
        <v>2119</v>
      </c>
      <c r="I3003" t="s">
        <v>2120</v>
      </c>
      <c r="J3003" t="s">
        <v>668</v>
      </c>
      <c r="K3003" s="3">
        <v>100311246079</v>
      </c>
      <c r="L3003" s="10">
        <v>40149</v>
      </c>
      <c r="M3003">
        <v>65.31</v>
      </c>
      <c r="N3003" s="11">
        <v>2</v>
      </c>
      <c r="O3003" s="12">
        <v>24.92</v>
      </c>
      <c r="P3003" s="12">
        <v>12.98</v>
      </c>
      <c r="Q3003" s="13">
        <v>-34.4195</v>
      </c>
      <c r="R3003" s="36" t="s">
        <v>187</v>
      </c>
      <c r="S3003" s="7">
        <f t="shared" si="247"/>
        <v>0</v>
      </c>
      <c r="T3003" s="15" t="str">
        <f>VLOOKUP(R3003,产品分类!$C$2:$D$1278,2,0)</f>
        <v>数码电子</v>
      </c>
    </row>
    <row r="3004" spans="1:20">
      <c r="A3004" s="16">
        <f t="shared" ref="A3004:B3006" si="251">DATE(2012,12,31)-1239</f>
        <v>40035</v>
      </c>
      <c r="B3004" s="16">
        <f t="shared" si="251"/>
        <v>40035</v>
      </c>
      <c r="C3004" s="9" t="s">
        <v>2123</v>
      </c>
      <c r="D3004">
        <v>10021335899</v>
      </c>
      <c r="E3004" t="s">
        <v>47</v>
      </c>
      <c r="F3004" t="s">
        <v>304</v>
      </c>
      <c r="G3004" t="s">
        <v>305</v>
      </c>
      <c r="H3004" t="s">
        <v>2015</v>
      </c>
      <c r="I3004" t="s">
        <v>2016</v>
      </c>
      <c r="J3004" t="s">
        <v>668</v>
      </c>
      <c r="K3004" s="3">
        <v>100417446684</v>
      </c>
      <c r="L3004" s="10">
        <v>40042</v>
      </c>
      <c r="M3004">
        <v>376.65</v>
      </c>
      <c r="N3004" s="17">
        <v>16</v>
      </c>
      <c r="O3004" s="5">
        <v>22.38</v>
      </c>
      <c r="P3004" s="5">
        <v>15.1</v>
      </c>
      <c r="Q3004" s="6">
        <v>-52.647</v>
      </c>
      <c r="R3004" s="37" t="s">
        <v>938</v>
      </c>
      <c r="S3004" s="7">
        <f t="shared" si="247"/>
        <v>7</v>
      </c>
      <c r="T3004" s="15" t="str">
        <f>VLOOKUP(R3004,产品分类!$C$2:$D$1278,2,0)</f>
        <v>办公用品</v>
      </c>
    </row>
    <row r="3005" spans="1:20">
      <c r="A3005" s="16">
        <f t="shared" si="251"/>
        <v>40035</v>
      </c>
      <c r="B3005" s="16">
        <f t="shared" si="251"/>
        <v>40035</v>
      </c>
      <c r="C3005" s="9" t="s">
        <v>2123</v>
      </c>
      <c r="D3005">
        <v>10021287262</v>
      </c>
      <c r="E3005" t="s">
        <v>47</v>
      </c>
      <c r="F3005" t="s">
        <v>171</v>
      </c>
      <c r="G3005" t="s">
        <v>172</v>
      </c>
      <c r="H3005" t="s">
        <v>2073</v>
      </c>
      <c r="I3005" t="s">
        <v>2074</v>
      </c>
      <c r="J3005" t="s">
        <v>141</v>
      </c>
      <c r="K3005" s="3">
        <v>100431544643</v>
      </c>
      <c r="L3005" s="10">
        <v>40040</v>
      </c>
      <c r="M3005">
        <v>40.06</v>
      </c>
      <c r="N3005" s="17">
        <v>6</v>
      </c>
      <c r="O3005" s="5">
        <v>5.98</v>
      </c>
      <c r="P3005" s="5">
        <v>4.69</v>
      </c>
      <c r="Q3005" s="6">
        <v>-24.44</v>
      </c>
      <c r="R3005" s="37" t="s">
        <v>854</v>
      </c>
      <c r="S3005" s="7">
        <f t="shared" si="247"/>
        <v>5</v>
      </c>
      <c r="T3005" s="15" t="str">
        <f>VLOOKUP(R3005,产品分类!$C$2:$D$1278,2,0)</f>
        <v>办公用品</v>
      </c>
    </row>
    <row r="3006" spans="1:20">
      <c r="A3006" s="8">
        <f t="shared" si="251"/>
        <v>40035</v>
      </c>
      <c r="B3006" s="8">
        <f t="shared" si="251"/>
        <v>40035</v>
      </c>
      <c r="C3006" s="9" t="s">
        <v>2123</v>
      </c>
      <c r="D3006">
        <v>10021346766</v>
      </c>
      <c r="E3006" t="s">
        <v>47</v>
      </c>
      <c r="F3006" t="s">
        <v>171</v>
      </c>
      <c r="G3006" t="s">
        <v>172</v>
      </c>
      <c r="H3006" t="s">
        <v>2073</v>
      </c>
      <c r="I3006" t="s">
        <v>2074</v>
      </c>
      <c r="J3006" t="s">
        <v>141</v>
      </c>
      <c r="K3006" s="3">
        <v>100130932797</v>
      </c>
      <c r="L3006" s="10">
        <v>40035</v>
      </c>
      <c r="M3006">
        <v>1665.0395</v>
      </c>
      <c r="N3006" s="11">
        <v>35</v>
      </c>
      <c r="O3006" s="12">
        <v>55.99</v>
      </c>
      <c r="P3006" s="12">
        <v>3.3</v>
      </c>
      <c r="Q3006" s="13">
        <v>366.507</v>
      </c>
      <c r="R3006" s="36" t="s">
        <v>1274</v>
      </c>
      <c r="S3006" s="7">
        <f t="shared" si="247"/>
        <v>0</v>
      </c>
      <c r="T3006" s="15" t="str">
        <f>VLOOKUP(R3006,产品分类!$C$2:$D$1278,2,0)</f>
        <v>家具产品</v>
      </c>
    </row>
    <row r="3007" spans="1:20">
      <c r="A3007" s="16">
        <f>DATE(2012,12,31)-259</f>
        <v>41015</v>
      </c>
      <c r="B3007" s="16">
        <f>DATE(2012,12,31)-259</f>
        <v>41015</v>
      </c>
      <c r="C3007" s="9" t="s">
        <v>1455</v>
      </c>
      <c r="D3007">
        <v>10021334166</v>
      </c>
      <c r="E3007" t="s">
        <v>47</v>
      </c>
      <c r="F3007" t="s">
        <v>171</v>
      </c>
      <c r="G3007" t="s">
        <v>172</v>
      </c>
      <c r="H3007" t="s">
        <v>2073</v>
      </c>
      <c r="I3007" t="s">
        <v>2074</v>
      </c>
      <c r="J3007" t="s">
        <v>141</v>
      </c>
      <c r="K3007" s="3">
        <v>10097445181</v>
      </c>
      <c r="L3007" s="10">
        <v>41016</v>
      </c>
      <c r="M3007">
        <v>418.93</v>
      </c>
      <c r="N3007" s="17">
        <v>13</v>
      </c>
      <c r="O3007" s="5">
        <v>30.98</v>
      </c>
      <c r="P3007" s="5">
        <v>8.74</v>
      </c>
      <c r="Q3007" s="6">
        <v>82.25</v>
      </c>
      <c r="R3007" s="37" t="s">
        <v>496</v>
      </c>
      <c r="S3007" s="7">
        <f t="shared" si="247"/>
        <v>1</v>
      </c>
      <c r="T3007" s="15" t="str">
        <f>VLOOKUP(R3007,产品分类!$C$2:$D$1278,2,0)</f>
        <v>办公用品</v>
      </c>
    </row>
    <row r="3008" spans="1:20">
      <c r="A3008" s="8">
        <f t="shared" ref="A3008:B3011" si="252">DATE(2012,12,31)-698</f>
        <v>40576</v>
      </c>
      <c r="B3008" s="8">
        <f t="shared" si="252"/>
        <v>40576</v>
      </c>
      <c r="C3008" s="9" t="s">
        <v>2124</v>
      </c>
      <c r="D3008">
        <v>10021493314</v>
      </c>
      <c r="E3008" t="s">
        <v>47</v>
      </c>
      <c r="F3008" t="s">
        <v>527</v>
      </c>
      <c r="G3008" t="s">
        <v>528</v>
      </c>
      <c r="H3008" t="s">
        <v>2046</v>
      </c>
      <c r="I3008" t="s">
        <v>2047</v>
      </c>
      <c r="J3008" t="s">
        <v>141</v>
      </c>
      <c r="K3008" s="3">
        <v>10091354161</v>
      </c>
      <c r="L3008" s="10">
        <v>40578</v>
      </c>
      <c r="M3008">
        <v>145.15</v>
      </c>
      <c r="N3008" s="11">
        <v>24</v>
      </c>
      <c r="O3008" s="12">
        <v>5.94</v>
      </c>
      <c r="P3008" s="12">
        <v>9.92</v>
      </c>
      <c r="Q3008" s="13">
        <v>-169.165</v>
      </c>
      <c r="R3008" s="36" t="s">
        <v>2014</v>
      </c>
      <c r="S3008" s="7">
        <f t="shared" si="247"/>
        <v>2</v>
      </c>
      <c r="T3008" s="15" t="str">
        <f>VLOOKUP(R3008,产品分类!$C$2:$D$1278,2,0)</f>
        <v>办公用品</v>
      </c>
    </row>
    <row r="3009" spans="1:20">
      <c r="A3009" s="8">
        <f t="shared" si="252"/>
        <v>40576</v>
      </c>
      <c r="B3009" s="8">
        <f t="shared" si="252"/>
        <v>40576</v>
      </c>
      <c r="C3009" s="9" t="s">
        <v>2124</v>
      </c>
      <c r="D3009">
        <v>10021426155</v>
      </c>
      <c r="E3009" t="s">
        <v>47</v>
      </c>
      <c r="F3009" t="s">
        <v>171</v>
      </c>
      <c r="G3009" t="s">
        <v>172</v>
      </c>
      <c r="H3009" t="s">
        <v>2073</v>
      </c>
      <c r="I3009" t="s">
        <v>2074</v>
      </c>
      <c r="J3009" t="s">
        <v>141</v>
      </c>
      <c r="K3009" s="3">
        <v>100729927335</v>
      </c>
      <c r="L3009" s="10">
        <v>40577</v>
      </c>
      <c r="M3009">
        <v>131.5</v>
      </c>
      <c r="N3009" s="11">
        <v>3</v>
      </c>
      <c r="O3009" s="12">
        <v>39.98</v>
      </c>
      <c r="P3009" s="12">
        <v>9.2</v>
      </c>
      <c r="Q3009" s="13">
        <v>105.9</v>
      </c>
      <c r="R3009" s="36" t="s">
        <v>1787</v>
      </c>
      <c r="S3009" s="7">
        <f t="shared" si="247"/>
        <v>1</v>
      </c>
      <c r="T3009" s="15" t="str">
        <f>VLOOKUP(R3009,产品分类!$C$2:$D$1278,2,0)</f>
        <v>办公用品</v>
      </c>
    </row>
    <row r="3010" spans="1:20">
      <c r="A3010" s="8">
        <f t="shared" si="252"/>
        <v>40576</v>
      </c>
      <c r="B3010" s="8">
        <f t="shared" si="252"/>
        <v>40576</v>
      </c>
      <c r="C3010" s="9" t="s">
        <v>2124</v>
      </c>
      <c r="D3010">
        <v>10021251108</v>
      </c>
      <c r="E3010" t="s">
        <v>47</v>
      </c>
      <c r="F3010" t="s">
        <v>171</v>
      </c>
      <c r="G3010" t="s">
        <v>172</v>
      </c>
      <c r="H3010" t="s">
        <v>2073</v>
      </c>
      <c r="I3010" t="s">
        <v>2074</v>
      </c>
      <c r="J3010" t="s">
        <v>141</v>
      </c>
      <c r="K3010" s="3">
        <v>100917002721</v>
      </c>
      <c r="L3010" s="10">
        <v>40576</v>
      </c>
      <c r="M3010">
        <v>7814.59</v>
      </c>
      <c r="N3010" s="11">
        <v>38</v>
      </c>
      <c r="O3010" s="12">
        <v>194.3</v>
      </c>
      <c r="P3010" s="12">
        <v>11.54</v>
      </c>
      <c r="Q3010" s="13">
        <v>3408.46</v>
      </c>
      <c r="R3010" s="36" t="s">
        <v>1720</v>
      </c>
      <c r="S3010" s="7">
        <f t="shared" si="247"/>
        <v>0</v>
      </c>
      <c r="T3010" s="15" t="str">
        <f>VLOOKUP(R3010,产品分类!$C$2:$D$1278,2,0)</f>
        <v>数码电子</v>
      </c>
    </row>
    <row r="3011" spans="1:20">
      <c r="A3011" s="8">
        <f t="shared" si="252"/>
        <v>40576</v>
      </c>
      <c r="B3011" s="8">
        <f t="shared" si="252"/>
        <v>40576</v>
      </c>
      <c r="C3011" s="9" t="s">
        <v>2124</v>
      </c>
      <c r="D3011">
        <v>10021353593</v>
      </c>
      <c r="E3011" t="s">
        <v>47</v>
      </c>
      <c r="F3011" t="s">
        <v>171</v>
      </c>
      <c r="G3011" t="s">
        <v>172</v>
      </c>
      <c r="H3011" t="s">
        <v>2073</v>
      </c>
      <c r="I3011" t="s">
        <v>2074</v>
      </c>
      <c r="J3011" t="s">
        <v>141</v>
      </c>
      <c r="K3011" s="3">
        <v>100932581561</v>
      </c>
      <c r="L3011" s="10">
        <v>40576</v>
      </c>
      <c r="M3011">
        <v>158.99</v>
      </c>
      <c r="N3011" s="11">
        <v>23</v>
      </c>
      <c r="O3011" s="12">
        <v>6.98</v>
      </c>
      <c r="P3011" s="12">
        <v>9.69</v>
      </c>
      <c r="Q3011" s="13">
        <v>-197.13</v>
      </c>
      <c r="R3011" s="36" t="s">
        <v>1965</v>
      </c>
      <c r="S3011" s="7">
        <f t="shared" ref="S3011:S3074" si="253">+L3011-B3011</f>
        <v>0</v>
      </c>
      <c r="T3011" s="15" t="str">
        <f>VLOOKUP(R3011,产品分类!$C$2:$D$1278,2,0)</f>
        <v>数码电子</v>
      </c>
    </row>
    <row r="3012" spans="1:20">
      <c r="A3012" s="8">
        <f>DATE(2012,12,31)-77</f>
        <v>41197</v>
      </c>
      <c r="B3012" s="8">
        <f>DATE(2012,12,31)-77</f>
        <v>41197</v>
      </c>
      <c r="C3012" s="9" t="s">
        <v>273</v>
      </c>
      <c r="D3012">
        <v>10021531427</v>
      </c>
      <c r="E3012" t="s">
        <v>47</v>
      </c>
      <c r="F3012" t="s">
        <v>177</v>
      </c>
      <c r="G3012" t="s">
        <v>178</v>
      </c>
      <c r="H3012" t="s">
        <v>2125</v>
      </c>
      <c r="I3012" t="s">
        <v>2126</v>
      </c>
      <c r="J3012" t="s">
        <v>141</v>
      </c>
      <c r="K3012" s="3">
        <v>100127411636</v>
      </c>
      <c r="L3012" s="10">
        <v>41198</v>
      </c>
      <c r="M3012">
        <v>474.793</v>
      </c>
      <c r="N3012" s="11">
        <v>5</v>
      </c>
      <c r="O3012" s="12">
        <v>115.99</v>
      </c>
      <c r="P3012" s="12">
        <v>2.5</v>
      </c>
      <c r="Q3012" s="13">
        <v>-407.264</v>
      </c>
      <c r="R3012" s="36" t="s">
        <v>2127</v>
      </c>
      <c r="S3012" s="7">
        <f t="shared" si="253"/>
        <v>1</v>
      </c>
      <c r="T3012" s="15" t="str">
        <f>VLOOKUP(R3012,产品分类!$C$2:$D$1278,2,0)</f>
        <v>家具产品</v>
      </c>
    </row>
    <row r="3013" spans="1:20">
      <c r="A3013" s="8">
        <f>DATE(2012,12,31)-720</f>
        <v>40554</v>
      </c>
      <c r="B3013" s="8">
        <f>DATE(2012,12,31)-720</f>
        <v>40554</v>
      </c>
      <c r="C3013" s="9" t="s">
        <v>551</v>
      </c>
      <c r="D3013">
        <v>10021496686</v>
      </c>
      <c r="E3013" t="s">
        <v>47</v>
      </c>
      <c r="F3013" t="s">
        <v>171</v>
      </c>
      <c r="G3013" t="s">
        <v>172</v>
      </c>
      <c r="H3013" t="s">
        <v>2073</v>
      </c>
      <c r="I3013" t="s">
        <v>2074</v>
      </c>
      <c r="J3013" t="s">
        <v>141</v>
      </c>
      <c r="K3013" s="3">
        <v>100312512829</v>
      </c>
      <c r="L3013" s="10">
        <v>40555</v>
      </c>
      <c r="M3013">
        <v>1965.21</v>
      </c>
      <c r="N3013" s="11">
        <v>24</v>
      </c>
      <c r="O3013" s="12">
        <v>78.69</v>
      </c>
      <c r="P3013" s="12">
        <v>19.99</v>
      </c>
      <c r="Q3013" s="13">
        <v>830.75</v>
      </c>
      <c r="R3013" s="36" t="s">
        <v>2041</v>
      </c>
      <c r="S3013" s="7">
        <f t="shared" si="253"/>
        <v>1</v>
      </c>
      <c r="T3013" s="15" t="str">
        <f>VLOOKUP(R3013,产品分类!$C$2:$D$1278,2,0)</f>
        <v>办公用品</v>
      </c>
    </row>
    <row r="3014" spans="1:20">
      <c r="A3014" s="8">
        <f>DATE(2012,12,31)-930</f>
        <v>40344</v>
      </c>
      <c r="B3014" s="8">
        <f>DATE(2012,12,31)-930</f>
        <v>40344</v>
      </c>
      <c r="C3014" s="9" t="s">
        <v>1454</v>
      </c>
      <c r="D3014">
        <v>10021508494</v>
      </c>
      <c r="E3014" t="s">
        <v>47</v>
      </c>
      <c r="F3014" t="s">
        <v>171</v>
      </c>
      <c r="G3014" t="s">
        <v>172</v>
      </c>
      <c r="H3014" t="s">
        <v>2073</v>
      </c>
      <c r="I3014" t="s">
        <v>2074</v>
      </c>
      <c r="J3014" t="s">
        <v>141</v>
      </c>
      <c r="K3014" s="3">
        <v>100132110616</v>
      </c>
      <c r="L3014" s="10">
        <v>40347</v>
      </c>
      <c r="M3014">
        <v>670.94</v>
      </c>
      <c r="N3014" s="11">
        <v>15</v>
      </c>
      <c r="O3014" s="12">
        <v>45.19</v>
      </c>
      <c r="P3014" s="12">
        <v>1.99</v>
      </c>
      <c r="Q3014" s="13">
        <v>87.51</v>
      </c>
      <c r="R3014" s="36" t="s">
        <v>921</v>
      </c>
      <c r="S3014" s="7">
        <f t="shared" si="253"/>
        <v>3</v>
      </c>
      <c r="T3014" s="15" t="str">
        <f>VLOOKUP(R3014,产品分类!$C$2:$D$1278,2,0)</f>
        <v>家具产品</v>
      </c>
    </row>
    <row r="3015" spans="1:20">
      <c r="A3015" s="8">
        <f>DATE(2012,12,31)-802</f>
        <v>40472</v>
      </c>
      <c r="B3015" s="8">
        <f>DATE(2012,12,31)-802</f>
        <v>40472</v>
      </c>
      <c r="C3015" s="9" t="s">
        <v>1404</v>
      </c>
      <c r="D3015">
        <v>10021335296</v>
      </c>
      <c r="E3015" t="s">
        <v>47</v>
      </c>
      <c r="F3015" t="s">
        <v>171</v>
      </c>
      <c r="G3015" t="s">
        <v>172</v>
      </c>
      <c r="H3015" t="s">
        <v>2073</v>
      </c>
      <c r="I3015" t="s">
        <v>2074</v>
      </c>
      <c r="J3015" t="s">
        <v>141</v>
      </c>
      <c r="K3015" s="3">
        <v>100110897528</v>
      </c>
      <c r="L3015" s="10">
        <v>40473</v>
      </c>
      <c r="M3015">
        <v>278.27</v>
      </c>
      <c r="N3015" s="11">
        <v>14</v>
      </c>
      <c r="O3015" s="12">
        <v>19.35</v>
      </c>
      <c r="P3015" s="12">
        <v>12.79</v>
      </c>
      <c r="Q3015" s="13">
        <v>-51.911</v>
      </c>
      <c r="R3015" s="36" t="s">
        <v>2128</v>
      </c>
      <c r="S3015" s="7">
        <f t="shared" si="253"/>
        <v>1</v>
      </c>
      <c r="T3015" s="15" t="str">
        <f>VLOOKUP(R3015,产品分类!$C$2:$D$1278,2,0)</f>
        <v>数码电子</v>
      </c>
    </row>
    <row r="3016" spans="1:20">
      <c r="A3016" s="8">
        <f>DATE(2012,12,31)-745</f>
        <v>40529</v>
      </c>
      <c r="B3016" s="8">
        <f>DATE(2012,12,31)-745</f>
        <v>40529</v>
      </c>
      <c r="C3016" s="9" t="s">
        <v>1221</v>
      </c>
      <c r="D3016">
        <v>10021510565</v>
      </c>
      <c r="E3016" t="s">
        <v>47</v>
      </c>
      <c r="F3016" t="s">
        <v>171</v>
      </c>
      <c r="G3016" t="s">
        <v>172</v>
      </c>
      <c r="H3016" t="s">
        <v>2073</v>
      </c>
      <c r="I3016" t="s">
        <v>2074</v>
      </c>
      <c r="J3016" t="s">
        <v>141</v>
      </c>
      <c r="K3016" s="3">
        <v>100432686113</v>
      </c>
      <c r="L3016" s="10">
        <v>40530</v>
      </c>
      <c r="M3016">
        <v>5232.83</v>
      </c>
      <c r="N3016" s="11">
        <v>40</v>
      </c>
      <c r="O3016" s="12">
        <v>122.99</v>
      </c>
      <c r="P3016" s="12">
        <v>70.2</v>
      </c>
      <c r="Q3016" s="13">
        <v>-1461.65</v>
      </c>
      <c r="R3016" s="36" t="s">
        <v>860</v>
      </c>
      <c r="S3016" s="7">
        <f t="shared" si="253"/>
        <v>1</v>
      </c>
      <c r="T3016" s="15" t="str">
        <f>VLOOKUP(R3016,产品分类!$C$2:$D$1278,2,0)</f>
        <v>办公用品</v>
      </c>
    </row>
    <row r="3017" spans="1:20">
      <c r="A3017" s="16">
        <f t="shared" ref="A3017:B3019" si="254">DATE(2012,12,31)-1400</f>
        <v>39874</v>
      </c>
      <c r="B3017" s="16">
        <f t="shared" si="254"/>
        <v>39874</v>
      </c>
      <c r="C3017" s="9" t="s">
        <v>598</v>
      </c>
      <c r="D3017">
        <v>10021396434</v>
      </c>
      <c r="E3017" t="s">
        <v>47</v>
      </c>
      <c r="F3017" t="s">
        <v>171</v>
      </c>
      <c r="G3017" t="s">
        <v>172</v>
      </c>
      <c r="H3017" t="s">
        <v>2073</v>
      </c>
      <c r="I3017" t="s">
        <v>2074</v>
      </c>
      <c r="J3017" t="s">
        <v>141</v>
      </c>
      <c r="K3017" s="3">
        <v>100121573796</v>
      </c>
      <c r="L3017" s="10">
        <v>39876</v>
      </c>
      <c r="M3017">
        <v>12.01</v>
      </c>
      <c r="N3017" s="17">
        <v>3</v>
      </c>
      <c r="O3017" s="5">
        <v>3.69</v>
      </c>
      <c r="P3017" s="5">
        <v>0.5</v>
      </c>
      <c r="Q3017" s="6">
        <v>-1.08</v>
      </c>
      <c r="R3017" s="37" t="s">
        <v>241</v>
      </c>
      <c r="S3017" s="7">
        <f t="shared" si="253"/>
        <v>2</v>
      </c>
      <c r="T3017" s="15" t="str">
        <f>VLOOKUP(R3017,产品分类!$C$2:$D$1278,2,0)</f>
        <v>数码电子</v>
      </c>
    </row>
    <row r="3018" spans="1:20">
      <c r="A3018" s="8">
        <f t="shared" si="254"/>
        <v>39874</v>
      </c>
      <c r="B3018" s="8">
        <f t="shared" si="254"/>
        <v>39874</v>
      </c>
      <c r="C3018" s="9" t="s">
        <v>598</v>
      </c>
      <c r="D3018">
        <v>10021533151</v>
      </c>
      <c r="E3018" t="s">
        <v>47</v>
      </c>
      <c r="F3018" t="s">
        <v>171</v>
      </c>
      <c r="G3018" t="s">
        <v>172</v>
      </c>
      <c r="H3018" t="s">
        <v>2073</v>
      </c>
      <c r="I3018" t="s">
        <v>2074</v>
      </c>
      <c r="J3018" t="s">
        <v>141</v>
      </c>
      <c r="K3018" s="3">
        <v>100132328778</v>
      </c>
      <c r="L3018" s="10">
        <v>39876</v>
      </c>
      <c r="M3018">
        <v>1846.76</v>
      </c>
      <c r="N3018" s="11">
        <v>20</v>
      </c>
      <c r="O3018" s="12">
        <v>92.23</v>
      </c>
      <c r="P3018" s="12">
        <v>39.61</v>
      </c>
      <c r="Q3018" s="13">
        <v>3.14000000000004</v>
      </c>
      <c r="R3018" s="36" t="s">
        <v>1164</v>
      </c>
      <c r="S3018" s="7">
        <f t="shared" si="253"/>
        <v>2</v>
      </c>
      <c r="T3018" s="15" t="str">
        <f>VLOOKUP(R3018,产品分类!$C$2:$D$1278,2,0)</f>
        <v>数码电子</v>
      </c>
    </row>
    <row r="3019" spans="1:20">
      <c r="A3019" s="8">
        <f t="shared" si="254"/>
        <v>39874</v>
      </c>
      <c r="B3019" s="8">
        <f t="shared" si="254"/>
        <v>39874</v>
      </c>
      <c r="C3019" s="9" t="s">
        <v>598</v>
      </c>
      <c r="D3019">
        <v>10021427738</v>
      </c>
      <c r="E3019" t="s">
        <v>47</v>
      </c>
      <c r="F3019" t="s">
        <v>342</v>
      </c>
      <c r="G3019" t="s">
        <v>343</v>
      </c>
      <c r="H3019" t="s">
        <v>2090</v>
      </c>
      <c r="I3019" t="s">
        <v>2091</v>
      </c>
      <c r="J3019" t="s">
        <v>141</v>
      </c>
      <c r="K3019" s="3">
        <v>100130685116</v>
      </c>
      <c r="L3019" s="10">
        <v>39874</v>
      </c>
      <c r="M3019">
        <v>2211.734</v>
      </c>
      <c r="N3019" s="11">
        <v>15</v>
      </c>
      <c r="O3019" s="12">
        <v>175.99</v>
      </c>
      <c r="P3019" s="12">
        <v>4.99</v>
      </c>
      <c r="Q3019" s="13">
        <v>80.757</v>
      </c>
      <c r="R3019" s="36" t="s">
        <v>485</v>
      </c>
      <c r="S3019" s="7">
        <f t="shared" si="253"/>
        <v>0</v>
      </c>
      <c r="T3019" s="15" t="str">
        <f>VLOOKUP(R3019,产品分类!$C$2:$D$1278,2,0)</f>
        <v>数码电子</v>
      </c>
    </row>
    <row r="3020" spans="1:20">
      <c r="A3020" s="16">
        <f>DATE(2012,12,31)-25</f>
        <v>41249</v>
      </c>
      <c r="B3020" s="16">
        <f>DATE(2012,12,31)-25</f>
        <v>41249</v>
      </c>
      <c r="C3020" s="9" t="s">
        <v>1060</v>
      </c>
      <c r="D3020">
        <v>10021555299</v>
      </c>
      <c r="E3020" t="s">
        <v>47</v>
      </c>
      <c r="F3020" t="s">
        <v>177</v>
      </c>
      <c r="G3020" t="s">
        <v>178</v>
      </c>
      <c r="H3020" t="s">
        <v>2125</v>
      </c>
      <c r="I3020" t="s">
        <v>2126</v>
      </c>
      <c r="J3020" t="s">
        <v>141</v>
      </c>
      <c r="K3020" s="3">
        <v>100414128374</v>
      </c>
      <c r="L3020" s="10">
        <v>41253</v>
      </c>
      <c r="M3020">
        <v>120.98</v>
      </c>
      <c r="N3020" s="17">
        <v>28</v>
      </c>
      <c r="O3020" s="5">
        <v>4.13</v>
      </c>
      <c r="P3020" s="5">
        <v>5.34</v>
      </c>
      <c r="Q3020" s="6">
        <v>-92.851</v>
      </c>
      <c r="R3020" s="37" t="s">
        <v>612</v>
      </c>
      <c r="S3020" s="7">
        <f t="shared" si="253"/>
        <v>4</v>
      </c>
      <c r="T3020" s="15" t="str">
        <f>VLOOKUP(R3020,产品分类!$C$2:$D$1278,2,0)</f>
        <v>办公用品</v>
      </c>
    </row>
    <row r="3021" spans="1:20">
      <c r="A3021" s="8">
        <f>DATE(2012,12,31)-25</f>
        <v>41249</v>
      </c>
      <c r="B3021" s="8">
        <f>DATE(2012,12,31)-25</f>
        <v>41249</v>
      </c>
      <c r="C3021" s="9" t="s">
        <v>1060</v>
      </c>
      <c r="D3021">
        <v>10021502161</v>
      </c>
      <c r="E3021" t="s">
        <v>47</v>
      </c>
      <c r="F3021" t="s">
        <v>167</v>
      </c>
      <c r="G3021" t="s">
        <v>168</v>
      </c>
      <c r="H3021" t="s">
        <v>169</v>
      </c>
      <c r="I3021" t="s">
        <v>168</v>
      </c>
      <c r="J3021" t="s">
        <v>141</v>
      </c>
      <c r="K3021" s="3">
        <v>10011198876</v>
      </c>
      <c r="L3021" s="10">
        <v>41256</v>
      </c>
      <c r="M3021">
        <v>1082.66</v>
      </c>
      <c r="N3021" s="11">
        <v>14</v>
      </c>
      <c r="O3021" s="12">
        <v>79.52</v>
      </c>
      <c r="P3021" s="12">
        <v>48.2</v>
      </c>
      <c r="Q3021" s="13">
        <v>-256.93</v>
      </c>
      <c r="R3021" s="36" t="s">
        <v>954</v>
      </c>
      <c r="S3021" s="7">
        <f t="shared" si="253"/>
        <v>7</v>
      </c>
      <c r="T3021" s="15" t="str">
        <f>VLOOKUP(R3021,产品分类!$C$2:$D$1278,2,0)</f>
        <v>办公用品</v>
      </c>
    </row>
    <row r="3022" spans="1:20">
      <c r="A3022" s="16">
        <f>DATE(2012,12,31)-401</f>
        <v>40873</v>
      </c>
      <c r="B3022" s="16">
        <f>DATE(2012,12,31)-401</f>
        <v>40873</v>
      </c>
      <c r="C3022" s="9" t="s">
        <v>523</v>
      </c>
      <c r="D3022">
        <v>10021468477</v>
      </c>
      <c r="E3022" t="s">
        <v>47</v>
      </c>
      <c r="F3022" t="s">
        <v>177</v>
      </c>
      <c r="G3022" t="s">
        <v>178</v>
      </c>
      <c r="H3022" t="s">
        <v>2125</v>
      </c>
      <c r="I3022" t="s">
        <v>2126</v>
      </c>
      <c r="J3022" t="s">
        <v>141</v>
      </c>
      <c r="K3022" s="3">
        <v>100820254872</v>
      </c>
      <c r="L3022" s="10">
        <v>40873</v>
      </c>
      <c r="M3022">
        <v>1580.57</v>
      </c>
      <c r="N3022" s="17">
        <v>26</v>
      </c>
      <c r="O3022" s="5">
        <v>60.98</v>
      </c>
      <c r="P3022" s="5">
        <v>49</v>
      </c>
      <c r="Q3022" s="6">
        <v>-750.82</v>
      </c>
      <c r="R3022" s="37" t="s">
        <v>568</v>
      </c>
      <c r="S3022" s="7">
        <f t="shared" si="253"/>
        <v>0</v>
      </c>
      <c r="T3022" s="15" t="str">
        <f>VLOOKUP(R3022,产品分类!$C$2:$D$1278,2,0)</f>
        <v>家具产品</v>
      </c>
    </row>
    <row r="3023" spans="1:20">
      <c r="A3023" s="8">
        <f>DATE(2012,12,31)-1028</f>
        <v>40246</v>
      </c>
      <c r="B3023" s="8">
        <f>DATE(2012,12,31)-1028</f>
        <v>40246</v>
      </c>
      <c r="C3023" s="9" t="s">
        <v>60</v>
      </c>
      <c r="D3023">
        <v>10021502277</v>
      </c>
      <c r="E3023" t="s">
        <v>47</v>
      </c>
      <c r="F3023" t="s">
        <v>167</v>
      </c>
      <c r="G3023" t="s">
        <v>168</v>
      </c>
      <c r="H3023" t="s">
        <v>169</v>
      </c>
      <c r="I3023" t="s">
        <v>168</v>
      </c>
      <c r="J3023" t="s">
        <v>141</v>
      </c>
      <c r="K3023" s="3">
        <v>100928238061</v>
      </c>
      <c r="L3023" s="10">
        <v>40248</v>
      </c>
      <c r="M3023">
        <v>239.49</v>
      </c>
      <c r="N3023" s="11">
        <v>23</v>
      </c>
      <c r="O3023" s="12">
        <v>9.98</v>
      </c>
      <c r="P3023" s="12">
        <v>12.52</v>
      </c>
      <c r="Q3023" s="13">
        <v>-159.35</v>
      </c>
      <c r="R3023" s="36" t="s">
        <v>2129</v>
      </c>
      <c r="S3023" s="7">
        <f t="shared" si="253"/>
        <v>2</v>
      </c>
      <c r="T3023" s="15" t="str">
        <f>VLOOKUP(R3023,产品分类!$C$2:$D$1278,2,0)</f>
        <v>家具产品</v>
      </c>
    </row>
    <row r="3024" spans="1:20">
      <c r="A3024" s="8">
        <f>DATE(2012,12,31)-1028</f>
        <v>40246</v>
      </c>
      <c r="B3024" s="8">
        <f>DATE(2012,12,31)-1028</f>
        <v>40246</v>
      </c>
      <c r="C3024" s="9" t="s">
        <v>60</v>
      </c>
      <c r="D3024">
        <v>10021506164</v>
      </c>
      <c r="E3024" t="s">
        <v>47</v>
      </c>
      <c r="F3024" t="s">
        <v>127</v>
      </c>
      <c r="G3024" t="s">
        <v>128</v>
      </c>
      <c r="H3024" t="s">
        <v>1936</v>
      </c>
      <c r="I3024" t="s">
        <v>1937</v>
      </c>
      <c r="J3024" t="s">
        <v>141</v>
      </c>
      <c r="K3024" s="3">
        <v>1001341868</v>
      </c>
      <c r="L3024" s="10">
        <v>40249</v>
      </c>
      <c r="M3024">
        <v>1819.153</v>
      </c>
      <c r="N3024" s="11">
        <v>14</v>
      </c>
      <c r="O3024" s="12">
        <v>155.99</v>
      </c>
      <c r="P3024" s="12">
        <v>8.99</v>
      </c>
      <c r="Q3024" s="13">
        <v>-35.497</v>
      </c>
      <c r="R3024" s="36" t="s">
        <v>469</v>
      </c>
      <c r="S3024" s="7">
        <f t="shared" si="253"/>
        <v>3</v>
      </c>
      <c r="T3024" s="15" t="str">
        <f>VLOOKUP(R3024,产品分类!$C$2:$D$1278,2,0)</f>
        <v>办公用品</v>
      </c>
    </row>
    <row r="3025" spans="1:20">
      <c r="A3025" s="8">
        <f>DATE(2012,12,31)-701</f>
        <v>40573</v>
      </c>
      <c r="B3025" s="8">
        <f>DATE(2012,12,31)-701</f>
        <v>40573</v>
      </c>
      <c r="C3025" s="9" t="s">
        <v>446</v>
      </c>
      <c r="D3025">
        <v>10021500148</v>
      </c>
      <c r="E3025" t="s">
        <v>47</v>
      </c>
      <c r="F3025" t="s">
        <v>61</v>
      </c>
      <c r="G3025" t="s">
        <v>62</v>
      </c>
      <c r="H3025" t="s">
        <v>47</v>
      </c>
      <c r="I3025" t="s">
        <v>1778</v>
      </c>
      <c r="J3025" t="s">
        <v>141</v>
      </c>
      <c r="K3025" s="3">
        <v>100125829356</v>
      </c>
      <c r="L3025" s="10">
        <v>40574</v>
      </c>
      <c r="M3025">
        <v>71.2</v>
      </c>
      <c r="N3025" s="11">
        <v>9</v>
      </c>
      <c r="O3025" s="12">
        <v>7.38</v>
      </c>
      <c r="P3025" s="12">
        <v>5.21</v>
      </c>
      <c r="Q3025" s="13">
        <v>1.87</v>
      </c>
      <c r="R3025" s="36" t="s">
        <v>163</v>
      </c>
      <c r="S3025" s="7">
        <f t="shared" si="253"/>
        <v>1</v>
      </c>
      <c r="T3025" s="15" t="str">
        <f>VLOOKUP(R3025,产品分类!$C$2:$D$1278,2,0)</f>
        <v>家具产品</v>
      </c>
    </row>
    <row r="3026" spans="1:20">
      <c r="A3026" s="8">
        <f>DATE(2012,12,31)-217</f>
        <v>41057</v>
      </c>
      <c r="B3026" s="8">
        <f>DATE(2012,12,31)-217</f>
        <v>41057</v>
      </c>
      <c r="C3026" s="9" t="s">
        <v>2130</v>
      </c>
      <c r="D3026">
        <v>10021365255</v>
      </c>
      <c r="E3026" t="s">
        <v>47</v>
      </c>
      <c r="F3026" t="s">
        <v>61</v>
      </c>
      <c r="G3026" t="s">
        <v>62</v>
      </c>
      <c r="H3026" t="s">
        <v>47</v>
      </c>
      <c r="I3026" t="s">
        <v>1778</v>
      </c>
      <c r="J3026" t="s">
        <v>141</v>
      </c>
      <c r="K3026" s="3">
        <v>100821520992</v>
      </c>
      <c r="L3026" s="10">
        <v>41062</v>
      </c>
      <c r="M3026">
        <v>1239.4445</v>
      </c>
      <c r="N3026" s="11">
        <v>22</v>
      </c>
      <c r="O3026" s="12">
        <v>65.99</v>
      </c>
      <c r="P3026" s="12">
        <v>3.99</v>
      </c>
      <c r="Q3026" s="13">
        <v>165.501</v>
      </c>
      <c r="R3026" s="36" t="s">
        <v>727</v>
      </c>
      <c r="S3026" s="7">
        <f t="shared" si="253"/>
        <v>5</v>
      </c>
      <c r="T3026" s="15" t="str">
        <f>VLOOKUP(R3026,产品分类!$C$2:$D$1278,2,0)</f>
        <v>家具产品</v>
      </c>
    </row>
    <row r="3027" spans="1:20">
      <c r="A3027" s="8">
        <f>DATE(2012,12,31)-1309</f>
        <v>39965</v>
      </c>
      <c r="B3027" s="8">
        <f>DATE(2012,12,31)-1309</f>
        <v>39965</v>
      </c>
      <c r="C3027" s="9" t="s">
        <v>838</v>
      </c>
      <c r="D3027">
        <v>10021341574</v>
      </c>
      <c r="E3027" t="s">
        <v>47</v>
      </c>
      <c r="F3027" t="s">
        <v>61</v>
      </c>
      <c r="G3027" t="s">
        <v>62</v>
      </c>
      <c r="H3027" t="s">
        <v>47</v>
      </c>
      <c r="I3027" t="s">
        <v>1778</v>
      </c>
      <c r="J3027" t="s">
        <v>141</v>
      </c>
      <c r="K3027" s="3">
        <v>100127106167</v>
      </c>
      <c r="L3027" s="10">
        <v>39967</v>
      </c>
      <c r="M3027">
        <v>5178.17</v>
      </c>
      <c r="N3027" s="11">
        <v>41</v>
      </c>
      <c r="O3027" s="12">
        <v>120.98</v>
      </c>
      <c r="P3027" s="12">
        <v>30</v>
      </c>
      <c r="Q3027" s="13">
        <v>531.69</v>
      </c>
      <c r="R3027" s="36" t="s">
        <v>750</v>
      </c>
      <c r="S3027" s="7">
        <f t="shared" si="253"/>
        <v>2</v>
      </c>
      <c r="T3027" s="15" t="str">
        <f>VLOOKUP(R3027,产品分类!$C$2:$D$1278,2,0)</f>
        <v>办公用品</v>
      </c>
    </row>
    <row r="3028" spans="1:20">
      <c r="A3028" s="8">
        <f>DATE(2012,12,31)-1309</f>
        <v>39965</v>
      </c>
      <c r="B3028" s="8">
        <f>DATE(2012,12,31)-1309</f>
        <v>39965</v>
      </c>
      <c r="C3028" s="9" t="s">
        <v>838</v>
      </c>
      <c r="D3028">
        <v>10021523223</v>
      </c>
      <c r="E3028" t="s">
        <v>47</v>
      </c>
      <c r="F3028" t="s">
        <v>61</v>
      </c>
      <c r="G3028" t="s">
        <v>62</v>
      </c>
      <c r="H3028" t="s">
        <v>47</v>
      </c>
      <c r="I3028" t="s">
        <v>1778</v>
      </c>
      <c r="J3028" t="s">
        <v>141</v>
      </c>
      <c r="K3028" s="3">
        <v>100114701016</v>
      </c>
      <c r="L3028" s="10">
        <v>39967</v>
      </c>
      <c r="M3028">
        <v>535.24</v>
      </c>
      <c r="N3028" s="11">
        <v>32</v>
      </c>
      <c r="O3028" s="12">
        <v>15.68</v>
      </c>
      <c r="P3028" s="12">
        <v>3.73</v>
      </c>
      <c r="Q3028" s="13">
        <v>216.43</v>
      </c>
      <c r="R3028" s="36" t="s">
        <v>756</v>
      </c>
      <c r="S3028" s="7">
        <f t="shared" si="253"/>
        <v>2</v>
      </c>
      <c r="T3028" s="15" t="str">
        <f>VLOOKUP(R3028,产品分类!$C$2:$D$1278,2,0)</f>
        <v>办公用品</v>
      </c>
    </row>
    <row r="3029" spans="1:20">
      <c r="A3029" s="8">
        <f>DATE(2012,12,31)-97</f>
        <v>41177</v>
      </c>
      <c r="B3029" s="8">
        <f>DATE(2012,12,31)-97</f>
        <v>41177</v>
      </c>
      <c r="C3029" s="9" t="s">
        <v>1976</v>
      </c>
      <c r="D3029">
        <v>10021413556</v>
      </c>
      <c r="E3029" t="s">
        <v>47</v>
      </c>
      <c r="F3029" t="s">
        <v>61</v>
      </c>
      <c r="G3029" t="s">
        <v>62</v>
      </c>
      <c r="H3029" t="s">
        <v>47</v>
      </c>
      <c r="I3029" t="s">
        <v>1778</v>
      </c>
      <c r="J3029" t="s">
        <v>141</v>
      </c>
      <c r="K3029" s="3">
        <v>1009977241</v>
      </c>
      <c r="L3029" s="10">
        <v>41179</v>
      </c>
      <c r="M3029">
        <v>362.76</v>
      </c>
      <c r="N3029" s="11">
        <v>26</v>
      </c>
      <c r="O3029" s="12">
        <v>14.48</v>
      </c>
      <c r="P3029" s="12">
        <v>6.46</v>
      </c>
      <c r="Q3029" s="13">
        <v>19.363</v>
      </c>
      <c r="R3029" s="36" t="s">
        <v>684</v>
      </c>
      <c r="S3029" s="7">
        <f t="shared" si="253"/>
        <v>2</v>
      </c>
      <c r="T3029" s="15" t="str">
        <f>VLOOKUP(R3029,产品分类!$C$2:$D$1278,2,0)</f>
        <v>办公用品</v>
      </c>
    </row>
    <row r="3030" spans="1:20">
      <c r="A3030" s="8">
        <f>DATE(2012,12,31)-932</f>
        <v>40342</v>
      </c>
      <c r="B3030" s="8">
        <f>DATE(2012,12,31)-932</f>
        <v>40342</v>
      </c>
      <c r="C3030" s="9" t="s">
        <v>1147</v>
      </c>
      <c r="D3030">
        <v>10021301676</v>
      </c>
      <c r="E3030" t="s">
        <v>47</v>
      </c>
      <c r="F3030" t="s">
        <v>61</v>
      </c>
      <c r="G3030" t="s">
        <v>62</v>
      </c>
      <c r="H3030" t="s">
        <v>47</v>
      </c>
      <c r="I3030" t="s">
        <v>1778</v>
      </c>
      <c r="J3030" t="s">
        <v>141</v>
      </c>
      <c r="K3030" s="3">
        <v>10018294818</v>
      </c>
      <c r="L3030" s="10">
        <v>40343</v>
      </c>
      <c r="M3030">
        <v>278.66</v>
      </c>
      <c r="N3030" s="11">
        <v>10</v>
      </c>
      <c r="O3030" s="12">
        <v>27.48</v>
      </c>
      <c r="P3030" s="12">
        <v>4</v>
      </c>
      <c r="Q3030" s="13">
        <v>-77.36</v>
      </c>
      <c r="R3030" s="36" t="s">
        <v>1392</v>
      </c>
      <c r="S3030" s="7">
        <f t="shared" si="253"/>
        <v>1</v>
      </c>
      <c r="T3030" s="15" t="str">
        <f>VLOOKUP(R3030,产品分类!$C$2:$D$1278,2,0)</f>
        <v>办公用品</v>
      </c>
    </row>
    <row r="3031" spans="1:20">
      <c r="A3031" s="16">
        <f>DATE(2012,12,31)-932</f>
        <v>40342</v>
      </c>
      <c r="B3031" s="16">
        <f>DATE(2012,12,31)-932</f>
        <v>40342</v>
      </c>
      <c r="C3031" s="9" t="s">
        <v>1147</v>
      </c>
      <c r="D3031">
        <v>10021416462</v>
      </c>
      <c r="E3031" t="s">
        <v>47</v>
      </c>
      <c r="F3031" t="s">
        <v>61</v>
      </c>
      <c r="G3031" t="s">
        <v>62</v>
      </c>
      <c r="H3031" t="s">
        <v>47</v>
      </c>
      <c r="I3031" t="s">
        <v>1778</v>
      </c>
      <c r="J3031" t="s">
        <v>141</v>
      </c>
      <c r="K3031" s="3">
        <v>10044662453</v>
      </c>
      <c r="L3031" s="10">
        <v>40344</v>
      </c>
      <c r="M3031">
        <v>491.85</v>
      </c>
      <c r="N3031" s="17">
        <v>28</v>
      </c>
      <c r="O3031" s="5">
        <v>18.97</v>
      </c>
      <c r="P3031" s="5">
        <v>9.03</v>
      </c>
      <c r="Q3031" s="6">
        <v>4.54</v>
      </c>
      <c r="R3031" s="37" t="s">
        <v>131</v>
      </c>
      <c r="S3031" s="7">
        <f t="shared" si="253"/>
        <v>2</v>
      </c>
      <c r="T3031" s="15" t="str">
        <f>VLOOKUP(R3031,产品分类!$C$2:$D$1278,2,0)</f>
        <v>家具产品</v>
      </c>
    </row>
    <row r="3032" spans="1:20">
      <c r="A3032" s="8">
        <f t="shared" ref="A3032:B3035" si="255">DATE(2012,12,31)-239</f>
        <v>41035</v>
      </c>
      <c r="B3032" s="8">
        <f t="shared" si="255"/>
        <v>41035</v>
      </c>
      <c r="C3032" s="9" t="s">
        <v>1751</v>
      </c>
      <c r="D3032">
        <v>10021495204</v>
      </c>
      <c r="E3032" t="s">
        <v>47</v>
      </c>
      <c r="F3032" t="s">
        <v>61</v>
      </c>
      <c r="G3032" t="s">
        <v>62</v>
      </c>
      <c r="H3032" t="s">
        <v>47</v>
      </c>
      <c r="I3032" t="s">
        <v>1778</v>
      </c>
      <c r="J3032" t="s">
        <v>141</v>
      </c>
      <c r="K3032" s="3">
        <v>10035452149</v>
      </c>
      <c r="L3032" s="10">
        <v>41039</v>
      </c>
      <c r="M3032">
        <v>4744.64</v>
      </c>
      <c r="N3032" s="11">
        <v>46</v>
      </c>
      <c r="O3032" s="12">
        <v>99.99</v>
      </c>
      <c r="P3032" s="12">
        <v>19.99</v>
      </c>
      <c r="Q3032" s="13">
        <v>1033.38</v>
      </c>
      <c r="R3032" s="36" t="s">
        <v>532</v>
      </c>
      <c r="S3032" s="7">
        <f t="shared" si="253"/>
        <v>4</v>
      </c>
      <c r="T3032" s="15" t="str">
        <f>VLOOKUP(R3032,产品分类!$C$2:$D$1278,2,0)</f>
        <v>办公用品</v>
      </c>
    </row>
    <row r="3033" spans="1:20">
      <c r="A3033" s="8">
        <f t="shared" si="255"/>
        <v>41035</v>
      </c>
      <c r="B3033" s="8">
        <f t="shared" si="255"/>
        <v>41035</v>
      </c>
      <c r="C3033" s="9" t="s">
        <v>1751</v>
      </c>
      <c r="D3033">
        <v>10021349786</v>
      </c>
      <c r="E3033" t="s">
        <v>47</v>
      </c>
      <c r="F3033" t="s">
        <v>61</v>
      </c>
      <c r="G3033" t="s">
        <v>62</v>
      </c>
      <c r="H3033" t="s">
        <v>47</v>
      </c>
      <c r="I3033" t="s">
        <v>1778</v>
      </c>
      <c r="J3033" t="s">
        <v>141</v>
      </c>
      <c r="K3033" s="3">
        <v>100431965204</v>
      </c>
      <c r="L3033" s="10">
        <v>41035</v>
      </c>
      <c r="M3033">
        <v>40.8255</v>
      </c>
      <c r="N3033" s="11">
        <v>2</v>
      </c>
      <c r="O3033" s="12">
        <v>20.99</v>
      </c>
      <c r="P3033" s="12">
        <v>4.81</v>
      </c>
      <c r="Q3033" s="13">
        <v>-99.979</v>
      </c>
      <c r="R3033" s="36" t="s">
        <v>692</v>
      </c>
      <c r="S3033" s="7">
        <f t="shared" si="253"/>
        <v>0</v>
      </c>
      <c r="T3033" s="15" t="str">
        <f>VLOOKUP(R3033,产品分类!$C$2:$D$1278,2,0)</f>
        <v>办公用品</v>
      </c>
    </row>
    <row r="3034" spans="1:20">
      <c r="A3034" s="16">
        <f t="shared" si="255"/>
        <v>41035</v>
      </c>
      <c r="B3034" s="16">
        <f t="shared" si="255"/>
        <v>41035</v>
      </c>
      <c r="C3034" s="9" t="s">
        <v>1751</v>
      </c>
      <c r="D3034">
        <v>10021508590</v>
      </c>
      <c r="E3034" t="s">
        <v>47</v>
      </c>
      <c r="F3034" t="s">
        <v>253</v>
      </c>
      <c r="G3034" t="s">
        <v>254</v>
      </c>
      <c r="H3034" t="s">
        <v>1998</v>
      </c>
      <c r="I3034" t="s">
        <v>1999</v>
      </c>
      <c r="J3034" t="s">
        <v>141</v>
      </c>
      <c r="K3034" s="3">
        <v>100332302389</v>
      </c>
      <c r="L3034" s="10">
        <v>41042</v>
      </c>
      <c r="M3034">
        <v>607.13</v>
      </c>
      <c r="N3034" s="17">
        <v>41</v>
      </c>
      <c r="O3034" s="5">
        <v>15.67</v>
      </c>
      <c r="P3034" s="5">
        <v>1.39</v>
      </c>
      <c r="Q3034" s="6">
        <v>274.66</v>
      </c>
      <c r="R3034" s="37" t="s">
        <v>1012</v>
      </c>
      <c r="S3034" s="7">
        <f t="shared" si="253"/>
        <v>7</v>
      </c>
      <c r="T3034" s="15" t="str">
        <f>VLOOKUP(R3034,产品分类!$C$2:$D$1278,2,0)</f>
        <v>家具产品</v>
      </c>
    </row>
    <row r="3035" spans="1:20">
      <c r="A3035" s="16">
        <f t="shared" si="255"/>
        <v>41035</v>
      </c>
      <c r="B3035" s="16">
        <f t="shared" si="255"/>
        <v>41035</v>
      </c>
      <c r="C3035" s="9" t="s">
        <v>1751</v>
      </c>
      <c r="D3035">
        <v>10021253593</v>
      </c>
      <c r="E3035" t="s">
        <v>47</v>
      </c>
      <c r="F3035" t="s">
        <v>61</v>
      </c>
      <c r="G3035" t="s">
        <v>62</v>
      </c>
      <c r="H3035" t="s">
        <v>47</v>
      </c>
      <c r="I3035" t="s">
        <v>1778</v>
      </c>
      <c r="J3035" t="s">
        <v>141</v>
      </c>
      <c r="K3035" s="3">
        <v>100119776956</v>
      </c>
      <c r="L3035" s="10">
        <v>41040</v>
      </c>
      <c r="M3035">
        <v>34.22</v>
      </c>
      <c r="N3035" s="17">
        <v>31</v>
      </c>
      <c r="O3035" s="5">
        <v>1.14</v>
      </c>
      <c r="P3035" s="5">
        <v>0.7</v>
      </c>
      <c r="Q3035" s="6">
        <v>-3.19</v>
      </c>
      <c r="R3035" s="37" t="s">
        <v>1635</v>
      </c>
      <c r="S3035" s="7">
        <f t="shared" si="253"/>
        <v>5</v>
      </c>
      <c r="T3035" s="15" t="str">
        <f>VLOOKUP(R3035,产品分类!$C$2:$D$1278,2,0)</f>
        <v>家具产品</v>
      </c>
    </row>
    <row r="3036" spans="1:20">
      <c r="A3036" s="16">
        <f>DATE(2012,12,31)-622</f>
        <v>40652</v>
      </c>
      <c r="B3036" s="16">
        <f>DATE(2012,12,31)-622</f>
        <v>40652</v>
      </c>
      <c r="C3036" s="9" t="s">
        <v>899</v>
      </c>
      <c r="D3036">
        <v>10021374932</v>
      </c>
      <c r="E3036" t="s">
        <v>47</v>
      </c>
      <c r="F3036" t="s">
        <v>91</v>
      </c>
      <c r="G3036" t="s">
        <v>92</v>
      </c>
      <c r="H3036" t="s">
        <v>2053</v>
      </c>
      <c r="I3036" t="s">
        <v>2054</v>
      </c>
      <c r="J3036" t="s">
        <v>141</v>
      </c>
      <c r="K3036" s="3">
        <v>100123583928</v>
      </c>
      <c r="L3036" s="10">
        <v>40653</v>
      </c>
      <c r="M3036">
        <v>115.99</v>
      </c>
      <c r="N3036" s="17">
        <v>42</v>
      </c>
      <c r="O3036" s="5">
        <v>2.6</v>
      </c>
      <c r="P3036" s="5">
        <v>2.4</v>
      </c>
      <c r="Q3036" s="6">
        <v>-53.35</v>
      </c>
      <c r="R3036" s="37" t="s">
        <v>1884</v>
      </c>
      <c r="S3036" s="7">
        <f t="shared" si="253"/>
        <v>1</v>
      </c>
      <c r="T3036" s="15" t="str">
        <f>VLOOKUP(R3036,产品分类!$C$2:$D$1278,2,0)</f>
        <v>数码电子</v>
      </c>
    </row>
    <row r="3037" spans="1:20">
      <c r="A3037" s="8">
        <f>DATE(2012,12,31)-693</f>
        <v>40581</v>
      </c>
      <c r="B3037" s="8">
        <f>DATE(2012,12,31)-693</f>
        <v>40581</v>
      </c>
      <c r="C3037" s="9" t="s">
        <v>297</v>
      </c>
      <c r="D3037">
        <v>10021552447</v>
      </c>
      <c r="E3037" t="s">
        <v>47</v>
      </c>
      <c r="F3037" t="s">
        <v>122</v>
      </c>
      <c r="G3037" t="s">
        <v>123</v>
      </c>
      <c r="H3037" t="s">
        <v>124</v>
      </c>
      <c r="I3037" t="s">
        <v>125</v>
      </c>
      <c r="J3037" t="s">
        <v>141</v>
      </c>
      <c r="K3037" s="3">
        <v>100126109228</v>
      </c>
      <c r="L3037" s="10">
        <v>40588</v>
      </c>
      <c r="M3037">
        <v>3351.55</v>
      </c>
      <c r="N3037" s="11">
        <v>37</v>
      </c>
      <c r="O3037" s="12">
        <v>90.98</v>
      </c>
      <c r="P3037" s="12">
        <v>56.2</v>
      </c>
      <c r="Q3037" s="13">
        <v>-1036.92</v>
      </c>
      <c r="R3037" s="36" t="s">
        <v>1089</v>
      </c>
      <c r="S3037" s="7">
        <f t="shared" si="253"/>
        <v>7</v>
      </c>
      <c r="T3037" s="15" t="str">
        <f>VLOOKUP(R3037,产品分类!$C$2:$D$1278,2,0)</f>
        <v>办公用品</v>
      </c>
    </row>
    <row r="3038" spans="1:20">
      <c r="A3038" s="8">
        <f>DATE(2012,12,31)-52</f>
        <v>41222</v>
      </c>
      <c r="B3038" s="8">
        <f>DATE(2012,12,31)-52</f>
        <v>41222</v>
      </c>
      <c r="C3038" s="9" t="s">
        <v>553</v>
      </c>
      <c r="D3038">
        <v>10021268726</v>
      </c>
      <c r="E3038" t="s">
        <v>47</v>
      </c>
      <c r="F3038" t="s">
        <v>91</v>
      </c>
      <c r="G3038" t="s">
        <v>92</v>
      </c>
      <c r="H3038" t="s">
        <v>2053</v>
      </c>
      <c r="I3038" t="s">
        <v>2054</v>
      </c>
      <c r="J3038" t="s">
        <v>141</v>
      </c>
      <c r="K3038" s="3">
        <v>100132412396</v>
      </c>
      <c r="L3038" s="10">
        <v>41224</v>
      </c>
      <c r="M3038">
        <v>1351.78</v>
      </c>
      <c r="N3038" s="11">
        <v>25</v>
      </c>
      <c r="O3038" s="12">
        <v>56.96</v>
      </c>
      <c r="P3038" s="12">
        <v>13.22</v>
      </c>
      <c r="Q3038" s="13">
        <v>109.92</v>
      </c>
      <c r="R3038" s="36" t="s">
        <v>949</v>
      </c>
      <c r="S3038" s="7">
        <f t="shared" si="253"/>
        <v>2</v>
      </c>
      <c r="T3038" s="15" t="str">
        <f>VLOOKUP(R3038,产品分类!$C$2:$D$1278,2,0)</f>
        <v>家具产品</v>
      </c>
    </row>
    <row r="3039" spans="1:20">
      <c r="A3039" s="8">
        <f>DATE(2012,12,31)-52</f>
        <v>41222</v>
      </c>
      <c r="B3039" s="8">
        <f>DATE(2012,12,31)-52</f>
        <v>41222</v>
      </c>
      <c r="C3039" s="9" t="s">
        <v>553</v>
      </c>
      <c r="D3039">
        <v>10021269226</v>
      </c>
      <c r="E3039" t="s">
        <v>47</v>
      </c>
      <c r="F3039" t="s">
        <v>132</v>
      </c>
      <c r="G3039" t="s">
        <v>133</v>
      </c>
      <c r="H3039" t="s">
        <v>134</v>
      </c>
      <c r="I3039" t="s">
        <v>133</v>
      </c>
      <c r="J3039" t="s">
        <v>141</v>
      </c>
      <c r="K3039" s="3">
        <v>100932434581</v>
      </c>
      <c r="L3039" s="10">
        <v>41223</v>
      </c>
      <c r="M3039">
        <v>1560.96</v>
      </c>
      <c r="N3039" s="11">
        <v>21</v>
      </c>
      <c r="O3039" s="12">
        <v>73.98</v>
      </c>
      <c r="P3039" s="12">
        <v>4</v>
      </c>
      <c r="Q3039" s="13">
        <v>-120.27</v>
      </c>
      <c r="R3039" s="36" t="s">
        <v>885</v>
      </c>
      <c r="S3039" s="7">
        <f t="shared" si="253"/>
        <v>1</v>
      </c>
      <c r="T3039" s="15" t="str">
        <f>VLOOKUP(R3039,产品分类!$C$2:$D$1278,2,0)</f>
        <v>办公用品</v>
      </c>
    </row>
    <row r="3040" spans="1:20">
      <c r="A3040" s="8">
        <f>DATE(2012,12,31)-1450</f>
        <v>39824</v>
      </c>
      <c r="B3040" s="8">
        <f>DATE(2012,12,31)-1450</f>
        <v>39824</v>
      </c>
      <c r="C3040" s="9" t="s">
        <v>1297</v>
      </c>
      <c r="D3040">
        <v>10021434050</v>
      </c>
      <c r="E3040" t="s">
        <v>47</v>
      </c>
      <c r="F3040" t="s">
        <v>183</v>
      </c>
      <c r="G3040" t="s">
        <v>184</v>
      </c>
      <c r="H3040" t="s">
        <v>1716</v>
      </c>
      <c r="I3040" t="s">
        <v>1717</v>
      </c>
      <c r="J3040" t="s">
        <v>141</v>
      </c>
      <c r="K3040" s="3">
        <v>100932644461</v>
      </c>
      <c r="L3040" s="10">
        <v>39831</v>
      </c>
      <c r="M3040">
        <v>6991.65</v>
      </c>
      <c r="N3040" s="11">
        <v>19</v>
      </c>
      <c r="O3040" s="12">
        <v>399.98</v>
      </c>
      <c r="P3040" s="12">
        <v>12.06</v>
      </c>
      <c r="Q3040" s="13">
        <v>906.8</v>
      </c>
      <c r="R3040" s="36" t="s">
        <v>595</v>
      </c>
      <c r="S3040" s="7">
        <f t="shared" si="253"/>
        <v>7</v>
      </c>
      <c r="T3040" s="15" t="str">
        <f>VLOOKUP(R3040,产品分类!$C$2:$D$1278,2,0)</f>
        <v>办公用品</v>
      </c>
    </row>
    <row r="3041" spans="1:20">
      <c r="A3041" s="8">
        <f>DATE(2012,12,31)-1199</f>
        <v>40075</v>
      </c>
      <c r="B3041" s="8">
        <f>DATE(2012,12,31)-1199</f>
        <v>40075</v>
      </c>
      <c r="C3041" s="9" t="s">
        <v>1976</v>
      </c>
      <c r="D3041">
        <v>10021549469</v>
      </c>
      <c r="E3041" t="s">
        <v>47</v>
      </c>
      <c r="F3041" t="s">
        <v>78</v>
      </c>
      <c r="G3041" t="s">
        <v>79</v>
      </c>
      <c r="H3041" t="s">
        <v>2105</v>
      </c>
      <c r="I3041" t="s">
        <v>2106</v>
      </c>
      <c r="J3041" t="s">
        <v>141</v>
      </c>
      <c r="K3041" s="3">
        <v>100312928189</v>
      </c>
      <c r="L3041" s="10">
        <v>40075</v>
      </c>
      <c r="M3041">
        <v>28.39</v>
      </c>
      <c r="N3041" s="11">
        <v>6</v>
      </c>
      <c r="O3041" s="12">
        <v>4.98</v>
      </c>
      <c r="P3041" s="12">
        <v>0.49</v>
      </c>
      <c r="Q3041" s="13">
        <v>3.84</v>
      </c>
      <c r="R3041" s="36" t="s">
        <v>327</v>
      </c>
      <c r="S3041" s="7">
        <f t="shared" si="253"/>
        <v>0</v>
      </c>
      <c r="T3041" s="15" t="str">
        <f>VLOOKUP(R3041,产品分类!$C$2:$D$1278,2,0)</f>
        <v>家具产品</v>
      </c>
    </row>
    <row r="3042" spans="1:20">
      <c r="A3042" s="8">
        <f>DATE(2012,12,31)-270</f>
        <v>41004</v>
      </c>
      <c r="B3042" s="8">
        <f>DATE(2012,12,31)-270</f>
        <v>41004</v>
      </c>
      <c r="C3042" s="9" t="s">
        <v>197</v>
      </c>
      <c r="D3042">
        <v>10021305046</v>
      </c>
      <c r="E3042" t="s">
        <v>47</v>
      </c>
      <c r="F3042" t="s">
        <v>72</v>
      </c>
      <c r="G3042" t="s">
        <v>73</v>
      </c>
      <c r="H3042" t="s">
        <v>2008</v>
      </c>
      <c r="I3042" t="s">
        <v>2009</v>
      </c>
      <c r="J3042" t="s">
        <v>141</v>
      </c>
      <c r="K3042" s="3">
        <v>100926408361</v>
      </c>
      <c r="L3042" s="10">
        <v>41006</v>
      </c>
      <c r="M3042">
        <v>168.55</v>
      </c>
      <c r="N3042" s="11">
        <v>47</v>
      </c>
      <c r="O3042" s="12">
        <v>3.69</v>
      </c>
      <c r="P3042" s="12">
        <v>0.5</v>
      </c>
      <c r="Q3042" s="13">
        <v>71.77</v>
      </c>
      <c r="R3042" s="36" t="s">
        <v>1224</v>
      </c>
      <c r="S3042" s="7">
        <f t="shared" si="253"/>
        <v>2</v>
      </c>
      <c r="T3042" s="15" t="str">
        <f>VLOOKUP(R3042,产品分类!$C$2:$D$1278,2,0)</f>
        <v>办公用品</v>
      </c>
    </row>
    <row r="3043" spans="1:20">
      <c r="A3043" s="8">
        <f>DATE(2012,12,31)-270</f>
        <v>41004</v>
      </c>
      <c r="B3043" s="8">
        <f>DATE(2012,12,31)-270</f>
        <v>41004</v>
      </c>
      <c r="C3043" s="9" t="s">
        <v>197</v>
      </c>
      <c r="D3043">
        <v>10021407075</v>
      </c>
      <c r="E3043" t="s">
        <v>47</v>
      </c>
      <c r="F3043" t="s">
        <v>91</v>
      </c>
      <c r="G3043" t="s">
        <v>92</v>
      </c>
      <c r="H3043" t="s">
        <v>2053</v>
      </c>
      <c r="I3043" t="s">
        <v>2054</v>
      </c>
      <c r="J3043" t="s">
        <v>141</v>
      </c>
      <c r="K3043" s="3">
        <v>100131338787</v>
      </c>
      <c r="L3043" s="10">
        <v>41004</v>
      </c>
      <c r="M3043">
        <v>77.03</v>
      </c>
      <c r="N3043" s="11">
        <v>26</v>
      </c>
      <c r="O3043" s="12">
        <v>3.14</v>
      </c>
      <c r="P3043" s="12">
        <v>1.92</v>
      </c>
      <c r="Q3043" s="13">
        <v>-47.75</v>
      </c>
      <c r="R3043" s="36" t="s">
        <v>157</v>
      </c>
      <c r="S3043" s="7">
        <f t="shared" si="253"/>
        <v>0</v>
      </c>
      <c r="T3043" s="15" t="str">
        <f>VLOOKUP(R3043,产品分类!$C$2:$D$1278,2,0)</f>
        <v>数码电子</v>
      </c>
    </row>
    <row r="3044" spans="1:20">
      <c r="A3044" s="8">
        <f>DATE(2012,12,31)-409</f>
        <v>40865</v>
      </c>
      <c r="B3044" s="8">
        <f>DATE(2012,12,31)-409</f>
        <v>40865</v>
      </c>
      <c r="C3044" s="9" t="s">
        <v>1652</v>
      </c>
      <c r="D3044">
        <v>10021305817</v>
      </c>
      <c r="E3044" t="s">
        <v>47</v>
      </c>
      <c r="F3044" t="s">
        <v>91</v>
      </c>
      <c r="G3044" t="s">
        <v>92</v>
      </c>
      <c r="H3044" t="s">
        <v>2053</v>
      </c>
      <c r="I3044" t="s">
        <v>2054</v>
      </c>
      <c r="J3044" t="s">
        <v>141</v>
      </c>
      <c r="K3044" s="3">
        <v>100932292741</v>
      </c>
      <c r="L3044" s="10">
        <v>40866</v>
      </c>
      <c r="M3044">
        <v>401.37</v>
      </c>
      <c r="N3044" s="11">
        <v>42</v>
      </c>
      <c r="O3044" s="12">
        <v>9.74</v>
      </c>
      <c r="P3044" s="12">
        <v>5.71</v>
      </c>
      <c r="Q3044" s="13">
        <v>13.31</v>
      </c>
      <c r="R3044" s="36" t="s">
        <v>1438</v>
      </c>
      <c r="S3044" s="7">
        <f t="shared" si="253"/>
        <v>1</v>
      </c>
      <c r="T3044" s="15" t="str">
        <f>VLOOKUP(R3044,产品分类!$C$2:$D$1278,2,0)</f>
        <v>数码电子</v>
      </c>
    </row>
    <row r="3045" spans="1:20">
      <c r="A3045" s="8">
        <f>DATE(2012,12,31)-247</f>
        <v>41027</v>
      </c>
      <c r="B3045" s="8">
        <f>DATE(2012,12,31)-247</f>
        <v>41027</v>
      </c>
      <c r="C3045" s="9" t="s">
        <v>2131</v>
      </c>
      <c r="D3045">
        <v>10021515445</v>
      </c>
      <c r="E3045" t="s">
        <v>47</v>
      </c>
      <c r="F3045" t="s">
        <v>137</v>
      </c>
      <c r="G3045" t="s">
        <v>138</v>
      </c>
      <c r="H3045" t="s">
        <v>139</v>
      </c>
      <c r="I3045" t="s">
        <v>601</v>
      </c>
      <c r="J3045" t="s">
        <v>141</v>
      </c>
      <c r="K3045" s="3">
        <v>100113348777</v>
      </c>
      <c r="L3045" s="10">
        <v>41028</v>
      </c>
      <c r="M3045">
        <v>73.7</v>
      </c>
      <c r="N3045" s="11">
        <v>9</v>
      </c>
      <c r="O3045" s="12">
        <v>7.59</v>
      </c>
      <c r="P3045" s="12">
        <v>4</v>
      </c>
      <c r="Q3045" s="13">
        <v>1.42</v>
      </c>
      <c r="R3045" s="36" t="s">
        <v>996</v>
      </c>
      <c r="S3045" s="7">
        <f t="shared" si="253"/>
        <v>1</v>
      </c>
      <c r="T3045" s="15" t="str">
        <f>VLOOKUP(R3045,产品分类!$C$2:$D$1278,2,0)</f>
        <v>家具产品</v>
      </c>
    </row>
    <row r="3046" spans="1:20">
      <c r="A3046" s="8">
        <f>DATE(2012,12,31)-1231</f>
        <v>40043</v>
      </c>
      <c r="B3046" s="8">
        <f>DATE(2012,12,31)-1231</f>
        <v>40043</v>
      </c>
      <c r="C3046" s="9" t="s">
        <v>1746</v>
      </c>
      <c r="D3046">
        <v>10021392907</v>
      </c>
      <c r="E3046" t="s">
        <v>47</v>
      </c>
      <c r="F3046" t="s">
        <v>91</v>
      </c>
      <c r="G3046" t="s">
        <v>92</v>
      </c>
      <c r="H3046" t="s">
        <v>2053</v>
      </c>
      <c r="I3046" t="s">
        <v>2054</v>
      </c>
      <c r="J3046" t="s">
        <v>141</v>
      </c>
      <c r="K3046" s="3">
        <v>100132653047</v>
      </c>
      <c r="L3046" s="10">
        <v>40045</v>
      </c>
      <c r="M3046">
        <v>244.9</v>
      </c>
      <c r="N3046" s="11">
        <v>5</v>
      </c>
      <c r="O3046" s="12">
        <v>47.98</v>
      </c>
      <c r="P3046" s="12">
        <v>3.61</v>
      </c>
      <c r="Q3046" s="13">
        <v>-135.4</v>
      </c>
      <c r="R3046" s="36" t="s">
        <v>364</v>
      </c>
      <c r="S3046" s="7">
        <f t="shared" si="253"/>
        <v>2</v>
      </c>
      <c r="T3046" s="15" t="str">
        <f>VLOOKUP(R3046,产品分类!$C$2:$D$1278,2,0)</f>
        <v>数码电子</v>
      </c>
    </row>
    <row r="3047" spans="1:20">
      <c r="A3047" s="8">
        <f t="shared" ref="A3047:B3049" si="256">DATE(2012,12,31)-841</f>
        <v>40433</v>
      </c>
      <c r="B3047" s="8">
        <f t="shared" si="256"/>
        <v>40433</v>
      </c>
      <c r="C3047" s="9" t="s">
        <v>1339</v>
      </c>
      <c r="D3047">
        <v>10021391066</v>
      </c>
      <c r="E3047" t="s">
        <v>47</v>
      </c>
      <c r="F3047" t="s">
        <v>171</v>
      </c>
      <c r="G3047" t="s">
        <v>172</v>
      </c>
      <c r="H3047" t="s">
        <v>2073</v>
      </c>
      <c r="I3047" t="s">
        <v>2074</v>
      </c>
      <c r="J3047" t="s">
        <v>141</v>
      </c>
      <c r="K3047" s="3">
        <v>100413853244</v>
      </c>
      <c r="L3047" s="10">
        <v>40433</v>
      </c>
      <c r="M3047">
        <v>28.75</v>
      </c>
      <c r="N3047" s="11">
        <v>1</v>
      </c>
      <c r="O3047" s="12">
        <v>14.27</v>
      </c>
      <c r="P3047" s="12">
        <v>7.27</v>
      </c>
      <c r="Q3047" s="13">
        <v>-14.352</v>
      </c>
      <c r="R3047" s="36" t="s">
        <v>1287</v>
      </c>
      <c r="S3047" s="7">
        <f t="shared" si="253"/>
        <v>0</v>
      </c>
      <c r="T3047" s="15" t="str">
        <f>VLOOKUP(R3047,产品分类!$C$2:$D$1278,2,0)</f>
        <v>家具产品</v>
      </c>
    </row>
    <row r="3048" spans="1:20">
      <c r="A3048" s="8">
        <f t="shared" si="256"/>
        <v>40433</v>
      </c>
      <c r="B3048" s="8">
        <f t="shared" si="256"/>
        <v>40433</v>
      </c>
      <c r="C3048" s="9" t="s">
        <v>1339</v>
      </c>
      <c r="D3048">
        <v>10021474665</v>
      </c>
      <c r="E3048" t="s">
        <v>47</v>
      </c>
      <c r="F3048" t="s">
        <v>171</v>
      </c>
      <c r="G3048" t="s">
        <v>172</v>
      </c>
      <c r="H3048" t="s">
        <v>2073</v>
      </c>
      <c r="I3048" t="s">
        <v>2074</v>
      </c>
      <c r="J3048" t="s">
        <v>141</v>
      </c>
      <c r="K3048" s="3">
        <v>10048706883</v>
      </c>
      <c r="L3048" s="10">
        <v>40435</v>
      </c>
      <c r="M3048">
        <v>19014.24</v>
      </c>
      <c r="N3048" s="11">
        <v>4</v>
      </c>
      <c r="O3048" s="12">
        <v>6783.02</v>
      </c>
      <c r="P3048" s="12">
        <v>24.49</v>
      </c>
      <c r="Q3048" s="13">
        <v>-10263.6597</v>
      </c>
      <c r="R3048" s="36" t="s">
        <v>790</v>
      </c>
      <c r="S3048" s="7">
        <f t="shared" si="253"/>
        <v>2</v>
      </c>
      <c r="T3048" s="15" t="str">
        <f>VLOOKUP(R3048,产品分类!$C$2:$D$1278,2,0)</f>
        <v>数码电子</v>
      </c>
    </row>
    <row r="3049" spans="1:20">
      <c r="A3049" s="8">
        <f t="shared" si="256"/>
        <v>40433</v>
      </c>
      <c r="B3049" s="8">
        <f t="shared" si="256"/>
        <v>40433</v>
      </c>
      <c r="C3049" s="9" t="s">
        <v>1339</v>
      </c>
      <c r="D3049">
        <v>10021481469</v>
      </c>
      <c r="E3049" t="s">
        <v>47</v>
      </c>
      <c r="F3049" t="s">
        <v>527</v>
      </c>
      <c r="G3049" t="s">
        <v>528</v>
      </c>
      <c r="H3049" t="s">
        <v>2046</v>
      </c>
      <c r="I3049" t="s">
        <v>2047</v>
      </c>
      <c r="J3049" t="s">
        <v>141</v>
      </c>
      <c r="K3049" s="3">
        <v>10081975602</v>
      </c>
      <c r="L3049" s="10">
        <v>40434</v>
      </c>
      <c r="M3049">
        <v>385.05</v>
      </c>
      <c r="N3049" s="11">
        <v>46</v>
      </c>
      <c r="O3049" s="12">
        <v>8.14</v>
      </c>
      <c r="P3049" s="12">
        <v>3.12</v>
      </c>
      <c r="Q3049" s="13">
        <v>56.75</v>
      </c>
      <c r="R3049" s="36" t="s">
        <v>1953</v>
      </c>
      <c r="S3049" s="7">
        <f t="shared" si="253"/>
        <v>1</v>
      </c>
      <c r="T3049" s="15" t="str">
        <f>VLOOKUP(R3049,产品分类!$C$2:$D$1278,2,0)</f>
        <v>数码电子</v>
      </c>
    </row>
    <row r="3050" spans="1:20">
      <c r="A3050" s="8">
        <f>DATE(2012,12,31)-771</f>
        <v>40503</v>
      </c>
      <c r="B3050" s="8">
        <f>DATE(2012,12,31)-771</f>
        <v>40503</v>
      </c>
      <c r="C3050" s="9" t="s">
        <v>953</v>
      </c>
      <c r="D3050">
        <v>10021376503</v>
      </c>
      <c r="E3050" t="s">
        <v>47</v>
      </c>
      <c r="F3050" t="s">
        <v>177</v>
      </c>
      <c r="G3050" t="s">
        <v>178</v>
      </c>
      <c r="H3050" t="s">
        <v>2125</v>
      </c>
      <c r="I3050" t="s">
        <v>2126</v>
      </c>
      <c r="J3050" t="s">
        <v>141</v>
      </c>
      <c r="K3050" s="3">
        <v>100432181014</v>
      </c>
      <c r="L3050" s="10">
        <v>40504</v>
      </c>
      <c r="M3050">
        <v>85.77</v>
      </c>
      <c r="N3050" s="11">
        <v>27</v>
      </c>
      <c r="O3050" s="12">
        <v>2.84</v>
      </c>
      <c r="P3050" s="12">
        <v>5.44</v>
      </c>
      <c r="Q3050" s="13">
        <v>-102.0165</v>
      </c>
      <c r="R3050" s="36" t="s">
        <v>679</v>
      </c>
      <c r="S3050" s="7">
        <f t="shared" si="253"/>
        <v>1</v>
      </c>
      <c r="T3050" s="15" t="str">
        <f>VLOOKUP(R3050,产品分类!$C$2:$D$1278,2,0)</f>
        <v>家具产品</v>
      </c>
    </row>
    <row r="3051" spans="1:20">
      <c r="A3051" s="8">
        <f>DATE(2012,12,31)-771</f>
        <v>40503</v>
      </c>
      <c r="B3051" s="8">
        <f>DATE(2012,12,31)-771</f>
        <v>40503</v>
      </c>
      <c r="C3051" s="9" t="s">
        <v>953</v>
      </c>
      <c r="D3051">
        <v>10021538461</v>
      </c>
      <c r="E3051" t="s">
        <v>47</v>
      </c>
      <c r="F3051" t="s">
        <v>127</v>
      </c>
      <c r="G3051" t="s">
        <v>128</v>
      </c>
      <c r="H3051" t="s">
        <v>1936</v>
      </c>
      <c r="I3051" t="s">
        <v>1937</v>
      </c>
      <c r="J3051" t="s">
        <v>141</v>
      </c>
      <c r="K3051" s="3">
        <v>100332653119</v>
      </c>
      <c r="L3051" s="10">
        <v>40504</v>
      </c>
      <c r="M3051">
        <v>149.31</v>
      </c>
      <c r="N3051" s="11">
        <v>13</v>
      </c>
      <c r="O3051" s="12">
        <v>10.98</v>
      </c>
      <c r="P3051" s="12">
        <v>5.14</v>
      </c>
      <c r="Q3051" s="13">
        <v>7.769</v>
      </c>
      <c r="R3051" s="36" t="s">
        <v>1679</v>
      </c>
      <c r="S3051" s="7">
        <f t="shared" si="253"/>
        <v>1</v>
      </c>
      <c r="T3051" s="15" t="str">
        <f>VLOOKUP(R3051,产品分类!$C$2:$D$1278,2,0)</f>
        <v>办公用品</v>
      </c>
    </row>
    <row r="3052" spans="1:20">
      <c r="A3052" s="8">
        <f>DATE(2012,12,31)-1005</f>
        <v>40269</v>
      </c>
      <c r="B3052" s="8">
        <f>DATE(2012,12,31)-1005</f>
        <v>40269</v>
      </c>
      <c r="C3052" s="9" t="s">
        <v>1985</v>
      </c>
      <c r="D3052">
        <v>10021410212</v>
      </c>
      <c r="E3052" t="s">
        <v>47</v>
      </c>
      <c r="F3052" t="s">
        <v>342</v>
      </c>
      <c r="G3052" t="s">
        <v>343</v>
      </c>
      <c r="H3052" t="s">
        <v>2090</v>
      </c>
      <c r="I3052" t="s">
        <v>2091</v>
      </c>
      <c r="J3052" t="s">
        <v>141</v>
      </c>
      <c r="K3052" s="3">
        <v>100416977884</v>
      </c>
      <c r="L3052" s="10">
        <v>40276</v>
      </c>
      <c r="M3052">
        <v>1049.79</v>
      </c>
      <c r="N3052" s="11">
        <v>21</v>
      </c>
      <c r="O3052" s="12">
        <v>51.75</v>
      </c>
      <c r="P3052" s="12">
        <v>19.99</v>
      </c>
      <c r="Q3052" s="13">
        <v>135.79</v>
      </c>
      <c r="R3052" s="36" t="s">
        <v>2132</v>
      </c>
      <c r="S3052" s="7">
        <f t="shared" si="253"/>
        <v>7</v>
      </c>
      <c r="T3052" s="15" t="str">
        <f>VLOOKUP(R3052,产品分类!$C$2:$D$1278,2,0)</f>
        <v>办公用品</v>
      </c>
    </row>
    <row r="3053" spans="1:20">
      <c r="A3053" s="8">
        <f>DATE(2012,12,31)-1005</f>
        <v>40269</v>
      </c>
      <c r="B3053" s="8">
        <f>DATE(2012,12,31)-1005</f>
        <v>40269</v>
      </c>
      <c r="C3053" s="9" t="s">
        <v>1985</v>
      </c>
      <c r="D3053">
        <v>10021573674</v>
      </c>
      <c r="E3053" t="s">
        <v>47</v>
      </c>
      <c r="F3053" t="s">
        <v>61</v>
      </c>
      <c r="G3053" t="s">
        <v>62</v>
      </c>
      <c r="H3053" t="s">
        <v>47</v>
      </c>
      <c r="I3053" t="s">
        <v>1778</v>
      </c>
      <c r="J3053" t="s">
        <v>141</v>
      </c>
      <c r="K3053" s="3">
        <v>100331174419</v>
      </c>
      <c r="L3053" s="10">
        <v>40271</v>
      </c>
      <c r="M3053">
        <v>817.18</v>
      </c>
      <c r="N3053" s="11">
        <v>16</v>
      </c>
      <c r="O3053" s="12">
        <v>55.29</v>
      </c>
      <c r="P3053" s="12">
        <v>5.08</v>
      </c>
      <c r="Q3053" s="13">
        <v>103.38</v>
      </c>
      <c r="R3053" s="36" t="s">
        <v>1294</v>
      </c>
      <c r="S3053" s="7">
        <f t="shared" si="253"/>
        <v>2</v>
      </c>
      <c r="T3053" s="15" t="str">
        <f>VLOOKUP(R3053,产品分类!$C$2:$D$1278,2,0)</f>
        <v>办公用品</v>
      </c>
    </row>
    <row r="3054" spans="1:20">
      <c r="A3054" s="16">
        <f>DATE(2012,12,31)-707</f>
        <v>40567</v>
      </c>
      <c r="B3054" s="16">
        <f>DATE(2012,12,31)-707</f>
        <v>40567</v>
      </c>
      <c r="C3054" s="9" t="s">
        <v>2045</v>
      </c>
      <c r="D3054">
        <v>10021515857</v>
      </c>
      <c r="E3054" t="s">
        <v>47</v>
      </c>
      <c r="F3054" t="s">
        <v>83</v>
      </c>
      <c r="G3054" t="s">
        <v>84</v>
      </c>
      <c r="H3054" t="s">
        <v>1928</v>
      </c>
      <c r="I3054" t="s">
        <v>1929</v>
      </c>
      <c r="J3054" t="s">
        <v>141</v>
      </c>
      <c r="K3054" s="3">
        <v>10017508028</v>
      </c>
      <c r="L3054" s="10">
        <v>40569</v>
      </c>
      <c r="M3054">
        <v>81.9</v>
      </c>
      <c r="N3054" s="17">
        <v>27</v>
      </c>
      <c r="O3054" s="5">
        <v>2.94</v>
      </c>
      <c r="P3054" s="5">
        <v>0.96</v>
      </c>
      <c r="Q3054" s="6">
        <v>4.06</v>
      </c>
      <c r="R3054" s="37" t="s">
        <v>872</v>
      </c>
      <c r="S3054" s="7">
        <f t="shared" si="253"/>
        <v>2</v>
      </c>
      <c r="T3054" s="15" t="str">
        <f>VLOOKUP(R3054,产品分类!$C$2:$D$1278,2,0)</f>
        <v>数码电子</v>
      </c>
    </row>
    <row r="3055" spans="1:20">
      <c r="A3055" s="8">
        <f>DATE(2012,12,31)-707</f>
        <v>40567</v>
      </c>
      <c r="B3055" s="8">
        <f>DATE(2012,12,31)-707</f>
        <v>40567</v>
      </c>
      <c r="C3055" s="9" t="s">
        <v>2045</v>
      </c>
      <c r="D3055">
        <v>10021270698</v>
      </c>
      <c r="E3055" t="s">
        <v>47</v>
      </c>
      <c r="F3055" t="s">
        <v>61</v>
      </c>
      <c r="G3055" t="s">
        <v>62</v>
      </c>
      <c r="H3055" t="s">
        <v>47</v>
      </c>
      <c r="I3055" t="s">
        <v>1778</v>
      </c>
      <c r="J3055" t="s">
        <v>141</v>
      </c>
      <c r="K3055" s="3">
        <v>100432214774</v>
      </c>
      <c r="L3055" s="10">
        <v>40569</v>
      </c>
      <c r="M3055">
        <v>495.5</v>
      </c>
      <c r="N3055" s="11">
        <v>44</v>
      </c>
      <c r="O3055" s="12">
        <v>11.58</v>
      </c>
      <c r="P3055" s="12">
        <v>6.97</v>
      </c>
      <c r="Q3055" s="13">
        <v>-12.67</v>
      </c>
      <c r="R3055" s="36" t="s">
        <v>1022</v>
      </c>
      <c r="S3055" s="7">
        <f t="shared" si="253"/>
        <v>2</v>
      </c>
      <c r="T3055" s="15" t="str">
        <f>VLOOKUP(R3055,产品分类!$C$2:$D$1278,2,0)</f>
        <v>办公用品</v>
      </c>
    </row>
    <row r="3056" spans="1:20">
      <c r="A3056" s="8">
        <f>DATE(2012,12,31)-911</f>
        <v>40363</v>
      </c>
      <c r="B3056" s="8">
        <f>DATE(2012,12,31)-911</f>
        <v>40363</v>
      </c>
      <c r="C3056" s="9" t="s">
        <v>464</v>
      </c>
      <c r="D3056">
        <v>10021278233</v>
      </c>
      <c r="E3056" t="s">
        <v>47</v>
      </c>
      <c r="F3056" t="s">
        <v>152</v>
      </c>
      <c r="G3056" t="s">
        <v>153</v>
      </c>
      <c r="H3056" t="s">
        <v>1860</v>
      </c>
      <c r="I3056" t="s">
        <v>1861</v>
      </c>
      <c r="J3056" t="s">
        <v>141</v>
      </c>
      <c r="K3056" s="3">
        <v>10034848259</v>
      </c>
      <c r="L3056" s="10">
        <v>40365</v>
      </c>
      <c r="M3056">
        <v>34.88</v>
      </c>
      <c r="N3056" s="11">
        <v>6</v>
      </c>
      <c r="O3056" s="12">
        <v>4.91</v>
      </c>
      <c r="P3056" s="12">
        <v>4.97</v>
      </c>
      <c r="Q3056" s="13">
        <v>-18.3425</v>
      </c>
      <c r="R3056" s="36" t="s">
        <v>2133</v>
      </c>
      <c r="S3056" s="7">
        <f t="shared" si="253"/>
        <v>2</v>
      </c>
      <c r="T3056" s="15" t="str">
        <f>VLOOKUP(R3056,产品分类!$C$2:$D$1278,2,0)</f>
        <v>数码电子</v>
      </c>
    </row>
    <row r="3057" spans="1:20">
      <c r="A3057" s="8">
        <f>DATE(2012,12,31)-434</f>
        <v>40840</v>
      </c>
      <c r="B3057" s="8">
        <f>DATE(2012,12,31)-434</f>
        <v>40840</v>
      </c>
      <c r="C3057" s="9" t="s">
        <v>837</v>
      </c>
      <c r="D3057">
        <v>10021309755</v>
      </c>
      <c r="E3057" t="s">
        <v>47</v>
      </c>
      <c r="F3057" t="s">
        <v>72</v>
      </c>
      <c r="G3057" t="s">
        <v>73</v>
      </c>
      <c r="H3057" t="s">
        <v>2008</v>
      </c>
      <c r="I3057" t="s">
        <v>2009</v>
      </c>
      <c r="J3057" t="s">
        <v>141</v>
      </c>
      <c r="K3057" s="3">
        <v>10042488503</v>
      </c>
      <c r="L3057" s="10">
        <v>40841</v>
      </c>
      <c r="M3057">
        <v>532.11</v>
      </c>
      <c r="N3057" s="11">
        <v>30</v>
      </c>
      <c r="O3057" s="12">
        <v>17.07</v>
      </c>
      <c r="P3057" s="12">
        <v>8.13</v>
      </c>
      <c r="Q3057" s="13">
        <v>59.47</v>
      </c>
      <c r="R3057" s="36" t="s">
        <v>2134</v>
      </c>
      <c r="S3057" s="7">
        <f t="shared" si="253"/>
        <v>1</v>
      </c>
      <c r="T3057" s="15" t="str">
        <f>VLOOKUP(R3057,产品分类!$C$2:$D$1278,2,0)</f>
        <v>办公用品</v>
      </c>
    </row>
    <row r="3058" spans="1:20">
      <c r="A3058" s="8">
        <f>DATE(2012,12,31)-379</f>
        <v>40895</v>
      </c>
      <c r="B3058" s="8">
        <f>DATE(2012,12,31)-379</f>
        <v>40895</v>
      </c>
      <c r="C3058" s="9" t="s">
        <v>2135</v>
      </c>
      <c r="D3058">
        <v>10021399996</v>
      </c>
      <c r="E3058" t="s">
        <v>47</v>
      </c>
      <c r="F3058" t="s">
        <v>97</v>
      </c>
      <c r="G3058" t="s">
        <v>98</v>
      </c>
      <c r="H3058" t="s">
        <v>99</v>
      </c>
      <c r="I3058" t="s">
        <v>98</v>
      </c>
      <c r="J3058" t="s">
        <v>141</v>
      </c>
      <c r="K3058" s="3">
        <v>100717990275</v>
      </c>
      <c r="L3058" s="10">
        <v>40897</v>
      </c>
      <c r="M3058">
        <v>54.3</v>
      </c>
      <c r="N3058" s="11">
        <v>6</v>
      </c>
      <c r="O3058" s="12">
        <v>9.68</v>
      </c>
      <c r="P3058" s="12">
        <v>2.03</v>
      </c>
      <c r="Q3058" s="13">
        <v>1.27</v>
      </c>
      <c r="R3058" s="36" t="s">
        <v>1111</v>
      </c>
      <c r="S3058" s="7">
        <f t="shared" si="253"/>
        <v>2</v>
      </c>
      <c r="T3058" s="15" t="str">
        <f>VLOOKUP(R3058,产品分类!$C$2:$D$1278,2,0)</f>
        <v>办公用品</v>
      </c>
    </row>
    <row r="3059" spans="1:20">
      <c r="A3059" s="8">
        <f t="shared" ref="A3059:B3061" si="257">DATE(2012,12,31)-1146</f>
        <v>40128</v>
      </c>
      <c r="B3059" s="8">
        <f t="shared" si="257"/>
        <v>40128</v>
      </c>
      <c r="C3059" s="9" t="s">
        <v>1883</v>
      </c>
      <c r="D3059">
        <v>10021494511</v>
      </c>
      <c r="E3059" t="s">
        <v>47</v>
      </c>
      <c r="F3059" t="s">
        <v>66</v>
      </c>
      <c r="G3059" t="s">
        <v>67</v>
      </c>
      <c r="H3059" t="s">
        <v>2062</v>
      </c>
      <c r="I3059" t="s">
        <v>2063</v>
      </c>
      <c r="J3059" t="s">
        <v>141</v>
      </c>
      <c r="K3059" s="3">
        <v>10079653485</v>
      </c>
      <c r="L3059" s="10">
        <v>40129</v>
      </c>
      <c r="M3059">
        <v>8937.38</v>
      </c>
      <c r="N3059" s="11">
        <v>17</v>
      </c>
      <c r="O3059" s="12">
        <v>500.98</v>
      </c>
      <c r="P3059" s="12">
        <v>26</v>
      </c>
      <c r="Q3059" s="13">
        <v>2383.42</v>
      </c>
      <c r="R3059" s="36" t="s">
        <v>614</v>
      </c>
      <c r="S3059" s="7">
        <f t="shared" si="253"/>
        <v>1</v>
      </c>
      <c r="T3059" s="15" t="str">
        <f>VLOOKUP(R3059,产品分类!$C$2:$D$1278,2,0)</f>
        <v>办公用品</v>
      </c>
    </row>
    <row r="3060" spans="1:20">
      <c r="A3060" s="8">
        <f t="shared" si="257"/>
        <v>40128</v>
      </c>
      <c r="B3060" s="8">
        <f t="shared" si="257"/>
        <v>40128</v>
      </c>
      <c r="C3060" s="9" t="s">
        <v>1883</v>
      </c>
      <c r="D3060">
        <v>10021524273</v>
      </c>
      <c r="E3060" t="s">
        <v>47</v>
      </c>
      <c r="F3060" t="s">
        <v>152</v>
      </c>
      <c r="G3060" t="s">
        <v>153</v>
      </c>
      <c r="H3060" t="s">
        <v>1860</v>
      </c>
      <c r="I3060" t="s">
        <v>1861</v>
      </c>
      <c r="J3060" t="s">
        <v>141</v>
      </c>
      <c r="K3060" s="3">
        <v>10019101388</v>
      </c>
      <c r="L3060" s="10">
        <v>40129</v>
      </c>
      <c r="M3060">
        <v>108.85</v>
      </c>
      <c r="N3060" s="11">
        <v>11</v>
      </c>
      <c r="O3060" s="12">
        <v>9.77</v>
      </c>
      <c r="P3060" s="12">
        <v>6.02</v>
      </c>
      <c r="Q3060" s="13">
        <v>10.58</v>
      </c>
      <c r="R3060" s="36" t="s">
        <v>1227</v>
      </c>
      <c r="S3060" s="7">
        <f t="shared" si="253"/>
        <v>1</v>
      </c>
      <c r="T3060" s="15" t="str">
        <f>VLOOKUP(R3060,产品分类!$C$2:$D$1278,2,0)</f>
        <v>办公用品</v>
      </c>
    </row>
    <row r="3061" spans="1:20">
      <c r="A3061" s="16">
        <f t="shared" si="257"/>
        <v>40128</v>
      </c>
      <c r="B3061" s="16">
        <f t="shared" si="257"/>
        <v>40128</v>
      </c>
      <c r="C3061" s="9" t="s">
        <v>1883</v>
      </c>
      <c r="D3061">
        <v>10021498688</v>
      </c>
      <c r="E3061" t="s">
        <v>47</v>
      </c>
      <c r="F3061" t="s">
        <v>66</v>
      </c>
      <c r="G3061" t="s">
        <v>67</v>
      </c>
      <c r="H3061" t="s">
        <v>2062</v>
      </c>
      <c r="I3061" t="s">
        <v>2063</v>
      </c>
      <c r="J3061" t="s">
        <v>141</v>
      </c>
      <c r="K3061" s="3">
        <v>100422995454</v>
      </c>
      <c r="L3061" s="10">
        <v>40130</v>
      </c>
      <c r="M3061">
        <v>157.47</v>
      </c>
      <c r="N3061" s="17">
        <v>49</v>
      </c>
      <c r="O3061" s="5">
        <v>3.28</v>
      </c>
      <c r="P3061" s="5">
        <v>0.98</v>
      </c>
      <c r="Q3061" s="6">
        <v>8.07</v>
      </c>
      <c r="R3061" s="37" t="s">
        <v>1690</v>
      </c>
      <c r="S3061" s="7">
        <f t="shared" si="253"/>
        <v>2</v>
      </c>
      <c r="T3061" s="15" t="str">
        <f>VLOOKUP(R3061,产品分类!$C$2:$D$1278,2,0)</f>
        <v>数码电子</v>
      </c>
    </row>
    <row r="3062" spans="1:20">
      <c r="A3062" s="8">
        <f>DATE(2012,12,31)-172</f>
        <v>41102</v>
      </c>
      <c r="B3062" s="8">
        <f>DATE(2012,12,31)-172</f>
        <v>41102</v>
      </c>
      <c r="C3062" s="9" t="s">
        <v>864</v>
      </c>
      <c r="D3062">
        <v>10021366524</v>
      </c>
      <c r="E3062" t="s">
        <v>47</v>
      </c>
      <c r="F3062" t="s">
        <v>152</v>
      </c>
      <c r="G3062" t="s">
        <v>153</v>
      </c>
      <c r="H3062" t="s">
        <v>1860</v>
      </c>
      <c r="I3062" t="s">
        <v>1861</v>
      </c>
      <c r="J3062" t="s">
        <v>141</v>
      </c>
      <c r="K3062" s="3">
        <v>100124774637</v>
      </c>
      <c r="L3062" s="10">
        <v>41104</v>
      </c>
      <c r="M3062">
        <v>236.32</v>
      </c>
      <c r="N3062" s="11">
        <v>3</v>
      </c>
      <c r="O3062" s="12">
        <v>77.51</v>
      </c>
      <c r="P3062" s="12">
        <v>4</v>
      </c>
      <c r="Q3062" s="13">
        <v>-339.95</v>
      </c>
      <c r="R3062" s="36" t="s">
        <v>2136</v>
      </c>
      <c r="S3062" s="7">
        <f t="shared" si="253"/>
        <v>2</v>
      </c>
      <c r="T3062" s="15" t="str">
        <f>VLOOKUP(R3062,产品分类!$C$2:$D$1278,2,0)</f>
        <v>办公用品</v>
      </c>
    </row>
    <row r="3063" spans="1:20">
      <c r="A3063" s="8">
        <f>DATE(2012,12,31)-387</f>
        <v>40887</v>
      </c>
      <c r="B3063" s="8">
        <f>DATE(2012,12,31)-387</f>
        <v>40887</v>
      </c>
      <c r="C3063" s="9" t="s">
        <v>373</v>
      </c>
      <c r="D3063">
        <v>10021402960</v>
      </c>
      <c r="E3063" t="s">
        <v>47</v>
      </c>
      <c r="F3063" t="s">
        <v>152</v>
      </c>
      <c r="G3063" t="s">
        <v>153</v>
      </c>
      <c r="H3063" t="s">
        <v>2137</v>
      </c>
      <c r="I3063" t="s">
        <v>2138</v>
      </c>
      <c r="J3063" t="s">
        <v>141</v>
      </c>
      <c r="K3063" s="3">
        <v>10076330675</v>
      </c>
      <c r="L3063" s="10">
        <v>40888</v>
      </c>
      <c r="M3063">
        <v>8225.24</v>
      </c>
      <c r="N3063" s="11">
        <v>23</v>
      </c>
      <c r="O3063" s="12">
        <v>350.98</v>
      </c>
      <c r="P3063" s="12">
        <v>30</v>
      </c>
      <c r="Q3063" s="13">
        <v>1909.03</v>
      </c>
      <c r="R3063" s="36" t="s">
        <v>2139</v>
      </c>
      <c r="S3063" s="7">
        <f t="shared" si="253"/>
        <v>1</v>
      </c>
      <c r="T3063" s="15" t="str">
        <f>VLOOKUP(R3063,产品分类!$C$2:$D$1278,2,0)</f>
        <v>数码电子</v>
      </c>
    </row>
    <row r="3064" spans="1:20">
      <c r="A3064" s="8">
        <f>DATE(2012,12,31)-699</f>
        <v>40575</v>
      </c>
      <c r="B3064" s="8">
        <f>DATE(2012,12,31)-699</f>
        <v>40575</v>
      </c>
      <c r="C3064" s="9" t="s">
        <v>1247</v>
      </c>
      <c r="D3064">
        <v>10021366253</v>
      </c>
      <c r="E3064" t="s">
        <v>47</v>
      </c>
      <c r="F3064" t="s">
        <v>152</v>
      </c>
      <c r="G3064" t="s">
        <v>153</v>
      </c>
      <c r="H3064" t="s">
        <v>2137</v>
      </c>
      <c r="I3064" t="s">
        <v>2138</v>
      </c>
      <c r="J3064" t="s">
        <v>141</v>
      </c>
      <c r="K3064" s="3">
        <v>100725260645</v>
      </c>
      <c r="L3064" s="10">
        <v>40577</v>
      </c>
      <c r="M3064">
        <v>125.273</v>
      </c>
      <c r="N3064" s="11">
        <v>2</v>
      </c>
      <c r="O3064" s="12">
        <v>65.99</v>
      </c>
      <c r="P3064" s="12">
        <v>8.99</v>
      </c>
      <c r="Q3064" s="13">
        <v>-301.906</v>
      </c>
      <c r="R3064" s="36" t="s">
        <v>730</v>
      </c>
      <c r="S3064" s="7">
        <f t="shared" si="253"/>
        <v>2</v>
      </c>
      <c r="T3064" s="15" t="str">
        <f>VLOOKUP(R3064,产品分类!$C$2:$D$1278,2,0)</f>
        <v>办公用品</v>
      </c>
    </row>
    <row r="3065" spans="1:20">
      <c r="A3065" s="16">
        <f>DATE(2012,12,31)-1305</f>
        <v>39969</v>
      </c>
      <c r="B3065" s="16">
        <f>DATE(2012,12,31)-1305</f>
        <v>39969</v>
      </c>
      <c r="C3065" s="9" t="s">
        <v>675</v>
      </c>
      <c r="D3065">
        <v>10021414176</v>
      </c>
      <c r="E3065" t="s">
        <v>47</v>
      </c>
      <c r="F3065" t="s">
        <v>152</v>
      </c>
      <c r="G3065" t="s">
        <v>153</v>
      </c>
      <c r="H3065" t="s">
        <v>2137</v>
      </c>
      <c r="I3065" t="s">
        <v>2138</v>
      </c>
      <c r="J3065" t="s">
        <v>141</v>
      </c>
      <c r="K3065" s="3">
        <v>10047900563</v>
      </c>
      <c r="L3065" s="10">
        <v>39970</v>
      </c>
      <c r="M3065">
        <v>4998.03</v>
      </c>
      <c r="N3065" s="17">
        <v>14</v>
      </c>
      <c r="O3065" s="5">
        <v>363.25</v>
      </c>
      <c r="P3065" s="5">
        <v>19.99</v>
      </c>
      <c r="Q3065" s="6">
        <v>1092.94</v>
      </c>
      <c r="R3065" s="37" t="s">
        <v>192</v>
      </c>
      <c r="S3065" s="7">
        <f t="shared" si="253"/>
        <v>1</v>
      </c>
      <c r="T3065" s="15" t="str">
        <f>VLOOKUP(R3065,产品分类!$C$2:$D$1278,2,0)</f>
        <v>办公用品</v>
      </c>
    </row>
    <row r="3066" spans="1:20">
      <c r="A3066" s="8">
        <f>DATE(2012,12,31)-1223</f>
        <v>40051</v>
      </c>
      <c r="B3066" s="8">
        <f>DATE(2012,12,31)-1223</f>
        <v>40051</v>
      </c>
      <c r="C3066" s="9" t="s">
        <v>899</v>
      </c>
      <c r="D3066">
        <v>10021524325</v>
      </c>
      <c r="E3066" t="s">
        <v>47</v>
      </c>
      <c r="F3066" t="s">
        <v>152</v>
      </c>
      <c r="G3066" t="s">
        <v>153</v>
      </c>
      <c r="H3066" t="s">
        <v>2137</v>
      </c>
      <c r="I3066" t="s">
        <v>2138</v>
      </c>
      <c r="J3066" t="s">
        <v>141</v>
      </c>
      <c r="K3066" s="3">
        <v>100114073816</v>
      </c>
      <c r="L3066" s="10">
        <v>40052</v>
      </c>
      <c r="M3066">
        <v>255.83</v>
      </c>
      <c r="N3066" s="11">
        <v>1</v>
      </c>
      <c r="O3066" s="12">
        <v>226.67</v>
      </c>
      <c r="P3066" s="12">
        <v>28.16</v>
      </c>
      <c r="Q3066" s="13">
        <v>-132.74</v>
      </c>
      <c r="R3066" s="36" t="s">
        <v>1748</v>
      </c>
      <c r="S3066" s="7">
        <f t="shared" si="253"/>
        <v>1</v>
      </c>
      <c r="T3066" s="15" t="str">
        <f>VLOOKUP(R3066,产品分类!$C$2:$D$1278,2,0)</f>
        <v>数码电子</v>
      </c>
    </row>
    <row r="3067" spans="1:20">
      <c r="A3067" s="16">
        <f>DATE(2012,12,31)-1223</f>
        <v>40051</v>
      </c>
      <c r="B3067" s="16">
        <f>DATE(2012,12,31)-1223</f>
        <v>40051</v>
      </c>
      <c r="C3067" s="9" t="s">
        <v>899</v>
      </c>
      <c r="D3067">
        <v>10021363488</v>
      </c>
      <c r="E3067" t="s">
        <v>47</v>
      </c>
      <c r="F3067" t="s">
        <v>152</v>
      </c>
      <c r="G3067" t="s">
        <v>153</v>
      </c>
      <c r="H3067" t="s">
        <v>2137</v>
      </c>
      <c r="I3067" t="s">
        <v>2138</v>
      </c>
      <c r="J3067" t="s">
        <v>141</v>
      </c>
      <c r="K3067" s="3">
        <v>10091727671</v>
      </c>
      <c r="L3067" s="10">
        <v>40053</v>
      </c>
      <c r="M3067">
        <v>947.66</v>
      </c>
      <c r="N3067" s="17">
        <v>45</v>
      </c>
      <c r="O3067" s="5">
        <v>20.98</v>
      </c>
      <c r="P3067" s="5">
        <v>53.03</v>
      </c>
      <c r="Q3067" s="6">
        <v>-2175.09</v>
      </c>
      <c r="R3067" s="37" t="s">
        <v>195</v>
      </c>
      <c r="S3067" s="7">
        <f t="shared" si="253"/>
        <v>2</v>
      </c>
      <c r="T3067" s="15" t="str">
        <f>VLOOKUP(R3067,产品分类!$C$2:$D$1278,2,0)</f>
        <v>家具产品</v>
      </c>
    </row>
    <row r="3068" spans="1:20">
      <c r="A3068" s="8">
        <f>DATE(2012,12,31)-1009</f>
        <v>40265</v>
      </c>
      <c r="B3068" s="8">
        <f>DATE(2012,12,31)-1009</f>
        <v>40265</v>
      </c>
      <c r="C3068" s="9" t="s">
        <v>1488</v>
      </c>
      <c r="D3068">
        <v>10021252083</v>
      </c>
      <c r="E3068" t="s">
        <v>47</v>
      </c>
      <c r="F3068" t="s">
        <v>152</v>
      </c>
      <c r="G3068" t="s">
        <v>153</v>
      </c>
      <c r="H3068" t="s">
        <v>2137</v>
      </c>
      <c r="I3068" t="s">
        <v>2138</v>
      </c>
      <c r="J3068" t="s">
        <v>141</v>
      </c>
      <c r="K3068" s="3">
        <v>100117433516</v>
      </c>
      <c r="L3068" s="10">
        <v>40267</v>
      </c>
      <c r="M3068">
        <v>1337.19</v>
      </c>
      <c r="N3068" s="11">
        <v>4</v>
      </c>
      <c r="O3068" s="12">
        <v>328.14</v>
      </c>
      <c r="P3068" s="12">
        <v>91.05</v>
      </c>
      <c r="Q3068" s="13">
        <v>-431.45</v>
      </c>
      <c r="R3068" s="36" t="s">
        <v>583</v>
      </c>
      <c r="S3068" s="7">
        <f t="shared" si="253"/>
        <v>2</v>
      </c>
      <c r="T3068" s="15" t="str">
        <f>VLOOKUP(R3068,产品分类!$C$2:$D$1278,2,0)</f>
        <v>家具产品</v>
      </c>
    </row>
    <row r="3069" spans="1:20">
      <c r="A3069" s="8">
        <f>DATE(2012,12,31)-690</f>
        <v>40584</v>
      </c>
      <c r="B3069" s="8">
        <f>DATE(2012,12,31)-690</f>
        <v>40584</v>
      </c>
      <c r="C3069" s="9" t="s">
        <v>457</v>
      </c>
      <c r="D3069">
        <v>10021367795</v>
      </c>
      <c r="E3069" t="s">
        <v>47</v>
      </c>
      <c r="F3069" t="s">
        <v>72</v>
      </c>
      <c r="G3069" t="s">
        <v>73</v>
      </c>
      <c r="H3069" t="s">
        <v>2008</v>
      </c>
      <c r="I3069" t="s">
        <v>2009</v>
      </c>
      <c r="J3069" t="s">
        <v>141</v>
      </c>
      <c r="K3069" s="3">
        <v>100727922125</v>
      </c>
      <c r="L3069" s="10">
        <v>40584</v>
      </c>
      <c r="M3069">
        <v>118.95</v>
      </c>
      <c r="N3069" s="11">
        <v>9</v>
      </c>
      <c r="O3069" s="12">
        <v>12.07</v>
      </c>
      <c r="P3069" s="12">
        <v>6.2</v>
      </c>
      <c r="Q3069" s="13">
        <v>30.8</v>
      </c>
      <c r="R3069" s="36" t="s">
        <v>869</v>
      </c>
      <c r="S3069" s="7">
        <f t="shared" si="253"/>
        <v>0</v>
      </c>
      <c r="T3069" s="15" t="str">
        <f>VLOOKUP(R3069,产品分类!$C$2:$D$1278,2,0)</f>
        <v>家具产品</v>
      </c>
    </row>
    <row r="3070" spans="1:20">
      <c r="A3070" s="8">
        <f>DATE(2012,12,31)-690</f>
        <v>40584</v>
      </c>
      <c r="B3070" s="8">
        <f>DATE(2012,12,31)-690</f>
        <v>40584</v>
      </c>
      <c r="C3070" s="9" t="s">
        <v>457</v>
      </c>
      <c r="D3070">
        <v>10021416832</v>
      </c>
      <c r="E3070" t="s">
        <v>47</v>
      </c>
      <c r="F3070" t="s">
        <v>72</v>
      </c>
      <c r="G3070" t="s">
        <v>73</v>
      </c>
      <c r="H3070" t="s">
        <v>2008</v>
      </c>
      <c r="I3070" t="s">
        <v>2009</v>
      </c>
      <c r="J3070" t="s">
        <v>141</v>
      </c>
      <c r="K3070" s="3">
        <v>100812292392</v>
      </c>
      <c r="L3070" s="10">
        <v>40584</v>
      </c>
      <c r="M3070">
        <v>3814.171</v>
      </c>
      <c r="N3070" s="11">
        <v>35</v>
      </c>
      <c r="O3070" s="12">
        <v>125.99</v>
      </c>
      <c r="P3070" s="12">
        <v>4.2</v>
      </c>
      <c r="Q3070" s="13">
        <v>1077.129</v>
      </c>
      <c r="R3070" s="36" t="s">
        <v>1458</v>
      </c>
      <c r="S3070" s="7">
        <f t="shared" si="253"/>
        <v>0</v>
      </c>
      <c r="T3070" s="15" t="str">
        <f>VLOOKUP(R3070,产品分类!$C$2:$D$1278,2,0)</f>
        <v>家具产品</v>
      </c>
    </row>
    <row r="3071" spans="1:20">
      <c r="A3071" s="16">
        <f>DATE(2012,12,31)-959</f>
        <v>40315</v>
      </c>
      <c r="B3071" s="16">
        <f>DATE(2012,12,31)-959</f>
        <v>40315</v>
      </c>
      <c r="C3071" s="9" t="s">
        <v>417</v>
      </c>
      <c r="D3071">
        <v>10021425970</v>
      </c>
      <c r="E3071" t="s">
        <v>47</v>
      </c>
      <c r="F3071" t="s">
        <v>72</v>
      </c>
      <c r="G3071" t="s">
        <v>73</v>
      </c>
      <c r="H3071" t="s">
        <v>2008</v>
      </c>
      <c r="I3071" t="s">
        <v>2009</v>
      </c>
      <c r="J3071" t="s">
        <v>141</v>
      </c>
      <c r="K3071" s="3">
        <v>100929892731</v>
      </c>
      <c r="L3071" s="10">
        <v>40316</v>
      </c>
      <c r="M3071">
        <v>498.28</v>
      </c>
      <c r="N3071" s="17">
        <v>37</v>
      </c>
      <c r="O3071" s="5">
        <v>13.48</v>
      </c>
      <c r="P3071" s="5">
        <v>4.51</v>
      </c>
      <c r="Q3071" s="6">
        <v>10.18</v>
      </c>
      <c r="R3071" s="37" t="s">
        <v>550</v>
      </c>
      <c r="S3071" s="7">
        <f t="shared" si="253"/>
        <v>1</v>
      </c>
      <c r="T3071" s="15" t="str">
        <f>VLOOKUP(R3071,产品分类!$C$2:$D$1278,2,0)</f>
        <v>办公用品</v>
      </c>
    </row>
    <row r="3072" spans="1:20">
      <c r="A3072" s="8">
        <f>DATE(2012,12,31)-1003</f>
        <v>40271</v>
      </c>
      <c r="B3072" s="8">
        <f>DATE(2012,12,31)-1003</f>
        <v>40271</v>
      </c>
      <c r="C3072" s="9" t="s">
        <v>407</v>
      </c>
      <c r="D3072">
        <v>10021527164</v>
      </c>
      <c r="E3072" t="s">
        <v>47</v>
      </c>
      <c r="F3072" t="s">
        <v>78</v>
      </c>
      <c r="G3072" t="s">
        <v>79</v>
      </c>
      <c r="H3072" t="s">
        <v>2105</v>
      </c>
      <c r="I3072" t="s">
        <v>2106</v>
      </c>
      <c r="J3072" t="s">
        <v>141</v>
      </c>
      <c r="K3072" s="3">
        <v>100125942198</v>
      </c>
      <c r="L3072" s="10">
        <v>40272</v>
      </c>
      <c r="M3072">
        <v>1409.86</v>
      </c>
      <c r="N3072" s="11">
        <v>1</v>
      </c>
      <c r="O3072" s="12">
        <v>1500.97</v>
      </c>
      <c r="P3072" s="12">
        <v>29.7</v>
      </c>
      <c r="Q3072" s="13">
        <v>-3461.121</v>
      </c>
      <c r="R3072" s="36" t="s">
        <v>1402</v>
      </c>
      <c r="S3072" s="7">
        <f t="shared" si="253"/>
        <v>1</v>
      </c>
      <c r="T3072" s="15" t="str">
        <f>VLOOKUP(R3072,产品分类!$C$2:$D$1278,2,0)</f>
        <v>家具产品</v>
      </c>
    </row>
    <row r="3073" spans="1:20">
      <c r="A3073" s="8">
        <f>DATE(2012,12,31)-367</f>
        <v>40907</v>
      </c>
      <c r="B3073" s="8">
        <f>DATE(2012,12,31)-367</f>
        <v>40907</v>
      </c>
      <c r="C3073" s="9" t="s">
        <v>687</v>
      </c>
      <c r="D3073">
        <v>10021532808</v>
      </c>
      <c r="E3073" t="s">
        <v>47</v>
      </c>
      <c r="F3073" t="s">
        <v>72</v>
      </c>
      <c r="G3073" t="s">
        <v>73</v>
      </c>
      <c r="H3073" t="s">
        <v>2008</v>
      </c>
      <c r="I3073" t="s">
        <v>2009</v>
      </c>
      <c r="J3073" t="s">
        <v>141</v>
      </c>
      <c r="K3073" s="3">
        <v>100732009385</v>
      </c>
      <c r="L3073" s="10">
        <v>40909</v>
      </c>
      <c r="M3073">
        <v>209.33</v>
      </c>
      <c r="N3073" s="11">
        <v>39</v>
      </c>
      <c r="O3073" s="12">
        <v>4.98</v>
      </c>
      <c r="P3073" s="12">
        <v>7.44</v>
      </c>
      <c r="Q3073" s="13">
        <v>-160.71</v>
      </c>
      <c r="R3073" s="36" t="s">
        <v>287</v>
      </c>
      <c r="S3073" s="7">
        <f t="shared" si="253"/>
        <v>2</v>
      </c>
      <c r="T3073" s="15" t="str">
        <f>VLOOKUP(R3073,产品分类!$C$2:$D$1278,2,0)</f>
        <v>办公用品</v>
      </c>
    </row>
    <row r="3074" spans="1:20">
      <c r="A3074" s="8">
        <f>DATE(2012,12,31)-863</f>
        <v>40411</v>
      </c>
      <c r="B3074" s="8">
        <f>DATE(2012,12,31)-863</f>
        <v>40411</v>
      </c>
      <c r="C3074" s="9" t="s">
        <v>1069</v>
      </c>
      <c r="D3074">
        <v>10021525503</v>
      </c>
      <c r="E3074" t="s">
        <v>47</v>
      </c>
      <c r="F3074" t="s">
        <v>72</v>
      </c>
      <c r="G3074" t="s">
        <v>73</v>
      </c>
      <c r="H3074" t="s">
        <v>2008</v>
      </c>
      <c r="I3074" t="s">
        <v>2009</v>
      </c>
      <c r="J3074" t="s">
        <v>141</v>
      </c>
      <c r="K3074" s="3">
        <v>100921866981</v>
      </c>
      <c r="L3074" s="10">
        <v>40413</v>
      </c>
      <c r="M3074">
        <v>563.08</v>
      </c>
      <c r="N3074" s="11">
        <v>32</v>
      </c>
      <c r="O3074" s="12">
        <v>18.99</v>
      </c>
      <c r="P3074" s="12">
        <v>5.23</v>
      </c>
      <c r="Q3074" s="13">
        <v>112.965</v>
      </c>
      <c r="R3074" s="36" t="s">
        <v>2140</v>
      </c>
      <c r="S3074" s="7">
        <f t="shared" si="253"/>
        <v>2</v>
      </c>
      <c r="T3074" s="15" t="str">
        <f>VLOOKUP(R3074,产品分类!$C$2:$D$1278,2,0)</f>
        <v>数码电子</v>
      </c>
    </row>
    <row r="3075" spans="1:20">
      <c r="A3075" s="8">
        <f>DATE(2012,12,31)-886</f>
        <v>40388</v>
      </c>
      <c r="B3075" s="8">
        <f>DATE(2012,12,31)-886</f>
        <v>40388</v>
      </c>
      <c r="C3075" s="9" t="s">
        <v>258</v>
      </c>
      <c r="D3075">
        <v>10021428944</v>
      </c>
      <c r="E3075" t="s">
        <v>47</v>
      </c>
      <c r="F3075" t="s">
        <v>72</v>
      </c>
      <c r="G3075" t="s">
        <v>73</v>
      </c>
      <c r="H3075" t="s">
        <v>2008</v>
      </c>
      <c r="I3075" t="s">
        <v>2009</v>
      </c>
      <c r="J3075" t="s">
        <v>141</v>
      </c>
      <c r="K3075" s="3">
        <v>100131353636</v>
      </c>
      <c r="L3075" s="10">
        <v>40390</v>
      </c>
      <c r="M3075">
        <v>216.79</v>
      </c>
      <c r="N3075" s="11">
        <v>32</v>
      </c>
      <c r="O3075" s="12">
        <v>6.98</v>
      </c>
      <c r="P3075" s="12">
        <v>2.83</v>
      </c>
      <c r="Q3075" s="13">
        <v>57.55</v>
      </c>
      <c r="R3075" s="36" t="s">
        <v>1984</v>
      </c>
      <c r="S3075" s="7">
        <f t="shared" ref="S3075:S3138" si="258">+L3075-B3075</f>
        <v>2</v>
      </c>
      <c r="T3075" s="15" t="str">
        <f>VLOOKUP(R3075,产品分类!$C$2:$D$1278,2,0)</f>
        <v>办公用品</v>
      </c>
    </row>
    <row r="3076" spans="1:20">
      <c r="A3076" s="8">
        <f>DATE(2012,12,31)-99</f>
        <v>41175</v>
      </c>
      <c r="B3076" s="8">
        <f>DATE(2012,12,31)-99</f>
        <v>41175</v>
      </c>
      <c r="C3076" s="9" t="s">
        <v>1472</v>
      </c>
      <c r="D3076">
        <v>10021336645</v>
      </c>
      <c r="E3076" t="s">
        <v>47</v>
      </c>
      <c r="F3076" t="s">
        <v>230</v>
      </c>
      <c r="G3076" t="s">
        <v>231</v>
      </c>
      <c r="H3076" t="s">
        <v>1798</v>
      </c>
      <c r="I3076" t="s">
        <v>1799</v>
      </c>
      <c r="J3076" t="s">
        <v>141</v>
      </c>
      <c r="K3076" s="3">
        <v>100919558561</v>
      </c>
      <c r="L3076" s="10">
        <v>41177</v>
      </c>
      <c r="M3076">
        <v>6147.24</v>
      </c>
      <c r="N3076" s="11">
        <v>40</v>
      </c>
      <c r="O3076" s="12">
        <v>160.98</v>
      </c>
      <c r="P3076" s="12">
        <v>30</v>
      </c>
      <c r="Q3076" s="13">
        <v>632.98</v>
      </c>
      <c r="R3076" s="36" t="s">
        <v>764</v>
      </c>
      <c r="S3076" s="7">
        <f t="shared" si="258"/>
        <v>2</v>
      </c>
      <c r="T3076" s="15" t="str">
        <f>VLOOKUP(R3076,产品分类!$C$2:$D$1278,2,0)</f>
        <v>家具产品</v>
      </c>
    </row>
    <row r="3077" spans="1:20">
      <c r="A3077" s="8">
        <f>DATE(2012,12,31)-1413</f>
        <v>39861</v>
      </c>
      <c r="B3077" s="8">
        <f>DATE(2012,12,31)-1413</f>
        <v>39861</v>
      </c>
      <c r="C3077" s="9" t="s">
        <v>1781</v>
      </c>
      <c r="D3077">
        <v>10021353335</v>
      </c>
      <c r="E3077" t="s">
        <v>47</v>
      </c>
      <c r="F3077" t="s">
        <v>230</v>
      </c>
      <c r="G3077" t="s">
        <v>231</v>
      </c>
      <c r="H3077" t="s">
        <v>1798</v>
      </c>
      <c r="I3077" t="s">
        <v>1799</v>
      </c>
      <c r="J3077" t="s">
        <v>141</v>
      </c>
      <c r="K3077" s="3">
        <v>100932563371</v>
      </c>
      <c r="L3077" s="10">
        <v>39863</v>
      </c>
      <c r="M3077">
        <v>16.81</v>
      </c>
      <c r="N3077" s="11">
        <v>2</v>
      </c>
      <c r="O3077" s="12">
        <v>6.04</v>
      </c>
      <c r="P3077" s="12">
        <v>2.14</v>
      </c>
      <c r="Q3077" s="13">
        <v>-4.14</v>
      </c>
      <c r="R3077" s="36" t="s">
        <v>2141</v>
      </c>
      <c r="S3077" s="7">
        <f t="shared" si="258"/>
        <v>2</v>
      </c>
      <c r="T3077" s="15" t="str">
        <f>VLOOKUP(R3077,产品分类!$C$2:$D$1278,2,0)</f>
        <v>数码电子</v>
      </c>
    </row>
    <row r="3078" spans="1:20">
      <c r="A3078" s="8">
        <f>DATE(2012,12,31)-297</f>
        <v>40977</v>
      </c>
      <c r="B3078" s="8">
        <f>DATE(2012,12,31)-297</f>
        <v>40977</v>
      </c>
      <c r="C3078" s="9" t="s">
        <v>1407</v>
      </c>
      <c r="D3078">
        <v>10021506113</v>
      </c>
      <c r="E3078" t="s">
        <v>47</v>
      </c>
      <c r="F3078" t="s">
        <v>473</v>
      </c>
      <c r="G3078" t="s">
        <v>474</v>
      </c>
      <c r="H3078" t="s">
        <v>2142</v>
      </c>
      <c r="I3078" t="s">
        <v>2143</v>
      </c>
      <c r="J3078" t="s">
        <v>141</v>
      </c>
      <c r="K3078" s="3">
        <v>100131179577</v>
      </c>
      <c r="L3078" s="10">
        <v>40979</v>
      </c>
      <c r="M3078">
        <v>265.61</v>
      </c>
      <c r="N3078" s="11">
        <v>41</v>
      </c>
      <c r="O3078" s="12">
        <v>6.48</v>
      </c>
      <c r="P3078" s="12">
        <v>7.37</v>
      </c>
      <c r="Q3078" s="13">
        <v>-147.82</v>
      </c>
      <c r="R3078" s="36" t="s">
        <v>1045</v>
      </c>
      <c r="S3078" s="7">
        <f t="shared" si="258"/>
        <v>2</v>
      </c>
      <c r="T3078" s="15" t="str">
        <f>VLOOKUP(R3078,产品分类!$C$2:$D$1278,2,0)</f>
        <v>数码电子</v>
      </c>
    </row>
    <row r="3079" spans="1:20">
      <c r="A3079" s="8">
        <f>DATE(2012,12,31)-297</f>
        <v>40977</v>
      </c>
      <c r="B3079" s="8">
        <f>DATE(2012,12,31)-297</f>
        <v>40977</v>
      </c>
      <c r="C3079" s="9" t="s">
        <v>1407</v>
      </c>
      <c r="D3079">
        <v>10021417090</v>
      </c>
      <c r="E3079" t="s">
        <v>47</v>
      </c>
      <c r="F3079" t="s">
        <v>83</v>
      </c>
      <c r="G3079" t="s">
        <v>84</v>
      </c>
      <c r="H3079" t="s">
        <v>2144</v>
      </c>
      <c r="I3079" t="s">
        <v>2145</v>
      </c>
      <c r="J3079" t="s">
        <v>141</v>
      </c>
      <c r="K3079" s="3">
        <v>100715632535</v>
      </c>
      <c r="L3079" s="10">
        <v>40977</v>
      </c>
      <c r="M3079">
        <v>485.03</v>
      </c>
      <c r="N3079" s="11">
        <v>27</v>
      </c>
      <c r="O3079" s="12">
        <v>17.7</v>
      </c>
      <c r="P3079" s="12">
        <v>9.47</v>
      </c>
      <c r="Q3079" s="13">
        <v>-88.02</v>
      </c>
      <c r="R3079" s="36" t="s">
        <v>290</v>
      </c>
      <c r="S3079" s="7">
        <f t="shared" si="258"/>
        <v>0</v>
      </c>
      <c r="T3079" s="15" t="str">
        <f>VLOOKUP(R3079,产品分类!$C$2:$D$1278,2,0)</f>
        <v>办公用品</v>
      </c>
    </row>
    <row r="3080" spans="1:20">
      <c r="A3080" s="8">
        <f>DATE(2012,12,31)-382</f>
        <v>40892</v>
      </c>
      <c r="B3080" s="8">
        <f>DATE(2012,12,31)-382</f>
        <v>40892</v>
      </c>
      <c r="C3080" s="9" t="s">
        <v>2146</v>
      </c>
      <c r="D3080">
        <v>10021284858</v>
      </c>
      <c r="E3080" t="s">
        <v>47</v>
      </c>
      <c r="F3080" t="s">
        <v>91</v>
      </c>
      <c r="G3080" t="s">
        <v>92</v>
      </c>
      <c r="H3080" t="s">
        <v>2053</v>
      </c>
      <c r="I3080" t="s">
        <v>2054</v>
      </c>
      <c r="J3080" t="s">
        <v>141</v>
      </c>
      <c r="K3080" s="3">
        <v>100929091181</v>
      </c>
      <c r="L3080" s="10">
        <v>40893</v>
      </c>
      <c r="M3080">
        <v>2039.33</v>
      </c>
      <c r="N3080" s="11">
        <v>21</v>
      </c>
      <c r="O3080" s="12">
        <v>95.95</v>
      </c>
      <c r="P3080" s="12">
        <v>74.35</v>
      </c>
      <c r="Q3080" s="13">
        <v>-862.44</v>
      </c>
      <c r="R3080" s="36" t="s">
        <v>574</v>
      </c>
      <c r="S3080" s="7">
        <f t="shared" si="258"/>
        <v>1</v>
      </c>
      <c r="T3080" s="15" t="str">
        <f>VLOOKUP(R3080,产品分类!$C$2:$D$1278,2,0)</f>
        <v>办公用品</v>
      </c>
    </row>
    <row r="3081" spans="1:20">
      <c r="A3081" s="8">
        <f>DATE(2012,12,31)-930</f>
        <v>40344</v>
      </c>
      <c r="B3081" s="8">
        <f>DATE(2012,12,31)-930</f>
        <v>40344</v>
      </c>
      <c r="C3081" s="9" t="s">
        <v>667</v>
      </c>
      <c r="D3081">
        <v>10021499788</v>
      </c>
      <c r="E3081" t="s">
        <v>47</v>
      </c>
      <c r="F3081" t="s">
        <v>91</v>
      </c>
      <c r="G3081" t="s">
        <v>92</v>
      </c>
      <c r="H3081" t="s">
        <v>2053</v>
      </c>
      <c r="I3081" t="s">
        <v>2054</v>
      </c>
      <c r="J3081" t="s">
        <v>141</v>
      </c>
      <c r="K3081" s="3">
        <v>100925249991</v>
      </c>
      <c r="L3081" s="10">
        <v>40344</v>
      </c>
      <c r="M3081">
        <v>751.94</v>
      </c>
      <c r="N3081" s="11">
        <v>5</v>
      </c>
      <c r="O3081" s="12">
        <v>145.45</v>
      </c>
      <c r="P3081" s="12">
        <v>17.85</v>
      </c>
      <c r="Q3081" s="13">
        <v>-283.9419</v>
      </c>
      <c r="R3081" s="36" t="s">
        <v>322</v>
      </c>
      <c r="S3081" s="7">
        <f t="shared" si="258"/>
        <v>0</v>
      </c>
      <c r="T3081" s="15" t="str">
        <f>VLOOKUP(R3081,产品分类!$C$2:$D$1278,2,0)</f>
        <v>家具产品</v>
      </c>
    </row>
    <row r="3082" spans="1:20">
      <c r="A3082" s="8">
        <f>DATE(2012,12,31)-872</f>
        <v>40402</v>
      </c>
      <c r="B3082" s="8">
        <f>DATE(2012,12,31)-872</f>
        <v>40402</v>
      </c>
      <c r="C3082" s="9" t="s">
        <v>1122</v>
      </c>
      <c r="D3082">
        <v>10021452451</v>
      </c>
      <c r="E3082" t="s">
        <v>47</v>
      </c>
      <c r="F3082" t="s">
        <v>55</v>
      </c>
      <c r="G3082" t="s">
        <v>56</v>
      </c>
      <c r="H3082" t="s">
        <v>2112</v>
      </c>
      <c r="I3082" t="s">
        <v>2113</v>
      </c>
      <c r="J3082" t="s">
        <v>141</v>
      </c>
      <c r="K3082" s="3">
        <v>100331151739</v>
      </c>
      <c r="L3082" s="10">
        <v>40403</v>
      </c>
      <c r="M3082">
        <v>581.52</v>
      </c>
      <c r="N3082" s="11">
        <v>16</v>
      </c>
      <c r="O3082" s="12">
        <v>35.44</v>
      </c>
      <c r="P3082" s="12">
        <v>7.5</v>
      </c>
      <c r="Q3082" s="13">
        <v>175.16</v>
      </c>
      <c r="R3082" s="36" t="s">
        <v>1791</v>
      </c>
      <c r="S3082" s="7">
        <f t="shared" si="258"/>
        <v>1</v>
      </c>
      <c r="T3082" s="15" t="str">
        <f>VLOOKUP(R3082,产品分类!$C$2:$D$1278,2,0)</f>
        <v>家具产品</v>
      </c>
    </row>
    <row r="3083" spans="1:20">
      <c r="A3083" s="8">
        <f>DATE(2012,12,31)-872</f>
        <v>40402</v>
      </c>
      <c r="B3083" s="8">
        <f>DATE(2012,12,31)-872</f>
        <v>40402</v>
      </c>
      <c r="C3083" s="9" t="s">
        <v>1122</v>
      </c>
      <c r="D3083">
        <v>10021494182</v>
      </c>
      <c r="E3083" t="s">
        <v>47</v>
      </c>
      <c r="F3083" t="s">
        <v>55</v>
      </c>
      <c r="G3083" t="s">
        <v>56</v>
      </c>
      <c r="H3083" t="s">
        <v>2112</v>
      </c>
      <c r="I3083" t="s">
        <v>2113</v>
      </c>
      <c r="J3083" t="s">
        <v>141</v>
      </c>
      <c r="K3083" s="3">
        <v>10011046487</v>
      </c>
      <c r="L3083" s="10">
        <v>40405</v>
      </c>
      <c r="M3083">
        <v>19.17</v>
      </c>
      <c r="N3083" s="11">
        <v>5</v>
      </c>
      <c r="O3083" s="12">
        <v>3.28</v>
      </c>
      <c r="P3083" s="12">
        <v>3.97</v>
      </c>
      <c r="Q3083" s="13">
        <v>-16.42</v>
      </c>
      <c r="R3083" s="36" t="s">
        <v>1756</v>
      </c>
      <c r="S3083" s="7">
        <f t="shared" si="258"/>
        <v>3</v>
      </c>
      <c r="T3083" s="15" t="str">
        <f>VLOOKUP(R3083,产品分类!$C$2:$D$1278,2,0)</f>
        <v>办公用品</v>
      </c>
    </row>
    <row r="3084" spans="1:20">
      <c r="A3084" s="8">
        <f>DATE(2012,12,31)-1443</f>
        <v>39831</v>
      </c>
      <c r="B3084" s="8">
        <f>DATE(2012,12,31)-1443</f>
        <v>39831</v>
      </c>
      <c r="C3084" s="9" t="s">
        <v>1247</v>
      </c>
      <c r="D3084">
        <v>10021265720</v>
      </c>
      <c r="E3084" t="s">
        <v>47</v>
      </c>
      <c r="F3084" t="s">
        <v>91</v>
      </c>
      <c r="G3084" t="s">
        <v>92</v>
      </c>
      <c r="H3084" t="s">
        <v>2053</v>
      </c>
      <c r="I3084" t="s">
        <v>2054</v>
      </c>
      <c r="J3084" t="s">
        <v>141</v>
      </c>
      <c r="K3084" s="3">
        <v>100131536237</v>
      </c>
      <c r="L3084" s="10">
        <v>39831</v>
      </c>
      <c r="M3084">
        <v>2842.54</v>
      </c>
      <c r="N3084" s="11">
        <v>50</v>
      </c>
      <c r="O3084" s="12">
        <v>58.1</v>
      </c>
      <c r="P3084" s="12">
        <v>1.49</v>
      </c>
      <c r="Q3084" s="13">
        <v>1315.749</v>
      </c>
      <c r="R3084" s="36" t="s">
        <v>1157</v>
      </c>
      <c r="S3084" s="7">
        <f t="shared" si="258"/>
        <v>0</v>
      </c>
      <c r="T3084" s="15" t="str">
        <f>VLOOKUP(R3084,产品分类!$C$2:$D$1278,2,0)</f>
        <v>办公用品</v>
      </c>
    </row>
    <row r="3085" spans="1:20">
      <c r="A3085" s="8">
        <f>DATE(2012,12,31)-1256</f>
        <v>40018</v>
      </c>
      <c r="B3085" s="8">
        <f>DATE(2012,12,31)-1256</f>
        <v>40018</v>
      </c>
      <c r="C3085" s="9" t="s">
        <v>2094</v>
      </c>
      <c r="D3085">
        <v>10021341113</v>
      </c>
      <c r="E3085" t="s">
        <v>47</v>
      </c>
      <c r="F3085" t="s">
        <v>91</v>
      </c>
      <c r="G3085" t="s">
        <v>92</v>
      </c>
      <c r="H3085" t="s">
        <v>2053</v>
      </c>
      <c r="I3085" t="s">
        <v>2054</v>
      </c>
      <c r="J3085" t="s">
        <v>141</v>
      </c>
      <c r="K3085" s="3">
        <v>100323485189</v>
      </c>
      <c r="L3085" s="10">
        <v>40023</v>
      </c>
      <c r="M3085">
        <v>939.39</v>
      </c>
      <c r="N3085" s="11">
        <v>20</v>
      </c>
      <c r="O3085" s="12">
        <v>49.43</v>
      </c>
      <c r="P3085" s="12">
        <v>19.99</v>
      </c>
      <c r="Q3085" s="13">
        <v>-122.77</v>
      </c>
      <c r="R3085" s="36" t="s">
        <v>1805</v>
      </c>
      <c r="S3085" s="7">
        <f t="shared" si="258"/>
        <v>5</v>
      </c>
      <c r="T3085" s="15" t="str">
        <f>VLOOKUP(R3085,产品分类!$C$2:$D$1278,2,0)</f>
        <v>家具产品</v>
      </c>
    </row>
    <row r="3086" spans="1:20">
      <c r="A3086" s="8">
        <f>DATE(2012,12,31)-1445</f>
        <v>39829</v>
      </c>
      <c r="B3086" s="8">
        <f>DATE(2012,12,31)-1445</f>
        <v>39829</v>
      </c>
      <c r="C3086" s="9" t="s">
        <v>1024</v>
      </c>
      <c r="D3086">
        <v>10021444925</v>
      </c>
      <c r="E3086" t="s">
        <v>47</v>
      </c>
      <c r="F3086" t="s">
        <v>122</v>
      </c>
      <c r="G3086" t="s">
        <v>123</v>
      </c>
      <c r="H3086" t="s">
        <v>124</v>
      </c>
      <c r="I3086" t="s">
        <v>125</v>
      </c>
      <c r="J3086" t="s">
        <v>141</v>
      </c>
      <c r="K3086" s="3">
        <v>100110124697</v>
      </c>
      <c r="L3086" s="10">
        <v>39833</v>
      </c>
      <c r="M3086">
        <v>832.14</v>
      </c>
      <c r="N3086" s="11">
        <v>37</v>
      </c>
      <c r="O3086" s="12">
        <v>22.72</v>
      </c>
      <c r="P3086" s="12">
        <v>8.99</v>
      </c>
      <c r="Q3086" s="13">
        <v>175.07</v>
      </c>
      <c r="R3086" s="36" t="s">
        <v>972</v>
      </c>
      <c r="S3086" s="7">
        <f t="shared" si="258"/>
        <v>4</v>
      </c>
      <c r="T3086" s="15" t="str">
        <f>VLOOKUP(R3086,产品分类!$C$2:$D$1278,2,0)</f>
        <v>办公用品</v>
      </c>
    </row>
    <row r="3087" spans="1:20">
      <c r="A3087" s="16">
        <f>DATE(2012,12,31)-465</f>
        <v>40809</v>
      </c>
      <c r="B3087" s="16">
        <f>DATE(2012,12,31)-465</f>
        <v>40809</v>
      </c>
      <c r="C3087" s="9" t="s">
        <v>1846</v>
      </c>
      <c r="D3087">
        <v>10021523456</v>
      </c>
      <c r="E3087" t="s">
        <v>47</v>
      </c>
      <c r="F3087" t="s">
        <v>55</v>
      </c>
      <c r="G3087" t="s">
        <v>56</v>
      </c>
      <c r="H3087" t="s">
        <v>2112</v>
      </c>
      <c r="I3087" t="s">
        <v>2113</v>
      </c>
      <c r="J3087" t="s">
        <v>141</v>
      </c>
      <c r="K3087" s="3">
        <v>10048392783</v>
      </c>
      <c r="L3087" s="10">
        <v>40811</v>
      </c>
      <c r="M3087">
        <v>191.13</v>
      </c>
      <c r="N3087" s="17">
        <v>47</v>
      </c>
      <c r="O3087" s="5">
        <v>4.26</v>
      </c>
      <c r="P3087" s="5">
        <v>1.2</v>
      </c>
      <c r="Q3087" s="6">
        <v>38.11</v>
      </c>
      <c r="R3087" s="37" t="s">
        <v>340</v>
      </c>
      <c r="S3087" s="7">
        <f t="shared" si="258"/>
        <v>2</v>
      </c>
      <c r="T3087" s="15" t="str">
        <f>VLOOKUP(R3087,产品分类!$C$2:$D$1278,2,0)</f>
        <v>办公用品</v>
      </c>
    </row>
    <row r="3088" spans="1:20">
      <c r="A3088" s="8">
        <f>DATE(2012,12,31)-465</f>
        <v>40809</v>
      </c>
      <c r="B3088" s="8">
        <f>DATE(2012,12,31)-465</f>
        <v>40809</v>
      </c>
      <c r="C3088" s="9" t="s">
        <v>1846</v>
      </c>
      <c r="D3088">
        <v>10021389655</v>
      </c>
      <c r="E3088" t="s">
        <v>47</v>
      </c>
      <c r="F3088" t="s">
        <v>83</v>
      </c>
      <c r="G3088" t="s">
        <v>84</v>
      </c>
      <c r="H3088" t="s">
        <v>2144</v>
      </c>
      <c r="I3088" t="s">
        <v>2145</v>
      </c>
      <c r="J3088" t="s">
        <v>141</v>
      </c>
      <c r="K3088" s="3">
        <v>100432446074</v>
      </c>
      <c r="L3088" s="10">
        <v>40814</v>
      </c>
      <c r="M3088">
        <v>48.24</v>
      </c>
      <c r="N3088" s="11">
        <v>17</v>
      </c>
      <c r="O3088" s="12">
        <v>2.88</v>
      </c>
      <c r="P3088" s="12">
        <v>1.01</v>
      </c>
      <c r="Q3088" s="13">
        <v>-1.62</v>
      </c>
      <c r="R3088" s="36" t="s">
        <v>1540</v>
      </c>
      <c r="S3088" s="7">
        <f t="shared" si="258"/>
        <v>5</v>
      </c>
      <c r="T3088" s="15" t="str">
        <f>VLOOKUP(R3088,产品分类!$C$2:$D$1278,2,0)</f>
        <v>数码电子</v>
      </c>
    </row>
    <row r="3089" spans="1:20">
      <c r="A3089" s="8">
        <f>DATE(2012,12,31)-884</f>
        <v>40390</v>
      </c>
      <c r="B3089" s="8">
        <f>DATE(2012,12,31)-884</f>
        <v>40390</v>
      </c>
      <c r="C3089" s="9" t="s">
        <v>1109</v>
      </c>
      <c r="D3089">
        <v>10021500202</v>
      </c>
      <c r="E3089" t="s">
        <v>47</v>
      </c>
      <c r="F3089" t="s">
        <v>132</v>
      </c>
      <c r="G3089" t="s">
        <v>133</v>
      </c>
      <c r="H3089" t="s">
        <v>134</v>
      </c>
      <c r="I3089" t="s">
        <v>133</v>
      </c>
      <c r="J3089" t="s">
        <v>141</v>
      </c>
      <c r="K3089" s="3">
        <v>10019654826</v>
      </c>
      <c r="L3089" s="10">
        <v>40390</v>
      </c>
      <c r="M3089">
        <v>465.83</v>
      </c>
      <c r="N3089" s="11">
        <v>49</v>
      </c>
      <c r="O3089" s="12">
        <v>9.65</v>
      </c>
      <c r="P3089" s="12">
        <v>6.22</v>
      </c>
      <c r="Q3089" s="13">
        <v>-79.72</v>
      </c>
      <c r="R3089" s="36" t="s">
        <v>524</v>
      </c>
      <c r="S3089" s="7">
        <f t="shared" si="258"/>
        <v>0</v>
      </c>
      <c r="T3089" s="15" t="str">
        <f>VLOOKUP(R3089,产品分类!$C$2:$D$1278,2,0)</f>
        <v>数码电子</v>
      </c>
    </row>
    <row r="3090" spans="1:20">
      <c r="A3090" s="16">
        <f>DATE(2012,12,31)-884</f>
        <v>40390</v>
      </c>
      <c r="B3090" s="16">
        <f>DATE(2012,12,31)-884</f>
        <v>40390</v>
      </c>
      <c r="C3090" s="9" t="s">
        <v>1109</v>
      </c>
      <c r="D3090">
        <v>10021294713</v>
      </c>
      <c r="E3090" t="s">
        <v>47</v>
      </c>
      <c r="F3090" t="s">
        <v>97</v>
      </c>
      <c r="G3090" t="s">
        <v>98</v>
      </c>
      <c r="H3090" t="s">
        <v>99</v>
      </c>
      <c r="I3090" t="s">
        <v>98</v>
      </c>
      <c r="J3090" t="s">
        <v>141</v>
      </c>
      <c r="K3090" s="3">
        <v>10087558212</v>
      </c>
      <c r="L3090" s="10">
        <v>40391</v>
      </c>
      <c r="M3090">
        <v>515.37</v>
      </c>
      <c r="N3090" s="17">
        <v>20</v>
      </c>
      <c r="O3090" s="5">
        <v>24.92</v>
      </c>
      <c r="P3090" s="5">
        <v>12.98</v>
      </c>
      <c r="Q3090" s="6">
        <v>9.8175</v>
      </c>
      <c r="R3090" s="37" t="s">
        <v>187</v>
      </c>
      <c r="S3090" s="7">
        <f t="shared" si="258"/>
        <v>1</v>
      </c>
      <c r="T3090" s="15" t="str">
        <f>VLOOKUP(R3090,产品分类!$C$2:$D$1278,2,0)</f>
        <v>数码电子</v>
      </c>
    </row>
    <row r="3091" spans="1:20">
      <c r="A3091" s="8">
        <f>DATE(2012,12,31)-451</f>
        <v>40823</v>
      </c>
      <c r="B3091" s="8">
        <f>DATE(2012,12,31)-451</f>
        <v>40823</v>
      </c>
      <c r="C3091" s="9" t="s">
        <v>598</v>
      </c>
      <c r="D3091">
        <v>10021421528</v>
      </c>
      <c r="E3091" t="s">
        <v>47</v>
      </c>
      <c r="F3091" t="s">
        <v>132</v>
      </c>
      <c r="G3091" t="s">
        <v>133</v>
      </c>
      <c r="H3091" t="s">
        <v>134</v>
      </c>
      <c r="I3091" t="s">
        <v>133</v>
      </c>
      <c r="J3091" t="s">
        <v>141</v>
      </c>
      <c r="K3091" s="3">
        <v>100417675923</v>
      </c>
      <c r="L3091" s="10">
        <v>40832</v>
      </c>
      <c r="M3091">
        <v>258.13</v>
      </c>
      <c r="N3091" s="11">
        <v>41</v>
      </c>
      <c r="O3091" s="12">
        <v>6.08</v>
      </c>
      <c r="P3091" s="12">
        <v>1.82</v>
      </c>
      <c r="Q3091" s="13">
        <v>84.1</v>
      </c>
      <c r="R3091" s="36" t="s">
        <v>263</v>
      </c>
      <c r="S3091" s="7">
        <f t="shared" si="258"/>
        <v>9</v>
      </c>
      <c r="T3091" s="15" t="str">
        <f>VLOOKUP(R3091,产品分类!$C$2:$D$1278,2,0)</f>
        <v>家具产品</v>
      </c>
    </row>
    <row r="3092" spans="1:20">
      <c r="A3092" s="8">
        <f t="shared" ref="A3092:B3094" si="259">DATE(2012,12,31)-117</f>
        <v>41157</v>
      </c>
      <c r="B3092" s="8">
        <f t="shared" si="259"/>
        <v>41157</v>
      </c>
      <c r="C3092" s="9" t="s">
        <v>1233</v>
      </c>
      <c r="D3092">
        <v>10021332376</v>
      </c>
      <c r="E3092" t="s">
        <v>47</v>
      </c>
      <c r="F3092" t="s">
        <v>132</v>
      </c>
      <c r="G3092" t="s">
        <v>133</v>
      </c>
      <c r="H3092" t="s">
        <v>134</v>
      </c>
      <c r="I3092" t="s">
        <v>133</v>
      </c>
      <c r="J3092" t="s">
        <v>141</v>
      </c>
      <c r="K3092" s="3">
        <v>10039639779</v>
      </c>
      <c r="L3092" s="10">
        <v>41158</v>
      </c>
      <c r="M3092">
        <v>55.97</v>
      </c>
      <c r="N3092" s="11">
        <v>4</v>
      </c>
      <c r="O3092" s="12">
        <v>12.53</v>
      </c>
      <c r="P3092" s="12">
        <v>7.17</v>
      </c>
      <c r="Q3092" s="13">
        <v>-19.343</v>
      </c>
      <c r="R3092" s="36" t="s">
        <v>357</v>
      </c>
      <c r="S3092" s="7">
        <f t="shared" si="258"/>
        <v>1</v>
      </c>
      <c r="T3092" s="15" t="str">
        <f>VLOOKUP(R3092,产品分类!$C$2:$D$1278,2,0)</f>
        <v>办公用品</v>
      </c>
    </row>
    <row r="3093" spans="1:20">
      <c r="A3093" s="8">
        <f t="shared" si="259"/>
        <v>41157</v>
      </c>
      <c r="B3093" s="8">
        <f t="shared" si="259"/>
        <v>41157</v>
      </c>
      <c r="C3093" s="9" t="s">
        <v>1233</v>
      </c>
      <c r="D3093">
        <v>10021295578</v>
      </c>
      <c r="E3093" t="s">
        <v>47</v>
      </c>
      <c r="F3093" t="s">
        <v>97</v>
      </c>
      <c r="G3093" t="s">
        <v>98</v>
      </c>
      <c r="H3093" t="s">
        <v>99</v>
      </c>
      <c r="I3093" t="s">
        <v>98</v>
      </c>
      <c r="J3093" t="s">
        <v>141</v>
      </c>
      <c r="K3093" s="3">
        <v>100117621887</v>
      </c>
      <c r="L3093" s="10">
        <v>41160</v>
      </c>
      <c r="M3093">
        <v>174.72</v>
      </c>
      <c r="N3093" s="11">
        <v>9</v>
      </c>
      <c r="O3093" s="12">
        <v>19.98</v>
      </c>
      <c r="P3093" s="12">
        <v>4</v>
      </c>
      <c r="Q3093" s="13">
        <v>-63.48</v>
      </c>
      <c r="R3093" s="36" t="s">
        <v>846</v>
      </c>
      <c r="S3093" s="7">
        <f t="shared" si="258"/>
        <v>3</v>
      </c>
      <c r="T3093" s="15" t="str">
        <f>VLOOKUP(R3093,产品分类!$C$2:$D$1278,2,0)</f>
        <v>数码电子</v>
      </c>
    </row>
    <row r="3094" spans="1:20">
      <c r="A3094" s="8">
        <f t="shared" si="259"/>
        <v>41157</v>
      </c>
      <c r="B3094" s="8">
        <f t="shared" si="259"/>
        <v>41157</v>
      </c>
      <c r="C3094" s="9" t="s">
        <v>1233</v>
      </c>
      <c r="D3094">
        <v>10021418374</v>
      </c>
      <c r="E3094" t="s">
        <v>47</v>
      </c>
      <c r="F3094" t="s">
        <v>97</v>
      </c>
      <c r="G3094" t="s">
        <v>98</v>
      </c>
      <c r="H3094" t="s">
        <v>99</v>
      </c>
      <c r="I3094" t="s">
        <v>98</v>
      </c>
      <c r="J3094" t="s">
        <v>141</v>
      </c>
      <c r="K3094" s="3">
        <v>100721046935</v>
      </c>
      <c r="L3094" s="10">
        <v>41159</v>
      </c>
      <c r="M3094">
        <v>2271.37</v>
      </c>
      <c r="N3094" s="11">
        <v>48</v>
      </c>
      <c r="O3094" s="12">
        <v>49.34</v>
      </c>
      <c r="P3094" s="12">
        <v>10.25</v>
      </c>
      <c r="Q3094" s="13">
        <v>528.11</v>
      </c>
      <c r="R3094" s="36" t="s">
        <v>1349</v>
      </c>
      <c r="S3094" s="7">
        <f t="shared" si="258"/>
        <v>2</v>
      </c>
      <c r="T3094" s="15" t="str">
        <f>VLOOKUP(R3094,产品分类!$C$2:$D$1278,2,0)</f>
        <v>数码电子</v>
      </c>
    </row>
    <row r="3095" spans="1:20">
      <c r="A3095" s="16">
        <f>DATE(2012,12,31)-252</f>
        <v>41022</v>
      </c>
      <c r="B3095" s="16">
        <f>DATE(2012,12,31)-252</f>
        <v>41022</v>
      </c>
      <c r="C3095" s="9" t="s">
        <v>1445</v>
      </c>
      <c r="D3095">
        <v>10021384417</v>
      </c>
      <c r="E3095" t="s">
        <v>47</v>
      </c>
      <c r="F3095" t="s">
        <v>102</v>
      </c>
      <c r="G3095" t="s">
        <v>103</v>
      </c>
      <c r="H3095" t="s">
        <v>2119</v>
      </c>
      <c r="I3095" t="s">
        <v>2120</v>
      </c>
      <c r="J3095" t="s">
        <v>141</v>
      </c>
      <c r="K3095" s="3">
        <v>100332480049</v>
      </c>
      <c r="L3095" s="10">
        <v>41023</v>
      </c>
      <c r="M3095">
        <v>177.22</v>
      </c>
      <c r="N3095" s="17">
        <v>30</v>
      </c>
      <c r="O3095" s="5">
        <v>5.84</v>
      </c>
      <c r="P3095" s="5">
        <v>1</v>
      </c>
      <c r="Q3095" s="6">
        <v>68.96</v>
      </c>
      <c r="R3095" s="37" t="s">
        <v>1202</v>
      </c>
      <c r="S3095" s="7">
        <f t="shared" si="258"/>
        <v>1</v>
      </c>
      <c r="T3095" s="15" t="str">
        <f>VLOOKUP(R3095,产品分类!$C$2:$D$1278,2,0)</f>
        <v>办公用品</v>
      </c>
    </row>
    <row r="3096" spans="1:20">
      <c r="A3096" s="8">
        <f>DATE(2012,12,31)-1175</f>
        <v>40099</v>
      </c>
      <c r="B3096" s="8">
        <f>DATE(2012,12,31)-1175</f>
        <v>40099</v>
      </c>
      <c r="C3096" s="9" t="s">
        <v>534</v>
      </c>
      <c r="D3096">
        <v>10021444329</v>
      </c>
      <c r="E3096" t="s">
        <v>47</v>
      </c>
      <c r="F3096" t="s">
        <v>102</v>
      </c>
      <c r="G3096" t="s">
        <v>103</v>
      </c>
      <c r="H3096" t="s">
        <v>2119</v>
      </c>
      <c r="I3096" t="s">
        <v>2120</v>
      </c>
      <c r="J3096" t="s">
        <v>141</v>
      </c>
      <c r="K3096" s="3">
        <v>10078869865</v>
      </c>
      <c r="L3096" s="10">
        <v>40101</v>
      </c>
      <c r="M3096">
        <v>1138.43</v>
      </c>
      <c r="N3096" s="11">
        <v>37</v>
      </c>
      <c r="O3096" s="12">
        <v>30.97</v>
      </c>
      <c r="P3096" s="12">
        <v>4</v>
      </c>
      <c r="Q3096" s="13">
        <v>18.59</v>
      </c>
      <c r="R3096" s="36" t="s">
        <v>969</v>
      </c>
      <c r="S3096" s="7">
        <f t="shared" si="258"/>
        <v>2</v>
      </c>
      <c r="T3096" s="15" t="str">
        <f>VLOOKUP(R3096,产品分类!$C$2:$D$1278,2,0)</f>
        <v>家具产品</v>
      </c>
    </row>
    <row r="3097" spans="1:20">
      <c r="A3097" s="8">
        <f>DATE(2012,12,31)-1175</f>
        <v>40099</v>
      </c>
      <c r="B3097" s="8">
        <f>DATE(2012,12,31)-1175</f>
        <v>40099</v>
      </c>
      <c r="C3097" s="9" t="s">
        <v>534</v>
      </c>
      <c r="D3097">
        <v>10021395210</v>
      </c>
      <c r="E3097" t="s">
        <v>47</v>
      </c>
      <c r="F3097" t="s">
        <v>102</v>
      </c>
      <c r="G3097" t="s">
        <v>103</v>
      </c>
      <c r="H3097" t="s">
        <v>2119</v>
      </c>
      <c r="I3097" t="s">
        <v>2120</v>
      </c>
      <c r="J3097" t="s">
        <v>141</v>
      </c>
      <c r="K3097" s="3">
        <v>10048384494</v>
      </c>
      <c r="L3097" s="10">
        <v>40101</v>
      </c>
      <c r="M3097">
        <v>5271.0455</v>
      </c>
      <c r="N3097" s="11">
        <v>50</v>
      </c>
      <c r="O3097" s="12">
        <v>125.99</v>
      </c>
      <c r="P3097" s="12">
        <v>7.69</v>
      </c>
      <c r="Q3097" s="13">
        <v>1379.763</v>
      </c>
      <c r="R3097" s="36" t="s">
        <v>903</v>
      </c>
      <c r="S3097" s="7">
        <f t="shared" si="258"/>
        <v>2</v>
      </c>
      <c r="T3097" s="15" t="str">
        <f>VLOOKUP(R3097,产品分类!$C$2:$D$1278,2,0)</f>
        <v>家具产品</v>
      </c>
    </row>
    <row r="3098" spans="1:20">
      <c r="A3098" s="16">
        <f>DATE(2012,12,31)-469</f>
        <v>40805</v>
      </c>
      <c r="B3098" s="16">
        <f>DATE(2012,12,31)-469</f>
        <v>40805</v>
      </c>
      <c r="C3098" s="9" t="s">
        <v>1866</v>
      </c>
      <c r="D3098">
        <v>10021349822</v>
      </c>
      <c r="E3098" t="s">
        <v>47</v>
      </c>
      <c r="F3098" t="s">
        <v>102</v>
      </c>
      <c r="G3098" t="s">
        <v>103</v>
      </c>
      <c r="H3098" t="s">
        <v>2119</v>
      </c>
      <c r="I3098" t="s">
        <v>2120</v>
      </c>
      <c r="J3098" t="s">
        <v>141</v>
      </c>
      <c r="K3098" s="3">
        <v>100432061963</v>
      </c>
      <c r="L3098" s="10">
        <v>40807</v>
      </c>
      <c r="M3098">
        <v>1033.44</v>
      </c>
      <c r="N3098" s="17">
        <v>37</v>
      </c>
      <c r="O3098" s="5">
        <v>29.14</v>
      </c>
      <c r="P3098" s="5">
        <v>4.86</v>
      </c>
      <c r="Q3098" s="6">
        <v>385.63</v>
      </c>
      <c r="R3098" s="37" t="s">
        <v>2147</v>
      </c>
      <c r="S3098" s="7">
        <f t="shared" si="258"/>
        <v>2</v>
      </c>
      <c r="T3098" s="15" t="str">
        <f>VLOOKUP(R3098,产品分类!$C$2:$D$1278,2,0)</f>
        <v>办公用品</v>
      </c>
    </row>
    <row r="3099" spans="1:20">
      <c r="A3099" s="8">
        <f>DATE(2012,12,31)-455</f>
        <v>40819</v>
      </c>
      <c r="B3099" s="8">
        <f>DATE(2012,12,31)-455</f>
        <v>40819</v>
      </c>
      <c r="C3099" s="9" t="s">
        <v>176</v>
      </c>
      <c r="D3099">
        <v>10021433216</v>
      </c>
      <c r="E3099" t="s">
        <v>47</v>
      </c>
      <c r="F3099" t="s">
        <v>208</v>
      </c>
      <c r="G3099" t="s">
        <v>209</v>
      </c>
      <c r="H3099" t="s">
        <v>2087</v>
      </c>
      <c r="I3099" t="s">
        <v>2088</v>
      </c>
      <c r="J3099" t="s">
        <v>141</v>
      </c>
      <c r="K3099" s="3">
        <v>100432603204</v>
      </c>
      <c r="L3099" s="10">
        <v>40821</v>
      </c>
      <c r="M3099">
        <v>943.44</v>
      </c>
      <c r="N3099" s="11">
        <v>30</v>
      </c>
      <c r="O3099" s="12">
        <v>30.98</v>
      </c>
      <c r="P3099" s="12">
        <v>19.99</v>
      </c>
      <c r="Q3099" s="13">
        <v>-89.98</v>
      </c>
      <c r="R3099" s="36" t="s">
        <v>2148</v>
      </c>
      <c r="S3099" s="7">
        <f t="shared" si="258"/>
        <v>2</v>
      </c>
      <c r="T3099" s="15" t="str">
        <f>VLOOKUP(R3099,产品分类!$C$2:$D$1278,2,0)</f>
        <v>数码电子</v>
      </c>
    </row>
    <row r="3100" spans="1:20">
      <c r="A3100" s="8">
        <f>DATE(2012,12,31)-455</f>
        <v>40819</v>
      </c>
      <c r="B3100" s="8">
        <f>DATE(2012,12,31)-455</f>
        <v>40819</v>
      </c>
      <c r="C3100" s="9" t="s">
        <v>176</v>
      </c>
      <c r="D3100">
        <v>10021415338</v>
      </c>
      <c r="E3100" t="s">
        <v>47</v>
      </c>
      <c r="F3100" t="s">
        <v>304</v>
      </c>
      <c r="G3100" t="s">
        <v>305</v>
      </c>
      <c r="H3100" t="s">
        <v>2015</v>
      </c>
      <c r="I3100" t="s">
        <v>2016</v>
      </c>
      <c r="J3100" t="s">
        <v>141</v>
      </c>
      <c r="K3100" s="3">
        <v>100112351738</v>
      </c>
      <c r="L3100" s="10">
        <v>40820</v>
      </c>
      <c r="M3100">
        <v>14493.84</v>
      </c>
      <c r="N3100" s="11">
        <v>47</v>
      </c>
      <c r="O3100" s="12">
        <v>376.13</v>
      </c>
      <c r="P3100" s="12">
        <v>85.63</v>
      </c>
      <c r="Q3100" s="13">
        <v>634.76</v>
      </c>
      <c r="R3100" s="36" t="s">
        <v>1213</v>
      </c>
      <c r="S3100" s="7">
        <f t="shared" si="258"/>
        <v>1</v>
      </c>
      <c r="T3100" s="15" t="str">
        <f>VLOOKUP(R3100,产品分类!$C$2:$D$1278,2,0)</f>
        <v>办公用品</v>
      </c>
    </row>
    <row r="3101" spans="1:20">
      <c r="A3101" s="8">
        <f>DATE(2012,12,31)-836</f>
        <v>40438</v>
      </c>
      <c r="B3101" s="8">
        <f>DATE(2012,12,31)-836</f>
        <v>40438</v>
      </c>
      <c r="C3101" s="9" t="s">
        <v>2149</v>
      </c>
      <c r="D3101">
        <v>10021395224</v>
      </c>
      <c r="E3101" t="s">
        <v>47</v>
      </c>
      <c r="F3101" t="s">
        <v>304</v>
      </c>
      <c r="G3101" t="s">
        <v>305</v>
      </c>
      <c r="H3101" t="s">
        <v>2015</v>
      </c>
      <c r="I3101" t="s">
        <v>2016</v>
      </c>
      <c r="J3101" t="s">
        <v>141</v>
      </c>
      <c r="K3101" s="3">
        <v>10048664204</v>
      </c>
      <c r="L3101" s="10">
        <v>40439</v>
      </c>
      <c r="M3101">
        <v>116.22</v>
      </c>
      <c r="N3101" s="11">
        <v>19</v>
      </c>
      <c r="O3101" s="12">
        <v>5.98</v>
      </c>
      <c r="P3101" s="12">
        <v>1.49</v>
      </c>
      <c r="Q3101" s="13">
        <v>26.894</v>
      </c>
      <c r="R3101" s="36" t="s">
        <v>392</v>
      </c>
      <c r="S3101" s="7">
        <f t="shared" si="258"/>
        <v>1</v>
      </c>
      <c r="T3101" s="15" t="str">
        <f>VLOOKUP(R3101,产品分类!$C$2:$D$1278,2,0)</f>
        <v>办公用品</v>
      </c>
    </row>
    <row r="3102" spans="1:20">
      <c r="A3102" s="8">
        <f>DATE(2012,12,31)-1295</f>
        <v>39979</v>
      </c>
      <c r="B3102" s="8">
        <f>DATE(2012,12,31)-1295</f>
        <v>39979</v>
      </c>
      <c r="C3102" s="9" t="s">
        <v>492</v>
      </c>
      <c r="D3102">
        <v>10021428222</v>
      </c>
      <c r="E3102" t="s">
        <v>47</v>
      </c>
      <c r="F3102" t="s">
        <v>102</v>
      </c>
      <c r="G3102" t="s">
        <v>103</v>
      </c>
      <c r="H3102" t="s">
        <v>2119</v>
      </c>
      <c r="I3102" t="s">
        <v>2120</v>
      </c>
      <c r="J3102" t="s">
        <v>141</v>
      </c>
      <c r="K3102" s="3">
        <v>100131041218</v>
      </c>
      <c r="L3102" s="10">
        <v>39981</v>
      </c>
      <c r="M3102">
        <v>329.91</v>
      </c>
      <c r="N3102" s="11">
        <v>50</v>
      </c>
      <c r="O3102" s="12">
        <v>6.48</v>
      </c>
      <c r="P3102" s="12">
        <v>9.54</v>
      </c>
      <c r="Q3102" s="13">
        <v>-279.93</v>
      </c>
      <c r="R3102" s="36" t="s">
        <v>722</v>
      </c>
      <c r="S3102" s="7">
        <f t="shared" si="258"/>
        <v>2</v>
      </c>
      <c r="T3102" s="15" t="str">
        <f>VLOOKUP(R3102,产品分类!$C$2:$D$1278,2,0)</f>
        <v>办公用品</v>
      </c>
    </row>
    <row r="3103" spans="1:20">
      <c r="A3103" s="8">
        <f>DATE(2012,12,31)-1446</f>
        <v>39828</v>
      </c>
      <c r="B3103" s="8">
        <f>DATE(2012,12,31)-1446</f>
        <v>39828</v>
      </c>
      <c r="C3103" s="9" t="s">
        <v>1347</v>
      </c>
      <c r="D3103">
        <v>10021526607</v>
      </c>
      <c r="E3103" t="s">
        <v>47</v>
      </c>
      <c r="F3103" t="s">
        <v>171</v>
      </c>
      <c r="G3103" t="s">
        <v>172</v>
      </c>
      <c r="H3103" t="s">
        <v>2073</v>
      </c>
      <c r="I3103" t="s">
        <v>2074</v>
      </c>
      <c r="J3103" t="s">
        <v>141</v>
      </c>
      <c r="K3103" s="3">
        <v>100724822255</v>
      </c>
      <c r="L3103" s="10">
        <v>39829</v>
      </c>
      <c r="M3103">
        <v>24.76</v>
      </c>
      <c r="N3103" s="11">
        <v>9</v>
      </c>
      <c r="O3103" s="12">
        <v>2.88</v>
      </c>
      <c r="P3103" s="12">
        <v>0.7</v>
      </c>
      <c r="Q3103" s="13">
        <v>-1.82</v>
      </c>
      <c r="R3103" s="36" t="s">
        <v>514</v>
      </c>
      <c r="S3103" s="7">
        <f t="shared" si="258"/>
        <v>1</v>
      </c>
      <c r="T3103" s="15" t="str">
        <f>VLOOKUP(R3103,产品分类!$C$2:$D$1278,2,0)</f>
        <v>办公用品</v>
      </c>
    </row>
    <row r="3104" spans="1:20">
      <c r="A3104" s="8">
        <f>DATE(2012,12,31)-239</f>
        <v>41035</v>
      </c>
      <c r="B3104" s="8">
        <f>DATE(2012,12,31)-239</f>
        <v>41035</v>
      </c>
      <c r="C3104" s="9" t="s">
        <v>369</v>
      </c>
      <c r="D3104">
        <v>10021497929</v>
      </c>
      <c r="E3104" t="s">
        <v>47</v>
      </c>
      <c r="F3104" t="s">
        <v>171</v>
      </c>
      <c r="G3104" t="s">
        <v>172</v>
      </c>
      <c r="H3104" t="s">
        <v>2073</v>
      </c>
      <c r="I3104" t="s">
        <v>2074</v>
      </c>
      <c r="J3104" t="s">
        <v>141</v>
      </c>
      <c r="K3104" s="3">
        <v>100320637859</v>
      </c>
      <c r="L3104" s="10">
        <v>41037</v>
      </c>
      <c r="M3104">
        <v>5382.24</v>
      </c>
      <c r="N3104" s="11">
        <v>37</v>
      </c>
      <c r="O3104" s="12">
        <v>152.48</v>
      </c>
      <c r="P3104" s="12">
        <v>4</v>
      </c>
      <c r="Q3104" s="13">
        <v>14.85</v>
      </c>
      <c r="R3104" s="36" t="s">
        <v>505</v>
      </c>
      <c r="S3104" s="7">
        <f t="shared" si="258"/>
        <v>2</v>
      </c>
      <c r="T3104" s="15" t="str">
        <f>VLOOKUP(R3104,产品分类!$C$2:$D$1278,2,0)</f>
        <v>家具产品</v>
      </c>
    </row>
    <row r="3105" spans="1:20">
      <c r="A3105" s="8">
        <f>DATE(2012,12,31)-239</f>
        <v>41035</v>
      </c>
      <c r="B3105" s="8">
        <f>DATE(2012,12,31)-239</f>
        <v>41035</v>
      </c>
      <c r="C3105" s="9" t="s">
        <v>369</v>
      </c>
      <c r="D3105">
        <v>10021420475</v>
      </c>
      <c r="E3105" t="s">
        <v>47</v>
      </c>
      <c r="F3105" t="s">
        <v>171</v>
      </c>
      <c r="G3105" t="s">
        <v>172</v>
      </c>
      <c r="H3105" t="s">
        <v>2073</v>
      </c>
      <c r="I3105" t="s">
        <v>2074</v>
      </c>
      <c r="J3105" t="s">
        <v>141</v>
      </c>
      <c r="K3105" s="3">
        <v>10017608748</v>
      </c>
      <c r="L3105" s="10">
        <v>41037</v>
      </c>
      <c r="M3105">
        <v>1035.95</v>
      </c>
      <c r="N3105" s="11">
        <v>30</v>
      </c>
      <c r="O3105" s="12">
        <v>35.41</v>
      </c>
      <c r="P3105" s="12">
        <v>1.99</v>
      </c>
      <c r="Q3105" s="13">
        <v>342.41</v>
      </c>
      <c r="R3105" s="36" t="s">
        <v>1051</v>
      </c>
      <c r="S3105" s="7">
        <f t="shared" si="258"/>
        <v>2</v>
      </c>
      <c r="T3105" s="15" t="str">
        <f>VLOOKUP(R3105,产品分类!$C$2:$D$1278,2,0)</f>
        <v>家具产品</v>
      </c>
    </row>
    <row r="3106" spans="1:20">
      <c r="A3106" s="8">
        <f>DATE(2012,12,31)-1105</f>
        <v>40169</v>
      </c>
      <c r="B3106" s="8">
        <f>DATE(2012,12,31)-1105</f>
        <v>40169</v>
      </c>
      <c r="C3106" s="9" t="s">
        <v>518</v>
      </c>
      <c r="D3106">
        <v>10021347371</v>
      </c>
      <c r="E3106" t="s">
        <v>47</v>
      </c>
      <c r="F3106" t="s">
        <v>177</v>
      </c>
      <c r="G3106" t="s">
        <v>178</v>
      </c>
      <c r="H3106" t="s">
        <v>2125</v>
      </c>
      <c r="I3106" t="s">
        <v>2126</v>
      </c>
      <c r="J3106" t="s">
        <v>141</v>
      </c>
      <c r="K3106" s="3">
        <v>100931000781</v>
      </c>
      <c r="L3106" s="10">
        <v>40172</v>
      </c>
      <c r="M3106">
        <v>2463.6</v>
      </c>
      <c r="N3106" s="11">
        <v>43</v>
      </c>
      <c r="O3106" s="12">
        <v>54.96</v>
      </c>
      <c r="P3106" s="12">
        <v>10.75</v>
      </c>
      <c r="Q3106" s="13">
        <v>1040.65</v>
      </c>
      <c r="R3106" s="36" t="s">
        <v>1702</v>
      </c>
      <c r="S3106" s="7">
        <f t="shared" si="258"/>
        <v>3</v>
      </c>
      <c r="T3106" s="15" t="str">
        <f>VLOOKUP(R3106,产品分类!$C$2:$D$1278,2,0)</f>
        <v>办公用品</v>
      </c>
    </row>
    <row r="3107" spans="1:20">
      <c r="A3107" s="8">
        <f>DATE(2012,12,31)-402</f>
        <v>40872</v>
      </c>
      <c r="B3107" s="8">
        <f>DATE(2012,12,31)-402</f>
        <v>40872</v>
      </c>
      <c r="C3107" s="9" t="s">
        <v>1439</v>
      </c>
      <c r="D3107">
        <v>10021413691</v>
      </c>
      <c r="E3107" t="s">
        <v>47</v>
      </c>
      <c r="F3107" t="s">
        <v>183</v>
      </c>
      <c r="G3107" t="s">
        <v>184</v>
      </c>
      <c r="H3107" t="s">
        <v>1716</v>
      </c>
      <c r="I3107" t="s">
        <v>1717</v>
      </c>
      <c r="J3107" t="s">
        <v>141</v>
      </c>
      <c r="K3107" s="3">
        <v>10071754085</v>
      </c>
      <c r="L3107" s="10">
        <v>40876</v>
      </c>
      <c r="M3107">
        <v>40.24</v>
      </c>
      <c r="N3107" s="11">
        <v>24</v>
      </c>
      <c r="O3107" s="12">
        <v>1.76</v>
      </c>
      <c r="P3107" s="12">
        <v>0.7</v>
      </c>
      <c r="Q3107" s="13">
        <v>-3.73</v>
      </c>
      <c r="R3107" s="36" t="s">
        <v>561</v>
      </c>
      <c r="S3107" s="7">
        <f t="shared" si="258"/>
        <v>4</v>
      </c>
      <c r="T3107" s="15" t="str">
        <f>VLOOKUP(R3107,产品分类!$C$2:$D$1278,2,0)</f>
        <v>数码电子</v>
      </c>
    </row>
    <row r="3108" spans="1:20">
      <c r="A3108" s="8">
        <f>DATE(2012,12,31)-962</f>
        <v>40312</v>
      </c>
      <c r="B3108" s="8">
        <f>DATE(2012,12,31)-962</f>
        <v>40312</v>
      </c>
      <c r="C3108" s="9" t="s">
        <v>762</v>
      </c>
      <c r="D3108">
        <v>10021434449</v>
      </c>
      <c r="E3108" t="s">
        <v>47</v>
      </c>
      <c r="F3108" t="s">
        <v>342</v>
      </c>
      <c r="G3108" t="s">
        <v>343</v>
      </c>
      <c r="H3108" t="s">
        <v>2090</v>
      </c>
      <c r="I3108" t="s">
        <v>2091</v>
      </c>
      <c r="J3108" t="s">
        <v>141</v>
      </c>
      <c r="K3108" s="3">
        <v>10012624358</v>
      </c>
      <c r="L3108" s="10">
        <v>40313</v>
      </c>
      <c r="M3108">
        <v>200.08</v>
      </c>
      <c r="N3108" s="11">
        <v>36</v>
      </c>
      <c r="O3108" s="12">
        <v>5.28</v>
      </c>
      <c r="P3108" s="12">
        <v>5.06</v>
      </c>
      <c r="Q3108" s="13">
        <v>-62.97</v>
      </c>
      <c r="R3108" s="36" t="s">
        <v>1897</v>
      </c>
      <c r="S3108" s="7">
        <f t="shared" si="258"/>
        <v>1</v>
      </c>
      <c r="T3108" s="15" t="str">
        <f>VLOOKUP(R3108,产品分类!$C$2:$D$1278,2,0)</f>
        <v>家具产品</v>
      </c>
    </row>
    <row r="3109" spans="1:20">
      <c r="A3109" s="8">
        <f>DATE(2012,12,31)-962</f>
        <v>40312</v>
      </c>
      <c r="B3109" s="8">
        <f>DATE(2012,12,31)-962</f>
        <v>40312</v>
      </c>
      <c r="C3109" s="9" t="s">
        <v>762</v>
      </c>
      <c r="D3109">
        <v>10021508768</v>
      </c>
      <c r="E3109" t="s">
        <v>47</v>
      </c>
      <c r="F3109" t="s">
        <v>342</v>
      </c>
      <c r="G3109" t="s">
        <v>343</v>
      </c>
      <c r="H3109" t="s">
        <v>2090</v>
      </c>
      <c r="I3109" t="s">
        <v>2091</v>
      </c>
      <c r="J3109" t="s">
        <v>141</v>
      </c>
      <c r="K3109" s="3">
        <v>100932313351</v>
      </c>
      <c r="L3109" s="10">
        <v>40313</v>
      </c>
      <c r="M3109">
        <v>790.24</v>
      </c>
      <c r="N3109" s="11">
        <v>24</v>
      </c>
      <c r="O3109" s="12">
        <v>35.77</v>
      </c>
      <c r="P3109" s="12">
        <v>9.02</v>
      </c>
      <c r="Q3109" s="13">
        <v>-213.18</v>
      </c>
      <c r="R3109" s="36" t="s">
        <v>1872</v>
      </c>
      <c r="S3109" s="7">
        <f t="shared" si="258"/>
        <v>1</v>
      </c>
      <c r="T3109" s="15" t="str">
        <f>VLOOKUP(R3109,产品分类!$C$2:$D$1278,2,0)</f>
        <v>办公用品</v>
      </c>
    </row>
    <row r="3110" spans="1:20">
      <c r="A3110" s="8">
        <f>DATE(2012,12,31)-1312</f>
        <v>39962</v>
      </c>
      <c r="B3110" s="8">
        <f>DATE(2012,12,31)-1312</f>
        <v>39962</v>
      </c>
      <c r="C3110" s="9" t="s">
        <v>384</v>
      </c>
      <c r="D3110">
        <v>10021419191</v>
      </c>
      <c r="E3110" t="s">
        <v>47</v>
      </c>
      <c r="F3110" t="s">
        <v>177</v>
      </c>
      <c r="G3110" t="s">
        <v>178</v>
      </c>
      <c r="H3110" t="s">
        <v>2125</v>
      </c>
      <c r="I3110" t="s">
        <v>2126</v>
      </c>
      <c r="J3110" t="s">
        <v>141</v>
      </c>
      <c r="K3110" s="3">
        <v>100123316898</v>
      </c>
      <c r="L3110" s="10">
        <v>39969</v>
      </c>
      <c r="M3110">
        <v>241.706</v>
      </c>
      <c r="N3110" s="11">
        <v>13</v>
      </c>
      <c r="O3110" s="12">
        <v>20.99</v>
      </c>
      <c r="P3110" s="12">
        <v>3.3</v>
      </c>
      <c r="Q3110" s="13">
        <v>-92.961</v>
      </c>
      <c r="R3110" s="36" t="s">
        <v>810</v>
      </c>
      <c r="S3110" s="7">
        <f t="shared" si="258"/>
        <v>7</v>
      </c>
      <c r="T3110" s="15" t="str">
        <f>VLOOKUP(R3110,产品分类!$C$2:$D$1278,2,0)</f>
        <v>家具产品</v>
      </c>
    </row>
    <row r="3111" spans="1:20">
      <c r="A3111" s="8">
        <f t="shared" ref="A3111:B3113" si="260">DATE(2012,12,31)-1046</f>
        <v>40228</v>
      </c>
      <c r="B3111" s="8">
        <f t="shared" si="260"/>
        <v>40228</v>
      </c>
      <c r="C3111" s="9" t="s">
        <v>317</v>
      </c>
      <c r="D3111">
        <v>10021260143</v>
      </c>
      <c r="E3111" t="s">
        <v>47</v>
      </c>
      <c r="F3111" t="s">
        <v>177</v>
      </c>
      <c r="G3111" t="s">
        <v>178</v>
      </c>
      <c r="H3111" t="s">
        <v>2125</v>
      </c>
      <c r="I3111" t="s">
        <v>2126</v>
      </c>
      <c r="J3111" t="s">
        <v>141</v>
      </c>
      <c r="K3111" s="3">
        <v>100911607781</v>
      </c>
      <c r="L3111" s="10">
        <v>40229</v>
      </c>
      <c r="M3111">
        <v>192.12</v>
      </c>
      <c r="N3111" s="11">
        <v>5</v>
      </c>
      <c r="O3111" s="12">
        <v>39.24</v>
      </c>
      <c r="P3111" s="12">
        <v>1.99</v>
      </c>
      <c r="Q3111" s="13">
        <v>-74.85</v>
      </c>
      <c r="R3111" s="36" t="s">
        <v>2050</v>
      </c>
      <c r="S3111" s="7">
        <f t="shared" si="258"/>
        <v>1</v>
      </c>
      <c r="T3111" s="15" t="str">
        <f>VLOOKUP(R3111,产品分类!$C$2:$D$1278,2,0)</f>
        <v>家具产品</v>
      </c>
    </row>
    <row r="3112" spans="1:20">
      <c r="A3112" s="8">
        <f t="shared" si="260"/>
        <v>40228</v>
      </c>
      <c r="B3112" s="8">
        <f t="shared" si="260"/>
        <v>40228</v>
      </c>
      <c r="C3112" s="9" t="s">
        <v>317</v>
      </c>
      <c r="D3112">
        <v>10021493578</v>
      </c>
      <c r="E3112" t="s">
        <v>47</v>
      </c>
      <c r="F3112" t="s">
        <v>61</v>
      </c>
      <c r="G3112" t="s">
        <v>62</v>
      </c>
      <c r="H3112" t="s">
        <v>47</v>
      </c>
      <c r="I3112" t="s">
        <v>1778</v>
      </c>
      <c r="J3112" t="s">
        <v>141</v>
      </c>
      <c r="K3112" s="3">
        <v>10033227709</v>
      </c>
      <c r="L3112" s="10">
        <v>40230</v>
      </c>
      <c r="M3112">
        <v>3917.61</v>
      </c>
      <c r="N3112" s="11">
        <v>33</v>
      </c>
      <c r="O3112" s="12">
        <v>119.99</v>
      </c>
      <c r="P3112" s="12">
        <v>56.14</v>
      </c>
      <c r="Q3112" s="13">
        <v>40.76</v>
      </c>
      <c r="R3112" s="36" t="s">
        <v>1626</v>
      </c>
      <c r="S3112" s="7">
        <f t="shared" si="258"/>
        <v>2</v>
      </c>
      <c r="T3112" s="15" t="str">
        <f>VLOOKUP(R3112,产品分类!$C$2:$D$1278,2,0)</f>
        <v>办公用品</v>
      </c>
    </row>
    <row r="3113" spans="1:20">
      <c r="A3113" s="8">
        <f t="shared" si="260"/>
        <v>40228</v>
      </c>
      <c r="B3113" s="8">
        <f t="shared" si="260"/>
        <v>40228</v>
      </c>
      <c r="C3113" s="9" t="s">
        <v>317</v>
      </c>
      <c r="D3113">
        <v>10021495638</v>
      </c>
      <c r="E3113" t="s">
        <v>47</v>
      </c>
      <c r="F3113" t="s">
        <v>61</v>
      </c>
      <c r="G3113" t="s">
        <v>62</v>
      </c>
      <c r="H3113" t="s">
        <v>47</v>
      </c>
      <c r="I3113" t="s">
        <v>1778</v>
      </c>
      <c r="J3113" t="s">
        <v>141</v>
      </c>
      <c r="K3113" s="3">
        <v>100410731873</v>
      </c>
      <c r="L3113" s="10">
        <v>40229</v>
      </c>
      <c r="M3113">
        <v>2788.04</v>
      </c>
      <c r="N3113" s="11">
        <v>34</v>
      </c>
      <c r="O3113" s="12">
        <v>80.98</v>
      </c>
      <c r="P3113" s="12">
        <v>35</v>
      </c>
      <c r="Q3113" s="13">
        <v>-849.18</v>
      </c>
      <c r="R3113" s="36" t="s">
        <v>1908</v>
      </c>
      <c r="S3113" s="7">
        <f t="shared" si="258"/>
        <v>1</v>
      </c>
      <c r="T3113" s="15" t="str">
        <f>VLOOKUP(R3113,产品分类!$C$2:$D$1278,2,0)</f>
        <v>办公用品</v>
      </c>
    </row>
    <row r="3114" spans="1:20">
      <c r="A3114" s="8">
        <f>DATE(2012,12,31)-1367</f>
        <v>39907</v>
      </c>
      <c r="B3114" s="8">
        <f>DATE(2012,12,31)-1367</f>
        <v>39907</v>
      </c>
      <c r="C3114" s="9" t="s">
        <v>1182</v>
      </c>
      <c r="D3114">
        <v>10021335861</v>
      </c>
      <c r="E3114" t="s">
        <v>47</v>
      </c>
      <c r="F3114" t="s">
        <v>61</v>
      </c>
      <c r="G3114" t="s">
        <v>62</v>
      </c>
      <c r="H3114" t="s">
        <v>47</v>
      </c>
      <c r="I3114" t="s">
        <v>1778</v>
      </c>
      <c r="J3114" t="s">
        <v>141</v>
      </c>
      <c r="K3114" s="3">
        <v>100917287231</v>
      </c>
      <c r="L3114" s="10">
        <v>39908</v>
      </c>
      <c r="M3114">
        <v>70.55</v>
      </c>
      <c r="N3114" s="11">
        <v>8</v>
      </c>
      <c r="O3114" s="12">
        <v>7.38</v>
      </c>
      <c r="P3114" s="12">
        <v>11.51</v>
      </c>
      <c r="Q3114" s="13">
        <v>-66.171</v>
      </c>
      <c r="R3114" s="36" t="s">
        <v>1739</v>
      </c>
      <c r="S3114" s="7">
        <f t="shared" si="258"/>
        <v>1</v>
      </c>
      <c r="T3114" s="15" t="str">
        <f>VLOOKUP(R3114,产品分类!$C$2:$D$1278,2,0)</f>
        <v>家具产品</v>
      </c>
    </row>
    <row r="3115" spans="1:20">
      <c r="A3115" s="8">
        <f>DATE(2012,12,31)-278</f>
        <v>40996</v>
      </c>
      <c r="B3115" s="8">
        <f>DATE(2012,12,31)-278</f>
        <v>40996</v>
      </c>
      <c r="C3115" s="9" t="s">
        <v>258</v>
      </c>
      <c r="D3115">
        <v>10021295958</v>
      </c>
      <c r="E3115" t="s">
        <v>47</v>
      </c>
      <c r="F3115" t="s">
        <v>61</v>
      </c>
      <c r="G3115" t="s">
        <v>62</v>
      </c>
      <c r="H3115" t="s">
        <v>47</v>
      </c>
      <c r="I3115" t="s">
        <v>1778</v>
      </c>
      <c r="J3115" t="s">
        <v>141</v>
      </c>
      <c r="K3115" s="3">
        <v>100919420301</v>
      </c>
      <c r="L3115" s="10">
        <v>40997</v>
      </c>
      <c r="M3115">
        <v>233.03</v>
      </c>
      <c r="N3115" s="11">
        <v>26</v>
      </c>
      <c r="O3115" s="12">
        <v>8.74</v>
      </c>
      <c r="P3115" s="12">
        <v>8.29</v>
      </c>
      <c r="Q3115" s="13">
        <v>-86.34</v>
      </c>
      <c r="R3115" s="36" t="s">
        <v>618</v>
      </c>
      <c r="S3115" s="7">
        <f t="shared" si="258"/>
        <v>1</v>
      </c>
      <c r="T3115" s="15" t="str">
        <f>VLOOKUP(R3115,产品分类!$C$2:$D$1278,2,0)</f>
        <v>办公用品</v>
      </c>
    </row>
    <row r="3116" spans="1:20">
      <c r="A3116" s="8">
        <f>DATE(2012,12,31)-634</f>
        <v>40640</v>
      </c>
      <c r="B3116" s="8">
        <f>DATE(2012,12,31)-634</f>
        <v>40640</v>
      </c>
      <c r="C3116" s="9" t="s">
        <v>1094</v>
      </c>
      <c r="D3116">
        <v>10021319563</v>
      </c>
      <c r="E3116" t="s">
        <v>47</v>
      </c>
      <c r="F3116" t="s">
        <v>61</v>
      </c>
      <c r="G3116" t="s">
        <v>62</v>
      </c>
      <c r="H3116" t="s">
        <v>47</v>
      </c>
      <c r="I3116" t="s">
        <v>1778</v>
      </c>
      <c r="J3116" t="s">
        <v>141</v>
      </c>
      <c r="K3116" s="3">
        <v>100114658718</v>
      </c>
      <c r="L3116" s="10">
        <v>40641</v>
      </c>
      <c r="M3116">
        <v>816.11</v>
      </c>
      <c r="N3116" s="11">
        <v>43</v>
      </c>
      <c r="O3116" s="12">
        <v>18.97</v>
      </c>
      <c r="P3116" s="12">
        <v>9.54</v>
      </c>
      <c r="Q3116" s="13">
        <v>66.14</v>
      </c>
      <c r="R3116" s="36" t="s">
        <v>302</v>
      </c>
      <c r="S3116" s="7">
        <f t="shared" si="258"/>
        <v>1</v>
      </c>
      <c r="T3116" s="15" t="str">
        <f>VLOOKUP(R3116,产品分类!$C$2:$D$1278,2,0)</f>
        <v>家具产品</v>
      </c>
    </row>
    <row r="3117" spans="1:20">
      <c r="A3117" s="8">
        <f>DATE(2012,12,31)-1314</f>
        <v>39960</v>
      </c>
      <c r="B3117" s="8">
        <f>DATE(2012,12,31)-1314</f>
        <v>39960</v>
      </c>
      <c r="C3117" s="9" t="s">
        <v>158</v>
      </c>
      <c r="D3117">
        <v>10021415182</v>
      </c>
      <c r="E3117" t="s">
        <v>47</v>
      </c>
      <c r="F3117" t="s">
        <v>61</v>
      </c>
      <c r="G3117" t="s">
        <v>62</v>
      </c>
      <c r="H3117" t="s">
        <v>47</v>
      </c>
      <c r="I3117" t="s">
        <v>1778</v>
      </c>
      <c r="J3117" t="s">
        <v>141</v>
      </c>
      <c r="K3117" s="3">
        <v>100910502661</v>
      </c>
      <c r="L3117" s="10">
        <v>39961</v>
      </c>
      <c r="M3117">
        <v>1194.34</v>
      </c>
      <c r="N3117" s="11">
        <v>33</v>
      </c>
      <c r="O3117" s="12">
        <v>37.7</v>
      </c>
      <c r="P3117" s="12">
        <v>2.99</v>
      </c>
      <c r="Q3117" s="13">
        <v>497.114</v>
      </c>
      <c r="R3117" s="36" t="s">
        <v>418</v>
      </c>
      <c r="S3117" s="7">
        <f t="shared" si="258"/>
        <v>1</v>
      </c>
      <c r="T3117" s="15" t="str">
        <f>VLOOKUP(R3117,产品分类!$C$2:$D$1278,2,0)</f>
        <v>数码电子</v>
      </c>
    </row>
    <row r="3118" spans="1:20">
      <c r="A3118" s="8">
        <f>DATE(2012,12,31)-1314</f>
        <v>39960</v>
      </c>
      <c r="B3118" s="8">
        <f>DATE(2012,12,31)-1314</f>
        <v>39960</v>
      </c>
      <c r="C3118" s="9" t="s">
        <v>158</v>
      </c>
      <c r="D3118">
        <v>10021341726</v>
      </c>
      <c r="E3118" t="s">
        <v>47</v>
      </c>
      <c r="F3118" t="s">
        <v>61</v>
      </c>
      <c r="G3118" t="s">
        <v>62</v>
      </c>
      <c r="H3118" t="s">
        <v>47</v>
      </c>
      <c r="I3118" t="s">
        <v>1778</v>
      </c>
      <c r="J3118" t="s">
        <v>141</v>
      </c>
      <c r="K3118" s="3">
        <v>100327524929</v>
      </c>
      <c r="L3118" s="10">
        <v>39961</v>
      </c>
      <c r="M3118">
        <v>51.833</v>
      </c>
      <c r="N3118" s="11">
        <v>1</v>
      </c>
      <c r="O3118" s="12">
        <v>55.99</v>
      </c>
      <c r="P3118" s="12">
        <v>5</v>
      </c>
      <c r="Q3118" s="13">
        <v>-235.895</v>
      </c>
      <c r="R3118" s="36" t="s">
        <v>1453</v>
      </c>
      <c r="S3118" s="7">
        <f t="shared" si="258"/>
        <v>1</v>
      </c>
      <c r="T3118" s="15" t="str">
        <f>VLOOKUP(R3118,产品分类!$C$2:$D$1278,2,0)</f>
        <v>办公用品</v>
      </c>
    </row>
    <row r="3119" spans="1:20">
      <c r="A3119" s="8">
        <f>DATE(2012,12,31)-776</f>
        <v>40498</v>
      </c>
      <c r="B3119" s="8">
        <f>DATE(2012,12,31)-776</f>
        <v>40498</v>
      </c>
      <c r="C3119" s="9" t="s">
        <v>1211</v>
      </c>
      <c r="D3119">
        <v>10021524449</v>
      </c>
      <c r="E3119" t="s">
        <v>47</v>
      </c>
      <c r="F3119" t="s">
        <v>61</v>
      </c>
      <c r="G3119" t="s">
        <v>62</v>
      </c>
      <c r="H3119" t="s">
        <v>47</v>
      </c>
      <c r="I3119" t="s">
        <v>1778</v>
      </c>
      <c r="J3119" t="s">
        <v>141</v>
      </c>
      <c r="K3119" s="3">
        <v>100916890691</v>
      </c>
      <c r="L3119" s="10">
        <v>40505</v>
      </c>
      <c r="M3119">
        <v>7264.64</v>
      </c>
      <c r="N3119" s="11">
        <v>35</v>
      </c>
      <c r="O3119" s="12">
        <v>218.08</v>
      </c>
      <c r="P3119" s="12">
        <v>18.06</v>
      </c>
      <c r="Q3119" s="13">
        <v>1845.68</v>
      </c>
      <c r="R3119" s="36" t="s">
        <v>272</v>
      </c>
      <c r="S3119" s="7">
        <f t="shared" si="258"/>
        <v>7</v>
      </c>
      <c r="T3119" s="15" t="str">
        <f>VLOOKUP(R3119,产品分类!$C$2:$D$1278,2,0)</f>
        <v>数码电子</v>
      </c>
    </row>
    <row r="3120" spans="1:20">
      <c r="A3120" s="16">
        <f t="shared" ref="A3120:B3122" si="261">DATE(2012,12,31)-1140</f>
        <v>40134</v>
      </c>
      <c r="B3120" s="16">
        <f t="shared" si="261"/>
        <v>40134</v>
      </c>
      <c r="C3120" s="9" t="s">
        <v>439</v>
      </c>
      <c r="D3120">
        <v>10021495074</v>
      </c>
      <c r="E3120" t="s">
        <v>47</v>
      </c>
      <c r="F3120" t="s">
        <v>61</v>
      </c>
      <c r="G3120" t="s">
        <v>62</v>
      </c>
      <c r="H3120" t="s">
        <v>47</v>
      </c>
      <c r="I3120" t="s">
        <v>1778</v>
      </c>
      <c r="J3120" t="s">
        <v>141</v>
      </c>
      <c r="K3120" s="3">
        <v>100713657035</v>
      </c>
      <c r="L3120" s="10">
        <v>40135</v>
      </c>
      <c r="M3120">
        <v>676.44</v>
      </c>
      <c r="N3120" s="17">
        <v>20</v>
      </c>
      <c r="O3120" s="5">
        <v>34.54</v>
      </c>
      <c r="P3120" s="5">
        <v>14.72</v>
      </c>
      <c r="Q3120" s="6">
        <v>48.756</v>
      </c>
      <c r="R3120" s="37" t="s">
        <v>1376</v>
      </c>
      <c r="S3120" s="7">
        <f t="shared" si="258"/>
        <v>1</v>
      </c>
      <c r="T3120" s="15" t="str">
        <f>VLOOKUP(R3120,产品分类!$C$2:$D$1278,2,0)</f>
        <v>办公用品</v>
      </c>
    </row>
    <row r="3121" spans="1:20">
      <c r="A3121" s="16">
        <f t="shared" si="261"/>
        <v>40134</v>
      </c>
      <c r="B3121" s="16">
        <f t="shared" si="261"/>
        <v>40134</v>
      </c>
      <c r="C3121" s="9" t="s">
        <v>439</v>
      </c>
      <c r="D3121">
        <v>10021286885</v>
      </c>
      <c r="E3121" t="s">
        <v>47</v>
      </c>
      <c r="F3121" t="s">
        <v>61</v>
      </c>
      <c r="G3121" t="s">
        <v>62</v>
      </c>
      <c r="H3121" t="s">
        <v>47</v>
      </c>
      <c r="I3121" t="s">
        <v>1778</v>
      </c>
      <c r="J3121" t="s">
        <v>141</v>
      </c>
      <c r="K3121" s="3">
        <v>100931191221</v>
      </c>
      <c r="L3121" s="10">
        <v>40134</v>
      </c>
      <c r="M3121">
        <v>128.02</v>
      </c>
      <c r="N3121" s="17">
        <v>10</v>
      </c>
      <c r="O3121" s="5">
        <v>12.28</v>
      </c>
      <c r="P3121" s="5">
        <v>6.47</v>
      </c>
      <c r="Q3121" s="6">
        <v>-7.9</v>
      </c>
      <c r="R3121" s="37" t="s">
        <v>874</v>
      </c>
      <c r="S3121" s="7">
        <f t="shared" si="258"/>
        <v>0</v>
      </c>
      <c r="T3121" s="15" t="str">
        <f>VLOOKUP(R3121,产品分类!$C$2:$D$1278,2,0)</f>
        <v>办公用品</v>
      </c>
    </row>
    <row r="3122" spans="1:20">
      <c r="A3122" s="16">
        <f t="shared" si="261"/>
        <v>40134</v>
      </c>
      <c r="B3122" s="16">
        <f t="shared" si="261"/>
        <v>40134</v>
      </c>
      <c r="C3122" s="9" t="s">
        <v>439</v>
      </c>
      <c r="D3122">
        <v>10021266710</v>
      </c>
      <c r="E3122" t="s">
        <v>47</v>
      </c>
      <c r="F3122" t="s">
        <v>61</v>
      </c>
      <c r="G3122" t="s">
        <v>62</v>
      </c>
      <c r="H3122" t="s">
        <v>47</v>
      </c>
      <c r="I3122" t="s">
        <v>1778</v>
      </c>
      <c r="J3122" t="s">
        <v>141</v>
      </c>
      <c r="K3122" s="3">
        <v>100431815264</v>
      </c>
      <c r="L3122" s="10">
        <v>40136</v>
      </c>
      <c r="M3122">
        <v>526.82</v>
      </c>
      <c r="N3122" s="17">
        <v>15</v>
      </c>
      <c r="O3122" s="5">
        <v>34.58</v>
      </c>
      <c r="P3122" s="5">
        <v>8.99</v>
      </c>
      <c r="Q3122" s="6">
        <v>32.34</v>
      </c>
      <c r="R3122" s="37" t="s">
        <v>260</v>
      </c>
      <c r="S3122" s="7">
        <f t="shared" si="258"/>
        <v>2</v>
      </c>
      <c r="T3122" s="15" t="str">
        <f>VLOOKUP(R3122,产品分类!$C$2:$D$1278,2,0)</f>
        <v>数码电子</v>
      </c>
    </row>
    <row r="3123" spans="1:20">
      <c r="A3123" s="16">
        <f>DATE(2012,12,31)-33</f>
        <v>41241</v>
      </c>
      <c r="B3123" s="16">
        <f>DATE(2012,12,31)-33</f>
        <v>41241</v>
      </c>
      <c r="C3123" s="9" t="s">
        <v>428</v>
      </c>
      <c r="D3123">
        <v>10021308848</v>
      </c>
      <c r="E3123" t="s">
        <v>47</v>
      </c>
      <c r="F3123" t="s">
        <v>171</v>
      </c>
      <c r="G3123" t="s">
        <v>172</v>
      </c>
      <c r="H3123" t="s">
        <v>2073</v>
      </c>
      <c r="I3123" t="s">
        <v>2074</v>
      </c>
      <c r="J3123" t="s">
        <v>141</v>
      </c>
      <c r="K3123" s="3">
        <v>100132808397</v>
      </c>
      <c r="L3123" s="10">
        <v>41242</v>
      </c>
      <c r="M3123">
        <v>2728.42</v>
      </c>
      <c r="N3123" s="17">
        <v>45</v>
      </c>
      <c r="O3123" s="5">
        <v>60.98</v>
      </c>
      <c r="P3123" s="5">
        <v>19.99</v>
      </c>
      <c r="Q3123" s="6">
        <v>664.15</v>
      </c>
      <c r="R3123" s="37" t="s">
        <v>1316</v>
      </c>
      <c r="S3123" s="7">
        <f t="shared" si="258"/>
        <v>1</v>
      </c>
      <c r="T3123" s="15" t="str">
        <f>VLOOKUP(R3123,产品分类!$C$2:$D$1278,2,0)</f>
        <v>办公用品</v>
      </c>
    </row>
    <row r="3124" spans="1:20">
      <c r="A3124" s="8">
        <f>DATE(2012,12,31)-669</f>
        <v>40605</v>
      </c>
      <c r="B3124" s="8">
        <f>DATE(2012,12,31)-669</f>
        <v>40605</v>
      </c>
      <c r="C3124" s="9" t="s">
        <v>825</v>
      </c>
      <c r="D3124">
        <v>10021515413</v>
      </c>
      <c r="E3124" t="s">
        <v>47</v>
      </c>
      <c r="F3124" t="s">
        <v>183</v>
      </c>
      <c r="G3124" t="s">
        <v>184</v>
      </c>
      <c r="H3124" t="s">
        <v>1716</v>
      </c>
      <c r="I3124" t="s">
        <v>1717</v>
      </c>
      <c r="J3124" t="s">
        <v>141</v>
      </c>
      <c r="K3124" s="3">
        <v>100133065878</v>
      </c>
      <c r="L3124" s="10">
        <v>40607</v>
      </c>
      <c r="M3124">
        <v>797.98</v>
      </c>
      <c r="N3124" s="11">
        <v>44</v>
      </c>
      <c r="O3124" s="12">
        <v>20.99</v>
      </c>
      <c r="P3124" s="12">
        <v>0.99</v>
      </c>
      <c r="Q3124" s="13">
        <v>237.474</v>
      </c>
      <c r="R3124" s="36" t="s">
        <v>1707</v>
      </c>
      <c r="S3124" s="7">
        <f t="shared" si="258"/>
        <v>2</v>
      </c>
      <c r="T3124" s="15" t="str">
        <f>VLOOKUP(R3124,产品分类!$C$2:$D$1278,2,0)</f>
        <v>办公用品</v>
      </c>
    </row>
    <row r="3125" spans="1:20">
      <c r="A3125" s="8">
        <f>DATE(2012,12,31)-124</f>
        <v>41150</v>
      </c>
      <c r="B3125" s="8">
        <f>DATE(2012,12,31)-124</f>
        <v>41150</v>
      </c>
      <c r="C3125" s="9" t="s">
        <v>964</v>
      </c>
      <c r="D3125">
        <v>10021521150</v>
      </c>
      <c r="E3125" t="s">
        <v>47</v>
      </c>
      <c r="F3125" t="s">
        <v>72</v>
      </c>
      <c r="G3125" t="s">
        <v>73</v>
      </c>
      <c r="H3125" t="s">
        <v>2008</v>
      </c>
      <c r="I3125" t="s">
        <v>2009</v>
      </c>
      <c r="J3125" t="s">
        <v>141</v>
      </c>
      <c r="K3125" s="3">
        <v>100833082752</v>
      </c>
      <c r="L3125" s="10">
        <v>41152</v>
      </c>
      <c r="M3125">
        <v>18.7</v>
      </c>
      <c r="N3125" s="11">
        <v>3</v>
      </c>
      <c r="O3125" s="12">
        <v>4.54</v>
      </c>
      <c r="P3125" s="12">
        <v>5.83</v>
      </c>
      <c r="Q3125" s="13">
        <v>-14.6855</v>
      </c>
      <c r="R3125" s="36" t="s">
        <v>1898</v>
      </c>
      <c r="S3125" s="7">
        <f t="shared" si="258"/>
        <v>2</v>
      </c>
      <c r="T3125" s="15" t="str">
        <f>VLOOKUP(R3125,产品分类!$C$2:$D$1278,2,0)</f>
        <v>数码电子</v>
      </c>
    </row>
    <row r="3126" spans="1:20">
      <c r="A3126" s="8">
        <f>DATE(2012,12,31)-124</f>
        <v>41150</v>
      </c>
      <c r="B3126" s="8">
        <f>DATE(2012,12,31)-124</f>
        <v>41150</v>
      </c>
      <c r="C3126" s="9" t="s">
        <v>964</v>
      </c>
      <c r="D3126">
        <v>10021328722</v>
      </c>
      <c r="E3126" t="s">
        <v>47</v>
      </c>
      <c r="F3126" t="s">
        <v>91</v>
      </c>
      <c r="G3126" t="s">
        <v>92</v>
      </c>
      <c r="H3126" t="s">
        <v>2053</v>
      </c>
      <c r="I3126" t="s">
        <v>2054</v>
      </c>
      <c r="J3126" t="s">
        <v>141</v>
      </c>
      <c r="K3126" s="3">
        <v>100432852893</v>
      </c>
      <c r="L3126" s="10">
        <v>41152</v>
      </c>
      <c r="M3126">
        <v>140.74</v>
      </c>
      <c r="N3126" s="11">
        <v>39</v>
      </c>
      <c r="O3126" s="12">
        <v>3.28</v>
      </c>
      <c r="P3126" s="12">
        <v>3.97</v>
      </c>
      <c r="Q3126" s="13">
        <v>-92.29</v>
      </c>
      <c r="R3126" s="36" t="s">
        <v>1396</v>
      </c>
      <c r="S3126" s="7">
        <f t="shared" si="258"/>
        <v>2</v>
      </c>
      <c r="T3126" s="15" t="str">
        <f>VLOOKUP(R3126,产品分类!$C$2:$D$1278,2,0)</f>
        <v>家具产品</v>
      </c>
    </row>
    <row r="3127" spans="1:20">
      <c r="A3127" s="8">
        <f>DATE(2012,12,31)-163</f>
        <v>41111</v>
      </c>
      <c r="B3127" s="8">
        <f>DATE(2012,12,31)-163</f>
        <v>41111</v>
      </c>
      <c r="C3127" s="9" t="s">
        <v>423</v>
      </c>
      <c r="D3127">
        <v>10021482655</v>
      </c>
      <c r="E3127" t="s">
        <v>47</v>
      </c>
      <c r="F3127" t="s">
        <v>91</v>
      </c>
      <c r="G3127" t="s">
        <v>92</v>
      </c>
      <c r="H3127" t="s">
        <v>2053</v>
      </c>
      <c r="I3127" t="s">
        <v>2054</v>
      </c>
      <c r="J3127" t="s">
        <v>141</v>
      </c>
      <c r="K3127" s="3">
        <v>100133029166</v>
      </c>
      <c r="L3127" s="10">
        <v>41112</v>
      </c>
      <c r="M3127">
        <v>1121.78</v>
      </c>
      <c r="N3127" s="11">
        <v>4</v>
      </c>
      <c r="O3127" s="12">
        <v>270.98</v>
      </c>
      <c r="P3127" s="12">
        <v>50</v>
      </c>
      <c r="Q3127" s="13">
        <v>-454.8</v>
      </c>
      <c r="R3127" s="36" t="s">
        <v>1777</v>
      </c>
      <c r="S3127" s="7">
        <f t="shared" si="258"/>
        <v>1</v>
      </c>
      <c r="T3127" s="15" t="str">
        <f>VLOOKUP(R3127,产品分类!$C$2:$D$1278,2,0)</f>
        <v>办公用品</v>
      </c>
    </row>
    <row r="3128" spans="1:20">
      <c r="A3128" s="8">
        <f>DATE(2012,12,31)-278</f>
        <v>40996</v>
      </c>
      <c r="B3128" s="8">
        <f>DATE(2012,12,31)-278</f>
        <v>40996</v>
      </c>
      <c r="C3128" s="9" t="s">
        <v>976</v>
      </c>
      <c r="D3128">
        <v>10021572352</v>
      </c>
      <c r="E3128" t="s">
        <v>47</v>
      </c>
      <c r="F3128" t="s">
        <v>127</v>
      </c>
      <c r="G3128" t="s">
        <v>128</v>
      </c>
      <c r="H3128" t="s">
        <v>1936</v>
      </c>
      <c r="I3128" t="s">
        <v>1937</v>
      </c>
      <c r="J3128" t="s">
        <v>141</v>
      </c>
      <c r="K3128" s="3">
        <v>100133157588</v>
      </c>
      <c r="L3128" s="10">
        <v>41003</v>
      </c>
      <c r="M3128">
        <v>5404.18</v>
      </c>
      <c r="N3128" s="11">
        <v>31</v>
      </c>
      <c r="O3128" s="12">
        <v>180.98</v>
      </c>
      <c r="P3128" s="12">
        <v>30</v>
      </c>
      <c r="Q3128" s="13">
        <v>241.06</v>
      </c>
      <c r="R3128" s="36" t="s">
        <v>1627</v>
      </c>
      <c r="S3128" s="7">
        <f t="shared" si="258"/>
        <v>7</v>
      </c>
      <c r="T3128" s="15" t="str">
        <f>VLOOKUP(R3128,产品分类!$C$2:$D$1278,2,0)</f>
        <v>办公用品</v>
      </c>
    </row>
    <row r="3129" spans="1:20">
      <c r="A3129" s="8">
        <f>DATE(2012,12,31)-278</f>
        <v>40996</v>
      </c>
      <c r="B3129" s="8">
        <f>DATE(2012,12,31)-278</f>
        <v>40996</v>
      </c>
      <c r="C3129" s="9" t="s">
        <v>976</v>
      </c>
      <c r="D3129">
        <v>10021487524</v>
      </c>
      <c r="E3129" t="s">
        <v>47</v>
      </c>
      <c r="F3129" t="s">
        <v>171</v>
      </c>
      <c r="G3129" t="s">
        <v>172</v>
      </c>
      <c r="H3129" t="s">
        <v>2073</v>
      </c>
      <c r="I3129" t="s">
        <v>2074</v>
      </c>
      <c r="J3129" t="s">
        <v>141</v>
      </c>
      <c r="K3129" s="3">
        <v>100433041324</v>
      </c>
      <c r="L3129" s="10">
        <v>41003</v>
      </c>
      <c r="M3129">
        <v>430.19</v>
      </c>
      <c r="N3129" s="11">
        <v>40</v>
      </c>
      <c r="O3129" s="12">
        <v>10.31</v>
      </c>
      <c r="P3129" s="12">
        <v>1.79</v>
      </c>
      <c r="Q3129" s="13">
        <v>181.26</v>
      </c>
      <c r="R3129" s="36" t="s">
        <v>1059</v>
      </c>
      <c r="S3129" s="7">
        <f t="shared" si="258"/>
        <v>7</v>
      </c>
      <c r="T3129" s="15" t="str">
        <f>VLOOKUP(R3129,产品分类!$C$2:$D$1278,2,0)</f>
        <v>办公用品</v>
      </c>
    </row>
    <row r="3130" spans="1:20">
      <c r="A3130" s="16">
        <f t="shared" ref="A3130:B3132" si="262">DATE(2012,12,31)-935</f>
        <v>40339</v>
      </c>
      <c r="B3130" s="16">
        <f t="shared" si="262"/>
        <v>40339</v>
      </c>
      <c r="C3130" s="9" t="s">
        <v>853</v>
      </c>
      <c r="D3130">
        <v>10021436019</v>
      </c>
      <c r="E3130" t="s">
        <v>47</v>
      </c>
      <c r="F3130" t="s">
        <v>61</v>
      </c>
      <c r="G3130" t="s">
        <v>62</v>
      </c>
      <c r="H3130" t="s">
        <v>47</v>
      </c>
      <c r="I3130" t="s">
        <v>1778</v>
      </c>
      <c r="J3130" t="s">
        <v>141</v>
      </c>
      <c r="K3130" s="3">
        <v>100732966275</v>
      </c>
      <c r="L3130" s="10">
        <v>40339</v>
      </c>
      <c r="M3130">
        <v>323.11</v>
      </c>
      <c r="N3130" s="17">
        <v>14</v>
      </c>
      <c r="O3130" s="5">
        <v>20.98</v>
      </c>
      <c r="P3130" s="5">
        <v>8.83</v>
      </c>
      <c r="Q3130" s="6">
        <v>41.5225</v>
      </c>
      <c r="R3130" s="37" t="s">
        <v>2003</v>
      </c>
      <c r="S3130" s="7">
        <f t="shared" si="258"/>
        <v>0</v>
      </c>
      <c r="T3130" s="15" t="str">
        <f>VLOOKUP(R3130,产品分类!$C$2:$D$1278,2,0)</f>
        <v>家具产品</v>
      </c>
    </row>
    <row r="3131" spans="1:20">
      <c r="A3131" s="16">
        <f t="shared" si="262"/>
        <v>40339</v>
      </c>
      <c r="B3131" s="16">
        <f t="shared" si="262"/>
        <v>40339</v>
      </c>
      <c r="C3131" s="9" t="s">
        <v>853</v>
      </c>
      <c r="D3131">
        <v>10021538775</v>
      </c>
      <c r="E3131" t="s">
        <v>47</v>
      </c>
      <c r="F3131" t="s">
        <v>61</v>
      </c>
      <c r="G3131" t="s">
        <v>62</v>
      </c>
      <c r="H3131" t="s">
        <v>47</v>
      </c>
      <c r="I3131" t="s">
        <v>1778</v>
      </c>
      <c r="J3131" t="s">
        <v>141</v>
      </c>
      <c r="K3131" s="3">
        <v>100433099204</v>
      </c>
      <c r="L3131" s="10">
        <v>40340</v>
      </c>
      <c r="M3131">
        <v>65.1</v>
      </c>
      <c r="N3131" s="17">
        <v>11</v>
      </c>
      <c r="O3131" s="5">
        <v>5.68</v>
      </c>
      <c r="P3131" s="5">
        <v>1.46</v>
      </c>
      <c r="Q3131" s="6">
        <v>13.31</v>
      </c>
      <c r="R3131" s="37" t="s">
        <v>2150</v>
      </c>
      <c r="S3131" s="7">
        <f t="shared" si="258"/>
        <v>1</v>
      </c>
      <c r="T3131" s="15" t="str">
        <f>VLOOKUP(R3131,产品分类!$C$2:$D$1278,2,0)</f>
        <v>办公用品</v>
      </c>
    </row>
    <row r="3132" spans="1:20">
      <c r="A3132" s="8">
        <f t="shared" si="262"/>
        <v>40339</v>
      </c>
      <c r="B3132" s="8">
        <f t="shared" si="262"/>
        <v>40339</v>
      </c>
      <c r="C3132" s="9" t="s">
        <v>853</v>
      </c>
      <c r="D3132">
        <v>10021473456</v>
      </c>
      <c r="E3132" t="s">
        <v>47</v>
      </c>
      <c r="F3132" t="s">
        <v>97</v>
      </c>
      <c r="G3132" t="s">
        <v>98</v>
      </c>
      <c r="H3132" t="s">
        <v>99</v>
      </c>
      <c r="I3132" t="s">
        <v>98</v>
      </c>
      <c r="J3132" t="s">
        <v>141</v>
      </c>
      <c r="K3132" s="3">
        <v>100333011499</v>
      </c>
      <c r="L3132" s="10">
        <v>40341</v>
      </c>
      <c r="M3132">
        <v>163.75</v>
      </c>
      <c r="N3132" s="11">
        <v>19</v>
      </c>
      <c r="O3132" s="12">
        <v>7.96</v>
      </c>
      <c r="P3132" s="12">
        <v>4.95</v>
      </c>
      <c r="Q3132" s="13">
        <v>23.61</v>
      </c>
      <c r="R3132" s="36" t="s">
        <v>1167</v>
      </c>
      <c r="S3132" s="7">
        <f t="shared" si="258"/>
        <v>2</v>
      </c>
      <c r="T3132" s="15" t="str">
        <f>VLOOKUP(R3132,产品分类!$C$2:$D$1278,2,0)</f>
        <v>家具产品</v>
      </c>
    </row>
    <row r="3133" spans="1:20">
      <c r="A3133" s="16">
        <f t="shared" ref="A3133:B3135" si="263">DATE(2012,12,31)-812</f>
        <v>40462</v>
      </c>
      <c r="B3133" s="16">
        <f t="shared" si="263"/>
        <v>40462</v>
      </c>
      <c r="C3133" s="9" t="s">
        <v>948</v>
      </c>
      <c r="D3133">
        <v>10021554283</v>
      </c>
      <c r="E3133" t="s">
        <v>47</v>
      </c>
      <c r="F3133" t="s">
        <v>66</v>
      </c>
      <c r="G3133" t="s">
        <v>67</v>
      </c>
      <c r="H3133" t="s">
        <v>2062</v>
      </c>
      <c r="I3133" t="s">
        <v>2063</v>
      </c>
      <c r="J3133" t="s">
        <v>141</v>
      </c>
      <c r="K3133" s="3">
        <v>100133117997</v>
      </c>
      <c r="L3133" s="10">
        <v>40464</v>
      </c>
      <c r="M3133">
        <v>1482.81</v>
      </c>
      <c r="N3133" s="17">
        <v>24</v>
      </c>
      <c r="O3133" s="5">
        <v>60.98</v>
      </c>
      <c r="P3133" s="5">
        <v>49</v>
      </c>
      <c r="Q3133" s="6">
        <v>-678.63</v>
      </c>
      <c r="R3133" s="37" t="s">
        <v>568</v>
      </c>
      <c r="S3133" s="7">
        <f t="shared" si="258"/>
        <v>2</v>
      </c>
      <c r="T3133" s="15" t="str">
        <f>VLOOKUP(R3133,产品分类!$C$2:$D$1278,2,0)</f>
        <v>家具产品</v>
      </c>
    </row>
    <row r="3134" spans="1:20">
      <c r="A3134" s="8">
        <f t="shared" si="263"/>
        <v>40462</v>
      </c>
      <c r="B3134" s="8">
        <f t="shared" si="263"/>
        <v>40462</v>
      </c>
      <c r="C3134" s="9" t="s">
        <v>948</v>
      </c>
      <c r="D3134">
        <v>10021482742</v>
      </c>
      <c r="E3134" t="s">
        <v>47</v>
      </c>
      <c r="F3134" t="s">
        <v>91</v>
      </c>
      <c r="G3134" t="s">
        <v>92</v>
      </c>
      <c r="H3134" t="s">
        <v>2053</v>
      </c>
      <c r="I3134" t="s">
        <v>2054</v>
      </c>
      <c r="J3134" t="s">
        <v>141</v>
      </c>
      <c r="K3134" s="3">
        <v>100433029634</v>
      </c>
      <c r="L3134" s="10">
        <v>40464</v>
      </c>
      <c r="M3134">
        <v>6693.28</v>
      </c>
      <c r="N3134" s="11">
        <v>23</v>
      </c>
      <c r="O3134" s="12">
        <v>290.98</v>
      </c>
      <c r="P3134" s="12">
        <v>69</v>
      </c>
      <c r="Q3134" s="13">
        <v>40.3199999999999</v>
      </c>
      <c r="R3134" s="36" t="s">
        <v>2151</v>
      </c>
      <c r="S3134" s="7">
        <f t="shared" si="258"/>
        <v>2</v>
      </c>
      <c r="T3134" s="15" t="str">
        <f>VLOOKUP(R3134,产品分类!$C$2:$D$1278,2,0)</f>
        <v>办公用品</v>
      </c>
    </row>
    <row r="3135" spans="1:20">
      <c r="A3135" s="8">
        <f t="shared" si="263"/>
        <v>40462</v>
      </c>
      <c r="B3135" s="8">
        <f t="shared" si="263"/>
        <v>40462</v>
      </c>
      <c r="C3135" s="9" t="s">
        <v>948</v>
      </c>
      <c r="D3135">
        <v>10021292330</v>
      </c>
      <c r="E3135" t="s">
        <v>47</v>
      </c>
      <c r="F3135" t="s">
        <v>55</v>
      </c>
      <c r="G3135" t="s">
        <v>56</v>
      </c>
      <c r="H3135" t="s">
        <v>2112</v>
      </c>
      <c r="I3135" t="s">
        <v>2113</v>
      </c>
      <c r="J3135" t="s">
        <v>141</v>
      </c>
      <c r="K3135" s="3">
        <v>100132792016</v>
      </c>
      <c r="L3135" s="10">
        <v>40464</v>
      </c>
      <c r="M3135">
        <v>275.91</v>
      </c>
      <c r="N3135" s="11">
        <v>44</v>
      </c>
      <c r="O3135" s="12">
        <v>7.99</v>
      </c>
      <c r="P3135" s="12">
        <v>5.03</v>
      </c>
      <c r="Q3135" s="13">
        <v>-162.371</v>
      </c>
      <c r="R3135" s="36" t="s">
        <v>71</v>
      </c>
      <c r="S3135" s="7">
        <f t="shared" si="258"/>
        <v>2</v>
      </c>
      <c r="T3135" s="15" t="str">
        <f>VLOOKUP(R3135,产品分类!$C$2:$D$1278,2,0)</f>
        <v>办公用品</v>
      </c>
    </row>
    <row r="3136" spans="1:20">
      <c r="A3136" s="8">
        <f>DATE(2012,12,31)-247</f>
        <v>41027</v>
      </c>
      <c r="B3136" s="8">
        <f>DATE(2012,12,31)-247</f>
        <v>41027</v>
      </c>
      <c r="C3136" s="9" t="s">
        <v>2034</v>
      </c>
      <c r="D3136">
        <v>10021327644</v>
      </c>
      <c r="E3136" t="s">
        <v>47</v>
      </c>
      <c r="F3136" t="s">
        <v>132</v>
      </c>
      <c r="G3136" t="s">
        <v>133</v>
      </c>
      <c r="H3136" t="s">
        <v>134</v>
      </c>
      <c r="I3136" t="s">
        <v>133</v>
      </c>
      <c r="J3136" t="s">
        <v>141</v>
      </c>
      <c r="K3136" s="3">
        <v>100332849699</v>
      </c>
      <c r="L3136" s="10">
        <v>41028</v>
      </c>
      <c r="M3136">
        <v>3259.25</v>
      </c>
      <c r="N3136" s="11">
        <v>37</v>
      </c>
      <c r="O3136" s="12">
        <v>90.97</v>
      </c>
      <c r="P3136" s="12">
        <v>28</v>
      </c>
      <c r="Q3136" s="13">
        <v>580.33</v>
      </c>
      <c r="R3136" s="36" t="s">
        <v>1519</v>
      </c>
      <c r="S3136" s="7">
        <f t="shared" si="258"/>
        <v>1</v>
      </c>
      <c r="T3136" s="15" t="str">
        <f>VLOOKUP(R3136,产品分类!$C$2:$D$1278,2,0)</f>
        <v>办公用品</v>
      </c>
    </row>
    <row r="3137" spans="1:20">
      <c r="A3137" s="8">
        <f>DATE(2012,12,31)-783</f>
        <v>40491</v>
      </c>
      <c r="B3137" s="8">
        <f>DATE(2012,12,31)-783</f>
        <v>40491</v>
      </c>
      <c r="C3137" s="9" t="s">
        <v>643</v>
      </c>
      <c r="D3137">
        <v>10021271460</v>
      </c>
      <c r="E3137" t="s">
        <v>47</v>
      </c>
      <c r="F3137" t="s">
        <v>177</v>
      </c>
      <c r="G3137" t="s">
        <v>178</v>
      </c>
      <c r="H3137" t="s">
        <v>2125</v>
      </c>
      <c r="I3137" t="s">
        <v>2126</v>
      </c>
      <c r="J3137" t="s">
        <v>141</v>
      </c>
      <c r="K3137" s="3">
        <v>100132759077</v>
      </c>
      <c r="L3137" s="10">
        <v>40492</v>
      </c>
      <c r="M3137">
        <v>34.94</v>
      </c>
      <c r="N3137" s="11">
        <v>20</v>
      </c>
      <c r="O3137" s="12">
        <v>1.7</v>
      </c>
      <c r="P3137" s="12">
        <v>1.99</v>
      </c>
      <c r="Q3137" s="13">
        <v>-30.7</v>
      </c>
      <c r="R3137" s="36" t="s">
        <v>1962</v>
      </c>
      <c r="S3137" s="7">
        <f t="shared" si="258"/>
        <v>1</v>
      </c>
      <c r="T3137" s="15" t="str">
        <f>VLOOKUP(R3137,产品分类!$C$2:$D$1278,2,0)</f>
        <v>数码电子</v>
      </c>
    </row>
    <row r="3138" spans="1:20">
      <c r="A3138" s="8">
        <f>DATE(2012,12,31)-958</f>
        <v>40316</v>
      </c>
      <c r="B3138" s="8">
        <f>DATE(2012,12,31)-958</f>
        <v>40316</v>
      </c>
      <c r="C3138" s="9" t="s">
        <v>693</v>
      </c>
      <c r="D3138">
        <v>10021518723</v>
      </c>
      <c r="E3138" t="s">
        <v>47</v>
      </c>
      <c r="F3138" t="s">
        <v>171</v>
      </c>
      <c r="G3138" t="s">
        <v>172</v>
      </c>
      <c r="H3138" t="s">
        <v>2073</v>
      </c>
      <c r="I3138" t="s">
        <v>2074</v>
      </c>
      <c r="J3138" t="s">
        <v>141</v>
      </c>
      <c r="K3138" s="3">
        <v>100333076579</v>
      </c>
      <c r="L3138" s="10">
        <v>40317</v>
      </c>
      <c r="M3138">
        <v>30.83</v>
      </c>
      <c r="N3138" s="11">
        <v>2</v>
      </c>
      <c r="O3138" s="12">
        <v>7.64</v>
      </c>
      <c r="P3138" s="12">
        <v>1.39</v>
      </c>
      <c r="Q3138" s="13">
        <v>7.27</v>
      </c>
      <c r="R3138" s="36" t="s">
        <v>1338</v>
      </c>
      <c r="S3138" s="7">
        <f t="shared" si="258"/>
        <v>1</v>
      </c>
      <c r="T3138" s="15" t="str">
        <f>VLOOKUP(R3138,产品分类!$C$2:$D$1278,2,0)</f>
        <v>办公用品</v>
      </c>
    </row>
    <row r="3139" spans="1:20">
      <c r="A3139" s="8">
        <f>DATE(2012,12,31)-969</f>
        <v>40305</v>
      </c>
      <c r="B3139" s="8">
        <f>DATE(2012,12,31)-969</f>
        <v>40305</v>
      </c>
      <c r="C3139" s="9" t="s">
        <v>639</v>
      </c>
      <c r="D3139">
        <v>10021458310</v>
      </c>
      <c r="E3139" t="s">
        <v>47</v>
      </c>
      <c r="F3139" t="s">
        <v>304</v>
      </c>
      <c r="G3139" t="s">
        <v>305</v>
      </c>
      <c r="H3139" t="s">
        <v>2015</v>
      </c>
      <c r="I3139" t="s">
        <v>2016</v>
      </c>
      <c r="J3139" t="s">
        <v>141</v>
      </c>
      <c r="K3139" s="3">
        <v>100730707085</v>
      </c>
      <c r="L3139" s="10">
        <v>40305</v>
      </c>
      <c r="M3139">
        <v>1623.09</v>
      </c>
      <c r="N3139" s="11">
        <v>28</v>
      </c>
      <c r="O3139" s="12">
        <v>56.96</v>
      </c>
      <c r="P3139" s="12">
        <v>13.22</v>
      </c>
      <c r="Q3139" s="13">
        <v>245.88</v>
      </c>
      <c r="R3139" s="36" t="s">
        <v>949</v>
      </c>
      <c r="S3139" s="7">
        <f t="shared" ref="S3139:S3202" si="264">+L3139-B3139</f>
        <v>0</v>
      </c>
      <c r="T3139" s="15" t="str">
        <f>VLOOKUP(R3139,产品分类!$C$2:$D$1278,2,0)</f>
        <v>家具产品</v>
      </c>
    </row>
    <row r="3140" spans="1:20">
      <c r="A3140" s="8">
        <f>DATE(2012,12,31)-692</f>
        <v>40582</v>
      </c>
      <c r="B3140" s="8">
        <f>DATE(2012,12,31)-692</f>
        <v>40582</v>
      </c>
      <c r="C3140" s="9" t="s">
        <v>275</v>
      </c>
      <c r="D3140">
        <v>10021343638</v>
      </c>
      <c r="E3140" t="s">
        <v>47</v>
      </c>
      <c r="F3140" t="s">
        <v>78</v>
      </c>
      <c r="G3140" t="s">
        <v>79</v>
      </c>
      <c r="H3140" t="s">
        <v>2105</v>
      </c>
      <c r="I3140" t="s">
        <v>2106</v>
      </c>
      <c r="J3140" t="s">
        <v>141</v>
      </c>
      <c r="K3140" s="3">
        <v>100129130348</v>
      </c>
      <c r="L3140" s="10">
        <v>40582</v>
      </c>
      <c r="M3140">
        <v>121.66</v>
      </c>
      <c r="N3140" s="11">
        <v>13</v>
      </c>
      <c r="O3140" s="12">
        <v>8.85</v>
      </c>
      <c r="P3140" s="12">
        <v>5.6</v>
      </c>
      <c r="Q3140" s="13">
        <v>-11.799</v>
      </c>
      <c r="R3140" s="36" t="s">
        <v>1281</v>
      </c>
      <c r="S3140" s="7">
        <f t="shared" si="264"/>
        <v>0</v>
      </c>
      <c r="T3140" s="15" t="str">
        <f>VLOOKUP(R3140,产品分类!$C$2:$D$1278,2,0)</f>
        <v>办公用品</v>
      </c>
    </row>
    <row r="3141" spans="1:20">
      <c r="A3141" s="8">
        <f>DATE(2012,12,31)-532</f>
        <v>40742</v>
      </c>
      <c r="B3141" s="8">
        <f>DATE(2012,12,31)-532</f>
        <v>40742</v>
      </c>
      <c r="C3141" s="9" t="s">
        <v>1091</v>
      </c>
      <c r="D3141">
        <v>10021406637</v>
      </c>
      <c r="E3141" t="s">
        <v>47</v>
      </c>
      <c r="F3141" t="s">
        <v>152</v>
      </c>
      <c r="G3141" t="s">
        <v>153</v>
      </c>
      <c r="H3141" t="s">
        <v>2137</v>
      </c>
      <c r="I3141" t="s">
        <v>2138</v>
      </c>
      <c r="J3141" t="s">
        <v>141</v>
      </c>
      <c r="K3141" s="3">
        <v>100113729666</v>
      </c>
      <c r="L3141" s="10">
        <v>40744</v>
      </c>
      <c r="M3141">
        <v>279.33</v>
      </c>
      <c r="N3141" s="11">
        <v>3</v>
      </c>
      <c r="O3141" s="12">
        <v>83.93</v>
      </c>
      <c r="P3141" s="12">
        <v>19.99</v>
      </c>
      <c r="Q3141" s="13">
        <v>-44.18</v>
      </c>
      <c r="R3141" s="36" t="s">
        <v>1858</v>
      </c>
      <c r="S3141" s="7">
        <f t="shared" si="264"/>
        <v>2</v>
      </c>
      <c r="T3141" s="15" t="str">
        <f>VLOOKUP(R3141,产品分类!$C$2:$D$1278,2,0)</f>
        <v>数码电子</v>
      </c>
    </row>
    <row r="3142" spans="1:20">
      <c r="A3142" s="8">
        <f t="shared" ref="A3142:B3144" si="265">DATE(2012,12,31)-711</f>
        <v>40563</v>
      </c>
      <c r="B3142" s="8">
        <f t="shared" si="265"/>
        <v>40563</v>
      </c>
      <c r="C3142" s="9" t="s">
        <v>792</v>
      </c>
      <c r="D3142">
        <v>10021515977</v>
      </c>
      <c r="E3142" t="s">
        <v>47</v>
      </c>
      <c r="F3142" t="s">
        <v>152</v>
      </c>
      <c r="G3142" t="s">
        <v>153</v>
      </c>
      <c r="H3142" t="s">
        <v>2137</v>
      </c>
      <c r="I3142" t="s">
        <v>2138</v>
      </c>
      <c r="J3142" t="s">
        <v>141</v>
      </c>
      <c r="K3142" s="3">
        <v>100816262292</v>
      </c>
      <c r="L3142" s="10">
        <v>40565</v>
      </c>
      <c r="M3142">
        <v>128.62</v>
      </c>
      <c r="N3142" s="11">
        <v>7</v>
      </c>
      <c r="O3142" s="12">
        <v>17.67</v>
      </c>
      <c r="P3142" s="12">
        <v>8.99</v>
      </c>
      <c r="Q3142" s="13">
        <v>-27.78</v>
      </c>
      <c r="R3142" s="36" t="s">
        <v>491</v>
      </c>
      <c r="S3142" s="7">
        <f t="shared" si="264"/>
        <v>2</v>
      </c>
      <c r="T3142" s="15" t="str">
        <f>VLOOKUP(R3142,产品分类!$C$2:$D$1278,2,0)</f>
        <v>办公用品</v>
      </c>
    </row>
    <row r="3143" spans="1:20">
      <c r="A3143" s="8">
        <f t="shared" si="265"/>
        <v>40563</v>
      </c>
      <c r="B3143" s="8">
        <f t="shared" si="265"/>
        <v>40563</v>
      </c>
      <c r="C3143" s="9" t="s">
        <v>792</v>
      </c>
      <c r="D3143">
        <v>10021572436</v>
      </c>
      <c r="E3143" t="s">
        <v>47</v>
      </c>
      <c r="F3143" t="s">
        <v>78</v>
      </c>
      <c r="G3143" t="s">
        <v>79</v>
      </c>
      <c r="H3143" t="s">
        <v>2105</v>
      </c>
      <c r="I3143" t="s">
        <v>2106</v>
      </c>
      <c r="J3143" t="s">
        <v>141</v>
      </c>
      <c r="K3143" s="3">
        <v>10011330986</v>
      </c>
      <c r="L3143" s="10">
        <v>40565</v>
      </c>
      <c r="M3143">
        <v>424</v>
      </c>
      <c r="N3143" s="11">
        <v>50</v>
      </c>
      <c r="O3143" s="12">
        <v>8.67</v>
      </c>
      <c r="P3143" s="12">
        <v>3.5</v>
      </c>
      <c r="Q3143" s="13">
        <v>-19.77</v>
      </c>
      <c r="R3143" s="36" t="s">
        <v>884</v>
      </c>
      <c r="S3143" s="7">
        <f t="shared" si="264"/>
        <v>2</v>
      </c>
      <c r="T3143" s="15" t="str">
        <f>VLOOKUP(R3143,产品分类!$C$2:$D$1278,2,0)</f>
        <v>办公用品</v>
      </c>
    </row>
    <row r="3144" spans="1:20">
      <c r="A3144" s="8">
        <f t="shared" si="265"/>
        <v>40563</v>
      </c>
      <c r="B3144" s="8">
        <f t="shared" si="265"/>
        <v>40563</v>
      </c>
      <c r="C3144" s="9" t="s">
        <v>792</v>
      </c>
      <c r="D3144">
        <v>10021360345</v>
      </c>
      <c r="E3144" t="s">
        <v>47</v>
      </c>
      <c r="F3144" t="s">
        <v>114</v>
      </c>
      <c r="G3144" t="s">
        <v>115</v>
      </c>
      <c r="H3144" t="s">
        <v>2108</v>
      </c>
      <c r="I3144" t="s">
        <v>2109</v>
      </c>
      <c r="J3144" t="s">
        <v>141</v>
      </c>
      <c r="K3144" s="3">
        <v>100930910891</v>
      </c>
      <c r="L3144" s="10">
        <v>40565</v>
      </c>
      <c r="M3144">
        <v>504.79</v>
      </c>
      <c r="N3144" s="11">
        <v>5</v>
      </c>
      <c r="O3144" s="12">
        <v>99.99</v>
      </c>
      <c r="P3144" s="12">
        <v>19.99</v>
      </c>
      <c r="Q3144" s="13">
        <v>-245.09</v>
      </c>
      <c r="R3144" s="36" t="s">
        <v>1902</v>
      </c>
      <c r="S3144" s="7">
        <f t="shared" si="264"/>
        <v>2</v>
      </c>
      <c r="T3144" s="15" t="str">
        <f>VLOOKUP(R3144,产品分类!$C$2:$D$1278,2,0)</f>
        <v>办公用品</v>
      </c>
    </row>
    <row r="3145" spans="1:20">
      <c r="A3145" s="8">
        <f t="shared" ref="A3145:B3147" si="266">DATE(2012,12,31)-1375</f>
        <v>39899</v>
      </c>
      <c r="B3145" s="8">
        <f t="shared" si="266"/>
        <v>39899</v>
      </c>
      <c r="C3145" s="9" t="s">
        <v>1786</v>
      </c>
      <c r="D3145">
        <v>10021317729</v>
      </c>
      <c r="E3145" t="s">
        <v>47</v>
      </c>
      <c r="F3145" t="s">
        <v>83</v>
      </c>
      <c r="G3145" t="s">
        <v>84</v>
      </c>
      <c r="H3145" t="s">
        <v>2144</v>
      </c>
      <c r="I3145" t="s">
        <v>2145</v>
      </c>
      <c r="J3145" t="s">
        <v>141</v>
      </c>
      <c r="K3145" s="3">
        <v>100930180431</v>
      </c>
      <c r="L3145" s="10">
        <v>39901</v>
      </c>
      <c r="M3145">
        <v>9304.2</v>
      </c>
      <c r="N3145" s="11">
        <v>46</v>
      </c>
      <c r="O3145" s="12">
        <v>213.45</v>
      </c>
      <c r="P3145" s="12">
        <v>14.7</v>
      </c>
      <c r="Q3145" s="13">
        <v>1981.17</v>
      </c>
      <c r="R3145" s="36" t="s">
        <v>1715</v>
      </c>
      <c r="S3145" s="7">
        <f t="shared" si="264"/>
        <v>2</v>
      </c>
      <c r="T3145" s="15" t="str">
        <f>VLOOKUP(R3145,产品分类!$C$2:$D$1278,2,0)</f>
        <v>数码电子</v>
      </c>
    </row>
    <row r="3146" spans="1:20">
      <c r="A3146" s="8">
        <f t="shared" si="266"/>
        <v>39899</v>
      </c>
      <c r="B3146" s="8">
        <f t="shared" si="266"/>
        <v>39899</v>
      </c>
      <c r="C3146" s="9" t="s">
        <v>1786</v>
      </c>
      <c r="D3146">
        <v>10021597600</v>
      </c>
      <c r="E3146" t="s">
        <v>47</v>
      </c>
      <c r="F3146" t="s">
        <v>91</v>
      </c>
      <c r="G3146" t="s">
        <v>92</v>
      </c>
      <c r="H3146" t="s">
        <v>2053</v>
      </c>
      <c r="I3146" t="s">
        <v>2054</v>
      </c>
      <c r="J3146" t="s">
        <v>141</v>
      </c>
      <c r="K3146" s="3">
        <v>100131581796</v>
      </c>
      <c r="L3146" s="10">
        <v>39901</v>
      </c>
      <c r="M3146">
        <v>1685.05</v>
      </c>
      <c r="N3146" s="11">
        <v>31</v>
      </c>
      <c r="O3146" s="12">
        <v>55.98</v>
      </c>
      <c r="P3146" s="12">
        <v>13.88</v>
      </c>
      <c r="Q3146" s="13">
        <v>518.07</v>
      </c>
      <c r="R3146" s="36" t="s">
        <v>1180</v>
      </c>
      <c r="S3146" s="7">
        <f t="shared" si="264"/>
        <v>2</v>
      </c>
      <c r="T3146" s="15" t="str">
        <f>VLOOKUP(R3146,产品分类!$C$2:$D$1278,2,0)</f>
        <v>办公用品</v>
      </c>
    </row>
    <row r="3147" spans="1:20">
      <c r="A3147" s="8">
        <f t="shared" si="266"/>
        <v>39899</v>
      </c>
      <c r="B3147" s="8">
        <f t="shared" si="266"/>
        <v>39899</v>
      </c>
      <c r="C3147" s="9" t="s">
        <v>1786</v>
      </c>
      <c r="D3147">
        <v>10021481936</v>
      </c>
      <c r="E3147" t="s">
        <v>47</v>
      </c>
      <c r="F3147" t="s">
        <v>102</v>
      </c>
      <c r="G3147" t="s">
        <v>103</v>
      </c>
      <c r="H3147" t="s">
        <v>2119</v>
      </c>
      <c r="I3147" t="s">
        <v>2120</v>
      </c>
      <c r="J3147" t="s">
        <v>141</v>
      </c>
      <c r="K3147" s="3">
        <v>100125670848</v>
      </c>
      <c r="L3147" s="10">
        <v>39900</v>
      </c>
      <c r="M3147">
        <v>57.48</v>
      </c>
      <c r="N3147" s="11">
        <v>3</v>
      </c>
      <c r="O3147" s="12">
        <v>16.06</v>
      </c>
      <c r="P3147" s="12">
        <v>8.34</v>
      </c>
      <c r="Q3147" s="13">
        <v>-28.09</v>
      </c>
      <c r="R3147" s="36" t="s">
        <v>1769</v>
      </c>
      <c r="S3147" s="7">
        <f t="shared" si="264"/>
        <v>1</v>
      </c>
      <c r="T3147" s="15" t="str">
        <f>VLOOKUP(R3147,产品分类!$C$2:$D$1278,2,0)</f>
        <v>数码电子</v>
      </c>
    </row>
    <row r="3148" spans="1:20">
      <c r="A3148" s="8">
        <f>DATE(2012,12,31)-225</f>
        <v>41049</v>
      </c>
      <c r="B3148" s="8">
        <f>DATE(2012,12,31)-225</f>
        <v>41049</v>
      </c>
      <c r="C3148" s="9" t="s">
        <v>2152</v>
      </c>
      <c r="D3148">
        <v>10021458427</v>
      </c>
      <c r="E3148" t="s">
        <v>47</v>
      </c>
      <c r="F3148" t="s">
        <v>171</v>
      </c>
      <c r="G3148" t="s">
        <v>172</v>
      </c>
      <c r="H3148" t="s">
        <v>2073</v>
      </c>
      <c r="I3148" t="s">
        <v>2074</v>
      </c>
      <c r="J3148" t="s">
        <v>141</v>
      </c>
      <c r="K3148" s="3">
        <v>100922766521</v>
      </c>
      <c r="L3148" s="10">
        <v>41052</v>
      </c>
      <c r="M3148">
        <v>251.51</v>
      </c>
      <c r="N3148" s="11">
        <v>32</v>
      </c>
      <c r="O3148" s="12">
        <v>7.7</v>
      </c>
      <c r="P3148" s="12">
        <v>3.68</v>
      </c>
      <c r="Q3148" s="13">
        <v>-9.78</v>
      </c>
      <c r="R3148" s="36" t="s">
        <v>1023</v>
      </c>
      <c r="S3148" s="7">
        <f t="shared" si="264"/>
        <v>3</v>
      </c>
      <c r="T3148" s="15" t="str">
        <f>VLOOKUP(R3148,产品分类!$C$2:$D$1278,2,0)</f>
        <v>家具产品</v>
      </c>
    </row>
    <row r="3149" spans="1:20">
      <c r="A3149" s="16">
        <f>DATE(2012,12,31)-916</f>
        <v>40358</v>
      </c>
      <c r="B3149" s="16">
        <f>DATE(2012,12,31)-916</f>
        <v>40358</v>
      </c>
      <c r="C3149" s="9" t="s">
        <v>536</v>
      </c>
      <c r="D3149">
        <v>10021318415</v>
      </c>
      <c r="E3149" t="s">
        <v>47</v>
      </c>
      <c r="F3149" t="s">
        <v>171</v>
      </c>
      <c r="G3149" t="s">
        <v>172</v>
      </c>
      <c r="H3149" t="s">
        <v>2073</v>
      </c>
      <c r="I3149" t="s">
        <v>2074</v>
      </c>
      <c r="J3149" t="s">
        <v>141</v>
      </c>
      <c r="K3149" s="3">
        <v>100132830266</v>
      </c>
      <c r="L3149" s="10">
        <v>40360</v>
      </c>
      <c r="M3149">
        <v>90.93</v>
      </c>
      <c r="N3149" s="17">
        <v>17</v>
      </c>
      <c r="O3149" s="5">
        <v>5.18</v>
      </c>
      <c r="P3149" s="5">
        <v>2.04</v>
      </c>
      <c r="Q3149" s="6">
        <v>14.19</v>
      </c>
      <c r="R3149" s="37" t="s">
        <v>1522</v>
      </c>
      <c r="S3149" s="7">
        <f t="shared" si="264"/>
        <v>2</v>
      </c>
      <c r="T3149" s="15" t="str">
        <f>VLOOKUP(R3149,产品分类!$C$2:$D$1278,2,0)</f>
        <v>办公用品</v>
      </c>
    </row>
    <row r="3150" spans="1:20">
      <c r="A3150" s="8">
        <f>DATE(2012,12,31)-916</f>
        <v>40358</v>
      </c>
      <c r="B3150" s="8">
        <f>DATE(2012,12,31)-916</f>
        <v>40358</v>
      </c>
      <c r="C3150" s="9" t="s">
        <v>536</v>
      </c>
      <c r="D3150">
        <v>10021375232</v>
      </c>
      <c r="E3150" t="s">
        <v>47</v>
      </c>
      <c r="F3150" t="s">
        <v>177</v>
      </c>
      <c r="G3150" t="s">
        <v>178</v>
      </c>
      <c r="H3150" t="s">
        <v>2125</v>
      </c>
      <c r="I3150" t="s">
        <v>2126</v>
      </c>
      <c r="J3150" t="s">
        <v>141</v>
      </c>
      <c r="K3150" s="3">
        <v>100131671138</v>
      </c>
      <c r="L3150" s="10">
        <v>40360</v>
      </c>
      <c r="M3150">
        <v>6170.912</v>
      </c>
      <c r="N3150" s="11">
        <v>35</v>
      </c>
      <c r="O3150" s="12">
        <v>218.75</v>
      </c>
      <c r="P3150" s="12">
        <v>69.64</v>
      </c>
      <c r="Q3150" s="13">
        <v>-528.653125</v>
      </c>
      <c r="R3150" s="36" t="s">
        <v>456</v>
      </c>
      <c r="S3150" s="7">
        <f t="shared" si="264"/>
        <v>2</v>
      </c>
      <c r="T3150" s="15" t="str">
        <f>VLOOKUP(R3150,产品分类!$C$2:$D$1278,2,0)</f>
        <v>办公用品</v>
      </c>
    </row>
    <row r="3151" spans="1:20">
      <c r="A3151" s="8">
        <f>DATE(2012,12,31)-1003</f>
        <v>40271</v>
      </c>
      <c r="B3151" s="8">
        <f>DATE(2012,12,31)-1003</f>
        <v>40271</v>
      </c>
      <c r="C3151" s="9" t="s">
        <v>721</v>
      </c>
      <c r="D3151">
        <v>10021517337</v>
      </c>
      <c r="E3151" t="s">
        <v>47</v>
      </c>
      <c r="F3151" t="s">
        <v>253</v>
      </c>
      <c r="G3151" t="s">
        <v>254</v>
      </c>
      <c r="H3151" t="s">
        <v>1998</v>
      </c>
      <c r="I3151" t="s">
        <v>1999</v>
      </c>
      <c r="J3151" t="s">
        <v>141</v>
      </c>
      <c r="K3151" s="3">
        <v>100332128059</v>
      </c>
      <c r="L3151" s="10">
        <v>40276</v>
      </c>
      <c r="M3151">
        <v>1934.6</v>
      </c>
      <c r="N3151" s="11">
        <v>33</v>
      </c>
      <c r="O3151" s="12">
        <v>63.94</v>
      </c>
      <c r="P3151" s="12">
        <v>14.48</v>
      </c>
      <c r="Q3151" s="13">
        <v>614.03</v>
      </c>
      <c r="R3151" s="36" t="s">
        <v>1889</v>
      </c>
      <c r="S3151" s="7">
        <f t="shared" si="264"/>
        <v>5</v>
      </c>
      <c r="T3151" s="15" t="str">
        <f>VLOOKUP(R3151,产品分类!$C$2:$D$1278,2,0)</f>
        <v>家具产品</v>
      </c>
    </row>
    <row r="3152" spans="1:20">
      <c r="A3152" s="8">
        <f>DATE(2012,12,31)-1003</f>
        <v>40271</v>
      </c>
      <c r="B3152" s="8">
        <f>DATE(2012,12,31)-1003</f>
        <v>40271</v>
      </c>
      <c r="C3152" s="9" t="s">
        <v>721</v>
      </c>
      <c r="D3152">
        <v>10021401776</v>
      </c>
      <c r="E3152" t="s">
        <v>47</v>
      </c>
      <c r="F3152" t="s">
        <v>122</v>
      </c>
      <c r="G3152" t="s">
        <v>123</v>
      </c>
      <c r="H3152" t="s">
        <v>124</v>
      </c>
      <c r="I3152" t="s">
        <v>125</v>
      </c>
      <c r="J3152" t="s">
        <v>141</v>
      </c>
      <c r="K3152" s="3">
        <v>10085425842</v>
      </c>
      <c r="L3152" s="10">
        <v>40271</v>
      </c>
      <c r="M3152">
        <v>6803</v>
      </c>
      <c r="N3152" s="11">
        <v>46</v>
      </c>
      <c r="O3152" s="12">
        <v>150.98</v>
      </c>
      <c r="P3152" s="12">
        <v>66.27</v>
      </c>
      <c r="Q3152" s="13">
        <v>-1061.68</v>
      </c>
      <c r="R3152" s="36" t="s">
        <v>1166</v>
      </c>
      <c r="S3152" s="7">
        <f t="shared" si="264"/>
        <v>0</v>
      </c>
      <c r="T3152" s="15" t="str">
        <f>VLOOKUP(R3152,产品分类!$C$2:$D$1278,2,0)</f>
        <v>办公用品</v>
      </c>
    </row>
    <row r="3153" spans="1:20">
      <c r="A3153" s="8">
        <f>DATE(2012,12,31)-1159</f>
        <v>40115</v>
      </c>
      <c r="B3153" s="8">
        <f>DATE(2012,12,31)-1159</f>
        <v>40115</v>
      </c>
      <c r="C3153" s="9" t="s">
        <v>899</v>
      </c>
      <c r="D3153">
        <v>10021459243</v>
      </c>
      <c r="E3153" t="s">
        <v>47</v>
      </c>
      <c r="F3153" t="s">
        <v>61</v>
      </c>
      <c r="G3153" t="s">
        <v>62</v>
      </c>
      <c r="H3153" t="s">
        <v>47</v>
      </c>
      <c r="I3153" t="s">
        <v>1778</v>
      </c>
      <c r="J3153" t="s">
        <v>141</v>
      </c>
      <c r="K3153" s="3">
        <v>1001862428</v>
      </c>
      <c r="L3153" s="10">
        <v>40118</v>
      </c>
      <c r="M3153">
        <v>2951.7</v>
      </c>
      <c r="N3153" s="11">
        <v>30</v>
      </c>
      <c r="O3153" s="12">
        <v>95.95</v>
      </c>
      <c r="P3153" s="12">
        <v>74.35</v>
      </c>
      <c r="Q3153" s="13">
        <v>-1111.45</v>
      </c>
      <c r="R3153" s="36" t="s">
        <v>574</v>
      </c>
      <c r="S3153" s="7">
        <f t="shared" si="264"/>
        <v>3</v>
      </c>
      <c r="T3153" s="15" t="str">
        <f>VLOOKUP(R3153,产品分类!$C$2:$D$1278,2,0)</f>
        <v>办公用品</v>
      </c>
    </row>
    <row r="3154" spans="1:20">
      <c r="A3154" s="8">
        <f>DATE(2012,12,31)-991</f>
        <v>40283</v>
      </c>
      <c r="B3154" s="8">
        <f>DATE(2012,12,31)-991</f>
        <v>40283</v>
      </c>
      <c r="C3154" s="9" t="s">
        <v>197</v>
      </c>
      <c r="D3154">
        <v>10021578965</v>
      </c>
      <c r="E3154" t="s">
        <v>47</v>
      </c>
      <c r="F3154" t="s">
        <v>66</v>
      </c>
      <c r="G3154" t="s">
        <v>67</v>
      </c>
      <c r="H3154" t="s">
        <v>2062</v>
      </c>
      <c r="I3154" t="s">
        <v>2063</v>
      </c>
      <c r="J3154" t="s">
        <v>141</v>
      </c>
      <c r="K3154" s="3">
        <v>100718518395</v>
      </c>
      <c r="L3154" s="10">
        <v>40288</v>
      </c>
      <c r="M3154">
        <v>365.93</v>
      </c>
      <c r="N3154" s="11">
        <v>5</v>
      </c>
      <c r="O3154" s="12">
        <v>73.98</v>
      </c>
      <c r="P3154" s="12">
        <v>14.52</v>
      </c>
      <c r="Q3154" s="13">
        <v>-243.02</v>
      </c>
      <c r="R3154" s="36" t="s">
        <v>885</v>
      </c>
      <c r="S3154" s="7">
        <f t="shared" si="264"/>
        <v>5</v>
      </c>
      <c r="T3154" s="15" t="str">
        <f>VLOOKUP(R3154,产品分类!$C$2:$D$1278,2,0)</f>
        <v>办公用品</v>
      </c>
    </row>
    <row r="3155" spans="1:20">
      <c r="A3155" s="8">
        <f>DATE(2012,12,31)-740</f>
        <v>40534</v>
      </c>
      <c r="B3155" s="8">
        <f>DATE(2012,12,31)-740</f>
        <v>40534</v>
      </c>
      <c r="C3155" s="9" t="s">
        <v>1581</v>
      </c>
      <c r="D3155">
        <v>10021574544</v>
      </c>
      <c r="E3155" t="s">
        <v>47</v>
      </c>
      <c r="F3155" t="s">
        <v>66</v>
      </c>
      <c r="G3155" t="s">
        <v>67</v>
      </c>
      <c r="H3155" t="s">
        <v>2062</v>
      </c>
      <c r="I3155" t="s">
        <v>2063</v>
      </c>
      <c r="J3155" t="s">
        <v>141</v>
      </c>
      <c r="K3155" s="3">
        <v>10073550935</v>
      </c>
      <c r="L3155" s="10">
        <v>40536</v>
      </c>
      <c r="M3155">
        <v>309.3</v>
      </c>
      <c r="N3155" s="11">
        <v>10</v>
      </c>
      <c r="O3155" s="12">
        <v>30.98</v>
      </c>
      <c r="P3155" s="12">
        <v>6.5</v>
      </c>
      <c r="Q3155" s="13">
        <v>-77.89</v>
      </c>
      <c r="R3155" s="36" t="s">
        <v>744</v>
      </c>
      <c r="S3155" s="7">
        <f t="shared" si="264"/>
        <v>2</v>
      </c>
      <c r="T3155" s="15" t="str">
        <f>VLOOKUP(R3155,产品分类!$C$2:$D$1278,2,0)</f>
        <v>家具产品</v>
      </c>
    </row>
    <row r="3156" spans="1:20">
      <c r="A3156" s="8">
        <f>DATE(2012,12,31)-429</f>
        <v>40845</v>
      </c>
      <c r="B3156" s="8">
        <f>DATE(2012,12,31)-429</f>
        <v>40845</v>
      </c>
      <c r="C3156" s="9" t="s">
        <v>1047</v>
      </c>
      <c r="D3156">
        <v>10021591083</v>
      </c>
      <c r="E3156" t="s">
        <v>47</v>
      </c>
      <c r="F3156" t="s">
        <v>152</v>
      </c>
      <c r="G3156" t="s">
        <v>153</v>
      </c>
      <c r="H3156" t="s">
        <v>2137</v>
      </c>
      <c r="I3156" t="s">
        <v>2138</v>
      </c>
      <c r="J3156" t="s">
        <v>141</v>
      </c>
      <c r="K3156" s="3">
        <v>100824034962</v>
      </c>
      <c r="L3156" s="10">
        <v>40846</v>
      </c>
      <c r="M3156">
        <v>9544.18</v>
      </c>
      <c r="N3156" s="11">
        <v>36</v>
      </c>
      <c r="O3156" s="12">
        <v>256.99</v>
      </c>
      <c r="P3156" s="12">
        <v>11.25</v>
      </c>
      <c r="Q3156" s="13">
        <v>3392.88</v>
      </c>
      <c r="R3156" s="36" t="s">
        <v>2153</v>
      </c>
      <c r="S3156" s="7">
        <f t="shared" si="264"/>
        <v>1</v>
      </c>
      <c r="T3156" s="15" t="str">
        <f>VLOOKUP(R3156,产品分类!$C$2:$D$1278,2,0)</f>
        <v>数码电子</v>
      </c>
    </row>
    <row r="3157" spans="1:20">
      <c r="A3157" s="8">
        <f>DATE(2012,12,31)-429</f>
        <v>40845</v>
      </c>
      <c r="B3157" s="8">
        <f>DATE(2012,12,31)-429</f>
        <v>40845</v>
      </c>
      <c r="C3157" s="9" t="s">
        <v>1047</v>
      </c>
      <c r="D3157">
        <v>10021333129</v>
      </c>
      <c r="E3157" t="s">
        <v>47</v>
      </c>
      <c r="F3157" t="s">
        <v>152</v>
      </c>
      <c r="G3157" t="s">
        <v>153</v>
      </c>
      <c r="H3157" t="s">
        <v>2137</v>
      </c>
      <c r="I3157" t="s">
        <v>2138</v>
      </c>
      <c r="J3157" t="s">
        <v>141</v>
      </c>
      <c r="K3157" s="3">
        <v>10095986751</v>
      </c>
      <c r="L3157" s="10">
        <v>40846</v>
      </c>
      <c r="M3157">
        <v>32.92</v>
      </c>
      <c r="N3157" s="11">
        <v>8</v>
      </c>
      <c r="O3157" s="12">
        <v>3.95</v>
      </c>
      <c r="P3157" s="12">
        <v>2</v>
      </c>
      <c r="Q3157" s="13">
        <v>-7.73</v>
      </c>
      <c r="R3157" s="36" t="s">
        <v>354</v>
      </c>
      <c r="S3157" s="7">
        <f t="shared" si="264"/>
        <v>1</v>
      </c>
      <c r="T3157" s="15" t="str">
        <f>VLOOKUP(R3157,产品分类!$C$2:$D$1278,2,0)</f>
        <v>办公用品</v>
      </c>
    </row>
    <row r="3158" spans="1:20">
      <c r="A3158" s="8">
        <f>DATE(2012,12,31)-827</f>
        <v>40447</v>
      </c>
      <c r="B3158" s="8">
        <f>DATE(2012,12,31)-827</f>
        <v>40447</v>
      </c>
      <c r="C3158" s="9" t="s">
        <v>1563</v>
      </c>
      <c r="D3158">
        <v>10021433329</v>
      </c>
      <c r="E3158" t="s">
        <v>47</v>
      </c>
      <c r="F3158" t="s">
        <v>66</v>
      </c>
      <c r="G3158" t="s">
        <v>67</v>
      </c>
      <c r="H3158" t="s">
        <v>2062</v>
      </c>
      <c r="I3158" t="s">
        <v>2063</v>
      </c>
      <c r="J3158" t="s">
        <v>141</v>
      </c>
      <c r="K3158" s="3">
        <v>100132611197</v>
      </c>
      <c r="L3158" s="10">
        <v>40450</v>
      </c>
      <c r="M3158">
        <v>18.26</v>
      </c>
      <c r="N3158" s="11">
        <v>11</v>
      </c>
      <c r="O3158" s="12">
        <v>1.68</v>
      </c>
      <c r="P3158" s="12">
        <v>0.7</v>
      </c>
      <c r="Q3158" s="13">
        <v>-3.89</v>
      </c>
      <c r="R3158" s="36" t="s">
        <v>107</v>
      </c>
      <c r="S3158" s="7">
        <f t="shared" si="264"/>
        <v>3</v>
      </c>
      <c r="T3158" s="15" t="str">
        <f>VLOOKUP(R3158,产品分类!$C$2:$D$1278,2,0)</f>
        <v>家具产品</v>
      </c>
    </row>
    <row r="3159" spans="1:20">
      <c r="A3159" s="8">
        <f>DATE(2012,12,31)-355</f>
        <v>40919</v>
      </c>
      <c r="B3159" s="8">
        <f>DATE(2012,12,31)-355</f>
        <v>40919</v>
      </c>
      <c r="C3159" s="9" t="s">
        <v>1564</v>
      </c>
      <c r="D3159">
        <v>10021578174</v>
      </c>
      <c r="E3159" t="s">
        <v>47</v>
      </c>
      <c r="F3159" t="s">
        <v>48</v>
      </c>
      <c r="G3159" t="s">
        <v>49</v>
      </c>
      <c r="H3159" t="s">
        <v>2032</v>
      </c>
      <c r="I3159" t="s">
        <v>2033</v>
      </c>
      <c r="J3159" t="s">
        <v>141</v>
      </c>
      <c r="K3159" s="3">
        <v>10038472829</v>
      </c>
      <c r="L3159" s="10">
        <v>40919</v>
      </c>
      <c r="M3159">
        <v>9843.11</v>
      </c>
      <c r="N3159" s="11">
        <v>35</v>
      </c>
      <c r="O3159" s="12">
        <v>280.98</v>
      </c>
      <c r="P3159" s="12">
        <v>57</v>
      </c>
      <c r="Q3159" s="13">
        <v>-384.6</v>
      </c>
      <c r="R3159" s="36" t="s">
        <v>1283</v>
      </c>
      <c r="S3159" s="7">
        <f t="shared" si="264"/>
        <v>0</v>
      </c>
      <c r="T3159" s="15" t="str">
        <f>VLOOKUP(R3159,产品分类!$C$2:$D$1278,2,0)</f>
        <v>办公用品</v>
      </c>
    </row>
    <row r="3160" spans="1:20">
      <c r="A3160" s="8">
        <f>DATE(2012,12,31)-355</f>
        <v>40919</v>
      </c>
      <c r="B3160" s="8">
        <f>DATE(2012,12,31)-355</f>
        <v>40919</v>
      </c>
      <c r="C3160" s="9" t="s">
        <v>1564</v>
      </c>
      <c r="D3160">
        <v>10021578879</v>
      </c>
      <c r="E3160" t="s">
        <v>47</v>
      </c>
      <c r="F3160" t="s">
        <v>152</v>
      </c>
      <c r="G3160" t="s">
        <v>153</v>
      </c>
      <c r="H3160" t="s">
        <v>2137</v>
      </c>
      <c r="I3160" t="s">
        <v>2138</v>
      </c>
      <c r="J3160" t="s">
        <v>141</v>
      </c>
      <c r="K3160" s="3">
        <v>100817712732</v>
      </c>
      <c r="L3160" s="10">
        <v>40924</v>
      </c>
      <c r="M3160">
        <v>7190.06</v>
      </c>
      <c r="N3160" s="11">
        <v>15</v>
      </c>
      <c r="O3160" s="12">
        <v>500.98</v>
      </c>
      <c r="P3160" s="12">
        <v>28.14</v>
      </c>
      <c r="Q3160" s="13">
        <v>1908.45</v>
      </c>
      <c r="R3160" s="36" t="s">
        <v>248</v>
      </c>
      <c r="S3160" s="7">
        <f t="shared" si="264"/>
        <v>5</v>
      </c>
      <c r="T3160" s="15" t="str">
        <f>VLOOKUP(R3160,产品分类!$C$2:$D$1278,2,0)</f>
        <v>家具产品</v>
      </c>
    </row>
    <row r="3161" spans="1:20">
      <c r="A3161" s="8">
        <f>DATE(2012,12,31)-258</f>
        <v>41016</v>
      </c>
      <c r="B3161" s="8">
        <f>DATE(2012,12,31)-258</f>
        <v>41016</v>
      </c>
      <c r="C3161" s="9" t="s">
        <v>1185</v>
      </c>
      <c r="D3161">
        <v>10021259347</v>
      </c>
      <c r="E3161" t="s">
        <v>47</v>
      </c>
      <c r="F3161" t="s">
        <v>48</v>
      </c>
      <c r="G3161" t="s">
        <v>49</v>
      </c>
      <c r="H3161" t="s">
        <v>2032</v>
      </c>
      <c r="I3161" t="s">
        <v>2033</v>
      </c>
      <c r="J3161" t="s">
        <v>141</v>
      </c>
      <c r="K3161" s="3">
        <v>100727515235</v>
      </c>
      <c r="L3161" s="10">
        <v>41017</v>
      </c>
      <c r="M3161">
        <v>2044.2755</v>
      </c>
      <c r="N3161" s="11">
        <v>40</v>
      </c>
      <c r="O3161" s="12">
        <v>65.99</v>
      </c>
      <c r="P3161" s="12">
        <v>5.63</v>
      </c>
      <c r="Q3161" s="13">
        <v>334.53</v>
      </c>
      <c r="R3161" s="36" t="s">
        <v>733</v>
      </c>
      <c r="S3161" s="7">
        <f t="shared" si="264"/>
        <v>1</v>
      </c>
      <c r="T3161" s="15" t="str">
        <f>VLOOKUP(R3161,产品分类!$C$2:$D$1278,2,0)</f>
        <v>家具产品</v>
      </c>
    </row>
    <row r="3162" spans="1:20">
      <c r="A3162" s="8">
        <f>DATE(2012,12,31)-449</f>
        <v>40825</v>
      </c>
      <c r="B3162" s="8">
        <f>DATE(2012,12,31)-449</f>
        <v>40825</v>
      </c>
      <c r="C3162" s="9" t="s">
        <v>1391</v>
      </c>
      <c r="D3162">
        <v>10021266348</v>
      </c>
      <c r="E3162" t="s">
        <v>47</v>
      </c>
      <c r="F3162" t="s">
        <v>66</v>
      </c>
      <c r="G3162" t="s">
        <v>67</v>
      </c>
      <c r="H3162" t="s">
        <v>2062</v>
      </c>
      <c r="I3162" t="s">
        <v>2063</v>
      </c>
      <c r="J3162" t="s">
        <v>141</v>
      </c>
      <c r="K3162" s="3">
        <v>100931773711</v>
      </c>
      <c r="L3162" s="10">
        <v>40827</v>
      </c>
      <c r="M3162">
        <v>2405</v>
      </c>
      <c r="N3162" s="11">
        <v>39</v>
      </c>
      <c r="O3162" s="12">
        <v>67.84</v>
      </c>
      <c r="P3162" s="12">
        <v>0.99</v>
      </c>
      <c r="Q3162" s="13">
        <v>696.17</v>
      </c>
      <c r="R3162" s="36" t="s">
        <v>2154</v>
      </c>
      <c r="S3162" s="7">
        <f t="shared" si="264"/>
        <v>2</v>
      </c>
      <c r="T3162" s="15" t="str">
        <f>VLOOKUP(R3162,产品分类!$C$2:$D$1278,2,0)</f>
        <v>家具产品</v>
      </c>
    </row>
    <row r="3163" spans="1:20">
      <c r="A3163" s="16">
        <f>DATE(2012,12,31)-1277</f>
        <v>39997</v>
      </c>
      <c r="B3163" s="16">
        <f>DATE(2012,12,31)-1277</f>
        <v>39997</v>
      </c>
      <c r="C3163" s="9" t="s">
        <v>1517</v>
      </c>
      <c r="D3163">
        <v>10021293713</v>
      </c>
      <c r="E3163" t="s">
        <v>47</v>
      </c>
      <c r="F3163" t="s">
        <v>152</v>
      </c>
      <c r="G3163" t="s">
        <v>153</v>
      </c>
      <c r="H3163" t="s">
        <v>2137</v>
      </c>
      <c r="I3163" t="s">
        <v>2138</v>
      </c>
      <c r="J3163" t="s">
        <v>141</v>
      </c>
      <c r="K3163" s="3">
        <v>10036448369</v>
      </c>
      <c r="L3163" s="10">
        <v>40002</v>
      </c>
      <c r="M3163">
        <v>444.52</v>
      </c>
      <c r="N3163" s="17">
        <v>44</v>
      </c>
      <c r="O3163" s="5">
        <v>10.06</v>
      </c>
      <c r="P3163" s="5">
        <v>2.06</v>
      </c>
      <c r="Q3163" s="6">
        <v>161.13</v>
      </c>
      <c r="R3163" s="37" t="s">
        <v>880</v>
      </c>
      <c r="S3163" s="7">
        <f t="shared" si="264"/>
        <v>5</v>
      </c>
      <c r="T3163" s="15" t="str">
        <f>VLOOKUP(R3163,产品分类!$C$2:$D$1278,2,0)</f>
        <v>办公用品</v>
      </c>
    </row>
    <row r="3164" spans="1:20">
      <c r="A3164" s="8">
        <f>DATE(2012,12,31)-547</f>
        <v>40727</v>
      </c>
      <c r="B3164" s="8">
        <f>DATE(2012,12,31)-547</f>
        <v>40727</v>
      </c>
      <c r="C3164" s="9" t="s">
        <v>743</v>
      </c>
      <c r="D3164">
        <v>10021582102</v>
      </c>
      <c r="E3164" t="s">
        <v>47</v>
      </c>
      <c r="F3164" t="s">
        <v>66</v>
      </c>
      <c r="G3164" t="s">
        <v>67</v>
      </c>
      <c r="H3164" t="s">
        <v>2062</v>
      </c>
      <c r="I3164" t="s">
        <v>2063</v>
      </c>
      <c r="J3164" t="s">
        <v>141</v>
      </c>
      <c r="K3164" s="3">
        <v>100817231862</v>
      </c>
      <c r="L3164" s="10">
        <v>40727</v>
      </c>
      <c r="M3164">
        <v>296.82</v>
      </c>
      <c r="N3164" s="11">
        <v>45</v>
      </c>
      <c r="O3164" s="12">
        <v>6.48</v>
      </c>
      <c r="P3164" s="12">
        <v>6.65</v>
      </c>
      <c r="Q3164" s="13">
        <v>-120.37</v>
      </c>
      <c r="R3164" s="36" t="s">
        <v>1103</v>
      </c>
      <c r="S3164" s="7">
        <f t="shared" si="264"/>
        <v>0</v>
      </c>
      <c r="T3164" s="15" t="str">
        <f>VLOOKUP(R3164,产品分类!$C$2:$D$1278,2,0)</f>
        <v>办公用品</v>
      </c>
    </row>
    <row r="3165" spans="1:20">
      <c r="A3165" s="8">
        <f>DATE(2012,12,31)-24</f>
        <v>41250</v>
      </c>
      <c r="B3165" s="8">
        <f>DATE(2012,12,31)-24</f>
        <v>41250</v>
      </c>
      <c r="C3165" s="9" t="s">
        <v>1191</v>
      </c>
      <c r="D3165">
        <v>10021522212</v>
      </c>
      <c r="E3165" t="s">
        <v>47</v>
      </c>
      <c r="F3165" t="s">
        <v>66</v>
      </c>
      <c r="G3165" t="s">
        <v>67</v>
      </c>
      <c r="H3165" t="s">
        <v>2062</v>
      </c>
      <c r="I3165" t="s">
        <v>2063</v>
      </c>
      <c r="J3165" t="s">
        <v>141</v>
      </c>
      <c r="K3165" s="3">
        <v>100111782786</v>
      </c>
      <c r="L3165" s="10">
        <v>41255</v>
      </c>
      <c r="M3165">
        <v>238.76</v>
      </c>
      <c r="N3165" s="11">
        <v>2</v>
      </c>
      <c r="O3165" s="12">
        <v>110.98</v>
      </c>
      <c r="P3165" s="12">
        <v>35</v>
      </c>
      <c r="Q3165" s="13">
        <v>-235.21</v>
      </c>
      <c r="R3165" s="36" t="s">
        <v>1711</v>
      </c>
      <c r="S3165" s="7">
        <f t="shared" si="264"/>
        <v>5</v>
      </c>
      <c r="T3165" s="15" t="str">
        <f>VLOOKUP(R3165,产品分类!$C$2:$D$1278,2,0)</f>
        <v>家具产品</v>
      </c>
    </row>
    <row r="3166" spans="1:20">
      <c r="A3166" s="8">
        <f t="shared" ref="A3166:B3168" si="267">DATE(2012,12,31)-1372</f>
        <v>39902</v>
      </c>
      <c r="B3166" s="8">
        <f t="shared" si="267"/>
        <v>39902</v>
      </c>
      <c r="C3166" s="9" t="s">
        <v>669</v>
      </c>
      <c r="D3166">
        <v>10021522549</v>
      </c>
      <c r="E3166" t="s">
        <v>47</v>
      </c>
      <c r="F3166" t="s">
        <v>72</v>
      </c>
      <c r="G3166" t="s">
        <v>73</v>
      </c>
      <c r="H3166" t="s">
        <v>2008</v>
      </c>
      <c r="I3166" t="s">
        <v>2009</v>
      </c>
      <c r="J3166" t="s">
        <v>141</v>
      </c>
      <c r="K3166" s="3">
        <v>10096794851</v>
      </c>
      <c r="L3166" s="10">
        <v>39903</v>
      </c>
      <c r="M3166">
        <v>187.84</v>
      </c>
      <c r="N3166" s="11">
        <v>35</v>
      </c>
      <c r="O3166" s="12">
        <v>4.91</v>
      </c>
      <c r="P3166" s="12">
        <v>5.68</v>
      </c>
      <c r="Q3166" s="13">
        <v>-95.0475</v>
      </c>
      <c r="R3166" s="36" t="s">
        <v>1350</v>
      </c>
      <c r="S3166" s="7">
        <f t="shared" si="264"/>
        <v>1</v>
      </c>
      <c r="T3166" s="15" t="str">
        <f>VLOOKUP(R3166,产品分类!$C$2:$D$1278,2,0)</f>
        <v>办公用品</v>
      </c>
    </row>
    <row r="3167" spans="1:20">
      <c r="A3167" s="8">
        <f t="shared" si="267"/>
        <v>39902</v>
      </c>
      <c r="B3167" s="8">
        <f t="shared" si="267"/>
        <v>39902</v>
      </c>
      <c r="C3167" s="9" t="s">
        <v>669</v>
      </c>
      <c r="D3167">
        <v>10021364154</v>
      </c>
      <c r="E3167" t="s">
        <v>47</v>
      </c>
      <c r="F3167" t="s">
        <v>78</v>
      </c>
      <c r="G3167" t="s">
        <v>79</v>
      </c>
      <c r="H3167" t="s">
        <v>2105</v>
      </c>
      <c r="I3167" t="s">
        <v>2106</v>
      </c>
      <c r="J3167" t="s">
        <v>141</v>
      </c>
      <c r="K3167" s="3">
        <v>100710553565</v>
      </c>
      <c r="L3167" s="10">
        <v>39904</v>
      </c>
      <c r="M3167">
        <v>240.6</v>
      </c>
      <c r="N3167" s="11">
        <v>45</v>
      </c>
      <c r="O3167" s="12">
        <v>5.34</v>
      </c>
      <c r="P3167" s="12">
        <v>2.99</v>
      </c>
      <c r="Q3167" s="13">
        <v>3.451</v>
      </c>
      <c r="R3167" s="36" t="s">
        <v>415</v>
      </c>
      <c r="S3167" s="7">
        <f t="shared" si="264"/>
        <v>2</v>
      </c>
      <c r="T3167" s="15" t="str">
        <f>VLOOKUP(R3167,产品分类!$C$2:$D$1278,2,0)</f>
        <v>办公用品</v>
      </c>
    </row>
    <row r="3168" spans="1:20">
      <c r="A3168" s="8">
        <f t="shared" si="267"/>
        <v>39902</v>
      </c>
      <c r="B3168" s="8">
        <f t="shared" si="267"/>
        <v>39902</v>
      </c>
      <c r="C3168" s="9" t="s">
        <v>669</v>
      </c>
      <c r="D3168">
        <v>10021285803</v>
      </c>
      <c r="E3168" t="s">
        <v>47</v>
      </c>
      <c r="F3168" t="s">
        <v>72</v>
      </c>
      <c r="G3168" t="s">
        <v>73</v>
      </c>
      <c r="H3168" t="s">
        <v>2008</v>
      </c>
      <c r="I3168" t="s">
        <v>2009</v>
      </c>
      <c r="J3168" t="s">
        <v>141</v>
      </c>
      <c r="K3168" s="3">
        <v>100830091962</v>
      </c>
      <c r="L3168" s="10">
        <v>39904</v>
      </c>
      <c r="M3168">
        <v>236.878</v>
      </c>
      <c r="N3168" s="11">
        <v>5</v>
      </c>
      <c r="O3168" s="12">
        <v>55.99</v>
      </c>
      <c r="P3168" s="12">
        <v>5</v>
      </c>
      <c r="Q3168" s="13">
        <v>-275.253</v>
      </c>
      <c r="R3168" s="36" t="s">
        <v>1020</v>
      </c>
      <c r="S3168" s="7">
        <f t="shared" si="264"/>
        <v>2</v>
      </c>
      <c r="T3168" s="15" t="str">
        <f>VLOOKUP(R3168,产品分类!$C$2:$D$1278,2,0)</f>
        <v>办公用品</v>
      </c>
    </row>
    <row r="3169" spans="1:20">
      <c r="A3169" s="8">
        <f>DATE(2012,12,31)-636</f>
        <v>40638</v>
      </c>
      <c r="B3169" s="8">
        <f>DATE(2012,12,31)-636</f>
        <v>40638</v>
      </c>
      <c r="C3169" s="9" t="s">
        <v>229</v>
      </c>
      <c r="D3169">
        <v>10021581878</v>
      </c>
      <c r="E3169" t="s">
        <v>47</v>
      </c>
      <c r="F3169" t="s">
        <v>72</v>
      </c>
      <c r="G3169" t="s">
        <v>73</v>
      </c>
      <c r="H3169" t="s">
        <v>2008</v>
      </c>
      <c r="I3169" t="s">
        <v>2009</v>
      </c>
      <c r="J3169" t="s">
        <v>141</v>
      </c>
      <c r="K3169" s="3">
        <v>100124960478</v>
      </c>
      <c r="L3169" s="10">
        <v>40638</v>
      </c>
      <c r="M3169">
        <v>46.44</v>
      </c>
      <c r="N3169" s="11">
        <v>35</v>
      </c>
      <c r="O3169" s="12">
        <v>1.26</v>
      </c>
      <c r="P3169" s="12">
        <v>0.7</v>
      </c>
      <c r="Q3169" s="13">
        <v>-16.3</v>
      </c>
      <c r="R3169" s="36" t="s">
        <v>339</v>
      </c>
      <c r="S3169" s="7">
        <f t="shared" si="264"/>
        <v>0</v>
      </c>
      <c r="T3169" s="15" t="str">
        <f>VLOOKUP(R3169,产品分类!$C$2:$D$1278,2,0)</f>
        <v>数码电子</v>
      </c>
    </row>
    <row r="3170" spans="1:20">
      <c r="A3170" s="8">
        <f>DATE(2012,12,31)-40</f>
        <v>41234</v>
      </c>
      <c r="B3170" s="8">
        <f>DATE(2012,12,31)-40</f>
        <v>41234</v>
      </c>
      <c r="C3170" s="9" t="s">
        <v>1523</v>
      </c>
      <c r="D3170">
        <v>10021331159</v>
      </c>
      <c r="E3170" t="s">
        <v>47</v>
      </c>
      <c r="F3170" t="s">
        <v>72</v>
      </c>
      <c r="G3170" t="s">
        <v>73</v>
      </c>
      <c r="H3170" t="s">
        <v>2008</v>
      </c>
      <c r="I3170" t="s">
        <v>2009</v>
      </c>
      <c r="J3170" t="s">
        <v>141</v>
      </c>
      <c r="K3170" s="3">
        <v>10011297137</v>
      </c>
      <c r="L3170" s="10">
        <v>41236</v>
      </c>
      <c r="M3170">
        <v>6785.86</v>
      </c>
      <c r="N3170" s="11">
        <v>27</v>
      </c>
      <c r="O3170" s="12">
        <v>262.11</v>
      </c>
      <c r="P3170" s="12">
        <v>62.74</v>
      </c>
      <c r="Q3170" s="13">
        <v>-740.07</v>
      </c>
      <c r="R3170" s="36" t="s">
        <v>1593</v>
      </c>
      <c r="S3170" s="7">
        <f t="shared" si="264"/>
        <v>2</v>
      </c>
      <c r="T3170" s="15" t="str">
        <f>VLOOKUP(R3170,产品分类!$C$2:$D$1278,2,0)</f>
        <v>数码电子</v>
      </c>
    </row>
    <row r="3171" spans="1:20">
      <c r="A3171" s="8">
        <f>DATE(2012,12,31)-1319</f>
        <v>39955</v>
      </c>
      <c r="B3171" s="8">
        <f>DATE(2012,12,31)-1319</f>
        <v>39955</v>
      </c>
      <c r="C3171" s="9" t="s">
        <v>1198</v>
      </c>
      <c r="D3171">
        <v>10021584691</v>
      </c>
      <c r="E3171" t="s">
        <v>47</v>
      </c>
      <c r="F3171" t="s">
        <v>72</v>
      </c>
      <c r="G3171" t="s">
        <v>73</v>
      </c>
      <c r="H3171" t="s">
        <v>2008</v>
      </c>
      <c r="I3171" t="s">
        <v>2009</v>
      </c>
      <c r="J3171" t="s">
        <v>141</v>
      </c>
      <c r="K3171" s="3">
        <v>100327487859</v>
      </c>
      <c r="L3171" s="10">
        <v>39957</v>
      </c>
      <c r="M3171">
        <v>6277.75</v>
      </c>
      <c r="N3171" s="11">
        <v>50</v>
      </c>
      <c r="O3171" s="12">
        <v>130.98</v>
      </c>
      <c r="P3171" s="12">
        <v>30</v>
      </c>
      <c r="Q3171" s="13">
        <v>-592.43</v>
      </c>
      <c r="R3171" s="36" t="s">
        <v>1025</v>
      </c>
      <c r="S3171" s="7">
        <f t="shared" si="264"/>
        <v>2</v>
      </c>
      <c r="T3171" s="15" t="str">
        <f>VLOOKUP(R3171,产品分类!$C$2:$D$1278,2,0)</f>
        <v>办公用品</v>
      </c>
    </row>
    <row r="3172" spans="1:20">
      <c r="A3172" s="8">
        <f>DATE(2012,12,31)-1319</f>
        <v>39955</v>
      </c>
      <c r="B3172" s="8">
        <f>DATE(2012,12,31)-1319</f>
        <v>39955</v>
      </c>
      <c r="C3172" s="9" t="s">
        <v>1198</v>
      </c>
      <c r="D3172">
        <v>10021353552</v>
      </c>
      <c r="E3172" t="s">
        <v>47</v>
      </c>
      <c r="F3172" t="s">
        <v>72</v>
      </c>
      <c r="G3172" t="s">
        <v>73</v>
      </c>
      <c r="H3172" t="s">
        <v>2008</v>
      </c>
      <c r="I3172" t="s">
        <v>2009</v>
      </c>
      <c r="J3172" t="s">
        <v>141</v>
      </c>
      <c r="K3172" s="3">
        <v>100132572236</v>
      </c>
      <c r="L3172" s="10">
        <v>39959</v>
      </c>
      <c r="M3172">
        <v>360.24</v>
      </c>
      <c r="N3172" s="11">
        <v>19</v>
      </c>
      <c r="O3172" s="12">
        <v>19.98</v>
      </c>
      <c r="P3172" s="12">
        <v>4</v>
      </c>
      <c r="Q3172" s="13">
        <v>-53.82</v>
      </c>
      <c r="R3172" s="36" t="s">
        <v>846</v>
      </c>
      <c r="S3172" s="7">
        <f t="shared" si="264"/>
        <v>4</v>
      </c>
      <c r="T3172" s="15" t="str">
        <f>VLOOKUP(R3172,产品分类!$C$2:$D$1278,2,0)</f>
        <v>数码电子</v>
      </c>
    </row>
    <row r="3173" spans="1:20">
      <c r="A3173" s="16">
        <f>DATE(2012,12,31)-51</f>
        <v>41223</v>
      </c>
      <c r="B3173" s="16">
        <f>DATE(2012,12,31)-51</f>
        <v>41223</v>
      </c>
      <c r="C3173" s="9" t="s">
        <v>864</v>
      </c>
      <c r="D3173">
        <v>10021259155</v>
      </c>
      <c r="E3173" t="s">
        <v>47</v>
      </c>
      <c r="F3173" t="s">
        <v>72</v>
      </c>
      <c r="G3173" t="s">
        <v>73</v>
      </c>
      <c r="H3173" t="s">
        <v>2008</v>
      </c>
      <c r="I3173" t="s">
        <v>2009</v>
      </c>
      <c r="J3173" t="s">
        <v>141</v>
      </c>
      <c r="K3173" s="3">
        <v>100910544141</v>
      </c>
      <c r="L3173" s="10">
        <v>41225</v>
      </c>
      <c r="M3173">
        <v>6.77</v>
      </c>
      <c r="N3173" s="17">
        <v>1</v>
      </c>
      <c r="O3173" s="5">
        <v>2.52</v>
      </c>
      <c r="P3173" s="5">
        <v>4.28</v>
      </c>
      <c r="Q3173" s="6">
        <v>-3.66</v>
      </c>
      <c r="R3173" s="37" t="s">
        <v>1653</v>
      </c>
      <c r="S3173" s="7">
        <f t="shared" si="264"/>
        <v>2</v>
      </c>
      <c r="T3173" s="15" t="str">
        <f>VLOOKUP(R3173,产品分类!$C$2:$D$1278,2,0)</f>
        <v>办公用品</v>
      </c>
    </row>
    <row r="3174" spans="1:20">
      <c r="A3174" s="8">
        <f>DATE(2012,12,31)-867</f>
        <v>40407</v>
      </c>
      <c r="B3174" s="8">
        <f>DATE(2012,12,31)-867</f>
        <v>40407</v>
      </c>
      <c r="C3174" s="9" t="s">
        <v>113</v>
      </c>
      <c r="D3174">
        <v>10021576057</v>
      </c>
      <c r="E3174" t="s">
        <v>47</v>
      </c>
      <c r="F3174" t="s">
        <v>72</v>
      </c>
      <c r="G3174" t="s">
        <v>73</v>
      </c>
      <c r="H3174" t="s">
        <v>2008</v>
      </c>
      <c r="I3174" t="s">
        <v>2009</v>
      </c>
      <c r="J3174" t="s">
        <v>141</v>
      </c>
      <c r="K3174" s="3">
        <v>10015393956</v>
      </c>
      <c r="L3174" s="10">
        <v>40409</v>
      </c>
      <c r="M3174">
        <v>209.12</v>
      </c>
      <c r="N3174" s="11">
        <v>34</v>
      </c>
      <c r="O3174" s="12">
        <v>5.98</v>
      </c>
      <c r="P3174" s="12">
        <v>4.38</v>
      </c>
      <c r="Q3174" s="13">
        <v>-116.21</v>
      </c>
      <c r="R3174" s="36" t="s">
        <v>655</v>
      </c>
      <c r="S3174" s="7">
        <f t="shared" si="264"/>
        <v>2</v>
      </c>
      <c r="T3174" s="15" t="str">
        <f>VLOOKUP(R3174,产品分类!$C$2:$D$1278,2,0)</f>
        <v>家具产品</v>
      </c>
    </row>
    <row r="3175" spans="1:20">
      <c r="A3175" s="8">
        <f>DATE(2012,12,31)-867</f>
        <v>40407</v>
      </c>
      <c r="B3175" s="8">
        <f>DATE(2012,12,31)-867</f>
        <v>40407</v>
      </c>
      <c r="C3175" s="9" t="s">
        <v>113</v>
      </c>
      <c r="D3175">
        <v>10021502473</v>
      </c>
      <c r="E3175" t="s">
        <v>47</v>
      </c>
      <c r="F3175" t="s">
        <v>78</v>
      </c>
      <c r="G3175" t="s">
        <v>79</v>
      </c>
      <c r="H3175" t="s">
        <v>2105</v>
      </c>
      <c r="I3175" t="s">
        <v>2106</v>
      </c>
      <c r="J3175" t="s">
        <v>141</v>
      </c>
      <c r="K3175" s="3">
        <v>100328532019</v>
      </c>
      <c r="L3175" s="10">
        <v>40410</v>
      </c>
      <c r="M3175">
        <v>144.84</v>
      </c>
      <c r="N3175" s="11">
        <v>18</v>
      </c>
      <c r="O3175" s="12">
        <v>7.89</v>
      </c>
      <c r="P3175" s="12">
        <v>2.82</v>
      </c>
      <c r="Q3175" s="13">
        <v>21.49</v>
      </c>
      <c r="R3175" s="36" t="s">
        <v>2155</v>
      </c>
      <c r="S3175" s="7">
        <f t="shared" si="264"/>
        <v>3</v>
      </c>
      <c r="T3175" s="15" t="str">
        <f>VLOOKUP(R3175,产品分类!$C$2:$D$1278,2,0)</f>
        <v>数码电子</v>
      </c>
    </row>
    <row r="3176" spans="1:20">
      <c r="A3176" s="8">
        <f t="shared" ref="A3176:B3178" si="268">DATE(2012,12,31)-387</f>
        <v>40887</v>
      </c>
      <c r="B3176" s="8">
        <f t="shared" si="268"/>
        <v>40887</v>
      </c>
      <c r="C3176" s="9" t="s">
        <v>446</v>
      </c>
      <c r="D3176">
        <v>10021267277</v>
      </c>
      <c r="E3176" t="s">
        <v>47</v>
      </c>
      <c r="F3176" t="s">
        <v>72</v>
      </c>
      <c r="G3176" t="s">
        <v>73</v>
      </c>
      <c r="H3176" t="s">
        <v>2008</v>
      </c>
      <c r="I3176" t="s">
        <v>2009</v>
      </c>
      <c r="J3176" t="s">
        <v>141</v>
      </c>
      <c r="K3176" s="3">
        <v>100832080502</v>
      </c>
      <c r="L3176" s="10">
        <v>40888</v>
      </c>
      <c r="M3176">
        <v>140.37</v>
      </c>
      <c r="N3176" s="11">
        <v>20</v>
      </c>
      <c r="O3176" s="12">
        <v>4.48</v>
      </c>
      <c r="P3176" s="12">
        <v>49</v>
      </c>
      <c r="Q3176" s="13">
        <v>-893.39</v>
      </c>
      <c r="R3176" s="36" t="s">
        <v>337</v>
      </c>
      <c r="S3176" s="7">
        <f t="shared" si="264"/>
        <v>1</v>
      </c>
      <c r="T3176" s="15" t="str">
        <f>VLOOKUP(R3176,产品分类!$C$2:$D$1278,2,0)</f>
        <v>数码电子</v>
      </c>
    </row>
    <row r="3177" spans="1:20">
      <c r="A3177" s="8">
        <f t="shared" si="268"/>
        <v>40887</v>
      </c>
      <c r="B3177" s="8">
        <f t="shared" si="268"/>
        <v>40887</v>
      </c>
      <c r="C3177" s="9" t="s">
        <v>446</v>
      </c>
      <c r="D3177">
        <v>10021369450</v>
      </c>
      <c r="E3177" t="s">
        <v>47</v>
      </c>
      <c r="F3177" t="s">
        <v>72</v>
      </c>
      <c r="G3177" t="s">
        <v>73</v>
      </c>
      <c r="H3177" t="s">
        <v>2008</v>
      </c>
      <c r="I3177" t="s">
        <v>2009</v>
      </c>
      <c r="J3177" t="s">
        <v>141</v>
      </c>
      <c r="K3177" s="3">
        <v>10034134909</v>
      </c>
      <c r="L3177" s="10">
        <v>40889</v>
      </c>
      <c r="M3177">
        <v>5921.74</v>
      </c>
      <c r="N3177" s="11">
        <v>45</v>
      </c>
      <c r="O3177" s="12">
        <v>130.98</v>
      </c>
      <c r="P3177" s="12">
        <v>30</v>
      </c>
      <c r="Q3177" s="13">
        <v>-287.62</v>
      </c>
      <c r="R3177" s="36" t="s">
        <v>1025</v>
      </c>
      <c r="S3177" s="7">
        <f t="shared" si="264"/>
        <v>2</v>
      </c>
      <c r="T3177" s="15" t="str">
        <f>VLOOKUP(R3177,产品分类!$C$2:$D$1278,2,0)</f>
        <v>办公用品</v>
      </c>
    </row>
    <row r="3178" spans="1:20">
      <c r="A3178" s="8">
        <f t="shared" si="268"/>
        <v>40887</v>
      </c>
      <c r="B3178" s="8">
        <f t="shared" si="268"/>
        <v>40887</v>
      </c>
      <c r="C3178" s="9" t="s">
        <v>446</v>
      </c>
      <c r="D3178">
        <v>10021417934</v>
      </c>
      <c r="E3178" t="s">
        <v>47</v>
      </c>
      <c r="F3178" t="s">
        <v>72</v>
      </c>
      <c r="G3178" t="s">
        <v>73</v>
      </c>
      <c r="H3178" t="s">
        <v>2008</v>
      </c>
      <c r="I3178" t="s">
        <v>2009</v>
      </c>
      <c r="J3178" t="s">
        <v>141</v>
      </c>
      <c r="K3178" s="3">
        <v>100718280155</v>
      </c>
      <c r="L3178" s="10">
        <v>40889</v>
      </c>
      <c r="M3178">
        <v>68.16</v>
      </c>
      <c r="N3178" s="11">
        <v>4</v>
      </c>
      <c r="O3178" s="12">
        <v>15.98</v>
      </c>
      <c r="P3178" s="12">
        <v>6.5</v>
      </c>
      <c r="Q3178" s="13">
        <v>-52.44</v>
      </c>
      <c r="R3178" s="36" t="s">
        <v>371</v>
      </c>
      <c r="S3178" s="7">
        <f t="shared" si="264"/>
        <v>2</v>
      </c>
      <c r="T3178" s="15" t="str">
        <f>VLOOKUP(R3178,产品分类!$C$2:$D$1278,2,0)</f>
        <v>办公用品</v>
      </c>
    </row>
    <row r="3179" spans="1:20">
      <c r="A3179" s="8">
        <f t="shared" ref="A3179:B3182" si="269">DATE(2012,12,31)-686</f>
        <v>40588</v>
      </c>
      <c r="B3179" s="8">
        <f t="shared" si="269"/>
        <v>40588</v>
      </c>
      <c r="C3179" s="9" t="s">
        <v>188</v>
      </c>
      <c r="D3179">
        <v>10021504051</v>
      </c>
      <c r="E3179" t="s">
        <v>47</v>
      </c>
      <c r="F3179" t="s">
        <v>230</v>
      </c>
      <c r="G3179" t="s">
        <v>231</v>
      </c>
      <c r="H3179" t="s">
        <v>1798</v>
      </c>
      <c r="I3179" t="s">
        <v>1799</v>
      </c>
      <c r="J3179" t="s">
        <v>141</v>
      </c>
      <c r="K3179" s="3">
        <v>100930029321</v>
      </c>
      <c r="L3179" s="10">
        <v>40589</v>
      </c>
      <c r="M3179">
        <v>304.98</v>
      </c>
      <c r="N3179" s="11">
        <v>27</v>
      </c>
      <c r="O3179" s="12">
        <v>11.7</v>
      </c>
      <c r="P3179" s="12">
        <v>5.63</v>
      </c>
      <c r="Q3179" s="13">
        <v>2.7285</v>
      </c>
      <c r="R3179" s="36" t="s">
        <v>348</v>
      </c>
      <c r="S3179" s="7">
        <f t="shared" si="264"/>
        <v>1</v>
      </c>
      <c r="T3179" s="15" t="str">
        <f>VLOOKUP(R3179,产品分类!$C$2:$D$1278,2,0)</f>
        <v>办公用品</v>
      </c>
    </row>
    <row r="3180" spans="1:20">
      <c r="A3180" s="8">
        <f t="shared" si="269"/>
        <v>40588</v>
      </c>
      <c r="B3180" s="8">
        <f t="shared" si="269"/>
        <v>40588</v>
      </c>
      <c r="C3180" s="9" t="s">
        <v>188</v>
      </c>
      <c r="D3180">
        <v>10021419522</v>
      </c>
      <c r="E3180" t="s">
        <v>47</v>
      </c>
      <c r="F3180" t="s">
        <v>230</v>
      </c>
      <c r="G3180" t="s">
        <v>231</v>
      </c>
      <c r="H3180" t="s">
        <v>1798</v>
      </c>
      <c r="I3180" t="s">
        <v>1799</v>
      </c>
      <c r="J3180" t="s">
        <v>141</v>
      </c>
      <c r="K3180" s="3">
        <v>100119807096</v>
      </c>
      <c r="L3180" s="10">
        <v>40590</v>
      </c>
      <c r="M3180">
        <v>104.24</v>
      </c>
      <c r="N3180" s="11">
        <v>34</v>
      </c>
      <c r="O3180" s="12">
        <v>2.78</v>
      </c>
      <c r="P3180" s="12">
        <v>1.34</v>
      </c>
      <c r="Q3180" s="13">
        <v>10.59</v>
      </c>
      <c r="R3180" s="36" t="s">
        <v>452</v>
      </c>
      <c r="S3180" s="7">
        <f t="shared" si="264"/>
        <v>2</v>
      </c>
      <c r="T3180" s="15" t="str">
        <f>VLOOKUP(R3180,产品分类!$C$2:$D$1278,2,0)</f>
        <v>家具产品</v>
      </c>
    </row>
    <row r="3181" spans="1:20">
      <c r="A3181" s="8">
        <f t="shared" si="269"/>
        <v>40588</v>
      </c>
      <c r="B3181" s="8">
        <f t="shared" si="269"/>
        <v>40588</v>
      </c>
      <c r="C3181" s="9" t="s">
        <v>188</v>
      </c>
      <c r="D3181">
        <v>10021346875</v>
      </c>
      <c r="E3181" t="s">
        <v>47</v>
      </c>
      <c r="F3181" t="s">
        <v>230</v>
      </c>
      <c r="G3181" t="s">
        <v>231</v>
      </c>
      <c r="H3181" t="s">
        <v>1798</v>
      </c>
      <c r="I3181" t="s">
        <v>1799</v>
      </c>
      <c r="J3181" t="s">
        <v>141</v>
      </c>
      <c r="K3181" s="3">
        <v>100930949411</v>
      </c>
      <c r="L3181" s="10">
        <v>40590</v>
      </c>
      <c r="M3181">
        <v>198.13</v>
      </c>
      <c r="N3181" s="11">
        <v>27</v>
      </c>
      <c r="O3181" s="12">
        <v>6.98</v>
      </c>
      <c r="P3181" s="12">
        <v>9.69</v>
      </c>
      <c r="Q3181" s="13">
        <v>-219.92</v>
      </c>
      <c r="R3181" s="36" t="s">
        <v>1965</v>
      </c>
      <c r="S3181" s="7">
        <f t="shared" si="264"/>
        <v>2</v>
      </c>
      <c r="T3181" s="15" t="str">
        <f>VLOOKUP(R3181,产品分类!$C$2:$D$1278,2,0)</f>
        <v>数码电子</v>
      </c>
    </row>
    <row r="3182" spans="1:20">
      <c r="A3182" s="8">
        <f t="shared" si="269"/>
        <v>40588</v>
      </c>
      <c r="B3182" s="8">
        <f t="shared" si="269"/>
        <v>40588</v>
      </c>
      <c r="C3182" s="9" t="s">
        <v>188</v>
      </c>
      <c r="D3182">
        <v>10021501204</v>
      </c>
      <c r="E3182" t="s">
        <v>47</v>
      </c>
      <c r="F3182" t="s">
        <v>277</v>
      </c>
      <c r="G3182" t="s">
        <v>278</v>
      </c>
      <c r="H3182" t="s">
        <v>279</v>
      </c>
      <c r="I3182" t="s">
        <v>280</v>
      </c>
      <c r="J3182" t="s">
        <v>141</v>
      </c>
      <c r="K3182" s="3">
        <v>100311764119</v>
      </c>
      <c r="L3182" s="10">
        <v>40590</v>
      </c>
      <c r="M3182">
        <v>4366.348</v>
      </c>
      <c r="N3182" s="11">
        <v>25</v>
      </c>
      <c r="O3182" s="12">
        <v>205.99</v>
      </c>
      <c r="P3182" s="12">
        <v>3</v>
      </c>
      <c r="Q3182" s="13">
        <v>940.572</v>
      </c>
      <c r="R3182" s="36" t="s">
        <v>2039</v>
      </c>
      <c r="S3182" s="7">
        <f t="shared" si="264"/>
        <v>2</v>
      </c>
      <c r="T3182" s="15" t="str">
        <f>VLOOKUP(R3182,产品分类!$C$2:$D$1278,2,0)</f>
        <v>办公用品</v>
      </c>
    </row>
    <row r="3183" spans="1:20">
      <c r="A3183" s="8">
        <f>DATE(2012,12,31)-611</f>
        <v>40663</v>
      </c>
      <c r="B3183" s="8">
        <f>DATE(2012,12,31)-611</f>
        <v>40663</v>
      </c>
      <c r="C3183" s="9" t="s">
        <v>1823</v>
      </c>
      <c r="D3183">
        <v>10021286656</v>
      </c>
      <c r="E3183" t="s">
        <v>47</v>
      </c>
      <c r="F3183" t="s">
        <v>114</v>
      </c>
      <c r="G3183" t="s">
        <v>115</v>
      </c>
      <c r="H3183" t="s">
        <v>2156</v>
      </c>
      <c r="I3183" t="s">
        <v>2157</v>
      </c>
      <c r="J3183" t="s">
        <v>141</v>
      </c>
      <c r="K3183" s="3">
        <v>100329485679</v>
      </c>
      <c r="L3183" s="10">
        <v>40664</v>
      </c>
      <c r="M3183">
        <v>105.13</v>
      </c>
      <c r="N3183" s="11">
        <v>4</v>
      </c>
      <c r="O3183" s="12">
        <v>27.48</v>
      </c>
      <c r="P3183" s="12">
        <v>4</v>
      </c>
      <c r="Q3183" s="13">
        <v>-103.23</v>
      </c>
      <c r="R3183" s="36" t="s">
        <v>1392</v>
      </c>
      <c r="S3183" s="7">
        <f t="shared" si="264"/>
        <v>1</v>
      </c>
      <c r="T3183" s="15" t="str">
        <f>VLOOKUP(R3183,产品分类!$C$2:$D$1278,2,0)</f>
        <v>办公用品</v>
      </c>
    </row>
    <row r="3184" spans="1:20">
      <c r="A3184" s="8">
        <f t="shared" ref="A3184:B3186" si="270">DATE(2012,12,31)-1401</f>
        <v>39873</v>
      </c>
      <c r="B3184" s="8">
        <f t="shared" si="270"/>
        <v>39873</v>
      </c>
      <c r="C3184" s="9" t="s">
        <v>897</v>
      </c>
      <c r="D3184">
        <v>10021348386</v>
      </c>
      <c r="E3184" t="s">
        <v>47</v>
      </c>
      <c r="F3184" t="s">
        <v>277</v>
      </c>
      <c r="G3184" t="s">
        <v>278</v>
      </c>
      <c r="H3184" t="s">
        <v>279</v>
      </c>
      <c r="I3184" t="s">
        <v>280</v>
      </c>
      <c r="J3184" t="s">
        <v>141</v>
      </c>
      <c r="K3184" s="3">
        <v>100431570473</v>
      </c>
      <c r="L3184" s="10">
        <v>39874</v>
      </c>
      <c r="M3184">
        <v>667.36</v>
      </c>
      <c r="N3184" s="11">
        <v>25</v>
      </c>
      <c r="O3184" s="12">
        <v>28.48</v>
      </c>
      <c r="P3184" s="12">
        <v>1.99</v>
      </c>
      <c r="Q3184" s="13">
        <v>218.89</v>
      </c>
      <c r="R3184" s="36" t="s">
        <v>409</v>
      </c>
      <c r="S3184" s="7">
        <f t="shared" si="264"/>
        <v>1</v>
      </c>
      <c r="T3184" s="15" t="str">
        <f>VLOOKUP(R3184,产品分类!$C$2:$D$1278,2,0)</f>
        <v>办公用品</v>
      </c>
    </row>
    <row r="3185" spans="1:20">
      <c r="A3185" s="8">
        <f t="shared" si="270"/>
        <v>39873</v>
      </c>
      <c r="B3185" s="8">
        <f t="shared" si="270"/>
        <v>39873</v>
      </c>
      <c r="C3185" s="9" t="s">
        <v>897</v>
      </c>
      <c r="D3185">
        <v>10021370491</v>
      </c>
      <c r="E3185" t="s">
        <v>47</v>
      </c>
      <c r="F3185" t="s">
        <v>434</v>
      </c>
      <c r="G3185" t="s">
        <v>435</v>
      </c>
      <c r="H3185" t="s">
        <v>436</v>
      </c>
      <c r="I3185" t="s">
        <v>437</v>
      </c>
      <c r="J3185" t="s">
        <v>141</v>
      </c>
      <c r="K3185" s="3">
        <v>100110648858</v>
      </c>
      <c r="L3185" s="10">
        <v>39875</v>
      </c>
      <c r="M3185">
        <v>32.37</v>
      </c>
      <c r="N3185" s="11">
        <v>13</v>
      </c>
      <c r="O3185" s="12">
        <v>2.08</v>
      </c>
      <c r="P3185" s="12">
        <v>5.33</v>
      </c>
      <c r="Q3185" s="13">
        <v>-48.55</v>
      </c>
      <c r="R3185" s="36" t="s">
        <v>901</v>
      </c>
      <c r="S3185" s="7">
        <f t="shared" si="264"/>
        <v>2</v>
      </c>
      <c r="T3185" s="15" t="str">
        <f>VLOOKUP(R3185,产品分类!$C$2:$D$1278,2,0)</f>
        <v>家具产品</v>
      </c>
    </row>
    <row r="3186" spans="1:20">
      <c r="A3186" s="8">
        <f t="shared" si="270"/>
        <v>39873</v>
      </c>
      <c r="B3186" s="8">
        <f t="shared" si="270"/>
        <v>39873</v>
      </c>
      <c r="C3186" s="9" t="s">
        <v>897</v>
      </c>
      <c r="D3186">
        <v>10021423031</v>
      </c>
      <c r="E3186" t="s">
        <v>47</v>
      </c>
      <c r="F3186" t="s">
        <v>122</v>
      </c>
      <c r="G3186" t="s">
        <v>123</v>
      </c>
      <c r="H3186" t="s">
        <v>124</v>
      </c>
      <c r="I3186" t="s">
        <v>125</v>
      </c>
      <c r="J3186" t="s">
        <v>141</v>
      </c>
      <c r="K3186" s="3">
        <v>100827669532</v>
      </c>
      <c r="L3186" s="10">
        <v>39874</v>
      </c>
      <c r="M3186">
        <v>1409.0875</v>
      </c>
      <c r="N3186" s="11">
        <v>38</v>
      </c>
      <c r="O3186" s="12">
        <v>45.99</v>
      </c>
      <c r="P3186" s="12">
        <v>4.99</v>
      </c>
      <c r="Q3186" s="13">
        <v>233.559</v>
      </c>
      <c r="R3186" s="36" t="s">
        <v>1108</v>
      </c>
      <c r="S3186" s="7">
        <f t="shared" si="264"/>
        <v>1</v>
      </c>
      <c r="T3186" s="15" t="str">
        <f>VLOOKUP(R3186,产品分类!$C$2:$D$1278,2,0)</f>
        <v>办公用品</v>
      </c>
    </row>
    <row r="3187" spans="1:20">
      <c r="A3187" s="8">
        <f>DATE(2012,12,31)-946</f>
        <v>40328</v>
      </c>
      <c r="B3187" s="8">
        <f>DATE(2012,12,31)-946</f>
        <v>40328</v>
      </c>
      <c r="C3187" s="9" t="s">
        <v>2158</v>
      </c>
      <c r="D3187">
        <v>10021344893</v>
      </c>
      <c r="E3187" t="s">
        <v>47</v>
      </c>
      <c r="F3187" t="s">
        <v>122</v>
      </c>
      <c r="G3187" t="s">
        <v>123</v>
      </c>
      <c r="H3187" t="s">
        <v>124</v>
      </c>
      <c r="I3187" t="s">
        <v>125</v>
      </c>
      <c r="J3187" t="s">
        <v>141</v>
      </c>
      <c r="K3187" s="3">
        <v>100829835832</v>
      </c>
      <c r="L3187" s="10">
        <v>40331</v>
      </c>
      <c r="M3187">
        <v>24.96</v>
      </c>
      <c r="N3187" s="11">
        <v>13</v>
      </c>
      <c r="O3187" s="12">
        <v>1.7</v>
      </c>
      <c r="P3187" s="12">
        <v>1.99</v>
      </c>
      <c r="Q3187" s="13">
        <v>-20.68</v>
      </c>
      <c r="R3187" s="36" t="s">
        <v>1962</v>
      </c>
      <c r="S3187" s="7">
        <f t="shared" si="264"/>
        <v>3</v>
      </c>
      <c r="T3187" s="15" t="str">
        <f>VLOOKUP(R3187,产品分类!$C$2:$D$1278,2,0)</f>
        <v>数码电子</v>
      </c>
    </row>
    <row r="3188" spans="1:20">
      <c r="A3188" s="8">
        <f>DATE(2012,12,31)-1000</f>
        <v>40274</v>
      </c>
      <c r="B3188" s="8">
        <f>DATE(2012,12,31)-1000</f>
        <v>40274</v>
      </c>
      <c r="C3188" s="9" t="s">
        <v>1578</v>
      </c>
      <c r="D3188">
        <v>10021418864</v>
      </c>
      <c r="E3188" t="s">
        <v>47</v>
      </c>
      <c r="F3188" t="s">
        <v>122</v>
      </c>
      <c r="G3188" t="s">
        <v>123</v>
      </c>
      <c r="H3188" t="s">
        <v>124</v>
      </c>
      <c r="I3188" t="s">
        <v>125</v>
      </c>
      <c r="J3188" t="s">
        <v>141</v>
      </c>
      <c r="K3188" s="3">
        <v>100122239688</v>
      </c>
      <c r="L3188" s="10">
        <v>40275</v>
      </c>
      <c r="M3188">
        <v>476.06</v>
      </c>
      <c r="N3188" s="11">
        <v>33</v>
      </c>
      <c r="O3188" s="12">
        <v>14.03</v>
      </c>
      <c r="P3188" s="12">
        <v>9.37</v>
      </c>
      <c r="Q3188" s="13">
        <v>-120.48</v>
      </c>
      <c r="R3188" s="36" t="s">
        <v>1014</v>
      </c>
      <c r="S3188" s="7">
        <f t="shared" si="264"/>
        <v>1</v>
      </c>
      <c r="T3188" s="15" t="str">
        <f>VLOOKUP(R3188,产品分类!$C$2:$D$1278,2,0)</f>
        <v>数码电子</v>
      </c>
    </row>
    <row r="3189" spans="1:20">
      <c r="A3189" s="8">
        <f>DATE(2012,12,31)-840</f>
        <v>40434</v>
      </c>
      <c r="B3189" s="8">
        <f>DATE(2012,12,31)-840</f>
        <v>40434</v>
      </c>
      <c r="C3189" s="9" t="s">
        <v>754</v>
      </c>
      <c r="D3189">
        <v>10021251888</v>
      </c>
      <c r="E3189" t="s">
        <v>47</v>
      </c>
      <c r="F3189" t="s">
        <v>122</v>
      </c>
      <c r="G3189" t="s">
        <v>123</v>
      </c>
      <c r="H3189" t="s">
        <v>2159</v>
      </c>
      <c r="I3189" t="s">
        <v>2160</v>
      </c>
      <c r="J3189" t="s">
        <v>141</v>
      </c>
      <c r="K3189" s="3">
        <v>100914890251</v>
      </c>
      <c r="L3189" s="10">
        <v>40436</v>
      </c>
      <c r="M3189">
        <v>71.24</v>
      </c>
      <c r="N3189" s="11">
        <v>10</v>
      </c>
      <c r="O3189" s="12">
        <v>6.69</v>
      </c>
      <c r="P3189" s="12">
        <v>3.1</v>
      </c>
      <c r="Q3189" s="13">
        <v>2.78</v>
      </c>
      <c r="R3189" s="36" t="s">
        <v>2161</v>
      </c>
      <c r="S3189" s="7">
        <f t="shared" si="264"/>
        <v>2</v>
      </c>
      <c r="T3189" s="15" t="str">
        <f>VLOOKUP(R3189,产品分类!$C$2:$D$1278,2,0)</f>
        <v>数码电子</v>
      </c>
    </row>
    <row r="3190" spans="1:20">
      <c r="A3190" s="8">
        <f>DATE(2012,12,31)-1134</f>
        <v>40140</v>
      </c>
      <c r="B3190" s="8">
        <f>DATE(2012,12,31)-1134</f>
        <v>40140</v>
      </c>
      <c r="C3190" s="9" t="s">
        <v>2162</v>
      </c>
      <c r="D3190">
        <v>10021430879</v>
      </c>
      <c r="E3190" t="s">
        <v>47</v>
      </c>
      <c r="F3190" t="s">
        <v>91</v>
      </c>
      <c r="G3190" t="s">
        <v>92</v>
      </c>
      <c r="H3190" t="s">
        <v>2053</v>
      </c>
      <c r="I3190" t="s">
        <v>2054</v>
      </c>
      <c r="J3190" t="s">
        <v>141</v>
      </c>
      <c r="K3190" s="3">
        <v>100331961109</v>
      </c>
      <c r="L3190" s="10">
        <v>40142</v>
      </c>
      <c r="M3190">
        <v>56.47</v>
      </c>
      <c r="N3190" s="11">
        <v>4</v>
      </c>
      <c r="O3190" s="12">
        <v>12.88</v>
      </c>
      <c r="P3190" s="12">
        <v>4.59</v>
      </c>
      <c r="Q3190" s="13">
        <v>-29.9</v>
      </c>
      <c r="R3190" s="36" t="s">
        <v>1622</v>
      </c>
      <c r="S3190" s="7">
        <f t="shared" si="264"/>
        <v>2</v>
      </c>
      <c r="T3190" s="15" t="str">
        <f>VLOOKUP(R3190,产品分类!$C$2:$D$1278,2,0)</f>
        <v>数码电子</v>
      </c>
    </row>
    <row r="3191" spans="1:20">
      <c r="A3191" s="8">
        <f>DATE(2012,12,31)-774</f>
        <v>40500</v>
      </c>
      <c r="B3191" s="8">
        <f>DATE(2012,12,31)-774</f>
        <v>40500</v>
      </c>
      <c r="C3191" s="9" t="s">
        <v>358</v>
      </c>
      <c r="D3191">
        <v>10021338305</v>
      </c>
      <c r="E3191" t="s">
        <v>47</v>
      </c>
      <c r="F3191" t="s">
        <v>122</v>
      </c>
      <c r="G3191" t="s">
        <v>123</v>
      </c>
      <c r="H3191" t="s">
        <v>2159</v>
      </c>
      <c r="I3191" t="s">
        <v>2160</v>
      </c>
      <c r="J3191" t="s">
        <v>141</v>
      </c>
      <c r="K3191" s="3">
        <v>100123838088</v>
      </c>
      <c r="L3191" s="10">
        <v>40501</v>
      </c>
      <c r="M3191">
        <v>9107.27</v>
      </c>
      <c r="N3191" s="11">
        <v>34</v>
      </c>
      <c r="O3191" s="12">
        <v>276.2</v>
      </c>
      <c r="P3191" s="12">
        <v>24.49</v>
      </c>
      <c r="Q3191" s="13">
        <v>2463.36</v>
      </c>
      <c r="R3191" s="36" t="s">
        <v>559</v>
      </c>
      <c r="S3191" s="7">
        <f t="shared" si="264"/>
        <v>1</v>
      </c>
      <c r="T3191" s="15" t="str">
        <f>VLOOKUP(R3191,产品分类!$C$2:$D$1278,2,0)</f>
        <v>家具产品</v>
      </c>
    </row>
    <row r="3192" spans="1:20">
      <c r="A3192" s="8">
        <f>DATE(2012,12,31)-807</f>
        <v>40467</v>
      </c>
      <c r="B3192" s="8">
        <f>DATE(2012,12,31)-807</f>
        <v>40467</v>
      </c>
      <c r="C3192" s="9" t="s">
        <v>1879</v>
      </c>
      <c r="D3192">
        <v>10021347785</v>
      </c>
      <c r="E3192" t="s">
        <v>47</v>
      </c>
      <c r="F3192" t="s">
        <v>91</v>
      </c>
      <c r="G3192" t="s">
        <v>92</v>
      </c>
      <c r="H3192" t="s">
        <v>2053</v>
      </c>
      <c r="I3192" t="s">
        <v>2054</v>
      </c>
      <c r="J3192" t="s">
        <v>141</v>
      </c>
      <c r="K3192" s="3">
        <v>100131300788</v>
      </c>
      <c r="L3192" s="10">
        <v>40471</v>
      </c>
      <c r="M3192">
        <v>10168.23</v>
      </c>
      <c r="N3192" s="11">
        <v>33</v>
      </c>
      <c r="O3192" s="12">
        <v>304.99</v>
      </c>
      <c r="P3192" s="12">
        <v>19.99</v>
      </c>
      <c r="Q3192" s="13">
        <v>4141.8035</v>
      </c>
      <c r="R3192" s="36" t="s">
        <v>782</v>
      </c>
      <c r="S3192" s="7">
        <f t="shared" si="264"/>
        <v>4</v>
      </c>
      <c r="T3192" s="15" t="str">
        <f>VLOOKUP(R3192,产品分类!$C$2:$D$1278,2,0)</f>
        <v>办公用品</v>
      </c>
    </row>
    <row r="3193" spans="1:20">
      <c r="A3193" s="8">
        <f t="shared" ref="A3193:B3195" si="271">DATE(2012,12,31)-920</f>
        <v>40354</v>
      </c>
      <c r="B3193" s="8">
        <f t="shared" si="271"/>
        <v>40354</v>
      </c>
      <c r="C3193" s="9" t="s">
        <v>1054</v>
      </c>
      <c r="D3193">
        <v>10021396224</v>
      </c>
      <c r="E3193" t="s">
        <v>47</v>
      </c>
      <c r="F3193" t="s">
        <v>55</v>
      </c>
      <c r="G3193" t="s">
        <v>56</v>
      </c>
      <c r="H3193" t="s">
        <v>2112</v>
      </c>
      <c r="I3193" t="s">
        <v>2113</v>
      </c>
      <c r="J3193" t="s">
        <v>141</v>
      </c>
      <c r="K3193" s="3">
        <v>100419437574</v>
      </c>
      <c r="L3193" s="10">
        <v>40355</v>
      </c>
      <c r="M3193">
        <v>176.77</v>
      </c>
      <c r="N3193" s="11">
        <v>32</v>
      </c>
      <c r="O3193" s="12">
        <v>4.98</v>
      </c>
      <c r="P3193" s="12">
        <v>4.72</v>
      </c>
      <c r="Q3193" s="13">
        <v>-41.6</v>
      </c>
      <c r="R3193" s="36" t="s">
        <v>331</v>
      </c>
      <c r="S3193" s="7">
        <f t="shared" si="264"/>
        <v>1</v>
      </c>
      <c r="T3193" s="15" t="str">
        <f>VLOOKUP(R3193,产品分类!$C$2:$D$1278,2,0)</f>
        <v>数码电子</v>
      </c>
    </row>
    <row r="3194" spans="1:20">
      <c r="A3194" s="8">
        <f t="shared" si="271"/>
        <v>40354</v>
      </c>
      <c r="B3194" s="8">
        <f t="shared" si="271"/>
        <v>40354</v>
      </c>
      <c r="C3194" s="9" t="s">
        <v>1054</v>
      </c>
      <c r="D3194">
        <v>10021493741</v>
      </c>
      <c r="E3194" t="s">
        <v>47</v>
      </c>
      <c r="F3194" t="s">
        <v>91</v>
      </c>
      <c r="G3194" t="s">
        <v>92</v>
      </c>
      <c r="H3194" t="s">
        <v>2053</v>
      </c>
      <c r="I3194" t="s">
        <v>2054</v>
      </c>
      <c r="J3194" t="s">
        <v>141</v>
      </c>
      <c r="K3194" s="3">
        <v>10094591831</v>
      </c>
      <c r="L3194" s="10">
        <v>40357</v>
      </c>
      <c r="M3194">
        <v>6568.024</v>
      </c>
      <c r="N3194" s="11">
        <v>24</v>
      </c>
      <c r="O3194" s="12">
        <v>348.21</v>
      </c>
      <c r="P3194" s="12">
        <v>40.19</v>
      </c>
      <c r="Q3194" s="13">
        <v>1715.9</v>
      </c>
      <c r="R3194" s="36" t="s">
        <v>1195</v>
      </c>
      <c r="S3194" s="7">
        <f t="shared" si="264"/>
        <v>3</v>
      </c>
      <c r="T3194" s="15" t="str">
        <f>VLOOKUP(R3194,产品分类!$C$2:$D$1278,2,0)</f>
        <v>办公用品</v>
      </c>
    </row>
    <row r="3195" spans="1:20">
      <c r="A3195" s="8">
        <f t="shared" si="271"/>
        <v>40354</v>
      </c>
      <c r="B3195" s="8">
        <f t="shared" si="271"/>
        <v>40354</v>
      </c>
      <c r="C3195" s="9" t="s">
        <v>1054</v>
      </c>
      <c r="D3195">
        <v>10021250124</v>
      </c>
      <c r="E3195" t="s">
        <v>47</v>
      </c>
      <c r="F3195" t="s">
        <v>91</v>
      </c>
      <c r="G3195" t="s">
        <v>92</v>
      </c>
      <c r="H3195" t="s">
        <v>2053</v>
      </c>
      <c r="I3195" t="s">
        <v>2054</v>
      </c>
      <c r="J3195" t="s">
        <v>141</v>
      </c>
      <c r="K3195" s="3">
        <v>10092161641</v>
      </c>
      <c r="L3195" s="10">
        <v>40355</v>
      </c>
      <c r="M3195">
        <v>1579.028</v>
      </c>
      <c r="N3195" s="11">
        <v>50</v>
      </c>
      <c r="O3195" s="12">
        <v>35.99</v>
      </c>
      <c r="P3195" s="12">
        <v>5.99</v>
      </c>
      <c r="Q3195" s="13">
        <v>624.978</v>
      </c>
      <c r="R3195" s="36" t="s">
        <v>1664</v>
      </c>
      <c r="S3195" s="7">
        <f t="shared" si="264"/>
        <v>1</v>
      </c>
      <c r="T3195" s="15" t="str">
        <f>VLOOKUP(R3195,产品分类!$C$2:$D$1278,2,0)</f>
        <v>数码电子</v>
      </c>
    </row>
    <row r="3196" spans="1:20">
      <c r="A3196" s="8">
        <f>DATE(2012,12,31)-353</f>
        <v>40921</v>
      </c>
      <c r="B3196" s="8">
        <f>DATE(2012,12,31)-353</f>
        <v>40921</v>
      </c>
      <c r="C3196" s="9" t="s">
        <v>681</v>
      </c>
      <c r="D3196">
        <v>10021575128</v>
      </c>
      <c r="E3196" t="s">
        <v>47</v>
      </c>
      <c r="F3196" t="s">
        <v>122</v>
      </c>
      <c r="G3196" t="s">
        <v>123</v>
      </c>
      <c r="H3196" t="s">
        <v>2159</v>
      </c>
      <c r="I3196" t="s">
        <v>2160</v>
      </c>
      <c r="J3196" t="s">
        <v>141</v>
      </c>
      <c r="K3196" s="3">
        <v>10074283535</v>
      </c>
      <c r="L3196" s="10">
        <v>40922</v>
      </c>
      <c r="M3196">
        <v>336.65</v>
      </c>
      <c r="N3196" s="11">
        <v>30</v>
      </c>
      <c r="O3196" s="12">
        <v>11.7</v>
      </c>
      <c r="P3196" s="12">
        <v>6.96</v>
      </c>
      <c r="Q3196" s="13">
        <v>-71.05</v>
      </c>
      <c r="R3196" s="36" t="s">
        <v>244</v>
      </c>
      <c r="S3196" s="7">
        <f t="shared" si="264"/>
        <v>1</v>
      </c>
      <c r="T3196" s="15" t="str">
        <f>VLOOKUP(R3196,产品分类!$C$2:$D$1278,2,0)</f>
        <v>办公用品</v>
      </c>
    </row>
    <row r="3197" spans="1:20">
      <c r="A3197" s="16">
        <f>DATE(2012,12,31)-333</f>
        <v>40941</v>
      </c>
      <c r="B3197" s="16">
        <f>DATE(2012,12,31)-333</f>
        <v>40941</v>
      </c>
      <c r="C3197" s="9" t="s">
        <v>1076</v>
      </c>
      <c r="D3197">
        <v>10021332647</v>
      </c>
      <c r="E3197" t="s">
        <v>47</v>
      </c>
      <c r="F3197" t="s">
        <v>55</v>
      </c>
      <c r="G3197" t="s">
        <v>56</v>
      </c>
      <c r="H3197" t="s">
        <v>2112</v>
      </c>
      <c r="I3197" t="s">
        <v>2113</v>
      </c>
      <c r="J3197" t="s">
        <v>141</v>
      </c>
      <c r="K3197" s="3">
        <v>100110286616</v>
      </c>
      <c r="L3197" s="10">
        <v>40942</v>
      </c>
      <c r="M3197">
        <v>122.02</v>
      </c>
      <c r="N3197" s="17">
        <v>18</v>
      </c>
      <c r="O3197" s="5">
        <v>6.48</v>
      </c>
      <c r="P3197" s="5">
        <v>10.05</v>
      </c>
      <c r="Q3197" s="6">
        <v>-115</v>
      </c>
      <c r="R3197" s="37" t="s">
        <v>215</v>
      </c>
      <c r="S3197" s="7">
        <f t="shared" si="264"/>
        <v>1</v>
      </c>
      <c r="T3197" s="15" t="str">
        <f>VLOOKUP(R3197,产品分类!$C$2:$D$1278,2,0)</f>
        <v>数码电子</v>
      </c>
    </row>
    <row r="3198" spans="1:20">
      <c r="A3198" s="8">
        <f>DATE(2012,12,31)-1401</f>
        <v>39873</v>
      </c>
      <c r="B3198" s="8">
        <f>DATE(2012,12,31)-1401</f>
        <v>39873</v>
      </c>
      <c r="C3198" s="9" t="s">
        <v>1221</v>
      </c>
      <c r="D3198">
        <v>10021390272</v>
      </c>
      <c r="E3198" t="s">
        <v>47</v>
      </c>
      <c r="F3198" t="s">
        <v>91</v>
      </c>
      <c r="G3198" t="s">
        <v>92</v>
      </c>
      <c r="H3198" t="s">
        <v>2053</v>
      </c>
      <c r="I3198" t="s">
        <v>2054</v>
      </c>
      <c r="J3198" t="s">
        <v>141</v>
      </c>
      <c r="K3198" s="3">
        <v>100316763269</v>
      </c>
      <c r="L3198" s="10">
        <v>39876</v>
      </c>
      <c r="M3198">
        <v>3550.28</v>
      </c>
      <c r="N3198" s="11">
        <v>1</v>
      </c>
      <c r="O3198" s="12">
        <v>3499.99</v>
      </c>
      <c r="P3198" s="12">
        <v>24.49</v>
      </c>
      <c r="Q3198" s="13">
        <v>-11769.17</v>
      </c>
      <c r="R3198" s="36" t="s">
        <v>1863</v>
      </c>
      <c r="S3198" s="7">
        <f t="shared" si="264"/>
        <v>3</v>
      </c>
      <c r="T3198" s="15" t="str">
        <f>VLOOKUP(R3198,产品分类!$C$2:$D$1278,2,0)</f>
        <v>办公用品</v>
      </c>
    </row>
    <row r="3199" spans="1:20">
      <c r="A3199" s="8">
        <f>DATE(2012,12,31)-1263</f>
        <v>40011</v>
      </c>
      <c r="B3199" s="8">
        <f>DATE(2012,12,31)-1263</f>
        <v>40011</v>
      </c>
      <c r="C3199" s="9" t="s">
        <v>1084</v>
      </c>
      <c r="D3199">
        <v>10021434323</v>
      </c>
      <c r="E3199" t="s">
        <v>47</v>
      </c>
      <c r="F3199" t="s">
        <v>55</v>
      </c>
      <c r="G3199" t="s">
        <v>56</v>
      </c>
      <c r="H3199" t="s">
        <v>2112</v>
      </c>
      <c r="I3199" t="s">
        <v>2113</v>
      </c>
      <c r="J3199" t="s">
        <v>141</v>
      </c>
      <c r="K3199" s="3">
        <v>100132657746</v>
      </c>
      <c r="L3199" s="10">
        <v>40012</v>
      </c>
      <c r="M3199">
        <v>98.77</v>
      </c>
      <c r="N3199" s="11">
        <v>21</v>
      </c>
      <c r="O3199" s="12">
        <v>4.91</v>
      </c>
      <c r="P3199" s="12">
        <v>0.5</v>
      </c>
      <c r="Q3199" s="13">
        <v>41.33</v>
      </c>
      <c r="R3199" s="36" t="s">
        <v>827</v>
      </c>
      <c r="S3199" s="7">
        <f t="shared" si="264"/>
        <v>1</v>
      </c>
      <c r="T3199" s="15" t="str">
        <f>VLOOKUP(R3199,产品分类!$C$2:$D$1278,2,0)</f>
        <v>家具产品</v>
      </c>
    </row>
    <row r="3200" spans="1:20">
      <c r="A3200" s="8">
        <f>DATE(2012,12,31)-1109</f>
        <v>40165</v>
      </c>
      <c r="B3200" s="8">
        <f>DATE(2012,12,31)-1109</f>
        <v>40165</v>
      </c>
      <c r="C3200" s="9" t="s">
        <v>317</v>
      </c>
      <c r="D3200">
        <v>10021498183</v>
      </c>
      <c r="E3200" t="s">
        <v>47</v>
      </c>
      <c r="F3200" t="s">
        <v>61</v>
      </c>
      <c r="G3200" t="s">
        <v>62</v>
      </c>
      <c r="H3200" t="s">
        <v>47</v>
      </c>
      <c r="I3200" t="s">
        <v>1778</v>
      </c>
      <c r="J3200" t="s">
        <v>141</v>
      </c>
      <c r="K3200" s="3">
        <v>10086707802</v>
      </c>
      <c r="L3200" s="10">
        <v>40172</v>
      </c>
      <c r="M3200">
        <v>216.25</v>
      </c>
      <c r="N3200" s="11">
        <v>19</v>
      </c>
      <c r="O3200" s="12">
        <v>12.22</v>
      </c>
      <c r="P3200" s="12">
        <v>2.85</v>
      </c>
      <c r="Q3200" s="13">
        <v>58.84</v>
      </c>
      <c r="R3200" s="36" t="s">
        <v>1125</v>
      </c>
      <c r="S3200" s="7">
        <f t="shared" si="264"/>
        <v>7</v>
      </c>
      <c r="T3200" s="15" t="str">
        <f>VLOOKUP(R3200,产品分类!$C$2:$D$1278,2,0)</f>
        <v>家具产品</v>
      </c>
    </row>
    <row r="3201" spans="1:20">
      <c r="A3201" s="8">
        <f>DATE(2012,12,31)-376</f>
        <v>40898</v>
      </c>
      <c r="B3201" s="8">
        <f>DATE(2012,12,31)-376</f>
        <v>40898</v>
      </c>
      <c r="C3201" s="9" t="s">
        <v>2163</v>
      </c>
      <c r="D3201">
        <v>10021387207</v>
      </c>
      <c r="E3201" t="s">
        <v>47</v>
      </c>
      <c r="F3201" t="s">
        <v>97</v>
      </c>
      <c r="G3201" t="s">
        <v>98</v>
      </c>
      <c r="H3201" t="s">
        <v>99</v>
      </c>
      <c r="I3201" t="s">
        <v>98</v>
      </c>
      <c r="J3201" t="s">
        <v>141</v>
      </c>
      <c r="K3201" s="3">
        <v>100817068972</v>
      </c>
      <c r="L3201" s="10">
        <v>40905</v>
      </c>
      <c r="M3201">
        <v>1756.11</v>
      </c>
      <c r="N3201" s="11">
        <v>29</v>
      </c>
      <c r="O3201" s="12">
        <v>64.65</v>
      </c>
      <c r="P3201" s="12">
        <v>35</v>
      </c>
      <c r="Q3201" s="13">
        <v>-888.07</v>
      </c>
      <c r="R3201" s="36" t="s">
        <v>1310</v>
      </c>
      <c r="S3201" s="7">
        <f t="shared" si="264"/>
        <v>7</v>
      </c>
      <c r="T3201" s="15" t="str">
        <f>VLOOKUP(R3201,产品分类!$C$2:$D$1278,2,0)</f>
        <v>办公用品</v>
      </c>
    </row>
    <row r="3202" spans="1:20">
      <c r="A3202" s="8">
        <f>DATE(2012,12,31)-242</f>
        <v>41032</v>
      </c>
      <c r="B3202" s="8">
        <f>DATE(2012,12,31)-242</f>
        <v>41032</v>
      </c>
      <c r="C3202" s="9" t="s">
        <v>457</v>
      </c>
      <c r="D3202">
        <v>10021539318</v>
      </c>
      <c r="E3202" t="s">
        <v>47</v>
      </c>
      <c r="F3202" t="s">
        <v>97</v>
      </c>
      <c r="G3202" t="s">
        <v>98</v>
      </c>
      <c r="H3202" t="s">
        <v>99</v>
      </c>
      <c r="I3202" t="s">
        <v>98</v>
      </c>
      <c r="J3202" t="s">
        <v>141</v>
      </c>
      <c r="K3202" s="3">
        <v>10045288674</v>
      </c>
      <c r="L3202" s="10">
        <v>41032</v>
      </c>
      <c r="M3202">
        <v>1304.0275</v>
      </c>
      <c r="N3202" s="11">
        <v>24</v>
      </c>
      <c r="O3202" s="12">
        <v>65.99</v>
      </c>
      <c r="P3202" s="12">
        <v>8.99</v>
      </c>
      <c r="Q3202" s="13">
        <v>34.362</v>
      </c>
      <c r="R3202" s="36" t="s">
        <v>2164</v>
      </c>
      <c r="S3202" s="7">
        <f t="shared" si="264"/>
        <v>0</v>
      </c>
      <c r="T3202" s="15" t="str">
        <f>VLOOKUP(R3202,产品分类!$C$2:$D$1278,2,0)</f>
        <v>办公用品</v>
      </c>
    </row>
    <row r="3203" spans="1:20">
      <c r="A3203" s="8">
        <f>DATE(2012,12,31)-1369</f>
        <v>39905</v>
      </c>
      <c r="B3203" s="8">
        <f>DATE(2012,12,31)-1369</f>
        <v>39905</v>
      </c>
      <c r="C3203" s="9" t="s">
        <v>968</v>
      </c>
      <c r="D3203">
        <v>10021494711</v>
      </c>
      <c r="E3203" t="s">
        <v>47</v>
      </c>
      <c r="F3203" t="s">
        <v>132</v>
      </c>
      <c r="G3203" t="s">
        <v>133</v>
      </c>
      <c r="H3203" t="s">
        <v>134</v>
      </c>
      <c r="I3203" t="s">
        <v>133</v>
      </c>
      <c r="J3203" t="s">
        <v>141</v>
      </c>
      <c r="K3203" s="3">
        <v>10039902299</v>
      </c>
      <c r="L3203" s="10">
        <v>39906</v>
      </c>
      <c r="M3203">
        <v>1801.95</v>
      </c>
      <c r="N3203" s="11">
        <v>28</v>
      </c>
      <c r="O3203" s="12">
        <v>60.89</v>
      </c>
      <c r="P3203" s="12">
        <v>32.41</v>
      </c>
      <c r="Q3203" s="13">
        <v>-182.07</v>
      </c>
      <c r="R3203" s="36" t="s">
        <v>519</v>
      </c>
      <c r="S3203" s="7">
        <f t="shared" ref="S3203:S3266" si="272">+L3203-B3203</f>
        <v>1</v>
      </c>
      <c r="T3203" s="15" t="str">
        <f>VLOOKUP(R3203,产品分类!$C$2:$D$1278,2,0)</f>
        <v>家具产品</v>
      </c>
    </row>
    <row r="3204" spans="1:20">
      <c r="A3204" s="8">
        <f>DATE(2012,12,31)-91</f>
        <v>41183</v>
      </c>
      <c r="B3204" s="8">
        <f>DATE(2012,12,31)-91</f>
        <v>41183</v>
      </c>
      <c r="C3204" s="9" t="s">
        <v>657</v>
      </c>
      <c r="D3204">
        <v>10021285644</v>
      </c>
      <c r="E3204" t="s">
        <v>47</v>
      </c>
      <c r="F3204" t="s">
        <v>132</v>
      </c>
      <c r="G3204" t="s">
        <v>133</v>
      </c>
      <c r="H3204" t="s">
        <v>134</v>
      </c>
      <c r="I3204" t="s">
        <v>133</v>
      </c>
      <c r="J3204" t="s">
        <v>141</v>
      </c>
      <c r="K3204" s="3">
        <v>100828046352</v>
      </c>
      <c r="L3204" s="10">
        <v>41184</v>
      </c>
      <c r="M3204">
        <v>224.09</v>
      </c>
      <c r="N3204" s="11">
        <v>17</v>
      </c>
      <c r="O3204" s="12">
        <v>12.44</v>
      </c>
      <c r="P3204" s="12">
        <v>6.27</v>
      </c>
      <c r="Q3204" s="13">
        <v>-27.92</v>
      </c>
      <c r="R3204" s="36" t="s">
        <v>150</v>
      </c>
      <c r="S3204" s="7">
        <f t="shared" si="272"/>
        <v>1</v>
      </c>
      <c r="T3204" s="15" t="str">
        <f>VLOOKUP(R3204,产品分类!$C$2:$D$1278,2,0)</f>
        <v>家具产品</v>
      </c>
    </row>
    <row r="3205" spans="1:20">
      <c r="A3205" s="16">
        <f>DATE(2012,12,31)-91</f>
        <v>41183</v>
      </c>
      <c r="B3205" s="16">
        <f>DATE(2012,12,31)-91</f>
        <v>41183</v>
      </c>
      <c r="C3205" s="9" t="s">
        <v>657</v>
      </c>
      <c r="D3205">
        <v>10021250220</v>
      </c>
      <c r="E3205" t="s">
        <v>47</v>
      </c>
      <c r="F3205" t="s">
        <v>97</v>
      </c>
      <c r="G3205" t="s">
        <v>98</v>
      </c>
      <c r="H3205" t="s">
        <v>99</v>
      </c>
      <c r="I3205" t="s">
        <v>98</v>
      </c>
      <c r="J3205" t="s">
        <v>141</v>
      </c>
      <c r="K3205" s="3">
        <v>10045799703</v>
      </c>
      <c r="L3205" s="10">
        <v>41184</v>
      </c>
      <c r="M3205">
        <v>56.05</v>
      </c>
      <c r="N3205" s="17">
        <v>10</v>
      </c>
      <c r="O3205" s="5">
        <v>4.98</v>
      </c>
      <c r="P3205" s="5">
        <v>5.49</v>
      </c>
      <c r="Q3205" s="6">
        <v>-27.73</v>
      </c>
      <c r="R3205" s="37" t="s">
        <v>602</v>
      </c>
      <c r="S3205" s="7">
        <f t="shared" si="272"/>
        <v>1</v>
      </c>
      <c r="T3205" s="15" t="str">
        <f>VLOOKUP(R3205,产品分类!$C$2:$D$1278,2,0)</f>
        <v>办公用品</v>
      </c>
    </row>
    <row r="3206" spans="1:20">
      <c r="A3206" s="8">
        <f>DATE(2012,12,31)-1179</f>
        <v>40095</v>
      </c>
      <c r="B3206" s="8">
        <f>DATE(2012,12,31)-1179</f>
        <v>40095</v>
      </c>
      <c r="C3206" s="9" t="s">
        <v>1269</v>
      </c>
      <c r="D3206">
        <v>10021402931</v>
      </c>
      <c r="E3206" t="s">
        <v>47</v>
      </c>
      <c r="F3206" t="s">
        <v>97</v>
      </c>
      <c r="G3206" t="s">
        <v>98</v>
      </c>
      <c r="H3206" t="s">
        <v>99</v>
      </c>
      <c r="I3206" t="s">
        <v>98</v>
      </c>
      <c r="J3206" t="s">
        <v>141</v>
      </c>
      <c r="K3206" s="3">
        <v>10015305467</v>
      </c>
      <c r="L3206" s="10">
        <v>40097</v>
      </c>
      <c r="M3206">
        <v>1136.47</v>
      </c>
      <c r="N3206" s="11">
        <v>10</v>
      </c>
      <c r="O3206" s="12">
        <v>120.98</v>
      </c>
      <c r="P3206" s="12">
        <v>9.07</v>
      </c>
      <c r="Q3206" s="13">
        <v>323.323</v>
      </c>
      <c r="R3206" s="36" t="s">
        <v>1524</v>
      </c>
      <c r="S3206" s="7">
        <f t="shared" si="272"/>
        <v>2</v>
      </c>
      <c r="T3206" s="15" t="str">
        <f>VLOOKUP(R3206,产品分类!$C$2:$D$1278,2,0)</f>
        <v>办公用品</v>
      </c>
    </row>
    <row r="3207" spans="1:20">
      <c r="A3207" s="8">
        <f>DATE(2012,12,31)-1179</f>
        <v>40095</v>
      </c>
      <c r="B3207" s="8">
        <f>DATE(2012,12,31)-1179</f>
        <v>40095</v>
      </c>
      <c r="C3207" s="9" t="s">
        <v>1269</v>
      </c>
      <c r="D3207">
        <v>10021422883</v>
      </c>
      <c r="E3207" t="s">
        <v>47</v>
      </c>
      <c r="F3207" t="s">
        <v>132</v>
      </c>
      <c r="G3207" t="s">
        <v>133</v>
      </c>
      <c r="H3207" t="s">
        <v>134</v>
      </c>
      <c r="I3207" t="s">
        <v>133</v>
      </c>
      <c r="J3207" t="s">
        <v>141</v>
      </c>
      <c r="K3207" s="3">
        <v>100427336144</v>
      </c>
      <c r="L3207" s="10">
        <v>40097</v>
      </c>
      <c r="M3207">
        <v>325.81</v>
      </c>
      <c r="N3207" s="11">
        <v>2</v>
      </c>
      <c r="O3207" s="12">
        <v>152.48</v>
      </c>
      <c r="P3207" s="12">
        <v>6.5</v>
      </c>
      <c r="Q3207" s="13">
        <v>-522.78</v>
      </c>
      <c r="R3207" s="36" t="s">
        <v>505</v>
      </c>
      <c r="S3207" s="7">
        <f t="shared" si="272"/>
        <v>2</v>
      </c>
      <c r="T3207" s="15" t="str">
        <f>VLOOKUP(R3207,产品分类!$C$2:$D$1278,2,0)</f>
        <v>家具产品</v>
      </c>
    </row>
    <row r="3208" spans="1:20">
      <c r="A3208" s="8">
        <f>DATE(2012,12,31)-930</f>
        <v>40344</v>
      </c>
      <c r="B3208" s="8">
        <f>DATE(2012,12,31)-930</f>
        <v>40344</v>
      </c>
      <c r="C3208" s="9" t="s">
        <v>1091</v>
      </c>
      <c r="D3208">
        <v>10021269015</v>
      </c>
      <c r="E3208" t="s">
        <v>47</v>
      </c>
      <c r="F3208" t="s">
        <v>132</v>
      </c>
      <c r="G3208" t="s">
        <v>133</v>
      </c>
      <c r="H3208" t="s">
        <v>134</v>
      </c>
      <c r="I3208" t="s">
        <v>133</v>
      </c>
      <c r="J3208" t="s">
        <v>141</v>
      </c>
      <c r="K3208" s="3">
        <v>100132426166</v>
      </c>
      <c r="L3208" s="10">
        <v>40351</v>
      </c>
      <c r="M3208">
        <v>12.2</v>
      </c>
      <c r="N3208" s="11">
        <v>1</v>
      </c>
      <c r="O3208" s="12">
        <v>10.01</v>
      </c>
      <c r="P3208" s="12">
        <v>1.99</v>
      </c>
      <c r="Q3208" s="13">
        <v>-33.93</v>
      </c>
      <c r="R3208" s="36" t="s">
        <v>503</v>
      </c>
      <c r="S3208" s="7">
        <f t="shared" si="272"/>
        <v>7</v>
      </c>
      <c r="T3208" s="15" t="str">
        <f>VLOOKUP(R3208,产品分类!$C$2:$D$1278,2,0)</f>
        <v>数码电子</v>
      </c>
    </row>
    <row r="3209" spans="1:20">
      <c r="A3209" s="8">
        <f t="shared" ref="A3209:B3211" si="273">DATE(2012,12,31)-895</f>
        <v>40379</v>
      </c>
      <c r="B3209" s="8">
        <f t="shared" si="273"/>
        <v>40379</v>
      </c>
      <c r="C3209" s="9" t="s">
        <v>783</v>
      </c>
      <c r="D3209">
        <v>10021348881</v>
      </c>
      <c r="E3209" t="s">
        <v>47</v>
      </c>
      <c r="F3209" t="s">
        <v>132</v>
      </c>
      <c r="G3209" t="s">
        <v>133</v>
      </c>
      <c r="H3209" t="s">
        <v>134</v>
      </c>
      <c r="I3209" t="s">
        <v>133</v>
      </c>
      <c r="J3209" t="s">
        <v>141</v>
      </c>
      <c r="K3209" s="3">
        <v>100431631303</v>
      </c>
      <c r="L3209" s="10">
        <v>40386</v>
      </c>
      <c r="M3209">
        <v>173.7</v>
      </c>
      <c r="N3209" s="11">
        <v>21</v>
      </c>
      <c r="O3209" s="12">
        <v>7.68</v>
      </c>
      <c r="P3209" s="12">
        <v>6.16</v>
      </c>
      <c r="Q3209" s="13">
        <v>-31.5905</v>
      </c>
      <c r="R3209" s="36" t="s">
        <v>1262</v>
      </c>
      <c r="S3209" s="7">
        <f t="shared" si="272"/>
        <v>7</v>
      </c>
      <c r="T3209" s="15" t="str">
        <f>VLOOKUP(R3209,产品分类!$C$2:$D$1278,2,0)</f>
        <v>办公用品</v>
      </c>
    </row>
    <row r="3210" spans="1:20">
      <c r="A3210" s="8">
        <f t="shared" si="273"/>
        <v>40379</v>
      </c>
      <c r="B3210" s="8">
        <f t="shared" si="273"/>
        <v>40379</v>
      </c>
      <c r="C3210" s="9" t="s">
        <v>783</v>
      </c>
      <c r="D3210">
        <v>10021424373</v>
      </c>
      <c r="E3210" t="s">
        <v>47</v>
      </c>
      <c r="F3210" t="s">
        <v>208</v>
      </c>
      <c r="G3210" t="s">
        <v>209</v>
      </c>
      <c r="H3210" t="s">
        <v>2087</v>
      </c>
      <c r="I3210" t="s">
        <v>2088</v>
      </c>
      <c r="J3210" t="s">
        <v>141</v>
      </c>
      <c r="K3210" s="3">
        <v>100128819048</v>
      </c>
      <c r="L3210" s="10">
        <v>40381</v>
      </c>
      <c r="M3210">
        <v>1811.25</v>
      </c>
      <c r="N3210" s="11">
        <v>5</v>
      </c>
      <c r="O3210" s="12">
        <v>367.99</v>
      </c>
      <c r="P3210" s="12">
        <v>19.99</v>
      </c>
      <c r="Q3210" s="13">
        <v>203.439</v>
      </c>
      <c r="R3210" s="36" t="s">
        <v>2165</v>
      </c>
      <c r="S3210" s="7">
        <f t="shared" si="272"/>
        <v>2</v>
      </c>
      <c r="T3210" s="15" t="str">
        <f>VLOOKUP(R3210,产品分类!$C$2:$D$1278,2,0)</f>
        <v>办公用品</v>
      </c>
    </row>
    <row r="3211" spans="1:20">
      <c r="A3211" s="8">
        <f t="shared" si="273"/>
        <v>40379</v>
      </c>
      <c r="B3211" s="8">
        <f t="shared" si="273"/>
        <v>40379</v>
      </c>
      <c r="C3211" s="9" t="s">
        <v>783</v>
      </c>
      <c r="D3211">
        <v>10021462730</v>
      </c>
      <c r="E3211" t="s">
        <v>47</v>
      </c>
      <c r="F3211" t="s">
        <v>137</v>
      </c>
      <c r="G3211" t="s">
        <v>138</v>
      </c>
      <c r="H3211" t="s">
        <v>139</v>
      </c>
      <c r="I3211" t="s">
        <v>140</v>
      </c>
      <c r="J3211" t="s">
        <v>141</v>
      </c>
      <c r="K3211" s="3">
        <v>100122306836</v>
      </c>
      <c r="L3211" s="10">
        <v>40386</v>
      </c>
      <c r="M3211">
        <v>2642.95</v>
      </c>
      <c r="N3211" s="11">
        <v>10</v>
      </c>
      <c r="O3211" s="12">
        <v>262.11</v>
      </c>
      <c r="P3211" s="12">
        <v>62.74</v>
      </c>
      <c r="Q3211" s="13">
        <v>-474.49</v>
      </c>
      <c r="R3211" s="36" t="s">
        <v>1593</v>
      </c>
      <c r="S3211" s="7">
        <f t="shared" si="272"/>
        <v>7</v>
      </c>
      <c r="T3211" s="15" t="str">
        <f>VLOOKUP(R3211,产品分类!$C$2:$D$1278,2,0)</f>
        <v>数码电子</v>
      </c>
    </row>
    <row r="3212" spans="1:20">
      <c r="A3212" s="8">
        <f>DATE(2012,12,31)-1345</f>
        <v>39929</v>
      </c>
      <c r="B3212" s="8">
        <f>DATE(2012,12,31)-1345</f>
        <v>39929</v>
      </c>
      <c r="C3212" s="9" t="s">
        <v>446</v>
      </c>
      <c r="D3212">
        <v>10021389303</v>
      </c>
      <c r="E3212" t="s">
        <v>47</v>
      </c>
      <c r="F3212" t="s">
        <v>102</v>
      </c>
      <c r="G3212" t="s">
        <v>103</v>
      </c>
      <c r="H3212" t="s">
        <v>2119</v>
      </c>
      <c r="I3212" t="s">
        <v>2120</v>
      </c>
      <c r="J3212" t="s">
        <v>141</v>
      </c>
      <c r="K3212" s="3">
        <v>100431781893</v>
      </c>
      <c r="L3212" s="10">
        <v>39930</v>
      </c>
      <c r="M3212">
        <v>8048.45</v>
      </c>
      <c r="N3212" s="11">
        <v>20</v>
      </c>
      <c r="O3212" s="12">
        <v>419.19</v>
      </c>
      <c r="P3212" s="12">
        <v>19.99</v>
      </c>
      <c r="Q3212" s="13">
        <v>1947.67</v>
      </c>
      <c r="R3212" s="36" t="s">
        <v>1223</v>
      </c>
      <c r="S3212" s="7">
        <f t="shared" si="272"/>
        <v>1</v>
      </c>
      <c r="T3212" s="15" t="str">
        <f>VLOOKUP(R3212,产品分类!$C$2:$D$1278,2,0)</f>
        <v>办公用品</v>
      </c>
    </row>
    <row r="3213" spans="1:20">
      <c r="A3213" s="8">
        <f>DATE(2012,12,31)-817</f>
        <v>40457</v>
      </c>
      <c r="B3213" s="8">
        <f>DATE(2012,12,31)-817</f>
        <v>40457</v>
      </c>
      <c r="C3213" s="9" t="s">
        <v>1206</v>
      </c>
      <c r="D3213">
        <v>10021578046</v>
      </c>
      <c r="E3213" t="s">
        <v>47</v>
      </c>
      <c r="F3213" t="s">
        <v>208</v>
      </c>
      <c r="G3213" t="s">
        <v>209</v>
      </c>
      <c r="H3213" t="s">
        <v>2087</v>
      </c>
      <c r="I3213" t="s">
        <v>2088</v>
      </c>
      <c r="J3213" t="s">
        <v>141</v>
      </c>
      <c r="K3213" s="3">
        <v>10014699318</v>
      </c>
      <c r="L3213" s="10">
        <v>40459</v>
      </c>
      <c r="M3213">
        <v>292.75</v>
      </c>
      <c r="N3213" s="11">
        <v>33</v>
      </c>
      <c r="O3213" s="12">
        <v>8.95</v>
      </c>
      <c r="P3213" s="12">
        <v>2.01</v>
      </c>
      <c r="Q3213" s="13">
        <v>93.33</v>
      </c>
      <c r="R3213" s="36" t="s">
        <v>2078</v>
      </c>
      <c r="S3213" s="7">
        <f t="shared" si="272"/>
        <v>2</v>
      </c>
      <c r="T3213" s="15" t="str">
        <f>VLOOKUP(R3213,产品分类!$C$2:$D$1278,2,0)</f>
        <v>数码电子</v>
      </c>
    </row>
    <row r="3214" spans="1:20">
      <c r="A3214" s="8">
        <f>DATE(2012,12,31)-1314</f>
        <v>39960</v>
      </c>
      <c r="B3214" s="8">
        <f>DATE(2012,12,31)-1314</f>
        <v>39960</v>
      </c>
      <c r="C3214" s="9" t="s">
        <v>1826</v>
      </c>
      <c r="D3214">
        <v>10021507589</v>
      </c>
      <c r="E3214" t="s">
        <v>47</v>
      </c>
      <c r="F3214" t="s">
        <v>102</v>
      </c>
      <c r="G3214" t="s">
        <v>103</v>
      </c>
      <c r="H3214" t="s">
        <v>2119</v>
      </c>
      <c r="I3214" t="s">
        <v>2120</v>
      </c>
      <c r="J3214" t="s">
        <v>141</v>
      </c>
      <c r="K3214" s="3">
        <v>100831994752</v>
      </c>
      <c r="L3214" s="10">
        <v>39961</v>
      </c>
      <c r="M3214">
        <v>742.21</v>
      </c>
      <c r="N3214" s="11">
        <v>50</v>
      </c>
      <c r="O3214" s="12">
        <v>14.2</v>
      </c>
      <c r="P3214" s="12">
        <v>5.3</v>
      </c>
      <c r="Q3214" s="13">
        <v>122.21</v>
      </c>
      <c r="R3214" s="36" t="s">
        <v>975</v>
      </c>
      <c r="S3214" s="7">
        <f t="shared" si="272"/>
        <v>1</v>
      </c>
      <c r="T3214" s="15" t="str">
        <f>VLOOKUP(R3214,产品分类!$C$2:$D$1278,2,0)</f>
        <v>家具产品</v>
      </c>
    </row>
    <row r="3215" spans="1:20">
      <c r="A3215" s="8">
        <f t="shared" ref="A3215:B3217" si="274">DATE(2012,12,31)-473</f>
        <v>40801</v>
      </c>
      <c r="B3215" s="8">
        <f t="shared" si="274"/>
        <v>40801</v>
      </c>
      <c r="C3215" s="9" t="s">
        <v>728</v>
      </c>
      <c r="D3215">
        <v>10021344017</v>
      </c>
      <c r="E3215" t="s">
        <v>47</v>
      </c>
      <c r="F3215" t="s">
        <v>137</v>
      </c>
      <c r="G3215" t="s">
        <v>138</v>
      </c>
      <c r="H3215" t="s">
        <v>139</v>
      </c>
      <c r="I3215" t="s">
        <v>140</v>
      </c>
      <c r="J3215" t="s">
        <v>141</v>
      </c>
      <c r="K3215" s="3">
        <v>100110380198</v>
      </c>
      <c r="L3215" s="10">
        <v>40803</v>
      </c>
      <c r="M3215">
        <v>342.27</v>
      </c>
      <c r="N3215" s="11">
        <v>8</v>
      </c>
      <c r="O3215" s="12">
        <v>40.99</v>
      </c>
      <c r="P3215" s="12">
        <v>19.99</v>
      </c>
      <c r="Q3215" s="13">
        <v>-17.68</v>
      </c>
      <c r="R3215" s="36" t="s">
        <v>656</v>
      </c>
      <c r="S3215" s="7">
        <f t="shared" si="272"/>
        <v>2</v>
      </c>
      <c r="T3215" s="15" t="str">
        <f>VLOOKUP(R3215,产品分类!$C$2:$D$1278,2,0)</f>
        <v>家具产品</v>
      </c>
    </row>
    <row r="3216" spans="1:20">
      <c r="A3216" s="16">
        <f t="shared" si="274"/>
        <v>40801</v>
      </c>
      <c r="B3216" s="16">
        <f t="shared" si="274"/>
        <v>40801</v>
      </c>
      <c r="C3216" s="9" t="s">
        <v>728</v>
      </c>
      <c r="D3216">
        <v>10021254010</v>
      </c>
      <c r="E3216" t="s">
        <v>47</v>
      </c>
      <c r="F3216" t="s">
        <v>208</v>
      </c>
      <c r="G3216" t="s">
        <v>209</v>
      </c>
      <c r="H3216" t="s">
        <v>2087</v>
      </c>
      <c r="I3216" t="s">
        <v>2088</v>
      </c>
      <c r="J3216" t="s">
        <v>141</v>
      </c>
      <c r="K3216" s="3">
        <v>100121277038</v>
      </c>
      <c r="L3216" s="10">
        <v>40801</v>
      </c>
      <c r="M3216">
        <v>168.95</v>
      </c>
      <c r="N3216" s="17">
        <v>18</v>
      </c>
      <c r="O3216" s="5">
        <v>9.78</v>
      </c>
      <c r="P3216" s="5">
        <v>5.76</v>
      </c>
      <c r="Q3216" s="6">
        <v>-15.9</v>
      </c>
      <c r="R3216" s="37" t="s">
        <v>962</v>
      </c>
      <c r="S3216" s="7">
        <f t="shared" si="272"/>
        <v>0</v>
      </c>
      <c r="T3216" s="15" t="str">
        <f>VLOOKUP(R3216,产品分类!$C$2:$D$1278,2,0)</f>
        <v>家具产品</v>
      </c>
    </row>
    <row r="3217" spans="1:20">
      <c r="A3217" s="8">
        <f t="shared" si="274"/>
        <v>40801</v>
      </c>
      <c r="B3217" s="8">
        <f t="shared" si="274"/>
        <v>40801</v>
      </c>
      <c r="C3217" s="9" t="s">
        <v>728</v>
      </c>
      <c r="D3217">
        <v>10021282829</v>
      </c>
      <c r="E3217" t="s">
        <v>47</v>
      </c>
      <c r="F3217" t="s">
        <v>137</v>
      </c>
      <c r="G3217" t="s">
        <v>138</v>
      </c>
      <c r="H3217" t="s">
        <v>139</v>
      </c>
      <c r="I3217" t="s">
        <v>140</v>
      </c>
      <c r="J3217" t="s">
        <v>141</v>
      </c>
      <c r="K3217" s="3">
        <v>100925993571</v>
      </c>
      <c r="L3217" s="10">
        <v>40803</v>
      </c>
      <c r="M3217">
        <v>577.95</v>
      </c>
      <c r="N3217" s="11">
        <v>39</v>
      </c>
      <c r="O3217" s="12">
        <v>15.73</v>
      </c>
      <c r="P3217" s="12">
        <v>7.42</v>
      </c>
      <c r="Q3217" s="13">
        <v>-86.43</v>
      </c>
      <c r="R3217" s="36" t="s">
        <v>1579</v>
      </c>
      <c r="S3217" s="7">
        <f t="shared" si="272"/>
        <v>2</v>
      </c>
      <c r="T3217" s="15" t="str">
        <f>VLOOKUP(R3217,产品分类!$C$2:$D$1278,2,0)</f>
        <v>数码电子</v>
      </c>
    </row>
    <row r="3218" spans="1:20">
      <c r="A3218" s="8">
        <f>DATE(2012,12,31)-632</f>
        <v>40642</v>
      </c>
      <c r="B3218" s="8">
        <f>DATE(2012,12,31)-632</f>
        <v>40642</v>
      </c>
      <c r="C3218" s="9" t="s">
        <v>1571</v>
      </c>
      <c r="D3218">
        <v>10021544097</v>
      </c>
      <c r="E3218" t="s">
        <v>47</v>
      </c>
      <c r="F3218" t="s">
        <v>102</v>
      </c>
      <c r="G3218" t="s">
        <v>103</v>
      </c>
      <c r="H3218" t="s">
        <v>2119</v>
      </c>
      <c r="I3218" t="s">
        <v>2120</v>
      </c>
      <c r="J3218" t="s">
        <v>141</v>
      </c>
      <c r="K3218" s="3">
        <v>100311494029</v>
      </c>
      <c r="L3218" s="10">
        <v>40643</v>
      </c>
      <c r="M3218">
        <v>30.92</v>
      </c>
      <c r="N3218" s="11">
        <v>3</v>
      </c>
      <c r="O3218" s="12">
        <v>6.98</v>
      </c>
      <c r="P3218" s="12">
        <v>2.83</v>
      </c>
      <c r="Q3218" s="13">
        <v>28.64</v>
      </c>
      <c r="R3218" s="36" t="s">
        <v>1984</v>
      </c>
      <c r="S3218" s="7">
        <f t="shared" si="272"/>
        <v>1</v>
      </c>
      <c r="T3218" s="15" t="str">
        <f>VLOOKUP(R3218,产品分类!$C$2:$D$1278,2,0)</f>
        <v>办公用品</v>
      </c>
    </row>
    <row r="3219" spans="1:20">
      <c r="A3219" s="8">
        <f>DATE(2012,12,31)-632</f>
        <v>40642</v>
      </c>
      <c r="B3219" s="8">
        <f>DATE(2012,12,31)-632</f>
        <v>40642</v>
      </c>
      <c r="C3219" s="9" t="s">
        <v>1571</v>
      </c>
      <c r="D3219">
        <v>10021389042</v>
      </c>
      <c r="E3219" t="s">
        <v>47</v>
      </c>
      <c r="F3219" t="s">
        <v>102</v>
      </c>
      <c r="G3219" t="s">
        <v>103</v>
      </c>
      <c r="H3219" t="s">
        <v>2119</v>
      </c>
      <c r="I3219" t="s">
        <v>2120</v>
      </c>
      <c r="J3219" t="s">
        <v>141</v>
      </c>
      <c r="K3219" s="3">
        <v>100831049832</v>
      </c>
      <c r="L3219" s="10">
        <v>40645</v>
      </c>
      <c r="M3219">
        <v>142.8</v>
      </c>
      <c r="N3219" s="11">
        <v>24</v>
      </c>
      <c r="O3219" s="12">
        <v>5.81</v>
      </c>
      <c r="P3219" s="12">
        <v>3.37</v>
      </c>
      <c r="Q3219" s="13">
        <v>-25</v>
      </c>
      <c r="R3219" s="36" t="s">
        <v>224</v>
      </c>
      <c r="S3219" s="7">
        <f t="shared" si="272"/>
        <v>3</v>
      </c>
      <c r="T3219" s="15" t="str">
        <f>VLOOKUP(R3219,产品分类!$C$2:$D$1278,2,0)</f>
        <v>办公用品</v>
      </c>
    </row>
    <row r="3220" spans="1:20">
      <c r="A3220" s="8">
        <f>DATE(2012,12,31)-803</f>
        <v>40471</v>
      </c>
      <c r="B3220" s="8">
        <f>DATE(2012,12,31)-803</f>
        <v>40471</v>
      </c>
      <c r="C3220" s="9" t="s">
        <v>523</v>
      </c>
      <c r="D3220">
        <v>10021346859</v>
      </c>
      <c r="E3220" t="s">
        <v>47</v>
      </c>
      <c r="F3220" t="s">
        <v>171</v>
      </c>
      <c r="G3220" t="s">
        <v>172</v>
      </c>
      <c r="H3220" t="s">
        <v>2073</v>
      </c>
      <c r="I3220" t="s">
        <v>2074</v>
      </c>
      <c r="J3220" t="s">
        <v>141</v>
      </c>
      <c r="K3220" s="3">
        <v>100930948061</v>
      </c>
      <c r="L3220" s="10">
        <v>40473</v>
      </c>
      <c r="M3220">
        <v>25313.34</v>
      </c>
      <c r="N3220" s="11">
        <v>35</v>
      </c>
      <c r="O3220" s="12">
        <v>810.98</v>
      </c>
      <c r="P3220" s="12">
        <v>16.06</v>
      </c>
      <c r="Q3220" s="13">
        <v>8612.11</v>
      </c>
      <c r="R3220" s="36" t="s">
        <v>1967</v>
      </c>
      <c r="S3220" s="7">
        <f t="shared" si="272"/>
        <v>2</v>
      </c>
      <c r="T3220" s="15" t="str">
        <f>VLOOKUP(R3220,产品分类!$C$2:$D$1278,2,0)</f>
        <v>数码电子</v>
      </c>
    </row>
    <row r="3221" spans="1:20">
      <c r="A3221" s="16">
        <f>DATE(2012,12,31)-569</f>
        <v>40705</v>
      </c>
      <c r="B3221" s="16">
        <f>DATE(2012,12,31)-569</f>
        <v>40705</v>
      </c>
      <c r="C3221" s="9" t="s">
        <v>626</v>
      </c>
      <c r="D3221">
        <v>10021540631</v>
      </c>
      <c r="E3221" t="s">
        <v>47</v>
      </c>
      <c r="F3221" t="s">
        <v>171</v>
      </c>
      <c r="G3221" t="s">
        <v>172</v>
      </c>
      <c r="H3221" t="s">
        <v>2073</v>
      </c>
      <c r="I3221" t="s">
        <v>2074</v>
      </c>
      <c r="J3221" t="s">
        <v>141</v>
      </c>
      <c r="K3221" s="3">
        <v>100818240852</v>
      </c>
      <c r="L3221" s="10">
        <v>40708</v>
      </c>
      <c r="M3221">
        <v>43.29</v>
      </c>
      <c r="N3221" s="17">
        <v>7</v>
      </c>
      <c r="O3221" s="5">
        <v>5.38</v>
      </c>
      <c r="P3221" s="5">
        <v>7.57</v>
      </c>
      <c r="Q3221" s="6">
        <v>-39.123</v>
      </c>
      <c r="R3221" s="37" t="s">
        <v>2166</v>
      </c>
      <c r="S3221" s="7">
        <f t="shared" si="272"/>
        <v>3</v>
      </c>
      <c r="T3221" s="15" t="str">
        <f>VLOOKUP(R3221,产品分类!$C$2:$D$1278,2,0)</f>
        <v>数码电子</v>
      </c>
    </row>
    <row r="3222" spans="1:20">
      <c r="A3222" s="8">
        <f>DATE(2012,12,31)-1193</f>
        <v>40081</v>
      </c>
      <c r="B3222" s="8">
        <f>DATE(2012,12,31)-1193</f>
        <v>40081</v>
      </c>
      <c r="C3222" s="9" t="s">
        <v>1916</v>
      </c>
      <c r="D3222">
        <v>10021344857</v>
      </c>
      <c r="E3222" t="s">
        <v>47</v>
      </c>
      <c r="F3222" t="s">
        <v>171</v>
      </c>
      <c r="G3222" t="s">
        <v>172</v>
      </c>
      <c r="H3222" t="s">
        <v>2073</v>
      </c>
      <c r="I3222" t="s">
        <v>2074</v>
      </c>
      <c r="J3222" t="s">
        <v>141</v>
      </c>
      <c r="K3222" s="3">
        <v>100829827642</v>
      </c>
      <c r="L3222" s="10">
        <v>40082</v>
      </c>
      <c r="M3222">
        <v>9312.52</v>
      </c>
      <c r="N3222" s="11">
        <v>41</v>
      </c>
      <c r="O3222" s="12">
        <v>218.08</v>
      </c>
      <c r="P3222" s="12">
        <v>18.06</v>
      </c>
      <c r="Q3222" s="13">
        <v>3039.37</v>
      </c>
      <c r="R3222" s="36" t="s">
        <v>272</v>
      </c>
      <c r="S3222" s="7">
        <f t="shared" si="272"/>
        <v>1</v>
      </c>
      <c r="T3222" s="15" t="str">
        <f>VLOOKUP(R3222,产品分类!$C$2:$D$1278,2,0)</f>
        <v>数码电子</v>
      </c>
    </row>
    <row r="3223" spans="1:20">
      <c r="A3223" s="8">
        <f>DATE(2012,12,31)-1193</f>
        <v>40081</v>
      </c>
      <c r="B3223" s="8">
        <f>DATE(2012,12,31)-1193</f>
        <v>40081</v>
      </c>
      <c r="C3223" s="9" t="s">
        <v>1916</v>
      </c>
      <c r="D3223">
        <v>10021509178</v>
      </c>
      <c r="E3223" t="s">
        <v>47</v>
      </c>
      <c r="F3223" t="s">
        <v>171</v>
      </c>
      <c r="G3223" t="s">
        <v>172</v>
      </c>
      <c r="H3223" t="s">
        <v>2073</v>
      </c>
      <c r="I3223" t="s">
        <v>2074</v>
      </c>
      <c r="J3223" t="s">
        <v>141</v>
      </c>
      <c r="K3223" s="3">
        <v>100731147455</v>
      </c>
      <c r="L3223" s="10">
        <v>40082</v>
      </c>
      <c r="M3223">
        <v>220.47</v>
      </c>
      <c r="N3223" s="11">
        <v>43</v>
      </c>
      <c r="O3223" s="12">
        <v>4.98</v>
      </c>
      <c r="P3223" s="12">
        <v>4.62</v>
      </c>
      <c r="Q3223" s="13">
        <v>-135.16</v>
      </c>
      <c r="R3223" s="36" t="s">
        <v>146</v>
      </c>
      <c r="S3223" s="7">
        <f t="shared" si="272"/>
        <v>1</v>
      </c>
      <c r="T3223" s="15" t="str">
        <f>VLOOKUP(R3223,产品分类!$C$2:$D$1278,2,0)</f>
        <v>办公用品</v>
      </c>
    </row>
    <row r="3224" spans="1:20">
      <c r="A3224" s="8">
        <f>DATE(2012,12,31)-327</f>
        <v>40947</v>
      </c>
      <c r="B3224" s="8">
        <f>DATE(2012,12,31)-327</f>
        <v>40947</v>
      </c>
      <c r="C3224" s="9" t="s">
        <v>1831</v>
      </c>
      <c r="D3224">
        <v>10021543350</v>
      </c>
      <c r="E3224" t="s">
        <v>47</v>
      </c>
      <c r="F3224" t="s">
        <v>527</v>
      </c>
      <c r="G3224" t="s">
        <v>528</v>
      </c>
      <c r="H3224" t="s">
        <v>2046</v>
      </c>
      <c r="I3224" t="s">
        <v>2047</v>
      </c>
      <c r="J3224" t="s">
        <v>141</v>
      </c>
      <c r="K3224" s="3">
        <v>100327302169</v>
      </c>
      <c r="L3224" s="10">
        <v>40949</v>
      </c>
      <c r="M3224">
        <v>1713.8</v>
      </c>
      <c r="N3224" s="11">
        <v>18</v>
      </c>
      <c r="O3224" s="12">
        <v>99.23</v>
      </c>
      <c r="P3224" s="12">
        <v>8.99</v>
      </c>
      <c r="Q3224" s="13">
        <v>1125.29</v>
      </c>
      <c r="R3224" s="36" t="s">
        <v>1484</v>
      </c>
      <c r="S3224" s="7">
        <f t="shared" si="272"/>
        <v>2</v>
      </c>
      <c r="T3224" s="15" t="str">
        <f>VLOOKUP(R3224,产品分类!$C$2:$D$1278,2,0)</f>
        <v>数码电子</v>
      </c>
    </row>
    <row r="3225" spans="1:20">
      <c r="A3225" s="8">
        <f>DATE(2012,12,31)-327</f>
        <v>40947</v>
      </c>
      <c r="B3225" s="8">
        <f>DATE(2012,12,31)-327</f>
        <v>40947</v>
      </c>
      <c r="C3225" s="9" t="s">
        <v>1831</v>
      </c>
      <c r="D3225">
        <v>10021414471</v>
      </c>
      <c r="E3225" t="s">
        <v>47</v>
      </c>
      <c r="F3225" t="s">
        <v>171</v>
      </c>
      <c r="G3225" t="s">
        <v>172</v>
      </c>
      <c r="H3225" t="s">
        <v>2073</v>
      </c>
      <c r="I3225" t="s">
        <v>2074</v>
      </c>
      <c r="J3225" t="s">
        <v>141</v>
      </c>
      <c r="K3225" s="3">
        <v>10091503921</v>
      </c>
      <c r="L3225" s="10">
        <v>40947</v>
      </c>
      <c r="M3225">
        <v>116.69</v>
      </c>
      <c r="N3225" s="11">
        <v>16</v>
      </c>
      <c r="O3225" s="12">
        <v>7.08</v>
      </c>
      <c r="P3225" s="12">
        <v>2.35</v>
      </c>
      <c r="Q3225" s="13">
        <v>11.69</v>
      </c>
      <c r="R3225" s="36" t="s">
        <v>1940</v>
      </c>
      <c r="S3225" s="7">
        <f t="shared" si="272"/>
        <v>0</v>
      </c>
      <c r="T3225" s="15" t="str">
        <f>VLOOKUP(R3225,产品分类!$C$2:$D$1278,2,0)</f>
        <v>数码电子</v>
      </c>
    </row>
    <row r="3226" spans="1:20">
      <c r="A3226" s="8">
        <f>DATE(2012,12,31)-838</f>
        <v>40436</v>
      </c>
      <c r="B3226" s="8">
        <f>DATE(2012,12,31)-838</f>
        <v>40436</v>
      </c>
      <c r="C3226" s="9" t="s">
        <v>1348</v>
      </c>
      <c r="D3226">
        <v>10021587404</v>
      </c>
      <c r="E3226" t="s">
        <v>47</v>
      </c>
      <c r="F3226" t="s">
        <v>177</v>
      </c>
      <c r="G3226" t="s">
        <v>178</v>
      </c>
      <c r="H3226" t="s">
        <v>2125</v>
      </c>
      <c r="I3226" t="s">
        <v>2126</v>
      </c>
      <c r="J3226" t="s">
        <v>141</v>
      </c>
      <c r="K3226" s="3">
        <v>100429761104</v>
      </c>
      <c r="L3226" s="10">
        <v>40443</v>
      </c>
      <c r="M3226">
        <v>23949.51</v>
      </c>
      <c r="N3226" s="11">
        <v>46</v>
      </c>
      <c r="O3226" s="12">
        <v>499.99</v>
      </c>
      <c r="P3226" s="12">
        <v>24.49</v>
      </c>
      <c r="Q3226" s="13">
        <v>-1312.84</v>
      </c>
      <c r="R3226" s="36" t="s">
        <v>1171</v>
      </c>
      <c r="S3226" s="7">
        <f t="shared" si="272"/>
        <v>7</v>
      </c>
      <c r="T3226" s="15" t="str">
        <f>VLOOKUP(R3226,产品分类!$C$2:$D$1278,2,0)</f>
        <v>办公用品</v>
      </c>
    </row>
    <row r="3227" spans="1:20">
      <c r="A3227" s="8">
        <f>DATE(2012,12,31)-557</f>
        <v>40717</v>
      </c>
      <c r="B3227" s="8">
        <f>DATE(2012,12,31)-557</f>
        <v>40717</v>
      </c>
      <c r="C3227" s="9" t="s">
        <v>433</v>
      </c>
      <c r="D3227">
        <v>10021497753</v>
      </c>
      <c r="E3227" t="s">
        <v>47</v>
      </c>
      <c r="F3227" t="s">
        <v>177</v>
      </c>
      <c r="G3227" t="s">
        <v>178</v>
      </c>
      <c r="H3227" t="s">
        <v>2125</v>
      </c>
      <c r="I3227" t="s">
        <v>2126</v>
      </c>
      <c r="J3227" t="s">
        <v>141</v>
      </c>
      <c r="K3227" s="3">
        <v>100919684101</v>
      </c>
      <c r="L3227" s="10">
        <v>40719</v>
      </c>
      <c r="M3227">
        <v>172.7</v>
      </c>
      <c r="N3227" s="11">
        <v>27</v>
      </c>
      <c r="O3227" s="12">
        <v>6.48</v>
      </c>
      <c r="P3227" s="12">
        <v>5.11</v>
      </c>
      <c r="Q3227" s="13">
        <v>-42.97</v>
      </c>
      <c r="R3227" s="36" t="s">
        <v>1752</v>
      </c>
      <c r="S3227" s="7">
        <f t="shared" si="272"/>
        <v>2</v>
      </c>
      <c r="T3227" s="15" t="str">
        <f>VLOOKUP(R3227,产品分类!$C$2:$D$1278,2,0)</f>
        <v>办公用品</v>
      </c>
    </row>
    <row r="3228" spans="1:20">
      <c r="A3228" s="8">
        <f>DATE(2012,12,31)-557</f>
        <v>40717</v>
      </c>
      <c r="B3228" s="8">
        <f>DATE(2012,12,31)-557</f>
        <v>40717</v>
      </c>
      <c r="C3228" s="9" t="s">
        <v>433</v>
      </c>
      <c r="D3228">
        <v>10021333062</v>
      </c>
      <c r="E3228" t="s">
        <v>47</v>
      </c>
      <c r="F3228" t="s">
        <v>61</v>
      </c>
      <c r="G3228" t="s">
        <v>62</v>
      </c>
      <c r="H3228" t="s">
        <v>47</v>
      </c>
      <c r="I3228" t="s">
        <v>1778</v>
      </c>
      <c r="J3228" t="s">
        <v>141</v>
      </c>
      <c r="K3228" s="3">
        <v>10015763937</v>
      </c>
      <c r="L3228" s="10">
        <v>40719</v>
      </c>
      <c r="M3228">
        <v>1683.57</v>
      </c>
      <c r="N3228" s="11">
        <v>22</v>
      </c>
      <c r="O3228" s="12">
        <v>80.98</v>
      </c>
      <c r="P3228" s="12">
        <v>7.18</v>
      </c>
      <c r="Q3228" s="13">
        <v>346.54</v>
      </c>
      <c r="R3228" s="36" t="s">
        <v>1734</v>
      </c>
      <c r="S3228" s="7">
        <f t="shared" si="272"/>
        <v>2</v>
      </c>
      <c r="T3228" s="15" t="str">
        <f>VLOOKUP(R3228,产品分类!$C$2:$D$1278,2,0)</f>
        <v>家具产品</v>
      </c>
    </row>
    <row r="3229" spans="1:20">
      <c r="A3229" s="8">
        <f>DATE(2012,12,31)-1320</f>
        <v>39954</v>
      </c>
      <c r="B3229" s="8">
        <f>DATE(2012,12,31)-1320</f>
        <v>39954</v>
      </c>
      <c r="C3229" s="9" t="s">
        <v>770</v>
      </c>
      <c r="D3229">
        <v>10021331810</v>
      </c>
      <c r="E3229" t="s">
        <v>47</v>
      </c>
      <c r="F3229" t="s">
        <v>61</v>
      </c>
      <c r="G3229" t="s">
        <v>62</v>
      </c>
      <c r="H3229" t="s">
        <v>47</v>
      </c>
      <c r="I3229" t="s">
        <v>1778</v>
      </c>
      <c r="J3229" t="s">
        <v>141</v>
      </c>
      <c r="K3229" s="3">
        <v>10049164613</v>
      </c>
      <c r="L3229" s="10">
        <v>39956</v>
      </c>
      <c r="M3229">
        <v>4252.89</v>
      </c>
      <c r="N3229" s="11">
        <v>20</v>
      </c>
      <c r="O3229" s="12">
        <v>218.08</v>
      </c>
      <c r="P3229" s="12">
        <v>18.06</v>
      </c>
      <c r="Q3229" s="13">
        <v>969.42</v>
      </c>
      <c r="R3229" s="36" t="s">
        <v>272</v>
      </c>
      <c r="S3229" s="7">
        <f t="shared" si="272"/>
        <v>2</v>
      </c>
      <c r="T3229" s="15" t="str">
        <f>VLOOKUP(R3229,产品分类!$C$2:$D$1278,2,0)</f>
        <v>数码电子</v>
      </c>
    </row>
    <row r="3230" spans="1:20">
      <c r="A3230" s="8">
        <f>DATE(2012,12,31)-251</f>
        <v>41023</v>
      </c>
      <c r="B3230" s="8">
        <f>DATE(2012,12,31)-251</f>
        <v>41023</v>
      </c>
      <c r="C3230" s="9" t="s">
        <v>1362</v>
      </c>
      <c r="D3230">
        <v>10021576973</v>
      </c>
      <c r="E3230" t="s">
        <v>47</v>
      </c>
      <c r="F3230" t="s">
        <v>61</v>
      </c>
      <c r="G3230" t="s">
        <v>62</v>
      </c>
      <c r="H3230" t="s">
        <v>47</v>
      </c>
      <c r="I3230" t="s">
        <v>1778</v>
      </c>
      <c r="J3230" t="s">
        <v>141</v>
      </c>
      <c r="K3230" s="3">
        <v>100316718809</v>
      </c>
      <c r="L3230" s="10">
        <v>41028</v>
      </c>
      <c r="M3230">
        <v>1191.73</v>
      </c>
      <c r="N3230" s="11">
        <v>13</v>
      </c>
      <c r="O3230" s="12">
        <v>96.45</v>
      </c>
      <c r="P3230" s="12">
        <v>13.99</v>
      </c>
      <c r="Q3230" s="13">
        <v>147.6</v>
      </c>
      <c r="R3230" s="36" t="s">
        <v>2167</v>
      </c>
      <c r="S3230" s="7">
        <f t="shared" si="272"/>
        <v>5</v>
      </c>
      <c r="T3230" s="15" t="str">
        <f>VLOOKUP(R3230,产品分类!$C$2:$D$1278,2,0)</f>
        <v>办公用品</v>
      </c>
    </row>
    <row r="3231" spans="1:20">
      <c r="A3231" s="8">
        <f>DATE(2012,12,31)-158</f>
        <v>41116</v>
      </c>
      <c r="B3231" s="8">
        <f>DATE(2012,12,31)-158</f>
        <v>41116</v>
      </c>
      <c r="C3231" s="9" t="s">
        <v>1865</v>
      </c>
      <c r="D3231">
        <v>10021334011</v>
      </c>
      <c r="E3231" t="s">
        <v>47</v>
      </c>
      <c r="F3231" t="s">
        <v>61</v>
      </c>
      <c r="G3231" t="s">
        <v>62</v>
      </c>
      <c r="H3231" t="s">
        <v>47</v>
      </c>
      <c r="I3231" t="s">
        <v>1778</v>
      </c>
      <c r="J3231" t="s">
        <v>141</v>
      </c>
      <c r="K3231" s="3">
        <v>10013896176</v>
      </c>
      <c r="L3231" s="10">
        <v>41118</v>
      </c>
      <c r="M3231">
        <v>3549.9</v>
      </c>
      <c r="N3231" s="11">
        <v>16</v>
      </c>
      <c r="O3231" s="12">
        <v>216.6</v>
      </c>
      <c r="P3231" s="12">
        <v>64.2</v>
      </c>
      <c r="Q3231" s="13">
        <v>44.8</v>
      </c>
      <c r="R3231" s="36" t="s">
        <v>898</v>
      </c>
      <c r="S3231" s="7">
        <f t="shared" si="272"/>
        <v>2</v>
      </c>
      <c r="T3231" s="15" t="str">
        <f>VLOOKUP(R3231,产品分类!$C$2:$D$1278,2,0)</f>
        <v>数码电子</v>
      </c>
    </row>
    <row r="3232" spans="1:20">
      <c r="A3232" s="8">
        <f>DATE(2012,12,31)-158</f>
        <v>41116</v>
      </c>
      <c r="B3232" s="8">
        <f>DATE(2012,12,31)-158</f>
        <v>41116</v>
      </c>
      <c r="C3232" s="9" t="s">
        <v>1865</v>
      </c>
      <c r="D3232">
        <v>10021296374</v>
      </c>
      <c r="E3232" t="s">
        <v>47</v>
      </c>
      <c r="F3232" t="s">
        <v>61</v>
      </c>
      <c r="G3232" t="s">
        <v>62</v>
      </c>
      <c r="H3232" t="s">
        <v>47</v>
      </c>
      <c r="I3232" t="s">
        <v>1778</v>
      </c>
      <c r="J3232" t="s">
        <v>141</v>
      </c>
      <c r="K3232" s="3">
        <v>100121684937</v>
      </c>
      <c r="L3232" s="10">
        <v>41123</v>
      </c>
      <c r="M3232">
        <v>138.24</v>
      </c>
      <c r="N3232" s="11">
        <v>8</v>
      </c>
      <c r="O3232" s="12">
        <v>16.74</v>
      </c>
      <c r="P3232" s="12">
        <v>7.04</v>
      </c>
      <c r="Q3232" s="13">
        <v>-60.04</v>
      </c>
      <c r="R3232" s="36" t="s">
        <v>1687</v>
      </c>
      <c r="S3232" s="7">
        <f t="shared" si="272"/>
        <v>7</v>
      </c>
      <c r="T3232" s="15" t="str">
        <f>VLOOKUP(R3232,产品分类!$C$2:$D$1278,2,0)</f>
        <v>办公用品</v>
      </c>
    </row>
    <row r="3233" spans="1:20">
      <c r="A3233" s="8">
        <f>DATE(2012,12,31)-520</f>
        <v>40754</v>
      </c>
      <c r="B3233" s="8">
        <f>DATE(2012,12,31)-520</f>
        <v>40754</v>
      </c>
      <c r="C3233" s="9" t="s">
        <v>1922</v>
      </c>
      <c r="D3233">
        <v>10021292715</v>
      </c>
      <c r="E3233" t="s">
        <v>47</v>
      </c>
      <c r="F3233" t="s">
        <v>61</v>
      </c>
      <c r="G3233" t="s">
        <v>62</v>
      </c>
      <c r="H3233" t="s">
        <v>47</v>
      </c>
      <c r="I3233" t="s">
        <v>1778</v>
      </c>
      <c r="J3233" t="s">
        <v>141</v>
      </c>
      <c r="K3233" s="3">
        <v>10091065801</v>
      </c>
      <c r="L3233" s="10">
        <v>40756</v>
      </c>
      <c r="M3233">
        <v>307.42</v>
      </c>
      <c r="N3233" s="11">
        <v>39</v>
      </c>
      <c r="O3233" s="12">
        <v>8.17</v>
      </c>
      <c r="P3233" s="12">
        <v>1.69</v>
      </c>
      <c r="Q3233" s="13">
        <v>104.09</v>
      </c>
      <c r="R3233" s="36" t="s">
        <v>1055</v>
      </c>
      <c r="S3233" s="7">
        <f t="shared" si="272"/>
        <v>2</v>
      </c>
      <c r="T3233" s="15" t="str">
        <f>VLOOKUP(R3233,产品分类!$C$2:$D$1278,2,0)</f>
        <v>办公用品</v>
      </c>
    </row>
    <row r="3234" spans="1:20">
      <c r="A3234" s="8">
        <f>DATE(2012,12,31)-520</f>
        <v>40754</v>
      </c>
      <c r="B3234" s="8">
        <f>DATE(2012,12,31)-520</f>
        <v>40754</v>
      </c>
      <c r="C3234" s="9" t="s">
        <v>1922</v>
      </c>
      <c r="D3234">
        <v>10021468428</v>
      </c>
      <c r="E3234" t="s">
        <v>47</v>
      </c>
      <c r="F3234" t="s">
        <v>61</v>
      </c>
      <c r="G3234" t="s">
        <v>62</v>
      </c>
      <c r="H3234" t="s">
        <v>47</v>
      </c>
      <c r="I3234" t="s">
        <v>1778</v>
      </c>
      <c r="J3234" t="s">
        <v>141</v>
      </c>
      <c r="K3234" s="3">
        <v>10049810903</v>
      </c>
      <c r="L3234" s="10">
        <v>40756</v>
      </c>
      <c r="M3234">
        <v>608.29</v>
      </c>
      <c r="N3234" s="11">
        <v>48</v>
      </c>
      <c r="O3234" s="12">
        <v>11.97</v>
      </c>
      <c r="P3234" s="12">
        <v>5.81</v>
      </c>
      <c r="Q3234" s="13">
        <v>-39.27</v>
      </c>
      <c r="R3234" s="36" t="s">
        <v>499</v>
      </c>
      <c r="S3234" s="7">
        <f t="shared" si="272"/>
        <v>2</v>
      </c>
      <c r="T3234" s="15" t="str">
        <f>VLOOKUP(R3234,产品分类!$C$2:$D$1278,2,0)</f>
        <v>办公用品</v>
      </c>
    </row>
    <row r="3235" spans="1:20">
      <c r="A3235" s="16">
        <f t="shared" ref="A3235:B3237" si="275">DATE(2012,12,31)-1317</f>
        <v>39957</v>
      </c>
      <c r="B3235" s="16">
        <f t="shared" si="275"/>
        <v>39957</v>
      </c>
      <c r="C3235" s="9" t="s">
        <v>245</v>
      </c>
      <c r="D3235">
        <v>10021421150</v>
      </c>
      <c r="E3235" t="s">
        <v>47</v>
      </c>
      <c r="F3235" t="s">
        <v>55</v>
      </c>
      <c r="G3235" t="s">
        <v>56</v>
      </c>
      <c r="H3235" t="s">
        <v>2112</v>
      </c>
      <c r="I3235" t="s">
        <v>2113</v>
      </c>
      <c r="J3235" t="s">
        <v>141</v>
      </c>
      <c r="K3235" s="3">
        <v>100425690233</v>
      </c>
      <c r="L3235" s="10">
        <v>39958</v>
      </c>
      <c r="M3235">
        <v>319.62</v>
      </c>
      <c r="N3235" s="17">
        <v>8</v>
      </c>
      <c r="O3235" s="5">
        <v>40.98</v>
      </c>
      <c r="P3235" s="5">
        <v>7.2</v>
      </c>
      <c r="Q3235" s="6">
        <v>-16.64</v>
      </c>
      <c r="R3235" s="37" t="s">
        <v>1750</v>
      </c>
      <c r="S3235" s="7">
        <f t="shared" si="272"/>
        <v>1</v>
      </c>
      <c r="T3235" s="15" t="str">
        <f>VLOOKUP(R3235,产品分类!$C$2:$D$1278,2,0)</f>
        <v>办公用品</v>
      </c>
    </row>
    <row r="3236" spans="1:20">
      <c r="A3236" s="8">
        <f t="shared" si="275"/>
        <v>39957</v>
      </c>
      <c r="B3236" s="8">
        <f t="shared" si="275"/>
        <v>39957</v>
      </c>
      <c r="C3236" s="9" t="s">
        <v>245</v>
      </c>
      <c r="D3236">
        <v>10021342069</v>
      </c>
      <c r="E3236" t="s">
        <v>47</v>
      </c>
      <c r="F3236" t="s">
        <v>61</v>
      </c>
      <c r="G3236" t="s">
        <v>62</v>
      </c>
      <c r="H3236" t="s">
        <v>47</v>
      </c>
      <c r="I3236" t="s">
        <v>1778</v>
      </c>
      <c r="J3236" t="s">
        <v>141</v>
      </c>
      <c r="K3236" s="3">
        <v>100317798549</v>
      </c>
      <c r="L3236" s="10">
        <v>39958</v>
      </c>
      <c r="M3236">
        <v>263.39</v>
      </c>
      <c r="N3236" s="11">
        <v>32</v>
      </c>
      <c r="O3236" s="12">
        <v>8.12</v>
      </c>
      <c r="P3236" s="12">
        <v>2.83</v>
      </c>
      <c r="Q3236" s="13">
        <v>-59.73</v>
      </c>
      <c r="R3236" s="36" t="s">
        <v>923</v>
      </c>
      <c r="S3236" s="7">
        <f t="shared" si="272"/>
        <v>1</v>
      </c>
      <c r="T3236" s="15" t="str">
        <f>VLOOKUP(R3236,产品分类!$C$2:$D$1278,2,0)</f>
        <v>办公用品</v>
      </c>
    </row>
    <row r="3237" spans="1:20">
      <c r="A3237" s="8">
        <f t="shared" si="275"/>
        <v>39957</v>
      </c>
      <c r="B3237" s="8">
        <f t="shared" si="275"/>
        <v>39957</v>
      </c>
      <c r="C3237" s="9" t="s">
        <v>245</v>
      </c>
      <c r="D3237">
        <v>10021353037</v>
      </c>
      <c r="E3237" t="s">
        <v>47</v>
      </c>
      <c r="F3237" t="s">
        <v>61</v>
      </c>
      <c r="G3237" t="s">
        <v>62</v>
      </c>
      <c r="H3237" t="s">
        <v>47</v>
      </c>
      <c r="I3237" t="s">
        <v>1778</v>
      </c>
      <c r="J3237" t="s">
        <v>141</v>
      </c>
      <c r="K3237" s="3">
        <v>100123593198</v>
      </c>
      <c r="L3237" s="10">
        <v>39958</v>
      </c>
      <c r="M3237">
        <v>7208.8</v>
      </c>
      <c r="N3237" s="11">
        <v>26</v>
      </c>
      <c r="O3237" s="12">
        <v>262.11</v>
      </c>
      <c r="P3237" s="12">
        <v>62.74</v>
      </c>
      <c r="Q3237" s="13">
        <v>-633.441237</v>
      </c>
      <c r="R3237" s="36" t="s">
        <v>1593</v>
      </c>
      <c r="S3237" s="7">
        <f t="shared" si="272"/>
        <v>1</v>
      </c>
      <c r="T3237" s="15" t="str">
        <f>VLOOKUP(R3237,产品分类!$C$2:$D$1278,2,0)</f>
        <v>数码电子</v>
      </c>
    </row>
    <row r="3238" spans="1:20">
      <c r="A3238" s="8">
        <f>DATE(2012,12,31)-801</f>
        <v>40473</v>
      </c>
      <c r="B3238" s="8">
        <f>DATE(2012,12,31)-801</f>
        <v>40473</v>
      </c>
      <c r="C3238" s="9" t="s">
        <v>1047</v>
      </c>
      <c r="D3238">
        <v>10021446406</v>
      </c>
      <c r="E3238" t="s">
        <v>47</v>
      </c>
      <c r="F3238" t="s">
        <v>61</v>
      </c>
      <c r="G3238" t="s">
        <v>62</v>
      </c>
      <c r="H3238" t="s">
        <v>47</v>
      </c>
      <c r="I3238" t="s">
        <v>1778</v>
      </c>
      <c r="J3238" t="s">
        <v>141</v>
      </c>
      <c r="K3238" s="3">
        <v>100418290064</v>
      </c>
      <c r="L3238" s="10">
        <v>40474</v>
      </c>
      <c r="M3238">
        <v>336.91</v>
      </c>
      <c r="N3238" s="11">
        <v>11</v>
      </c>
      <c r="O3238" s="12">
        <v>30.98</v>
      </c>
      <c r="P3238" s="12">
        <v>8.74</v>
      </c>
      <c r="Q3238" s="13">
        <v>42.5</v>
      </c>
      <c r="R3238" s="36" t="s">
        <v>496</v>
      </c>
      <c r="S3238" s="7">
        <f t="shared" si="272"/>
        <v>1</v>
      </c>
      <c r="T3238" s="15" t="str">
        <f>VLOOKUP(R3238,产品分类!$C$2:$D$1278,2,0)</f>
        <v>办公用品</v>
      </c>
    </row>
    <row r="3239" spans="1:20">
      <c r="A3239" s="8">
        <f t="shared" ref="A3239:B3241" si="276">DATE(2012,12,31)-990</f>
        <v>40284</v>
      </c>
      <c r="B3239" s="8">
        <f t="shared" si="276"/>
        <v>40284</v>
      </c>
      <c r="C3239" s="9" t="s">
        <v>160</v>
      </c>
      <c r="D3239">
        <v>10021497420</v>
      </c>
      <c r="E3239" t="s">
        <v>47</v>
      </c>
      <c r="F3239" t="s">
        <v>61</v>
      </c>
      <c r="G3239" t="s">
        <v>62</v>
      </c>
      <c r="H3239" t="s">
        <v>47</v>
      </c>
      <c r="I3239" t="s">
        <v>1778</v>
      </c>
      <c r="J3239" t="s">
        <v>141</v>
      </c>
      <c r="K3239" s="3">
        <v>100317629069</v>
      </c>
      <c r="L3239" s="10">
        <v>40285</v>
      </c>
      <c r="M3239">
        <v>614.15</v>
      </c>
      <c r="N3239" s="11">
        <v>15</v>
      </c>
      <c r="O3239" s="12">
        <v>39.98</v>
      </c>
      <c r="P3239" s="12">
        <v>7.12</v>
      </c>
      <c r="Q3239" s="13">
        <v>-54.37</v>
      </c>
      <c r="R3239" s="36" t="s">
        <v>1547</v>
      </c>
      <c r="S3239" s="7">
        <f t="shared" si="272"/>
        <v>1</v>
      </c>
      <c r="T3239" s="15" t="str">
        <f>VLOOKUP(R3239,产品分类!$C$2:$D$1278,2,0)</f>
        <v>办公用品</v>
      </c>
    </row>
    <row r="3240" spans="1:20">
      <c r="A3240" s="8">
        <f t="shared" si="276"/>
        <v>40284</v>
      </c>
      <c r="B3240" s="8">
        <f t="shared" si="276"/>
        <v>40284</v>
      </c>
      <c r="C3240" s="9" t="s">
        <v>160</v>
      </c>
      <c r="D3240">
        <v>10021441475</v>
      </c>
      <c r="E3240" t="s">
        <v>47</v>
      </c>
      <c r="F3240" t="s">
        <v>61</v>
      </c>
      <c r="G3240" t="s">
        <v>62</v>
      </c>
      <c r="H3240" t="s">
        <v>47</v>
      </c>
      <c r="I3240" t="s">
        <v>1778</v>
      </c>
      <c r="J3240" t="s">
        <v>141</v>
      </c>
      <c r="K3240" s="3">
        <v>100428210043</v>
      </c>
      <c r="L3240" s="10">
        <v>40285</v>
      </c>
      <c r="M3240">
        <v>154.24</v>
      </c>
      <c r="N3240" s="11">
        <v>31</v>
      </c>
      <c r="O3240" s="12">
        <v>4.98</v>
      </c>
      <c r="P3240" s="12">
        <v>0.49</v>
      </c>
      <c r="Q3240" s="13">
        <v>68.88</v>
      </c>
      <c r="R3240" s="36" t="s">
        <v>327</v>
      </c>
      <c r="S3240" s="7">
        <f t="shared" si="272"/>
        <v>1</v>
      </c>
      <c r="T3240" s="15" t="str">
        <f>VLOOKUP(R3240,产品分类!$C$2:$D$1278,2,0)</f>
        <v>家具产品</v>
      </c>
    </row>
    <row r="3241" spans="1:20">
      <c r="A3241" s="8">
        <f t="shared" si="276"/>
        <v>40284</v>
      </c>
      <c r="B3241" s="8">
        <f t="shared" si="276"/>
        <v>40284</v>
      </c>
      <c r="C3241" s="9" t="s">
        <v>160</v>
      </c>
      <c r="D3241">
        <v>10021392123</v>
      </c>
      <c r="E3241" t="s">
        <v>47</v>
      </c>
      <c r="F3241" t="s">
        <v>55</v>
      </c>
      <c r="G3241" t="s">
        <v>56</v>
      </c>
      <c r="H3241" t="s">
        <v>2112</v>
      </c>
      <c r="I3241" t="s">
        <v>2113</v>
      </c>
      <c r="J3241" t="s">
        <v>141</v>
      </c>
      <c r="K3241" s="3">
        <v>100331525059</v>
      </c>
      <c r="L3241" s="10">
        <v>40284</v>
      </c>
      <c r="M3241">
        <v>140.31</v>
      </c>
      <c r="N3241" s="11">
        <v>20</v>
      </c>
      <c r="O3241" s="12">
        <v>6.48</v>
      </c>
      <c r="P3241" s="12">
        <v>8.74</v>
      </c>
      <c r="Q3241" s="13">
        <v>-94.11</v>
      </c>
      <c r="R3241" s="36" t="s">
        <v>194</v>
      </c>
      <c r="S3241" s="7">
        <f t="shared" si="272"/>
        <v>0</v>
      </c>
      <c r="T3241" s="15" t="str">
        <f>VLOOKUP(R3241,产品分类!$C$2:$D$1278,2,0)</f>
        <v>办公用品</v>
      </c>
    </row>
    <row r="3242" spans="1:20">
      <c r="A3242" s="8">
        <f>DATE(2012,12,31)-545</f>
        <v>40729</v>
      </c>
      <c r="B3242" s="8">
        <f>DATE(2012,12,31)-545</f>
        <v>40729</v>
      </c>
      <c r="C3242" s="9" t="s">
        <v>1348</v>
      </c>
      <c r="D3242">
        <v>10021348449</v>
      </c>
      <c r="E3242" t="s">
        <v>47</v>
      </c>
      <c r="F3242" t="s">
        <v>177</v>
      </c>
      <c r="G3242" t="s">
        <v>178</v>
      </c>
      <c r="H3242" t="s">
        <v>2125</v>
      </c>
      <c r="I3242" t="s">
        <v>2126</v>
      </c>
      <c r="J3242" t="s">
        <v>141</v>
      </c>
      <c r="K3242" s="3">
        <v>100131576297</v>
      </c>
      <c r="L3242" s="10">
        <v>40731</v>
      </c>
      <c r="M3242">
        <v>17.43</v>
      </c>
      <c r="N3242" s="11">
        <v>6</v>
      </c>
      <c r="O3242" s="12">
        <v>2.88</v>
      </c>
      <c r="P3242" s="12">
        <v>0.5</v>
      </c>
      <c r="Q3242" s="13">
        <v>2.45</v>
      </c>
      <c r="R3242" s="36" t="s">
        <v>1048</v>
      </c>
      <c r="S3242" s="7">
        <f t="shared" si="272"/>
        <v>2</v>
      </c>
      <c r="T3242" s="15" t="str">
        <f>VLOOKUP(R3242,产品分类!$C$2:$D$1278,2,0)</f>
        <v>办公用品</v>
      </c>
    </row>
    <row r="3243" spans="1:20">
      <c r="A3243" s="8">
        <f>DATE(2012,12,31)-1006</f>
        <v>40268</v>
      </c>
      <c r="B3243" s="8">
        <f>DATE(2012,12,31)-1006</f>
        <v>40268</v>
      </c>
      <c r="C3243" s="9" t="s">
        <v>811</v>
      </c>
      <c r="D3243">
        <v>10021328718</v>
      </c>
      <c r="E3243" t="s">
        <v>47</v>
      </c>
      <c r="F3243" t="s">
        <v>72</v>
      </c>
      <c r="G3243" t="s">
        <v>73</v>
      </c>
      <c r="H3243" t="s">
        <v>2008</v>
      </c>
      <c r="I3243" t="s">
        <v>2009</v>
      </c>
      <c r="J3243" t="s">
        <v>141</v>
      </c>
      <c r="K3243" s="3">
        <v>100329598629</v>
      </c>
      <c r="L3243" s="10">
        <v>40270</v>
      </c>
      <c r="M3243">
        <v>2976.19</v>
      </c>
      <c r="N3243" s="11">
        <v>25</v>
      </c>
      <c r="O3243" s="12">
        <v>115.99</v>
      </c>
      <c r="P3243" s="12">
        <v>56.14</v>
      </c>
      <c r="Q3243" s="13">
        <v>-44.5179</v>
      </c>
      <c r="R3243" s="36" t="s">
        <v>329</v>
      </c>
      <c r="S3243" s="7">
        <f t="shared" si="272"/>
        <v>2</v>
      </c>
      <c r="T3243" s="15" t="str">
        <f>VLOOKUP(R3243,产品分类!$C$2:$D$1278,2,0)</f>
        <v>办公用品</v>
      </c>
    </row>
    <row r="3244" spans="1:20">
      <c r="A3244" s="8">
        <f>DATE(2012,12,31)-755</f>
        <v>40519</v>
      </c>
      <c r="B3244" s="8">
        <f>DATE(2012,12,31)-755</f>
        <v>40519</v>
      </c>
      <c r="C3244" s="9" t="s">
        <v>266</v>
      </c>
      <c r="D3244">
        <v>10021372660</v>
      </c>
      <c r="E3244" t="s">
        <v>47</v>
      </c>
      <c r="F3244" t="s">
        <v>72</v>
      </c>
      <c r="G3244" t="s">
        <v>73</v>
      </c>
      <c r="H3244" t="s">
        <v>2008</v>
      </c>
      <c r="I3244" t="s">
        <v>2009</v>
      </c>
      <c r="J3244" t="s">
        <v>141</v>
      </c>
      <c r="K3244" s="3">
        <v>100431820204</v>
      </c>
      <c r="L3244" s="10">
        <v>40521</v>
      </c>
      <c r="M3244">
        <v>108.42</v>
      </c>
      <c r="N3244" s="11">
        <v>16</v>
      </c>
      <c r="O3244" s="12">
        <v>6.48</v>
      </c>
      <c r="P3244" s="12">
        <v>6.81</v>
      </c>
      <c r="Q3244" s="13">
        <v>-50.82</v>
      </c>
      <c r="R3244" s="36" t="s">
        <v>772</v>
      </c>
      <c r="S3244" s="7">
        <f t="shared" si="272"/>
        <v>2</v>
      </c>
      <c r="T3244" s="15" t="str">
        <f>VLOOKUP(R3244,产品分类!$C$2:$D$1278,2,0)</f>
        <v>数码电子</v>
      </c>
    </row>
    <row r="3245" spans="1:20">
      <c r="A3245" s="8">
        <f>DATE(2012,12,31)-755</f>
        <v>40519</v>
      </c>
      <c r="B3245" s="8">
        <f>DATE(2012,12,31)-755</f>
        <v>40519</v>
      </c>
      <c r="C3245" s="9" t="s">
        <v>266</v>
      </c>
      <c r="D3245">
        <v>10021478177</v>
      </c>
      <c r="E3245" t="s">
        <v>47</v>
      </c>
      <c r="F3245" t="s">
        <v>230</v>
      </c>
      <c r="G3245" t="s">
        <v>231</v>
      </c>
      <c r="H3245" t="s">
        <v>1798</v>
      </c>
      <c r="I3245" t="s">
        <v>1799</v>
      </c>
      <c r="J3245" t="s">
        <v>141</v>
      </c>
      <c r="K3245" s="3">
        <v>100432731914</v>
      </c>
      <c r="L3245" s="10">
        <v>40521</v>
      </c>
      <c r="M3245">
        <v>78.47</v>
      </c>
      <c r="N3245" s="11">
        <v>27</v>
      </c>
      <c r="O3245" s="12">
        <v>2.88</v>
      </c>
      <c r="P3245" s="12">
        <v>0.99</v>
      </c>
      <c r="Q3245" s="13">
        <v>17.99</v>
      </c>
      <c r="R3245" s="36" t="s">
        <v>1207</v>
      </c>
      <c r="S3245" s="7">
        <f t="shared" si="272"/>
        <v>2</v>
      </c>
      <c r="T3245" s="15" t="str">
        <f>VLOOKUP(R3245,产品分类!$C$2:$D$1278,2,0)</f>
        <v>数码电子</v>
      </c>
    </row>
    <row r="3246" spans="1:20">
      <c r="A3246" s="8">
        <f>DATE(2012,12,31)-350</f>
        <v>40924</v>
      </c>
      <c r="B3246" s="8">
        <f>DATE(2012,12,31)-350</f>
        <v>40924</v>
      </c>
      <c r="C3246" s="9" t="s">
        <v>1804</v>
      </c>
      <c r="D3246">
        <v>10021323605</v>
      </c>
      <c r="E3246" t="s">
        <v>47</v>
      </c>
      <c r="F3246" t="s">
        <v>91</v>
      </c>
      <c r="G3246" t="s">
        <v>92</v>
      </c>
      <c r="H3246" t="s">
        <v>2053</v>
      </c>
      <c r="I3246" t="s">
        <v>2054</v>
      </c>
      <c r="J3246" t="s">
        <v>141</v>
      </c>
      <c r="K3246" s="3">
        <v>100329218909</v>
      </c>
      <c r="L3246" s="10">
        <v>40926</v>
      </c>
      <c r="M3246">
        <v>255.31</v>
      </c>
      <c r="N3246" s="11">
        <v>5</v>
      </c>
      <c r="O3246" s="12">
        <v>48.04</v>
      </c>
      <c r="P3246" s="12">
        <v>5.79</v>
      </c>
      <c r="Q3246" s="13">
        <v>41.41</v>
      </c>
      <c r="R3246" s="36" t="s">
        <v>2111</v>
      </c>
      <c r="S3246" s="7">
        <f t="shared" si="272"/>
        <v>2</v>
      </c>
      <c r="T3246" s="15" t="str">
        <f>VLOOKUP(R3246,产品分类!$C$2:$D$1278,2,0)</f>
        <v>数码电子</v>
      </c>
    </row>
    <row r="3247" spans="1:20">
      <c r="A3247" s="16">
        <f>DATE(2012,12,31)-350</f>
        <v>40924</v>
      </c>
      <c r="B3247" s="16">
        <f>DATE(2012,12,31)-350</f>
        <v>40924</v>
      </c>
      <c r="C3247" s="9" t="s">
        <v>1804</v>
      </c>
      <c r="D3247">
        <v>10021534768</v>
      </c>
      <c r="E3247" t="s">
        <v>47</v>
      </c>
      <c r="F3247" t="s">
        <v>91</v>
      </c>
      <c r="G3247" t="s">
        <v>92</v>
      </c>
      <c r="H3247" t="s">
        <v>2053</v>
      </c>
      <c r="I3247" t="s">
        <v>2054</v>
      </c>
      <c r="J3247" t="s">
        <v>141</v>
      </c>
      <c r="K3247" s="3">
        <v>100830540512</v>
      </c>
      <c r="L3247" s="10">
        <v>40926</v>
      </c>
      <c r="M3247">
        <v>50.85</v>
      </c>
      <c r="N3247" s="17">
        <v>14</v>
      </c>
      <c r="O3247" s="5">
        <v>3.6</v>
      </c>
      <c r="P3247" s="5">
        <v>2.2</v>
      </c>
      <c r="Q3247" s="6">
        <v>-6.81</v>
      </c>
      <c r="R3247" s="37" t="s">
        <v>2044</v>
      </c>
      <c r="S3247" s="7">
        <f t="shared" si="272"/>
        <v>2</v>
      </c>
      <c r="T3247" s="15" t="str">
        <f>VLOOKUP(R3247,产品分类!$C$2:$D$1278,2,0)</f>
        <v>数码电子</v>
      </c>
    </row>
    <row r="3248" spans="1:20">
      <c r="A3248" s="8">
        <f>DATE(2012,12,31)-659</f>
        <v>40615</v>
      </c>
      <c r="B3248" s="8">
        <f>DATE(2012,12,31)-659</f>
        <v>40615</v>
      </c>
      <c r="C3248" s="9" t="s">
        <v>859</v>
      </c>
      <c r="D3248">
        <v>10021355265</v>
      </c>
      <c r="E3248" t="s">
        <v>47</v>
      </c>
      <c r="F3248" t="s">
        <v>122</v>
      </c>
      <c r="G3248" t="s">
        <v>123</v>
      </c>
      <c r="H3248" t="s">
        <v>2159</v>
      </c>
      <c r="I3248" t="s">
        <v>2160</v>
      </c>
      <c r="J3248" t="s">
        <v>141</v>
      </c>
      <c r="K3248" s="3">
        <v>100132678248</v>
      </c>
      <c r="L3248" s="10">
        <v>40619</v>
      </c>
      <c r="M3248">
        <v>1460.42</v>
      </c>
      <c r="N3248" s="11">
        <v>20</v>
      </c>
      <c r="O3248" s="12">
        <v>68.81</v>
      </c>
      <c r="P3248" s="12">
        <v>60</v>
      </c>
      <c r="Q3248" s="13">
        <v>-441.44</v>
      </c>
      <c r="R3248" s="36" t="s">
        <v>390</v>
      </c>
      <c r="S3248" s="7">
        <f t="shared" si="272"/>
        <v>4</v>
      </c>
      <c r="T3248" s="15" t="str">
        <f>VLOOKUP(R3248,产品分类!$C$2:$D$1278,2,0)</f>
        <v>办公用品</v>
      </c>
    </row>
    <row r="3249" spans="1:20">
      <c r="A3249" s="8">
        <f>DATE(2012,12,31)-659</f>
        <v>40615</v>
      </c>
      <c r="B3249" s="8">
        <f>DATE(2012,12,31)-659</f>
        <v>40615</v>
      </c>
      <c r="C3249" s="9" t="s">
        <v>859</v>
      </c>
      <c r="D3249">
        <v>10021479641</v>
      </c>
      <c r="E3249" t="s">
        <v>47</v>
      </c>
      <c r="F3249" t="s">
        <v>208</v>
      </c>
      <c r="G3249" t="s">
        <v>209</v>
      </c>
      <c r="H3249" t="s">
        <v>2087</v>
      </c>
      <c r="I3249" t="s">
        <v>2088</v>
      </c>
      <c r="J3249" t="s">
        <v>141</v>
      </c>
      <c r="K3249" s="3">
        <v>100825494682</v>
      </c>
      <c r="L3249" s="10">
        <v>40620</v>
      </c>
      <c r="M3249">
        <v>6659.7415</v>
      </c>
      <c r="N3249" s="11">
        <v>42</v>
      </c>
      <c r="O3249" s="12">
        <v>195.99</v>
      </c>
      <c r="P3249" s="12">
        <v>3.99</v>
      </c>
      <c r="Q3249" s="13">
        <v>1647.747</v>
      </c>
      <c r="R3249" s="36" t="s">
        <v>2168</v>
      </c>
      <c r="S3249" s="7">
        <f t="shared" si="272"/>
        <v>5</v>
      </c>
      <c r="T3249" s="15" t="str">
        <f>VLOOKUP(R3249,产品分类!$C$2:$D$1278,2,0)</f>
        <v>办公用品</v>
      </c>
    </row>
    <row r="3250" spans="1:20">
      <c r="A3250" s="8">
        <f>DATE(2012,12,31)-789</f>
        <v>40485</v>
      </c>
      <c r="B3250" s="8">
        <f>DATE(2012,12,31)-789</f>
        <v>40485</v>
      </c>
      <c r="C3250" s="9" t="s">
        <v>879</v>
      </c>
      <c r="D3250">
        <v>10021486479</v>
      </c>
      <c r="E3250" t="s">
        <v>47</v>
      </c>
      <c r="F3250" t="s">
        <v>66</v>
      </c>
      <c r="G3250" t="s">
        <v>67</v>
      </c>
      <c r="H3250" t="s">
        <v>2169</v>
      </c>
      <c r="I3250" t="s">
        <v>2170</v>
      </c>
      <c r="J3250" t="s">
        <v>141</v>
      </c>
      <c r="K3250" s="3">
        <v>100729237845</v>
      </c>
      <c r="L3250" s="10">
        <v>40486</v>
      </c>
      <c r="M3250">
        <v>794.58</v>
      </c>
      <c r="N3250" s="11">
        <v>1</v>
      </c>
      <c r="O3250" s="12">
        <v>808.49</v>
      </c>
      <c r="P3250" s="12">
        <v>55.3</v>
      </c>
      <c r="Q3250" s="13">
        <v>-1748.3433</v>
      </c>
      <c r="R3250" s="36" t="s">
        <v>2171</v>
      </c>
      <c r="S3250" s="7">
        <f t="shared" si="272"/>
        <v>1</v>
      </c>
      <c r="T3250" s="15" t="str">
        <f>VLOOKUP(R3250,产品分类!$C$2:$D$1278,2,0)</f>
        <v>数码电子</v>
      </c>
    </row>
    <row r="3251" spans="1:20">
      <c r="A3251" s="8">
        <f>DATE(2012,12,31)-182</f>
        <v>41092</v>
      </c>
      <c r="B3251" s="8">
        <f>DATE(2012,12,31)-182</f>
        <v>41092</v>
      </c>
      <c r="C3251" s="9" t="s">
        <v>681</v>
      </c>
      <c r="D3251">
        <v>10021305643</v>
      </c>
      <c r="E3251" t="s">
        <v>47</v>
      </c>
      <c r="F3251" t="s">
        <v>177</v>
      </c>
      <c r="G3251" t="s">
        <v>178</v>
      </c>
      <c r="H3251" t="s">
        <v>2125</v>
      </c>
      <c r="I3251" t="s">
        <v>2126</v>
      </c>
      <c r="J3251" t="s">
        <v>141</v>
      </c>
      <c r="K3251" s="3">
        <v>100728217325</v>
      </c>
      <c r="L3251" s="10">
        <v>41094</v>
      </c>
      <c r="M3251">
        <v>498.68</v>
      </c>
      <c r="N3251" s="11">
        <v>20</v>
      </c>
      <c r="O3251" s="12">
        <v>25.98</v>
      </c>
      <c r="P3251" s="12">
        <v>5.37</v>
      </c>
      <c r="Q3251" s="13">
        <v>79.52</v>
      </c>
      <c r="R3251" s="36" t="s">
        <v>1173</v>
      </c>
      <c r="S3251" s="7">
        <f t="shared" si="272"/>
        <v>2</v>
      </c>
      <c r="T3251" s="15" t="str">
        <f>VLOOKUP(R3251,产品分类!$C$2:$D$1278,2,0)</f>
        <v>家具产品</v>
      </c>
    </row>
    <row r="3252" spans="1:20">
      <c r="A3252" s="8">
        <f>DATE(2012,12,31)-182</f>
        <v>41092</v>
      </c>
      <c r="B3252" s="8">
        <f>DATE(2012,12,31)-182</f>
        <v>41092</v>
      </c>
      <c r="C3252" s="9" t="s">
        <v>681</v>
      </c>
      <c r="D3252">
        <v>10021568796</v>
      </c>
      <c r="E3252" t="s">
        <v>47</v>
      </c>
      <c r="F3252" t="s">
        <v>83</v>
      </c>
      <c r="G3252" t="s">
        <v>84</v>
      </c>
      <c r="H3252" t="s">
        <v>2144</v>
      </c>
      <c r="I3252" t="s">
        <v>2145</v>
      </c>
      <c r="J3252" t="s">
        <v>141</v>
      </c>
      <c r="K3252" s="3">
        <v>100117317407</v>
      </c>
      <c r="L3252" s="10">
        <v>41094</v>
      </c>
      <c r="M3252">
        <v>5208.78</v>
      </c>
      <c r="N3252" s="11">
        <v>34</v>
      </c>
      <c r="O3252" s="12">
        <v>155.06</v>
      </c>
      <c r="P3252" s="12">
        <v>7.07</v>
      </c>
      <c r="Q3252" s="13">
        <v>1547.78</v>
      </c>
      <c r="R3252" s="36" t="s">
        <v>1160</v>
      </c>
      <c r="S3252" s="7">
        <f t="shared" si="272"/>
        <v>2</v>
      </c>
      <c r="T3252" s="15" t="str">
        <f>VLOOKUP(R3252,产品分类!$C$2:$D$1278,2,0)</f>
        <v>数码电子</v>
      </c>
    </row>
    <row r="3253" spans="1:20">
      <c r="A3253" s="8">
        <f>DATE(2012,12,31)-623</f>
        <v>40651</v>
      </c>
      <c r="B3253" s="8">
        <f>DATE(2012,12,31)-623</f>
        <v>40651</v>
      </c>
      <c r="C3253" s="9" t="s">
        <v>681</v>
      </c>
      <c r="D3253">
        <v>10021317297</v>
      </c>
      <c r="E3253" t="s">
        <v>47</v>
      </c>
      <c r="F3253" t="s">
        <v>72</v>
      </c>
      <c r="G3253" t="s">
        <v>73</v>
      </c>
      <c r="H3253" t="s">
        <v>2008</v>
      </c>
      <c r="I3253" t="s">
        <v>2009</v>
      </c>
      <c r="J3253" t="s">
        <v>141</v>
      </c>
      <c r="K3253" s="3">
        <v>10047134924</v>
      </c>
      <c r="L3253" s="10">
        <v>40653</v>
      </c>
      <c r="M3253">
        <v>28.46</v>
      </c>
      <c r="N3253" s="11">
        <v>4</v>
      </c>
      <c r="O3253" s="12">
        <v>5.98</v>
      </c>
      <c r="P3253" s="12">
        <v>3.85</v>
      </c>
      <c r="Q3253" s="13">
        <v>-27.13</v>
      </c>
      <c r="R3253" s="36" t="s">
        <v>1135</v>
      </c>
      <c r="S3253" s="7">
        <f t="shared" si="272"/>
        <v>2</v>
      </c>
      <c r="T3253" s="15" t="str">
        <f>VLOOKUP(R3253,产品分类!$C$2:$D$1278,2,0)</f>
        <v>办公用品</v>
      </c>
    </row>
    <row r="3254" spans="1:20">
      <c r="A3254" s="8">
        <f>DATE(2012,12,31)-623</f>
        <v>40651</v>
      </c>
      <c r="B3254" s="8">
        <f>DATE(2012,12,31)-623</f>
        <v>40651</v>
      </c>
      <c r="C3254" s="9" t="s">
        <v>681</v>
      </c>
      <c r="D3254">
        <v>10021518775</v>
      </c>
      <c r="E3254" t="s">
        <v>47</v>
      </c>
      <c r="F3254" t="s">
        <v>72</v>
      </c>
      <c r="G3254" t="s">
        <v>73</v>
      </c>
      <c r="H3254" t="s">
        <v>2008</v>
      </c>
      <c r="I3254" t="s">
        <v>2009</v>
      </c>
      <c r="J3254" t="s">
        <v>141</v>
      </c>
      <c r="K3254" s="3">
        <v>100926899511</v>
      </c>
      <c r="L3254" s="10">
        <v>40653</v>
      </c>
      <c r="M3254">
        <v>23.44</v>
      </c>
      <c r="N3254" s="11">
        <v>3</v>
      </c>
      <c r="O3254" s="12">
        <v>5.98</v>
      </c>
      <c r="P3254" s="12">
        <v>5.2</v>
      </c>
      <c r="Q3254" s="13">
        <v>-10.58</v>
      </c>
      <c r="R3254" s="36" t="s">
        <v>918</v>
      </c>
      <c r="S3254" s="7">
        <f t="shared" si="272"/>
        <v>2</v>
      </c>
      <c r="T3254" s="15" t="str">
        <f>VLOOKUP(R3254,产品分类!$C$2:$D$1278,2,0)</f>
        <v>数码电子</v>
      </c>
    </row>
    <row r="3255" spans="1:20">
      <c r="A3255" s="8">
        <f>DATE(2012,12,31)-1290</f>
        <v>39984</v>
      </c>
      <c r="B3255" s="8">
        <f>DATE(2012,12,31)-1290</f>
        <v>39984</v>
      </c>
      <c r="C3255" s="9" t="s">
        <v>1228</v>
      </c>
      <c r="D3255">
        <v>10021408513</v>
      </c>
      <c r="E3255" t="s">
        <v>47</v>
      </c>
      <c r="F3255" t="s">
        <v>78</v>
      </c>
      <c r="G3255" t="s">
        <v>79</v>
      </c>
      <c r="H3255" t="s">
        <v>2105</v>
      </c>
      <c r="I3255" t="s">
        <v>2106</v>
      </c>
      <c r="J3255" t="s">
        <v>141</v>
      </c>
      <c r="K3255" s="3">
        <v>100810048692</v>
      </c>
      <c r="L3255" s="10">
        <v>39986</v>
      </c>
      <c r="M3255">
        <v>238.49</v>
      </c>
      <c r="N3255" s="11">
        <v>39</v>
      </c>
      <c r="O3255" s="12">
        <v>6.48</v>
      </c>
      <c r="P3255" s="12">
        <v>6.22</v>
      </c>
      <c r="Q3255" s="13">
        <v>-110.56</v>
      </c>
      <c r="R3255" s="36" t="s">
        <v>1393</v>
      </c>
      <c r="S3255" s="7">
        <f t="shared" si="272"/>
        <v>2</v>
      </c>
      <c r="T3255" s="15" t="str">
        <f>VLOOKUP(R3255,产品分类!$C$2:$D$1278,2,0)</f>
        <v>家具产品</v>
      </c>
    </row>
    <row r="3256" spans="1:20">
      <c r="A3256" s="8">
        <f>DATE(2012,12,31)-838</f>
        <v>40436</v>
      </c>
      <c r="B3256" s="8">
        <f>DATE(2012,12,31)-838</f>
        <v>40436</v>
      </c>
      <c r="C3256" s="9" t="s">
        <v>1334</v>
      </c>
      <c r="D3256">
        <v>10021411578</v>
      </c>
      <c r="E3256" t="s">
        <v>47</v>
      </c>
      <c r="F3256" t="s">
        <v>61</v>
      </c>
      <c r="G3256" t="s">
        <v>62</v>
      </c>
      <c r="H3256" t="s">
        <v>47</v>
      </c>
      <c r="I3256" t="s">
        <v>1778</v>
      </c>
      <c r="J3256" t="s">
        <v>141</v>
      </c>
      <c r="K3256" s="3">
        <v>10084035332</v>
      </c>
      <c r="L3256" s="10">
        <v>40437</v>
      </c>
      <c r="M3256">
        <v>5740.32</v>
      </c>
      <c r="N3256" s="11">
        <v>39</v>
      </c>
      <c r="O3256" s="12">
        <v>145.45</v>
      </c>
      <c r="P3256" s="12">
        <v>17.85</v>
      </c>
      <c r="Q3256" s="13">
        <v>1285.74</v>
      </c>
      <c r="R3256" s="36" t="s">
        <v>322</v>
      </c>
      <c r="S3256" s="7">
        <f t="shared" si="272"/>
        <v>1</v>
      </c>
      <c r="T3256" s="15" t="str">
        <f>VLOOKUP(R3256,产品分类!$C$2:$D$1278,2,0)</f>
        <v>家具产品</v>
      </c>
    </row>
    <row r="3257" spans="1:20">
      <c r="A3257" s="8">
        <f>DATE(2012,12,31)-736</f>
        <v>40538</v>
      </c>
      <c r="B3257" s="8">
        <f>DATE(2012,12,31)-736</f>
        <v>40538</v>
      </c>
      <c r="C3257" s="9" t="s">
        <v>2172</v>
      </c>
      <c r="D3257">
        <v>10021254610</v>
      </c>
      <c r="E3257" t="s">
        <v>47</v>
      </c>
      <c r="F3257" t="s">
        <v>97</v>
      </c>
      <c r="G3257" t="s">
        <v>98</v>
      </c>
      <c r="H3257" t="s">
        <v>99</v>
      </c>
      <c r="I3257" t="s">
        <v>98</v>
      </c>
      <c r="J3257" t="s">
        <v>141</v>
      </c>
      <c r="K3257" s="3">
        <v>100122526607</v>
      </c>
      <c r="L3257" s="10">
        <v>40562</v>
      </c>
      <c r="M3257">
        <v>31.1185</v>
      </c>
      <c r="N3257" s="11">
        <v>4</v>
      </c>
      <c r="O3257" s="12">
        <v>7.99</v>
      </c>
      <c r="P3257" s="12">
        <v>5.03</v>
      </c>
      <c r="Q3257" s="13">
        <v>-46.904</v>
      </c>
      <c r="R3257" s="36" t="s">
        <v>71</v>
      </c>
      <c r="S3257" s="7">
        <f t="shared" si="272"/>
        <v>24</v>
      </c>
      <c r="T3257" s="15" t="str">
        <f>VLOOKUP(R3257,产品分类!$C$2:$D$1278,2,0)</f>
        <v>办公用品</v>
      </c>
    </row>
    <row r="3258" spans="1:20">
      <c r="A3258" s="8">
        <f>DATE(2012,12,31)-736</f>
        <v>40538</v>
      </c>
      <c r="B3258" s="8">
        <f>DATE(2012,12,31)-736</f>
        <v>40538</v>
      </c>
      <c r="C3258" s="9" t="s">
        <v>2172</v>
      </c>
      <c r="D3258">
        <v>10021294246</v>
      </c>
      <c r="E3258" t="s">
        <v>47</v>
      </c>
      <c r="F3258" t="s">
        <v>152</v>
      </c>
      <c r="G3258" t="s">
        <v>153</v>
      </c>
      <c r="H3258" t="s">
        <v>2137</v>
      </c>
      <c r="I3258" t="s">
        <v>2138</v>
      </c>
      <c r="J3258" t="s">
        <v>141</v>
      </c>
      <c r="K3258" s="3">
        <v>100412862803</v>
      </c>
      <c r="L3258" s="10">
        <v>40542</v>
      </c>
      <c r="M3258">
        <v>4829.4535</v>
      </c>
      <c r="N3258" s="11">
        <v>47</v>
      </c>
      <c r="O3258" s="12">
        <v>125.99</v>
      </c>
      <c r="P3258" s="12">
        <v>8.99</v>
      </c>
      <c r="Q3258" s="13">
        <v>1235.151</v>
      </c>
      <c r="R3258" s="36" t="s">
        <v>112</v>
      </c>
      <c r="S3258" s="7">
        <f t="shared" si="272"/>
        <v>4</v>
      </c>
      <c r="T3258" s="15" t="str">
        <f>VLOOKUP(R3258,产品分类!$C$2:$D$1278,2,0)</f>
        <v>数码电子</v>
      </c>
    </row>
    <row r="3259" spans="1:20">
      <c r="A3259" s="8">
        <f t="shared" ref="A3259:B3261" si="277">DATE(2012,12,31)-1244</f>
        <v>40030</v>
      </c>
      <c r="B3259" s="8">
        <f t="shared" si="277"/>
        <v>40030</v>
      </c>
      <c r="C3259" s="9" t="s">
        <v>143</v>
      </c>
      <c r="D3259">
        <v>10021294131</v>
      </c>
      <c r="E3259" t="s">
        <v>47</v>
      </c>
      <c r="F3259" t="s">
        <v>48</v>
      </c>
      <c r="G3259" t="s">
        <v>49</v>
      </c>
      <c r="H3259" t="s">
        <v>2032</v>
      </c>
      <c r="I3259" t="s">
        <v>2033</v>
      </c>
      <c r="J3259" t="s">
        <v>141</v>
      </c>
      <c r="K3259" s="3">
        <v>100311118459</v>
      </c>
      <c r="L3259" s="10">
        <v>40031</v>
      </c>
      <c r="M3259">
        <v>634.12</v>
      </c>
      <c r="N3259" s="11">
        <v>44</v>
      </c>
      <c r="O3259" s="12">
        <v>14.42</v>
      </c>
      <c r="P3259" s="12">
        <v>6.75</v>
      </c>
      <c r="Q3259" s="13">
        <v>-21.65</v>
      </c>
      <c r="R3259" s="36" t="s">
        <v>441</v>
      </c>
      <c r="S3259" s="7">
        <f t="shared" si="272"/>
        <v>1</v>
      </c>
      <c r="T3259" s="15" t="str">
        <f>VLOOKUP(R3259,产品分类!$C$2:$D$1278,2,0)</f>
        <v>办公用品</v>
      </c>
    </row>
    <row r="3260" spans="1:20">
      <c r="A3260" s="8">
        <f t="shared" si="277"/>
        <v>40030</v>
      </c>
      <c r="B3260" s="8">
        <f t="shared" si="277"/>
        <v>40030</v>
      </c>
      <c r="C3260" s="9" t="s">
        <v>143</v>
      </c>
      <c r="D3260">
        <v>10021301858</v>
      </c>
      <c r="E3260" t="s">
        <v>47</v>
      </c>
      <c r="F3260" t="s">
        <v>152</v>
      </c>
      <c r="G3260" t="s">
        <v>153</v>
      </c>
      <c r="H3260" t="s">
        <v>2137</v>
      </c>
      <c r="I3260" t="s">
        <v>2138</v>
      </c>
      <c r="J3260" t="s">
        <v>141</v>
      </c>
      <c r="K3260" s="3">
        <v>100428834294</v>
      </c>
      <c r="L3260" s="10">
        <v>40032</v>
      </c>
      <c r="M3260">
        <v>196.84</v>
      </c>
      <c r="N3260" s="11">
        <v>32</v>
      </c>
      <c r="O3260" s="12">
        <v>5.98</v>
      </c>
      <c r="P3260" s="12">
        <v>5.79</v>
      </c>
      <c r="Q3260" s="13">
        <v>-69.29</v>
      </c>
      <c r="R3260" s="36" t="s">
        <v>915</v>
      </c>
      <c r="S3260" s="7">
        <f t="shared" si="272"/>
        <v>2</v>
      </c>
      <c r="T3260" s="15" t="str">
        <f>VLOOKUP(R3260,产品分类!$C$2:$D$1278,2,0)</f>
        <v>家具产品</v>
      </c>
    </row>
    <row r="3261" spans="1:20">
      <c r="A3261" s="8">
        <f t="shared" si="277"/>
        <v>40030</v>
      </c>
      <c r="B3261" s="8">
        <f t="shared" si="277"/>
        <v>40030</v>
      </c>
      <c r="C3261" s="9" t="s">
        <v>143</v>
      </c>
      <c r="D3261">
        <v>10021262064</v>
      </c>
      <c r="E3261" t="s">
        <v>47</v>
      </c>
      <c r="F3261" t="s">
        <v>48</v>
      </c>
      <c r="G3261" t="s">
        <v>49</v>
      </c>
      <c r="H3261" t="s">
        <v>2032</v>
      </c>
      <c r="I3261" t="s">
        <v>2033</v>
      </c>
      <c r="J3261" t="s">
        <v>141</v>
      </c>
      <c r="K3261" s="3">
        <v>100829780022</v>
      </c>
      <c r="L3261" s="10">
        <v>40031</v>
      </c>
      <c r="M3261">
        <v>886.89</v>
      </c>
      <c r="N3261" s="11">
        <v>16</v>
      </c>
      <c r="O3261" s="12">
        <v>65.99</v>
      </c>
      <c r="P3261" s="12">
        <v>8.99</v>
      </c>
      <c r="Q3261" s="13">
        <v>-23.826</v>
      </c>
      <c r="R3261" s="36" t="s">
        <v>335</v>
      </c>
      <c r="S3261" s="7">
        <f t="shared" si="272"/>
        <v>1</v>
      </c>
      <c r="T3261" s="15" t="str">
        <f>VLOOKUP(R3261,产品分类!$C$2:$D$1278,2,0)</f>
        <v>办公用品</v>
      </c>
    </row>
    <row r="3262" spans="1:20">
      <c r="A3262" s="16">
        <f>DATE(2012,12,31)-1330</f>
        <v>39944</v>
      </c>
      <c r="B3262" s="16">
        <f>DATE(2012,12,31)-1330</f>
        <v>39944</v>
      </c>
      <c r="C3262" s="9" t="s">
        <v>1608</v>
      </c>
      <c r="D3262">
        <v>10021575168</v>
      </c>
      <c r="E3262" t="s">
        <v>47</v>
      </c>
      <c r="F3262" t="s">
        <v>152</v>
      </c>
      <c r="G3262" t="s">
        <v>153</v>
      </c>
      <c r="H3262" t="s">
        <v>2137</v>
      </c>
      <c r="I3262" t="s">
        <v>2138</v>
      </c>
      <c r="J3262" t="s">
        <v>141</v>
      </c>
      <c r="K3262" s="3">
        <v>10035092789</v>
      </c>
      <c r="L3262" s="10">
        <v>39944</v>
      </c>
      <c r="M3262">
        <v>512.97</v>
      </c>
      <c r="N3262" s="17">
        <v>30</v>
      </c>
      <c r="O3262" s="5">
        <v>15.67</v>
      </c>
      <c r="P3262" s="5">
        <v>1.39</v>
      </c>
      <c r="Q3262" s="6">
        <v>261.29</v>
      </c>
      <c r="R3262" s="37" t="s">
        <v>1012</v>
      </c>
      <c r="S3262" s="7">
        <f t="shared" si="272"/>
        <v>0</v>
      </c>
      <c r="T3262" s="15" t="str">
        <f>VLOOKUP(R3262,产品分类!$C$2:$D$1278,2,0)</f>
        <v>家具产品</v>
      </c>
    </row>
    <row r="3263" spans="1:20">
      <c r="A3263" s="8">
        <f t="shared" ref="A3263:B3265" si="278">DATE(2012,12,31)-912</f>
        <v>40362</v>
      </c>
      <c r="B3263" s="8">
        <f t="shared" si="278"/>
        <v>40362</v>
      </c>
      <c r="C3263" s="9" t="s">
        <v>2060</v>
      </c>
      <c r="D3263">
        <v>10021343014</v>
      </c>
      <c r="E3263" t="s">
        <v>47</v>
      </c>
      <c r="F3263" t="s">
        <v>66</v>
      </c>
      <c r="G3263" t="s">
        <v>67</v>
      </c>
      <c r="H3263" t="s">
        <v>2169</v>
      </c>
      <c r="I3263" t="s">
        <v>2170</v>
      </c>
      <c r="J3263" t="s">
        <v>141</v>
      </c>
      <c r="K3263" s="3">
        <v>10099820551</v>
      </c>
      <c r="L3263" s="10">
        <v>40363</v>
      </c>
      <c r="M3263">
        <v>3.23</v>
      </c>
      <c r="N3263" s="11">
        <v>2</v>
      </c>
      <c r="O3263" s="12">
        <v>1.26</v>
      </c>
      <c r="P3263" s="12">
        <v>0.7</v>
      </c>
      <c r="Q3263" s="13">
        <v>-2.73</v>
      </c>
      <c r="R3263" s="36" t="s">
        <v>339</v>
      </c>
      <c r="S3263" s="7">
        <f t="shared" si="272"/>
        <v>1</v>
      </c>
      <c r="T3263" s="15" t="str">
        <f>VLOOKUP(R3263,产品分类!$C$2:$D$1278,2,0)</f>
        <v>数码电子</v>
      </c>
    </row>
    <row r="3264" spans="1:20">
      <c r="A3264" s="8">
        <f t="shared" si="278"/>
        <v>40362</v>
      </c>
      <c r="B3264" s="8">
        <f t="shared" si="278"/>
        <v>40362</v>
      </c>
      <c r="C3264" s="9" t="s">
        <v>2060</v>
      </c>
      <c r="D3264">
        <v>10021268505</v>
      </c>
      <c r="E3264" t="s">
        <v>47</v>
      </c>
      <c r="F3264" t="s">
        <v>48</v>
      </c>
      <c r="G3264" t="s">
        <v>49</v>
      </c>
      <c r="H3264" t="s">
        <v>2032</v>
      </c>
      <c r="I3264" t="s">
        <v>2033</v>
      </c>
      <c r="J3264" t="s">
        <v>141</v>
      </c>
      <c r="K3264" s="3">
        <v>100732399725</v>
      </c>
      <c r="L3264" s="10">
        <v>40363</v>
      </c>
      <c r="M3264">
        <v>2861.66</v>
      </c>
      <c r="N3264" s="11">
        <v>36</v>
      </c>
      <c r="O3264" s="12">
        <v>80.98</v>
      </c>
      <c r="P3264" s="12">
        <v>35</v>
      </c>
      <c r="Q3264" s="13">
        <v>-921.68</v>
      </c>
      <c r="R3264" s="36" t="s">
        <v>1459</v>
      </c>
      <c r="S3264" s="7">
        <f t="shared" si="272"/>
        <v>1</v>
      </c>
      <c r="T3264" s="15" t="str">
        <f>VLOOKUP(R3264,产品分类!$C$2:$D$1278,2,0)</f>
        <v>办公用品</v>
      </c>
    </row>
    <row r="3265" spans="1:20">
      <c r="A3265" s="8">
        <f t="shared" si="278"/>
        <v>40362</v>
      </c>
      <c r="B3265" s="8">
        <f t="shared" si="278"/>
        <v>40362</v>
      </c>
      <c r="C3265" s="9" t="s">
        <v>2060</v>
      </c>
      <c r="D3265">
        <v>10021462729</v>
      </c>
      <c r="E3265" t="s">
        <v>47</v>
      </c>
      <c r="F3265" t="s">
        <v>72</v>
      </c>
      <c r="G3265" t="s">
        <v>73</v>
      </c>
      <c r="H3265" t="s">
        <v>2008</v>
      </c>
      <c r="I3265" t="s">
        <v>2009</v>
      </c>
      <c r="J3265" t="s">
        <v>141</v>
      </c>
      <c r="K3265" s="3">
        <v>100422305774</v>
      </c>
      <c r="L3265" s="10">
        <v>40362</v>
      </c>
      <c r="M3265">
        <v>373.2775</v>
      </c>
      <c r="N3265" s="11">
        <v>7</v>
      </c>
      <c r="O3265" s="12">
        <v>65.99</v>
      </c>
      <c r="P3265" s="12">
        <v>5.26</v>
      </c>
      <c r="Q3265" s="13">
        <v>-204.93</v>
      </c>
      <c r="R3265" s="36" t="s">
        <v>522</v>
      </c>
      <c r="S3265" s="7">
        <f t="shared" si="272"/>
        <v>0</v>
      </c>
      <c r="T3265" s="15" t="str">
        <f>VLOOKUP(R3265,产品分类!$C$2:$D$1278,2,0)</f>
        <v>家具产品</v>
      </c>
    </row>
    <row r="3266" spans="1:20">
      <c r="A3266" s="8">
        <f>DATE(2012,12,31)-857</f>
        <v>40417</v>
      </c>
      <c r="B3266" s="8">
        <f>DATE(2012,12,31)-857</f>
        <v>40417</v>
      </c>
      <c r="C3266" s="9" t="s">
        <v>1068</v>
      </c>
      <c r="D3266">
        <v>10021251691</v>
      </c>
      <c r="E3266" t="s">
        <v>47</v>
      </c>
      <c r="F3266" t="s">
        <v>78</v>
      </c>
      <c r="G3266" t="s">
        <v>79</v>
      </c>
      <c r="H3266" t="s">
        <v>2105</v>
      </c>
      <c r="I3266" t="s">
        <v>2106</v>
      </c>
      <c r="J3266" t="s">
        <v>141</v>
      </c>
      <c r="K3266" s="3">
        <v>100811112392</v>
      </c>
      <c r="L3266" s="10">
        <v>40419</v>
      </c>
      <c r="M3266">
        <v>852.05</v>
      </c>
      <c r="N3266" s="11">
        <v>45</v>
      </c>
      <c r="O3266" s="12">
        <v>19.98</v>
      </c>
      <c r="P3266" s="12">
        <v>10.49</v>
      </c>
      <c r="Q3266" s="13">
        <v>-20.6</v>
      </c>
      <c r="R3266" s="36" t="s">
        <v>932</v>
      </c>
      <c r="S3266" s="7">
        <f t="shared" si="272"/>
        <v>2</v>
      </c>
      <c r="T3266" s="15" t="str">
        <f>VLOOKUP(R3266,产品分类!$C$2:$D$1278,2,0)</f>
        <v>数码电子</v>
      </c>
    </row>
    <row r="3267" spans="1:20">
      <c r="A3267" s="8">
        <f>DATE(2012,12,31)-216</f>
        <v>41058</v>
      </c>
      <c r="B3267" s="8">
        <f>DATE(2012,12,31)-216</f>
        <v>41058</v>
      </c>
      <c r="C3267" s="9" t="s">
        <v>1079</v>
      </c>
      <c r="D3267">
        <v>10021577593</v>
      </c>
      <c r="E3267" t="s">
        <v>47</v>
      </c>
      <c r="F3267" t="s">
        <v>72</v>
      </c>
      <c r="G3267" t="s">
        <v>73</v>
      </c>
      <c r="H3267" t="s">
        <v>2008</v>
      </c>
      <c r="I3267" t="s">
        <v>2009</v>
      </c>
      <c r="J3267" t="s">
        <v>141</v>
      </c>
      <c r="K3267" s="3">
        <v>100111317746</v>
      </c>
      <c r="L3267" s="10">
        <v>41065</v>
      </c>
      <c r="M3267">
        <v>241.81</v>
      </c>
      <c r="N3267" s="11">
        <v>46</v>
      </c>
      <c r="O3267" s="12">
        <v>4.91</v>
      </c>
      <c r="P3267" s="12">
        <v>4.97</v>
      </c>
      <c r="Q3267" s="13">
        <v>-94.829</v>
      </c>
      <c r="R3267" s="36" t="s">
        <v>2133</v>
      </c>
      <c r="S3267" s="7">
        <f t="shared" ref="S3267:S3330" si="279">+L3267-B3267</f>
        <v>7</v>
      </c>
      <c r="T3267" s="15" t="str">
        <f>VLOOKUP(R3267,产品分类!$C$2:$D$1278,2,0)</f>
        <v>数码电子</v>
      </c>
    </row>
    <row r="3268" spans="1:20">
      <c r="A3268" s="8">
        <f>DATE(2012,12,31)-773</f>
        <v>40501</v>
      </c>
      <c r="B3268" s="8">
        <f>DATE(2012,12,31)-773</f>
        <v>40501</v>
      </c>
      <c r="C3268" s="9" t="s">
        <v>1862</v>
      </c>
      <c r="D3268">
        <v>10021589449</v>
      </c>
      <c r="E3268" t="s">
        <v>47</v>
      </c>
      <c r="F3268" t="s">
        <v>72</v>
      </c>
      <c r="G3268" t="s">
        <v>73</v>
      </c>
      <c r="H3268" t="s">
        <v>2008</v>
      </c>
      <c r="I3268" t="s">
        <v>2009</v>
      </c>
      <c r="J3268" t="s">
        <v>141</v>
      </c>
      <c r="K3268" s="3">
        <v>100130901458</v>
      </c>
      <c r="L3268" s="10">
        <v>40503</v>
      </c>
      <c r="M3268">
        <v>136.1</v>
      </c>
      <c r="N3268" s="11">
        <v>12</v>
      </c>
      <c r="O3268" s="12">
        <v>10.52</v>
      </c>
      <c r="P3268" s="12">
        <v>7.94</v>
      </c>
      <c r="Q3268" s="13">
        <v>-3.78</v>
      </c>
      <c r="R3268" s="36" t="s">
        <v>2076</v>
      </c>
      <c r="S3268" s="7">
        <f t="shared" si="279"/>
        <v>2</v>
      </c>
      <c r="T3268" s="15" t="str">
        <f>VLOOKUP(R3268,产品分类!$C$2:$D$1278,2,0)</f>
        <v>家具产品</v>
      </c>
    </row>
    <row r="3269" spans="1:20">
      <c r="A3269" s="8">
        <f>DATE(2012,12,31)-773</f>
        <v>40501</v>
      </c>
      <c r="B3269" s="8">
        <f>DATE(2012,12,31)-773</f>
        <v>40501</v>
      </c>
      <c r="C3269" s="9" t="s">
        <v>1862</v>
      </c>
      <c r="D3269">
        <v>10021494927</v>
      </c>
      <c r="E3269" t="s">
        <v>47</v>
      </c>
      <c r="F3269" t="s">
        <v>72</v>
      </c>
      <c r="G3269" t="s">
        <v>73</v>
      </c>
      <c r="H3269" t="s">
        <v>2008</v>
      </c>
      <c r="I3269" t="s">
        <v>2009</v>
      </c>
      <c r="J3269" t="s">
        <v>141</v>
      </c>
      <c r="K3269" s="3">
        <v>100113260198</v>
      </c>
      <c r="L3269" s="10">
        <v>40501</v>
      </c>
      <c r="M3269">
        <v>297.85</v>
      </c>
      <c r="N3269" s="11">
        <v>5</v>
      </c>
      <c r="O3269" s="12">
        <v>54.1</v>
      </c>
      <c r="P3269" s="12">
        <v>19.99</v>
      </c>
      <c r="Q3269" s="13">
        <v>-69.89</v>
      </c>
      <c r="R3269" s="36" t="s">
        <v>2173</v>
      </c>
      <c r="S3269" s="7">
        <f t="shared" si="279"/>
        <v>0</v>
      </c>
      <c r="T3269" s="15" t="str">
        <f>VLOOKUP(R3269,产品分类!$C$2:$D$1278,2,0)</f>
        <v>家具产品</v>
      </c>
    </row>
    <row r="3270" spans="1:20">
      <c r="A3270" s="8">
        <f>DATE(2012,12,31)-1233</f>
        <v>40041</v>
      </c>
      <c r="B3270" s="8">
        <f>DATE(2012,12,31)-1233</f>
        <v>40041</v>
      </c>
      <c r="C3270" s="9" t="s">
        <v>1786</v>
      </c>
      <c r="D3270">
        <v>10021521767</v>
      </c>
      <c r="E3270" t="s">
        <v>47</v>
      </c>
      <c r="F3270" t="s">
        <v>72</v>
      </c>
      <c r="G3270" t="s">
        <v>73</v>
      </c>
      <c r="H3270" t="s">
        <v>2008</v>
      </c>
      <c r="I3270" t="s">
        <v>2009</v>
      </c>
      <c r="J3270" t="s">
        <v>141</v>
      </c>
      <c r="K3270" s="3">
        <v>10045155554</v>
      </c>
      <c r="L3270" s="10">
        <v>40043</v>
      </c>
      <c r="M3270">
        <v>4276.096</v>
      </c>
      <c r="N3270" s="11">
        <v>24</v>
      </c>
      <c r="O3270" s="12">
        <v>209.37</v>
      </c>
      <c r="P3270" s="12">
        <v>69</v>
      </c>
      <c r="Q3270" s="13">
        <v>-505.984479</v>
      </c>
      <c r="R3270" s="36" t="s">
        <v>1184</v>
      </c>
      <c r="S3270" s="7">
        <f t="shared" si="279"/>
        <v>2</v>
      </c>
      <c r="T3270" s="15" t="str">
        <f>VLOOKUP(R3270,产品分类!$C$2:$D$1278,2,0)</f>
        <v>数码电子</v>
      </c>
    </row>
    <row r="3271" spans="1:20">
      <c r="A3271" s="16">
        <f>DATE(2012,12,31)-977</f>
        <v>40297</v>
      </c>
      <c r="B3271" s="16">
        <f>DATE(2012,12,31)-977</f>
        <v>40297</v>
      </c>
      <c r="C3271" s="9" t="s">
        <v>347</v>
      </c>
      <c r="D3271">
        <v>10021419054</v>
      </c>
      <c r="E3271" t="s">
        <v>47</v>
      </c>
      <c r="F3271" t="s">
        <v>72</v>
      </c>
      <c r="G3271" t="s">
        <v>73</v>
      </c>
      <c r="H3271" t="s">
        <v>2008</v>
      </c>
      <c r="I3271" t="s">
        <v>2009</v>
      </c>
      <c r="J3271" t="s">
        <v>141</v>
      </c>
      <c r="K3271" s="3">
        <v>100122807597</v>
      </c>
      <c r="L3271" s="10">
        <v>40298</v>
      </c>
      <c r="M3271">
        <v>101.57</v>
      </c>
      <c r="N3271" s="17">
        <v>45</v>
      </c>
      <c r="O3271" s="5">
        <v>2.08</v>
      </c>
      <c r="P3271" s="5">
        <v>1.49</v>
      </c>
      <c r="Q3271" s="6">
        <v>-5.9915</v>
      </c>
      <c r="R3271" s="37" t="s">
        <v>2023</v>
      </c>
      <c r="S3271" s="7">
        <f t="shared" si="279"/>
        <v>1</v>
      </c>
      <c r="T3271" s="15" t="str">
        <f>VLOOKUP(R3271,产品分类!$C$2:$D$1278,2,0)</f>
        <v>数码电子</v>
      </c>
    </row>
    <row r="3272" spans="1:20">
      <c r="A3272" s="8">
        <f>DATE(2012,12,31)-65</f>
        <v>41209</v>
      </c>
      <c r="B3272" s="8">
        <f>DATE(2012,12,31)-65</f>
        <v>41209</v>
      </c>
      <c r="C3272" s="9" t="s">
        <v>1964</v>
      </c>
      <c r="D3272">
        <v>10021253819</v>
      </c>
      <c r="E3272" t="s">
        <v>47</v>
      </c>
      <c r="F3272" t="s">
        <v>78</v>
      </c>
      <c r="G3272" t="s">
        <v>79</v>
      </c>
      <c r="H3272" t="s">
        <v>2105</v>
      </c>
      <c r="I3272" t="s">
        <v>2106</v>
      </c>
      <c r="J3272" t="s">
        <v>141</v>
      </c>
      <c r="K3272" s="3">
        <v>100120583697</v>
      </c>
      <c r="L3272" s="10">
        <v>41211</v>
      </c>
      <c r="M3272">
        <v>1296.46</v>
      </c>
      <c r="N3272" s="11">
        <v>31</v>
      </c>
      <c r="O3272" s="12">
        <v>39.48</v>
      </c>
      <c r="P3272" s="12">
        <v>1.99</v>
      </c>
      <c r="Q3272" s="13">
        <v>376.47</v>
      </c>
      <c r="R3272" s="36" t="s">
        <v>235</v>
      </c>
      <c r="S3272" s="7">
        <f t="shared" si="279"/>
        <v>2</v>
      </c>
      <c r="T3272" s="15" t="str">
        <f>VLOOKUP(R3272,产品分类!$C$2:$D$1278,2,0)</f>
        <v>办公用品</v>
      </c>
    </row>
    <row r="3273" spans="1:20">
      <c r="A3273" s="8">
        <f>DATE(2012,12,31)-927</f>
        <v>40347</v>
      </c>
      <c r="B3273" s="8">
        <f>DATE(2012,12,31)-927</f>
        <v>40347</v>
      </c>
      <c r="C3273" s="9" t="s">
        <v>686</v>
      </c>
      <c r="D3273">
        <v>10021531686</v>
      </c>
      <c r="E3273" t="s">
        <v>47</v>
      </c>
      <c r="F3273" t="s">
        <v>72</v>
      </c>
      <c r="G3273" t="s">
        <v>73</v>
      </c>
      <c r="H3273" t="s">
        <v>2008</v>
      </c>
      <c r="I3273" t="s">
        <v>2009</v>
      </c>
      <c r="J3273" t="s">
        <v>141</v>
      </c>
      <c r="K3273" s="3">
        <v>100131053828</v>
      </c>
      <c r="L3273" s="10">
        <v>40349</v>
      </c>
      <c r="M3273">
        <v>11481.03</v>
      </c>
      <c r="N3273" s="11">
        <v>30</v>
      </c>
      <c r="O3273" s="12">
        <v>399.98</v>
      </c>
      <c r="P3273" s="12">
        <v>12.06</v>
      </c>
      <c r="Q3273" s="13">
        <v>2799.65</v>
      </c>
      <c r="R3273" s="36" t="s">
        <v>595</v>
      </c>
      <c r="S3273" s="7">
        <f t="shared" si="279"/>
        <v>2</v>
      </c>
      <c r="T3273" s="15" t="str">
        <f>VLOOKUP(R3273,产品分类!$C$2:$D$1278,2,0)</f>
        <v>办公用品</v>
      </c>
    </row>
    <row r="3274" spans="1:20">
      <c r="A3274" s="8">
        <f>DATE(2012,12,31)-1389</f>
        <v>39885</v>
      </c>
      <c r="B3274" s="8">
        <f>DATE(2012,12,31)-1389</f>
        <v>39885</v>
      </c>
      <c r="C3274" s="9" t="s">
        <v>666</v>
      </c>
      <c r="D3274">
        <v>10021503845</v>
      </c>
      <c r="E3274" t="s">
        <v>47</v>
      </c>
      <c r="F3274" t="s">
        <v>72</v>
      </c>
      <c r="G3274" t="s">
        <v>73</v>
      </c>
      <c r="H3274" t="s">
        <v>2008</v>
      </c>
      <c r="I3274" t="s">
        <v>2009</v>
      </c>
      <c r="J3274" t="s">
        <v>141</v>
      </c>
      <c r="K3274" s="3">
        <v>100429976764</v>
      </c>
      <c r="L3274" s="10">
        <v>39886</v>
      </c>
      <c r="M3274">
        <v>123.1</v>
      </c>
      <c r="N3274" s="11">
        <v>19</v>
      </c>
      <c r="O3274" s="12">
        <v>6.48</v>
      </c>
      <c r="P3274" s="12">
        <v>7.37</v>
      </c>
      <c r="Q3274" s="13">
        <v>-75.44</v>
      </c>
      <c r="R3274" s="36" t="s">
        <v>1045</v>
      </c>
      <c r="S3274" s="7">
        <f t="shared" si="279"/>
        <v>1</v>
      </c>
      <c r="T3274" s="15" t="str">
        <f>VLOOKUP(R3274,产品分类!$C$2:$D$1278,2,0)</f>
        <v>数码电子</v>
      </c>
    </row>
    <row r="3275" spans="1:20">
      <c r="A3275" s="8">
        <f>DATE(2012,12,31)-733</f>
        <v>40541</v>
      </c>
      <c r="B3275" s="8">
        <f>DATE(2012,12,31)-733</f>
        <v>40541</v>
      </c>
      <c r="C3275" s="9" t="s">
        <v>1068</v>
      </c>
      <c r="D3275">
        <v>10021464386</v>
      </c>
      <c r="E3275" t="s">
        <v>47</v>
      </c>
      <c r="F3275" t="s">
        <v>72</v>
      </c>
      <c r="G3275" t="s">
        <v>73</v>
      </c>
      <c r="H3275" t="s">
        <v>2008</v>
      </c>
      <c r="I3275" t="s">
        <v>2009</v>
      </c>
      <c r="J3275" t="s">
        <v>141</v>
      </c>
      <c r="K3275" s="3">
        <v>10012920106</v>
      </c>
      <c r="L3275" s="10">
        <v>40541</v>
      </c>
      <c r="M3275">
        <v>209.3</v>
      </c>
      <c r="N3275" s="11">
        <v>14</v>
      </c>
      <c r="O3275" s="12">
        <v>13.48</v>
      </c>
      <c r="P3275" s="12">
        <v>4.51</v>
      </c>
      <c r="Q3275" s="13">
        <v>7.86</v>
      </c>
      <c r="R3275" s="36" t="s">
        <v>550</v>
      </c>
      <c r="S3275" s="7">
        <f t="shared" si="279"/>
        <v>0</v>
      </c>
      <c r="T3275" s="15" t="str">
        <f>VLOOKUP(R3275,产品分类!$C$2:$D$1278,2,0)</f>
        <v>办公用品</v>
      </c>
    </row>
    <row r="3276" spans="1:20">
      <c r="A3276" s="8">
        <f>DATE(2012,12,31)-684</f>
        <v>40590</v>
      </c>
      <c r="B3276" s="8">
        <f>DATE(2012,12,31)-684</f>
        <v>40590</v>
      </c>
      <c r="C3276" s="9" t="s">
        <v>1269</v>
      </c>
      <c r="D3276">
        <v>10021268340</v>
      </c>
      <c r="E3276" t="s">
        <v>47</v>
      </c>
      <c r="F3276" t="s">
        <v>78</v>
      </c>
      <c r="G3276" t="s">
        <v>79</v>
      </c>
      <c r="H3276" t="s">
        <v>2105</v>
      </c>
      <c r="I3276" t="s">
        <v>2106</v>
      </c>
      <c r="J3276" t="s">
        <v>141</v>
      </c>
      <c r="K3276" s="3">
        <v>100932394261</v>
      </c>
      <c r="L3276" s="10">
        <v>40592</v>
      </c>
      <c r="M3276">
        <v>1009.8</v>
      </c>
      <c r="N3276" s="11">
        <v>45</v>
      </c>
      <c r="O3276" s="12">
        <v>22.98</v>
      </c>
      <c r="P3276" s="12">
        <v>1.99</v>
      </c>
      <c r="Q3276" s="13">
        <v>352.64</v>
      </c>
      <c r="R3276" s="36" t="s">
        <v>585</v>
      </c>
      <c r="S3276" s="7">
        <f t="shared" si="279"/>
        <v>2</v>
      </c>
      <c r="T3276" s="15" t="str">
        <f>VLOOKUP(R3276,产品分类!$C$2:$D$1278,2,0)</f>
        <v>家具产品</v>
      </c>
    </row>
    <row r="3277" spans="1:20">
      <c r="A3277" s="8">
        <f>DATE(2012,12,31)-684</f>
        <v>40590</v>
      </c>
      <c r="B3277" s="8">
        <f>DATE(2012,12,31)-684</f>
        <v>40590</v>
      </c>
      <c r="C3277" s="9" t="s">
        <v>1269</v>
      </c>
      <c r="D3277">
        <v>10021594653</v>
      </c>
      <c r="E3277" t="s">
        <v>47</v>
      </c>
      <c r="F3277" t="s">
        <v>78</v>
      </c>
      <c r="G3277" t="s">
        <v>79</v>
      </c>
      <c r="H3277" t="s">
        <v>2105</v>
      </c>
      <c r="I3277" t="s">
        <v>2106</v>
      </c>
      <c r="J3277" t="s">
        <v>141</v>
      </c>
      <c r="K3277" s="3">
        <v>100432764143</v>
      </c>
      <c r="L3277" s="10">
        <v>40591</v>
      </c>
      <c r="M3277">
        <v>29.71</v>
      </c>
      <c r="N3277" s="11">
        <v>12</v>
      </c>
      <c r="O3277" s="12">
        <v>2.52</v>
      </c>
      <c r="P3277" s="12">
        <v>1.92</v>
      </c>
      <c r="Q3277" s="13">
        <v>-23.17</v>
      </c>
      <c r="R3277" s="36" t="s">
        <v>1046</v>
      </c>
      <c r="S3277" s="7">
        <f t="shared" si="279"/>
        <v>1</v>
      </c>
      <c r="T3277" s="15" t="str">
        <f>VLOOKUP(R3277,产品分类!$C$2:$D$1278,2,0)</f>
        <v>家具产品</v>
      </c>
    </row>
    <row r="3278" spans="1:20">
      <c r="A3278" s="8">
        <f>DATE(2012,12,31)-511</f>
        <v>40763</v>
      </c>
      <c r="B3278" s="8">
        <f>DATE(2012,12,31)-511</f>
        <v>40763</v>
      </c>
      <c r="C3278" s="9" t="s">
        <v>697</v>
      </c>
      <c r="D3278">
        <v>10021347056</v>
      </c>
      <c r="E3278" t="s">
        <v>47</v>
      </c>
      <c r="F3278" t="s">
        <v>230</v>
      </c>
      <c r="G3278" t="s">
        <v>231</v>
      </c>
      <c r="H3278" t="s">
        <v>2174</v>
      </c>
      <c r="I3278" t="s">
        <v>2175</v>
      </c>
      <c r="J3278" t="s">
        <v>141</v>
      </c>
      <c r="K3278" s="3">
        <v>100923304521</v>
      </c>
      <c r="L3278" s="10">
        <v>40770</v>
      </c>
      <c r="M3278">
        <v>442.76</v>
      </c>
      <c r="N3278" s="11">
        <v>30</v>
      </c>
      <c r="O3278" s="12">
        <v>15.01</v>
      </c>
      <c r="P3278" s="12">
        <v>8.4</v>
      </c>
      <c r="Q3278" s="13">
        <v>-17.112</v>
      </c>
      <c r="R3278" s="36" t="s">
        <v>1374</v>
      </c>
      <c r="S3278" s="7">
        <f t="shared" si="279"/>
        <v>7</v>
      </c>
      <c r="T3278" s="15" t="str">
        <f>VLOOKUP(R3278,产品分类!$C$2:$D$1278,2,0)</f>
        <v>办公用品</v>
      </c>
    </row>
    <row r="3279" spans="1:20">
      <c r="A3279" s="8">
        <f>DATE(2012,12,31)-511</f>
        <v>40763</v>
      </c>
      <c r="B3279" s="8">
        <f>DATE(2012,12,31)-511</f>
        <v>40763</v>
      </c>
      <c r="C3279" s="9" t="s">
        <v>697</v>
      </c>
      <c r="D3279">
        <v>10021588569</v>
      </c>
      <c r="E3279" t="s">
        <v>47</v>
      </c>
      <c r="F3279" t="s">
        <v>230</v>
      </c>
      <c r="G3279" t="s">
        <v>231</v>
      </c>
      <c r="H3279" t="s">
        <v>2174</v>
      </c>
      <c r="I3279" t="s">
        <v>2175</v>
      </c>
      <c r="J3279" t="s">
        <v>141</v>
      </c>
      <c r="K3279" s="3">
        <v>100130495928</v>
      </c>
      <c r="L3279" s="10">
        <v>40772</v>
      </c>
      <c r="M3279">
        <v>2684.98</v>
      </c>
      <c r="N3279" s="11">
        <v>22</v>
      </c>
      <c r="O3279" s="12">
        <v>120.98</v>
      </c>
      <c r="P3279" s="12">
        <v>9.07</v>
      </c>
      <c r="Q3279" s="13">
        <v>1115.1405</v>
      </c>
      <c r="R3279" s="36" t="s">
        <v>1524</v>
      </c>
      <c r="S3279" s="7">
        <f t="shared" si="279"/>
        <v>9</v>
      </c>
      <c r="T3279" s="15" t="str">
        <f>VLOOKUP(R3279,产品分类!$C$2:$D$1278,2,0)</f>
        <v>办公用品</v>
      </c>
    </row>
    <row r="3280" spans="1:20">
      <c r="A3280" s="8">
        <f>DATE(2012,12,31)-64</f>
        <v>41210</v>
      </c>
      <c r="B3280" s="8">
        <f>DATE(2012,12,31)-64</f>
        <v>41210</v>
      </c>
      <c r="C3280" s="9" t="s">
        <v>1229</v>
      </c>
      <c r="D3280">
        <v>10021302860</v>
      </c>
      <c r="E3280" t="s">
        <v>47</v>
      </c>
      <c r="F3280" t="s">
        <v>230</v>
      </c>
      <c r="G3280" t="s">
        <v>231</v>
      </c>
      <c r="H3280" t="s">
        <v>2174</v>
      </c>
      <c r="I3280" t="s">
        <v>2175</v>
      </c>
      <c r="J3280" t="s">
        <v>141</v>
      </c>
      <c r="K3280" s="3">
        <v>100431295703</v>
      </c>
      <c r="L3280" s="10">
        <v>41212</v>
      </c>
      <c r="M3280">
        <v>980.95</v>
      </c>
      <c r="N3280" s="11">
        <v>41</v>
      </c>
      <c r="O3280" s="12">
        <v>22.84</v>
      </c>
      <c r="P3280" s="12">
        <v>8.18</v>
      </c>
      <c r="Q3280" s="13">
        <v>234.68</v>
      </c>
      <c r="R3280" s="36" t="s">
        <v>1569</v>
      </c>
      <c r="S3280" s="7">
        <f t="shared" si="279"/>
        <v>2</v>
      </c>
      <c r="T3280" s="15" t="str">
        <f>VLOOKUP(R3280,产品分类!$C$2:$D$1278,2,0)</f>
        <v>办公用品</v>
      </c>
    </row>
    <row r="3281" spans="1:20">
      <c r="A3281" s="16">
        <f>DATE(2012,12,31)-1383</f>
        <v>39891</v>
      </c>
      <c r="B3281" s="16">
        <f>DATE(2012,12,31)-1383</f>
        <v>39891</v>
      </c>
      <c r="C3281" s="9" t="s">
        <v>1109</v>
      </c>
      <c r="D3281">
        <v>10021368550</v>
      </c>
      <c r="E3281" t="s">
        <v>47</v>
      </c>
      <c r="F3281" t="s">
        <v>230</v>
      </c>
      <c r="G3281" t="s">
        <v>231</v>
      </c>
      <c r="H3281" t="s">
        <v>2174</v>
      </c>
      <c r="I3281" t="s">
        <v>2175</v>
      </c>
      <c r="J3281" t="s">
        <v>141</v>
      </c>
      <c r="K3281" s="3">
        <v>100121714258</v>
      </c>
      <c r="L3281" s="10">
        <v>39891</v>
      </c>
      <c r="M3281">
        <v>154.61</v>
      </c>
      <c r="N3281" s="17">
        <v>28</v>
      </c>
      <c r="O3281" s="5">
        <v>5.34</v>
      </c>
      <c r="P3281" s="5">
        <v>5.63</v>
      </c>
      <c r="Q3281" s="6">
        <v>-82.823</v>
      </c>
      <c r="R3281" s="37" t="s">
        <v>988</v>
      </c>
      <c r="S3281" s="7">
        <f t="shared" si="279"/>
        <v>0</v>
      </c>
      <c r="T3281" s="15" t="str">
        <f>VLOOKUP(R3281,产品分类!$C$2:$D$1278,2,0)</f>
        <v>办公用品</v>
      </c>
    </row>
    <row r="3282" spans="1:20">
      <c r="A3282" s="8">
        <f>DATE(2012,12,31)-1383</f>
        <v>39891</v>
      </c>
      <c r="B3282" s="8">
        <f>DATE(2012,12,31)-1383</f>
        <v>39891</v>
      </c>
      <c r="C3282" s="9" t="s">
        <v>1109</v>
      </c>
      <c r="D3282">
        <v>10021414564</v>
      </c>
      <c r="E3282" t="s">
        <v>47</v>
      </c>
      <c r="F3282" t="s">
        <v>434</v>
      </c>
      <c r="G3282" t="s">
        <v>435</v>
      </c>
      <c r="H3282" t="s">
        <v>436</v>
      </c>
      <c r="I3282" t="s">
        <v>437</v>
      </c>
      <c r="J3282" t="s">
        <v>141</v>
      </c>
      <c r="K3282" s="3">
        <v>10044505204</v>
      </c>
      <c r="L3282" s="10">
        <v>39893</v>
      </c>
      <c r="M3282">
        <v>1063.35</v>
      </c>
      <c r="N3282" s="11">
        <v>19</v>
      </c>
      <c r="O3282" s="12">
        <v>65.99</v>
      </c>
      <c r="P3282" s="12">
        <v>5.26</v>
      </c>
      <c r="Q3282" s="13">
        <v>107.082</v>
      </c>
      <c r="R3282" s="36" t="s">
        <v>522</v>
      </c>
      <c r="S3282" s="7">
        <f t="shared" si="279"/>
        <v>2</v>
      </c>
      <c r="T3282" s="15" t="str">
        <f>VLOOKUP(R3282,产品分类!$C$2:$D$1278,2,0)</f>
        <v>家具产品</v>
      </c>
    </row>
    <row r="3283" spans="1:20">
      <c r="A3283" s="8">
        <f>DATE(2012,12,31)-1455</f>
        <v>39819</v>
      </c>
      <c r="B3283" s="8">
        <f>DATE(2012,12,31)-1455</f>
        <v>39819</v>
      </c>
      <c r="C3283" s="9" t="s">
        <v>742</v>
      </c>
      <c r="D3283">
        <v>10021340516</v>
      </c>
      <c r="E3283" t="s">
        <v>47</v>
      </c>
      <c r="F3283" t="s">
        <v>114</v>
      </c>
      <c r="G3283" t="s">
        <v>115</v>
      </c>
      <c r="H3283" t="s">
        <v>2156</v>
      </c>
      <c r="I3283" t="s">
        <v>2157</v>
      </c>
      <c r="J3283" t="s">
        <v>141</v>
      </c>
      <c r="K3283" s="3">
        <v>100926161031</v>
      </c>
      <c r="L3283" s="10">
        <v>39821</v>
      </c>
      <c r="M3283">
        <v>101.77</v>
      </c>
      <c r="N3283" s="11">
        <v>29</v>
      </c>
      <c r="O3283" s="12">
        <v>3.28</v>
      </c>
      <c r="P3283" s="12">
        <v>3.97</v>
      </c>
      <c r="Q3283" s="13">
        <v>-73.19</v>
      </c>
      <c r="R3283" s="36" t="s">
        <v>1756</v>
      </c>
      <c r="S3283" s="7">
        <f t="shared" si="279"/>
        <v>2</v>
      </c>
      <c r="T3283" s="15" t="str">
        <f>VLOOKUP(R3283,产品分类!$C$2:$D$1278,2,0)</f>
        <v>办公用品</v>
      </c>
    </row>
    <row r="3284" spans="1:20">
      <c r="A3284" s="8">
        <f>DATE(2012,12,31)-1455</f>
        <v>39819</v>
      </c>
      <c r="B3284" s="8">
        <f>DATE(2012,12,31)-1455</f>
        <v>39819</v>
      </c>
      <c r="C3284" s="9" t="s">
        <v>1480</v>
      </c>
      <c r="D3284">
        <v>10021522449</v>
      </c>
      <c r="E3284" t="s">
        <v>47</v>
      </c>
      <c r="F3284" t="s">
        <v>114</v>
      </c>
      <c r="G3284" t="s">
        <v>115</v>
      </c>
      <c r="H3284" t="s">
        <v>2156</v>
      </c>
      <c r="I3284" t="s">
        <v>2157</v>
      </c>
      <c r="J3284" t="s">
        <v>141</v>
      </c>
      <c r="K3284" s="3">
        <v>10015954278</v>
      </c>
      <c r="L3284" s="10">
        <v>39820</v>
      </c>
      <c r="M3284">
        <v>26133.39</v>
      </c>
      <c r="N3284" s="11">
        <v>30</v>
      </c>
      <c r="O3284" s="12">
        <v>880.98</v>
      </c>
      <c r="P3284" s="12">
        <v>44.55</v>
      </c>
      <c r="Q3284" s="13">
        <v>-11053.6</v>
      </c>
      <c r="R3284" s="36" t="s">
        <v>706</v>
      </c>
      <c r="S3284" s="7">
        <f t="shared" si="279"/>
        <v>1</v>
      </c>
      <c r="T3284" s="15" t="str">
        <f>VLOOKUP(R3284,产品分类!$C$2:$D$1278,2,0)</f>
        <v>办公用品</v>
      </c>
    </row>
    <row r="3285" spans="1:20">
      <c r="A3285" s="8">
        <f>DATE(2012,12,31)-125</f>
        <v>41149</v>
      </c>
      <c r="B3285" s="8">
        <f>DATE(2012,12,31)-125</f>
        <v>41149</v>
      </c>
      <c r="C3285" s="9" t="s">
        <v>470</v>
      </c>
      <c r="D3285">
        <v>10021500436</v>
      </c>
      <c r="E3285" t="s">
        <v>47</v>
      </c>
      <c r="F3285" t="s">
        <v>473</v>
      </c>
      <c r="G3285" t="s">
        <v>474</v>
      </c>
      <c r="H3285" t="s">
        <v>2142</v>
      </c>
      <c r="I3285" t="s">
        <v>2143</v>
      </c>
      <c r="J3285" t="s">
        <v>141</v>
      </c>
      <c r="K3285" s="3">
        <v>100925906621</v>
      </c>
      <c r="L3285" s="10">
        <v>41149</v>
      </c>
      <c r="M3285">
        <v>2004.6</v>
      </c>
      <c r="N3285" s="11">
        <v>42</v>
      </c>
      <c r="O3285" s="12">
        <v>47.98</v>
      </c>
      <c r="P3285" s="12">
        <v>3.61</v>
      </c>
      <c r="Q3285" s="13">
        <v>230.3</v>
      </c>
      <c r="R3285" s="36" t="s">
        <v>364</v>
      </c>
      <c r="S3285" s="7">
        <f t="shared" si="279"/>
        <v>0</v>
      </c>
      <c r="T3285" s="15" t="str">
        <f>VLOOKUP(R3285,产品分类!$C$2:$D$1278,2,0)</f>
        <v>数码电子</v>
      </c>
    </row>
    <row r="3286" spans="1:20">
      <c r="A3286" s="8">
        <f t="shared" ref="A3286:B3289" si="280">DATE(2012,12,31)-630</f>
        <v>40644</v>
      </c>
      <c r="B3286" s="8">
        <f t="shared" si="280"/>
        <v>40644</v>
      </c>
      <c r="C3286" s="9" t="s">
        <v>1229</v>
      </c>
      <c r="D3286">
        <v>10021336332</v>
      </c>
      <c r="E3286" t="s">
        <v>47</v>
      </c>
      <c r="F3286" t="s">
        <v>473</v>
      </c>
      <c r="G3286" t="s">
        <v>474</v>
      </c>
      <c r="H3286" t="s">
        <v>2142</v>
      </c>
      <c r="I3286" t="s">
        <v>2143</v>
      </c>
      <c r="J3286" t="s">
        <v>141</v>
      </c>
      <c r="K3286" s="3">
        <v>100317858209</v>
      </c>
      <c r="L3286" s="10">
        <v>40645</v>
      </c>
      <c r="M3286">
        <v>180.43</v>
      </c>
      <c r="N3286" s="11">
        <v>8</v>
      </c>
      <c r="O3286" s="12">
        <v>19.99</v>
      </c>
      <c r="P3286" s="12">
        <v>11.17</v>
      </c>
      <c r="Q3286" s="13">
        <v>-44.86</v>
      </c>
      <c r="R3286" s="36" t="s">
        <v>2017</v>
      </c>
      <c r="S3286" s="7">
        <f t="shared" si="279"/>
        <v>1</v>
      </c>
      <c r="T3286" s="15" t="str">
        <f>VLOOKUP(R3286,产品分类!$C$2:$D$1278,2,0)</f>
        <v>家具产品</v>
      </c>
    </row>
    <row r="3287" spans="1:20">
      <c r="A3287" s="8">
        <f t="shared" si="280"/>
        <v>40644</v>
      </c>
      <c r="B3287" s="8">
        <f t="shared" si="280"/>
        <v>40644</v>
      </c>
      <c r="C3287" s="9" t="s">
        <v>1229</v>
      </c>
      <c r="D3287">
        <v>10021270395</v>
      </c>
      <c r="E3287" t="s">
        <v>47</v>
      </c>
      <c r="F3287" t="s">
        <v>122</v>
      </c>
      <c r="G3287" t="s">
        <v>123</v>
      </c>
      <c r="H3287" t="s">
        <v>2159</v>
      </c>
      <c r="I3287" t="s">
        <v>2160</v>
      </c>
      <c r="J3287" t="s">
        <v>141</v>
      </c>
      <c r="K3287" s="3">
        <v>100132480256</v>
      </c>
      <c r="L3287" s="10">
        <v>40646</v>
      </c>
      <c r="M3287">
        <v>1077.8085</v>
      </c>
      <c r="N3287" s="11">
        <v>20</v>
      </c>
      <c r="O3287" s="12">
        <v>65.99</v>
      </c>
      <c r="P3287" s="12">
        <v>8.99</v>
      </c>
      <c r="Q3287" s="13">
        <v>17.253</v>
      </c>
      <c r="R3287" s="36" t="s">
        <v>730</v>
      </c>
      <c r="S3287" s="7">
        <f t="shared" si="279"/>
        <v>2</v>
      </c>
      <c r="T3287" s="15" t="str">
        <f>VLOOKUP(R3287,产品分类!$C$2:$D$1278,2,0)</f>
        <v>办公用品</v>
      </c>
    </row>
    <row r="3288" spans="1:20">
      <c r="A3288" s="8">
        <f t="shared" si="280"/>
        <v>40644</v>
      </c>
      <c r="B3288" s="8">
        <f t="shared" si="280"/>
        <v>40644</v>
      </c>
      <c r="C3288" s="9" t="s">
        <v>1229</v>
      </c>
      <c r="D3288">
        <v>10021587662</v>
      </c>
      <c r="E3288" t="s">
        <v>47</v>
      </c>
      <c r="F3288" t="s">
        <v>55</v>
      </c>
      <c r="G3288" t="s">
        <v>56</v>
      </c>
      <c r="H3288" t="s">
        <v>2112</v>
      </c>
      <c r="I3288" t="s">
        <v>2113</v>
      </c>
      <c r="J3288" t="s">
        <v>141</v>
      </c>
      <c r="K3288" s="3">
        <v>100830057762</v>
      </c>
      <c r="L3288" s="10">
        <v>40645</v>
      </c>
      <c r="M3288">
        <v>2899.98</v>
      </c>
      <c r="N3288" s="11">
        <v>19</v>
      </c>
      <c r="O3288" s="12">
        <v>159.99</v>
      </c>
      <c r="P3288" s="12">
        <v>5.5</v>
      </c>
      <c r="Q3288" s="13">
        <v>666.01</v>
      </c>
      <c r="R3288" s="36" t="s">
        <v>1288</v>
      </c>
      <c r="S3288" s="7">
        <f t="shared" si="279"/>
        <v>1</v>
      </c>
      <c r="T3288" s="15" t="str">
        <f>VLOOKUP(R3288,产品分类!$C$2:$D$1278,2,0)</f>
        <v>数码电子</v>
      </c>
    </row>
    <row r="3289" spans="1:20">
      <c r="A3289" s="16">
        <f t="shared" si="280"/>
        <v>40644</v>
      </c>
      <c r="B3289" s="16">
        <f t="shared" si="280"/>
        <v>40644</v>
      </c>
      <c r="C3289" s="9" t="s">
        <v>1229</v>
      </c>
      <c r="D3289">
        <v>10021363565</v>
      </c>
      <c r="E3289" t="s">
        <v>47</v>
      </c>
      <c r="F3289" t="s">
        <v>91</v>
      </c>
      <c r="G3289" t="s">
        <v>92</v>
      </c>
      <c r="H3289" t="s">
        <v>2053</v>
      </c>
      <c r="I3289" t="s">
        <v>2054</v>
      </c>
      <c r="J3289" t="s">
        <v>141</v>
      </c>
      <c r="K3289" s="3">
        <v>10012880327</v>
      </c>
      <c r="L3289" s="10">
        <v>40646</v>
      </c>
      <c r="M3289">
        <v>233.38</v>
      </c>
      <c r="N3289" s="17">
        <v>36</v>
      </c>
      <c r="O3289" s="5">
        <v>6.48</v>
      </c>
      <c r="P3289" s="5">
        <v>8.73</v>
      </c>
      <c r="Q3289" s="6">
        <v>-180.17</v>
      </c>
      <c r="R3289" s="37" t="s">
        <v>924</v>
      </c>
      <c r="S3289" s="7">
        <f t="shared" si="279"/>
        <v>2</v>
      </c>
      <c r="T3289" s="15" t="str">
        <f>VLOOKUP(R3289,产品分类!$C$2:$D$1278,2,0)</f>
        <v>数码电子</v>
      </c>
    </row>
    <row r="3290" spans="1:20">
      <c r="A3290" s="8">
        <f>DATE(2012,12,31)-1343</f>
        <v>39931</v>
      </c>
      <c r="B3290" s="8">
        <f>DATE(2012,12,31)-1343</f>
        <v>39931</v>
      </c>
      <c r="C3290" s="9" t="s">
        <v>596</v>
      </c>
      <c r="D3290">
        <v>10021582922</v>
      </c>
      <c r="E3290" t="s">
        <v>47</v>
      </c>
      <c r="F3290" t="s">
        <v>55</v>
      </c>
      <c r="G3290" t="s">
        <v>56</v>
      </c>
      <c r="H3290" t="s">
        <v>2112</v>
      </c>
      <c r="I3290" t="s">
        <v>2113</v>
      </c>
      <c r="J3290" t="s">
        <v>141</v>
      </c>
      <c r="K3290" s="3">
        <v>100326066109</v>
      </c>
      <c r="L3290" s="10">
        <v>39933</v>
      </c>
      <c r="M3290">
        <v>129.33</v>
      </c>
      <c r="N3290" s="11">
        <v>28</v>
      </c>
      <c r="O3290" s="12">
        <v>4.13</v>
      </c>
      <c r="P3290" s="12">
        <v>0.99</v>
      </c>
      <c r="Q3290" s="13">
        <v>48.25</v>
      </c>
      <c r="R3290" s="36" t="s">
        <v>971</v>
      </c>
      <c r="S3290" s="7">
        <f t="shared" si="279"/>
        <v>2</v>
      </c>
      <c r="T3290" s="15" t="str">
        <f>VLOOKUP(R3290,产品分类!$C$2:$D$1278,2,0)</f>
        <v>办公用品</v>
      </c>
    </row>
    <row r="3291" spans="1:20">
      <c r="A3291" s="8">
        <f>DATE(2012,12,31)-1343</f>
        <v>39931</v>
      </c>
      <c r="B3291" s="8">
        <f>DATE(2012,12,31)-1343</f>
        <v>39931</v>
      </c>
      <c r="C3291" s="9" t="s">
        <v>596</v>
      </c>
      <c r="D3291">
        <v>10021344676</v>
      </c>
      <c r="E3291" t="s">
        <v>47</v>
      </c>
      <c r="F3291" t="s">
        <v>83</v>
      </c>
      <c r="G3291" t="s">
        <v>84</v>
      </c>
      <c r="H3291" t="s">
        <v>2144</v>
      </c>
      <c r="I3291" t="s">
        <v>2145</v>
      </c>
      <c r="J3291" t="s">
        <v>141</v>
      </c>
      <c r="K3291" s="3">
        <v>100129798357</v>
      </c>
      <c r="L3291" s="10">
        <v>39933</v>
      </c>
      <c r="M3291">
        <v>2461.23</v>
      </c>
      <c r="N3291" s="11">
        <v>46</v>
      </c>
      <c r="O3291" s="12">
        <v>55.48</v>
      </c>
      <c r="P3291" s="12">
        <v>14.3</v>
      </c>
      <c r="Q3291" s="13">
        <v>748.2</v>
      </c>
      <c r="R3291" s="36" t="s">
        <v>429</v>
      </c>
      <c r="S3291" s="7">
        <f t="shared" si="279"/>
        <v>2</v>
      </c>
      <c r="T3291" s="15" t="str">
        <f>VLOOKUP(R3291,产品分类!$C$2:$D$1278,2,0)</f>
        <v>办公用品</v>
      </c>
    </row>
    <row r="3292" spans="1:20">
      <c r="A3292" s="8">
        <f>DATE(2012,12,31)-20</f>
        <v>41254</v>
      </c>
      <c r="B3292" s="8">
        <f>DATE(2012,12,31)-20</f>
        <v>41254</v>
      </c>
      <c r="C3292" s="9" t="s">
        <v>681</v>
      </c>
      <c r="D3292">
        <v>10021546082</v>
      </c>
      <c r="E3292" t="s">
        <v>47</v>
      </c>
      <c r="F3292" t="s">
        <v>55</v>
      </c>
      <c r="G3292" t="s">
        <v>56</v>
      </c>
      <c r="H3292" t="s">
        <v>2112</v>
      </c>
      <c r="I3292" t="s">
        <v>2113</v>
      </c>
      <c r="J3292" t="s">
        <v>141</v>
      </c>
      <c r="K3292" s="3">
        <v>10011567218</v>
      </c>
      <c r="L3292" s="10">
        <v>41255</v>
      </c>
      <c r="M3292">
        <v>104.7</v>
      </c>
      <c r="N3292" s="11">
        <v>29</v>
      </c>
      <c r="O3292" s="12">
        <v>3.69</v>
      </c>
      <c r="P3292" s="12">
        <v>0.5</v>
      </c>
      <c r="Q3292" s="13">
        <v>42.16</v>
      </c>
      <c r="R3292" s="36" t="s">
        <v>486</v>
      </c>
      <c r="S3292" s="7">
        <f t="shared" si="279"/>
        <v>1</v>
      </c>
      <c r="T3292" s="15" t="str">
        <f>VLOOKUP(R3292,产品分类!$C$2:$D$1278,2,0)</f>
        <v>数码电子</v>
      </c>
    </row>
    <row r="3293" spans="1:20">
      <c r="A3293" s="8">
        <f>DATE(2012,12,31)-20</f>
        <v>41254</v>
      </c>
      <c r="B3293" s="8">
        <f>DATE(2012,12,31)-20</f>
        <v>41254</v>
      </c>
      <c r="C3293" s="9" t="s">
        <v>681</v>
      </c>
      <c r="D3293">
        <v>10021574721</v>
      </c>
      <c r="E3293" t="s">
        <v>47</v>
      </c>
      <c r="F3293" t="s">
        <v>91</v>
      </c>
      <c r="G3293" t="s">
        <v>92</v>
      </c>
      <c r="H3293" t="s">
        <v>2053</v>
      </c>
      <c r="I3293" t="s">
        <v>2054</v>
      </c>
      <c r="J3293" t="s">
        <v>141</v>
      </c>
      <c r="K3293" s="3">
        <v>10034507789</v>
      </c>
      <c r="L3293" s="10">
        <v>41255</v>
      </c>
      <c r="M3293">
        <v>284.4525</v>
      </c>
      <c r="N3293" s="11">
        <v>5</v>
      </c>
      <c r="O3293" s="12">
        <v>65.99</v>
      </c>
      <c r="P3293" s="12">
        <v>8.99</v>
      </c>
      <c r="Q3293" s="13">
        <v>-254.782</v>
      </c>
      <c r="R3293" s="36" t="s">
        <v>1486</v>
      </c>
      <c r="S3293" s="7">
        <f t="shared" si="279"/>
        <v>1</v>
      </c>
      <c r="T3293" s="15" t="str">
        <f>VLOOKUP(R3293,产品分类!$C$2:$D$1278,2,0)</f>
        <v>办公用品</v>
      </c>
    </row>
    <row r="3294" spans="1:20">
      <c r="A3294" s="16">
        <f>DATE(2012,12,31)-722</f>
        <v>40552</v>
      </c>
      <c r="B3294" s="16">
        <f>DATE(2012,12,31)-722</f>
        <v>40552</v>
      </c>
      <c r="C3294" s="9" t="s">
        <v>1565</v>
      </c>
      <c r="D3294">
        <v>10021529032</v>
      </c>
      <c r="E3294" t="s">
        <v>47</v>
      </c>
      <c r="F3294" t="s">
        <v>91</v>
      </c>
      <c r="G3294" t="s">
        <v>92</v>
      </c>
      <c r="H3294" t="s">
        <v>2053</v>
      </c>
      <c r="I3294" t="s">
        <v>2054</v>
      </c>
      <c r="J3294" t="s">
        <v>141</v>
      </c>
      <c r="K3294" s="3">
        <v>100428854823</v>
      </c>
      <c r="L3294" s="10">
        <v>40553</v>
      </c>
      <c r="M3294">
        <v>11747.97</v>
      </c>
      <c r="N3294" s="17">
        <v>34</v>
      </c>
      <c r="O3294" s="5">
        <v>363.25</v>
      </c>
      <c r="P3294" s="5">
        <v>19.99</v>
      </c>
      <c r="Q3294" s="6">
        <v>3302.03</v>
      </c>
      <c r="R3294" s="37" t="s">
        <v>192</v>
      </c>
      <c r="S3294" s="7">
        <f t="shared" si="279"/>
        <v>1</v>
      </c>
      <c r="T3294" s="15" t="str">
        <f>VLOOKUP(R3294,产品分类!$C$2:$D$1278,2,0)</f>
        <v>办公用品</v>
      </c>
    </row>
    <row r="3295" spans="1:20">
      <c r="A3295" s="8">
        <f>DATE(2012,12,31)-580</f>
        <v>40694</v>
      </c>
      <c r="B3295" s="8">
        <f>DATE(2012,12,31)-580</f>
        <v>40694</v>
      </c>
      <c r="C3295" s="9" t="s">
        <v>111</v>
      </c>
      <c r="D3295">
        <v>10021460215</v>
      </c>
      <c r="E3295" t="s">
        <v>47</v>
      </c>
      <c r="F3295" t="s">
        <v>97</v>
      </c>
      <c r="G3295" t="s">
        <v>98</v>
      </c>
      <c r="H3295" t="s">
        <v>99</v>
      </c>
      <c r="I3295" t="s">
        <v>98</v>
      </c>
      <c r="J3295" t="s">
        <v>141</v>
      </c>
      <c r="K3295" s="3">
        <v>10019652567</v>
      </c>
      <c r="L3295" s="10">
        <v>40695</v>
      </c>
      <c r="M3295">
        <v>1011.16</v>
      </c>
      <c r="N3295" s="11">
        <v>7</v>
      </c>
      <c r="O3295" s="12">
        <v>136.98</v>
      </c>
      <c r="P3295" s="12">
        <v>24.49</v>
      </c>
      <c r="Q3295" s="13">
        <v>547.96</v>
      </c>
      <c r="R3295" s="36" t="s">
        <v>594</v>
      </c>
      <c r="S3295" s="7">
        <f t="shared" si="279"/>
        <v>1</v>
      </c>
      <c r="T3295" s="15" t="str">
        <f>VLOOKUP(R3295,产品分类!$C$2:$D$1278,2,0)</f>
        <v>数码电子</v>
      </c>
    </row>
    <row r="3296" spans="1:20">
      <c r="A3296" s="16">
        <f>DATE(2012,12,31)-510</f>
        <v>40764</v>
      </c>
      <c r="B3296" s="16">
        <f>DATE(2012,12,31)-510</f>
        <v>40764</v>
      </c>
      <c r="C3296" s="9" t="s">
        <v>1230</v>
      </c>
      <c r="D3296">
        <v>10021338441</v>
      </c>
      <c r="E3296" t="s">
        <v>47</v>
      </c>
      <c r="F3296" t="s">
        <v>132</v>
      </c>
      <c r="G3296" t="s">
        <v>133</v>
      </c>
      <c r="H3296" t="s">
        <v>134</v>
      </c>
      <c r="I3296" t="s">
        <v>133</v>
      </c>
      <c r="J3296" t="s">
        <v>141</v>
      </c>
      <c r="K3296" s="3">
        <v>100123916577</v>
      </c>
      <c r="L3296" s="10">
        <v>40766</v>
      </c>
      <c r="M3296">
        <v>25.82</v>
      </c>
      <c r="N3296" s="17">
        <v>4</v>
      </c>
      <c r="O3296" s="5">
        <v>4.98</v>
      </c>
      <c r="P3296" s="5">
        <v>4.72</v>
      </c>
      <c r="Q3296" s="6">
        <v>-10.19</v>
      </c>
      <c r="R3296" s="37" t="s">
        <v>331</v>
      </c>
      <c r="S3296" s="7">
        <f t="shared" si="279"/>
        <v>2</v>
      </c>
      <c r="T3296" s="15" t="str">
        <f>VLOOKUP(R3296,产品分类!$C$2:$D$1278,2,0)</f>
        <v>数码电子</v>
      </c>
    </row>
    <row r="3297" spans="1:20">
      <c r="A3297" s="8">
        <f>DATE(2012,12,31)-510</f>
        <v>40764</v>
      </c>
      <c r="B3297" s="8">
        <f>DATE(2012,12,31)-510</f>
        <v>40764</v>
      </c>
      <c r="C3297" s="9" t="s">
        <v>1230</v>
      </c>
      <c r="D3297">
        <v>10021584296</v>
      </c>
      <c r="E3297" t="s">
        <v>47</v>
      </c>
      <c r="F3297" t="s">
        <v>132</v>
      </c>
      <c r="G3297" t="s">
        <v>133</v>
      </c>
      <c r="H3297" t="s">
        <v>134</v>
      </c>
      <c r="I3297" t="s">
        <v>133</v>
      </c>
      <c r="J3297" t="s">
        <v>141</v>
      </c>
      <c r="K3297" s="3">
        <v>100127106068</v>
      </c>
      <c r="L3297" s="10">
        <v>40769</v>
      </c>
      <c r="M3297">
        <v>579.71</v>
      </c>
      <c r="N3297" s="11">
        <v>17</v>
      </c>
      <c r="O3297" s="12">
        <v>31.76</v>
      </c>
      <c r="P3297" s="12">
        <v>45.51</v>
      </c>
      <c r="Q3297" s="13">
        <v>24.2964</v>
      </c>
      <c r="R3297" s="36" t="s">
        <v>576</v>
      </c>
      <c r="S3297" s="7">
        <f t="shared" si="279"/>
        <v>5</v>
      </c>
      <c r="T3297" s="15" t="str">
        <f>VLOOKUP(R3297,产品分类!$C$2:$D$1278,2,0)</f>
        <v>办公用品</v>
      </c>
    </row>
    <row r="3298" spans="1:20">
      <c r="A3298" s="8">
        <f>DATE(2012,12,31)-897</f>
        <v>40377</v>
      </c>
      <c r="B3298" s="8">
        <f>DATE(2012,12,31)-897</f>
        <v>40377</v>
      </c>
      <c r="C3298" s="9" t="s">
        <v>1233</v>
      </c>
      <c r="D3298">
        <v>10021527273</v>
      </c>
      <c r="E3298" t="s">
        <v>47</v>
      </c>
      <c r="F3298" t="s">
        <v>137</v>
      </c>
      <c r="G3298" t="s">
        <v>138</v>
      </c>
      <c r="H3298" t="s">
        <v>139</v>
      </c>
      <c r="I3298" t="s">
        <v>140</v>
      </c>
      <c r="J3298" t="s">
        <v>141</v>
      </c>
      <c r="K3298" s="3">
        <v>100913580121</v>
      </c>
      <c r="L3298" s="10">
        <v>40384</v>
      </c>
      <c r="M3298">
        <v>425.67</v>
      </c>
      <c r="N3298" s="11">
        <v>14</v>
      </c>
      <c r="O3298" s="12">
        <v>28.53</v>
      </c>
      <c r="P3298" s="12">
        <v>1.49</v>
      </c>
      <c r="Q3298" s="13">
        <v>166.5745</v>
      </c>
      <c r="R3298" s="36" t="s">
        <v>1651</v>
      </c>
      <c r="S3298" s="7">
        <f t="shared" si="279"/>
        <v>7</v>
      </c>
      <c r="T3298" s="15" t="str">
        <f>VLOOKUP(R3298,产品分类!$C$2:$D$1278,2,0)</f>
        <v>数码电子</v>
      </c>
    </row>
    <row r="3299" spans="1:20">
      <c r="A3299" s="8">
        <f>DATE(2012,12,31)-897</f>
        <v>40377</v>
      </c>
      <c r="B3299" s="8">
        <f>DATE(2012,12,31)-897</f>
        <v>40377</v>
      </c>
      <c r="C3299" s="9" t="s">
        <v>1233</v>
      </c>
      <c r="D3299">
        <v>10021303138</v>
      </c>
      <c r="E3299" t="s">
        <v>47</v>
      </c>
      <c r="F3299" t="s">
        <v>304</v>
      </c>
      <c r="G3299" t="s">
        <v>305</v>
      </c>
      <c r="H3299" t="s">
        <v>2015</v>
      </c>
      <c r="I3299" t="s">
        <v>2016</v>
      </c>
      <c r="J3299" t="s">
        <v>141</v>
      </c>
      <c r="K3299" s="3">
        <v>100131572327</v>
      </c>
      <c r="L3299" s="10">
        <v>40382</v>
      </c>
      <c r="M3299">
        <v>173.44</v>
      </c>
      <c r="N3299" s="11">
        <v>9</v>
      </c>
      <c r="O3299" s="12">
        <v>17.98</v>
      </c>
      <c r="P3299" s="12">
        <v>8.51</v>
      </c>
      <c r="Q3299" s="13">
        <v>-34.626</v>
      </c>
      <c r="R3299" s="36" t="s">
        <v>1430</v>
      </c>
      <c r="S3299" s="7">
        <f t="shared" si="279"/>
        <v>5</v>
      </c>
      <c r="T3299" s="15" t="str">
        <f>VLOOKUP(R3299,产品分类!$C$2:$D$1278,2,0)</f>
        <v>办公用品</v>
      </c>
    </row>
    <row r="3300" spans="1:20">
      <c r="A3300" s="8">
        <f>DATE(2012,12,31)-294</f>
        <v>40980</v>
      </c>
      <c r="B3300" s="8">
        <f>DATE(2012,12,31)-294</f>
        <v>40980</v>
      </c>
      <c r="C3300" s="9" t="s">
        <v>693</v>
      </c>
      <c r="D3300">
        <v>10021510911</v>
      </c>
      <c r="E3300" t="s">
        <v>47</v>
      </c>
      <c r="F3300" t="s">
        <v>304</v>
      </c>
      <c r="G3300" t="s">
        <v>305</v>
      </c>
      <c r="H3300" t="s">
        <v>2015</v>
      </c>
      <c r="I3300" t="s">
        <v>2016</v>
      </c>
      <c r="J3300" t="s">
        <v>141</v>
      </c>
      <c r="K3300" s="3">
        <v>100132702088</v>
      </c>
      <c r="L3300" s="10">
        <v>40982</v>
      </c>
      <c r="M3300">
        <v>2671.21</v>
      </c>
      <c r="N3300" s="11">
        <v>14</v>
      </c>
      <c r="O3300" s="12">
        <v>200.97</v>
      </c>
      <c r="P3300" s="12">
        <v>15.59</v>
      </c>
      <c r="Q3300" s="13">
        <v>636.18</v>
      </c>
      <c r="R3300" s="36" t="s">
        <v>1825</v>
      </c>
      <c r="S3300" s="7">
        <f t="shared" si="279"/>
        <v>2</v>
      </c>
      <c r="T3300" s="15" t="str">
        <f>VLOOKUP(R3300,产品分类!$C$2:$D$1278,2,0)</f>
        <v>家具产品</v>
      </c>
    </row>
    <row r="3301" spans="1:20">
      <c r="A3301" s="8">
        <f>DATE(2012,12,31)-61</f>
        <v>41213</v>
      </c>
      <c r="B3301" s="8">
        <f>DATE(2012,12,31)-61</f>
        <v>41213</v>
      </c>
      <c r="C3301" s="9" t="s">
        <v>2149</v>
      </c>
      <c r="D3301">
        <v>10021353556</v>
      </c>
      <c r="E3301" t="s">
        <v>47</v>
      </c>
      <c r="F3301" t="s">
        <v>208</v>
      </c>
      <c r="G3301" t="s">
        <v>209</v>
      </c>
      <c r="H3301" t="s">
        <v>2087</v>
      </c>
      <c r="I3301" t="s">
        <v>2088</v>
      </c>
      <c r="J3301" t="s">
        <v>141</v>
      </c>
      <c r="K3301" s="3">
        <v>100132572308</v>
      </c>
      <c r="L3301" s="10">
        <v>41214</v>
      </c>
      <c r="M3301">
        <v>192.78</v>
      </c>
      <c r="N3301" s="11">
        <v>44</v>
      </c>
      <c r="O3301" s="12">
        <v>4.28</v>
      </c>
      <c r="P3301" s="12">
        <v>1.6</v>
      </c>
      <c r="Q3301" s="13">
        <v>4.59</v>
      </c>
      <c r="R3301" s="36" t="s">
        <v>1403</v>
      </c>
      <c r="S3301" s="7">
        <f t="shared" si="279"/>
        <v>1</v>
      </c>
      <c r="T3301" s="15" t="str">
        <f>VLOOKUP(R3301,产品分类!$C$2:$D$1278,2,0)</f>
        <v>办公用品</v>
      </c>
    </row>
    <row r="3302" spans="1:20">
      <c r="A3302" s="8">
        <f>DATE(2012,12,31)-1082</f>
        <v>40192</v>
      </c>
      <c r="B3302" s="8">
        <f>DATE(2012,12,31)-1082</f>
        <v>40192</v>
      </c>
      <c r="C3302" s="9" t="s">
        <v>968</v>
      </c>
      <c r="D3302">
        <v>10021500513</v>
      </c>
      <c r="E3302" t="s">
        <v>47</v>
      </c>
      <c r="F3302" t="s">
        <v>102</v>
      </c>
      <c r="G3302" t="s">
        <v>103</v>
      </c>
      <c r="H3302" t="s">
        <v>2119</v>
      </c>
      <c r="I3302" t="s">
        <v>2120</v>
      </c>
      <c r="J3302" t="s">
        <v>141</v>
      </c>
      <c r="K3302" s="3">
        <v>100425963384</v>
      </c>
      <c r="L3302" s="10">
        <v>40195</v>
      </c>
      <c r="M3302">
        <v>210.9</v>
      </c>
      <c r="N3302" s="11">
        <v>32</v>
      </c>
      <c r="O3302" s="12">
        <v>6.48</v>
      </c>
      <c r="P3302" s="12">
        <v>5.74</v>
      </c>
      <c r="Q3302" s="13">
        <v>-62.46</v>
      </c>
      <c r="R3302" s="36" t="s">
        <v>1644</v>
      </c>
      <c r="S3302" s="7">
        <f t="shared" si="279"/>
        <v>3</v>
      </c>
      <c r="T3302" s="15" t="str">
        <f>VLOOKUP(R3302,产品分类!$C$2:$D$1278,2,0)</f>
        <v>数码电子</v>
      </c>
    </row>
    <row r="3303" spans="1:20">
      <c r="A3303" s="8">
        <f>DATE(2012,12,31)-125</f>
        <v>41149</v>
      </c>
      <c r="B3303" s="8">
        <f>DATE(2012,12,31)-125</f>
        <v>41149</v>
      </c>
      <c r="C3303" s="9" t="s">
        <v>1422</v>
      </c>
      <c r="D3303">
        <v>10021349182</v>
      </c>
      <c r="E3303" t="s">
        <v>47</v>
      </c>
      <c r="F3303" t="s">
        <v>171</v>
      </c>
      <c r="G3303" t="s">
        <v>172</v>
      </c>
      <c r="H3303" t="s">
        <v>2073</v>
      </c>
      <c r="I3303" t="s">
        <v>2074</v>
      </c>
      <c r="J3303" t="s">
        <v>141</v>
      </c>
      <c r="K3303" s="3">
        <v>100731834975</v>
      </c>
      <c r="L3303" s="10">
        <v>41149</v>
      </c>
      <c r="M3303">
        <v>9262.35</v>
      </c>
      <c r="N3303" s="11">
        <v>47</v>
      </c>
      <c r="O3303" s="12">
        <v>199.99</v>
      </c>
      <c r="P3303" s="12">
        <v>24.49</v>
      </c>
      <c r="Q3303" s="13">
        <v>2787.59</v>
      </c>
      <c r="R3303" s="36" t="s">
        <v>2092</v>
      </c>
      <c r="S3303" s="7">
        <f t="shared" si="279"/>
        <v>0</v>
      </c>
      <c r="T3303" s="15" t="str">
        <f>VLOOKUP(R3303,产品分类!$C$2:$D$1278,2,0)</f>
        <v>办公用品</v>
      </c>
    </row>
    <row r="3304" spans="1:20">
      <c r="A3304" s="8">
        <f>DATE(2012,12,31)-606</f>
        <v>40668</v>
      </c>
      <c r="B3304" s="8">
        <f>DATE(2012,12,31)-606</f>
        <v>40668</v>
      </c>
      <c r="C3304" s="9" t="s">
        <v>785</v>
      </c>
      <c r="D3304">
        <v>10021299657</v>
      </c>
      <c r="E3304" t="s">
        <v>47</v>
      </c>
      <c r="F3304" t="s">
        <v>171</v>
      </c>
      <c r="G3304" t="s">
        <v>172</v>
      </c>
      <c r="H3304" t="s">
        <v>2073</v>
      </c>
      <c r="I3304" t="s">
        <v>2074</v>
      </c>
      <c r="J3304" t="s">
        <v>141</v>
      </c>
      <c r="K3304" s="3">
        <v>10017695328</v>
      </c>
      <c r="L3304" s="10">
        <v>40670</v>
      </c>
      <c r="M3304">
        <v>247.34</v>
      </c>
      <c r="N3304" s="11">
        <v>6</v>
      </c>
      <c r="O3304" s="12">
        <v>37.7</v>
      </c>
      <c r="P3304" s="12">
        <v>2.99</v>
      </c>
      <c r="Q3304" s="13">
        <v>63.6055</v>
      </c>
      <c r="R3304" s="36" t="s">
        <v>418</v>
      </c>
      <c r="S3304" s="7">
        <f t="shared" si="279"/>
        <v>2</v>
      </c>
      <c r="T3304" s="15" t="str">
        <f>VLOOKUP(R3304,产品分类!$C$2:$D$1278,2,0)</f>
        <v>数码电子</v>
      </c>
    </row>
    <row r="3305" spans="1:20">
      <c r="A3305" s="8">
        <f>DATE(2012,12,31)-34</f>
        <v>41240</v>
      </c>
      <c r="B3305" s="8">
        <f>DATE(2012,12,31)-34</f>
        <v>41240</v>
      </c>
      <c r="C3305" s="9" t="s">
        <v>1330</v>
      </c>
      <c r="D3305">
        <v>10021505876</v>
      </c>
      <c r="E3305" t="s">
        <v>47</v>
      </c>
      <c r="F3305" t="s">
        <v>171</v>
      </c>
      <c r="G3305" t="s">
        <v>172</v>
      </c>
      <c r="H3305" t="s">
        <v>2073</v>
      </c>
      <c r="I3305" t="s">
        <v>2074</v>
      </c>
      <c r="J3305" t="s">
        <v>141</v>
      </c>
      <c r="K3305" s="3">
        <v>100731145835</v>
      </c>
      <c r="L3305" s="10">
        <v>41242</v>
      </c>
      <c r="M3305">
        <v>2601.7905</v>
      </c>
      <c r="N3305" s="11">
        <v>45</v>
      </c>
      <c r="O3305" s="12">
        <v>65.99</v>
      </c>
      <c r="P3305" s="12">
        <v>5.26</v>
      </c>
      <c r="Q3305" s="13">
        <v>748.197</v>
      </c>
      <c r="R3305" s="36" t="s">
        <v>522</v>
      </c>
      <c r="S3305" s="7">
        <f t="shared" si="279"/>
        <v>2</v>
      </c>
      <c r="T3305" s="15" t="str">
        <f>VLOOKUP(R3305,产品分类!$C$2:$D$1278,2,0)</f>
        <v>家具产品</v>
      </c>
    </row>
    <row r="3306" spans="1:20">
      <c r="A3306" s="8">
        <f t="shared" ref="A3306:B3308" si="281">DATE(2012,12,31)-10</f>
        <v>41264</v>
      </c>
      <c r="B3306" s="8">
        <f t="shared" si="281"/>
        <v>41264</v>
      </c>
      <c r="C3306" s="9" t="s">
        <v>617</v>
      </c>
      <c r="D3306">
        <v>10021332573</v>
      </c>
      <c r="E3306" t="s">
        <v>47</v>
      </c>
      <c r="F3306" t="s">
        <v>177</v>
      </c>
      <c r="G3306" t="s">
        <v>178</v>
      </c>
      <c r="H3306" t="s">
        <v>2125</v>
      </c>
      <c r="I3306" t="s">
        <v>2126</v>
      </c>
      <c r="J3306" t="s">
        <v>141</v>
      </c>
      <c r="K3306" s="3">
        <v>100810245332</v>
      </c>
      <c r="L3306" s="10">
        <v>41265</v>
      </c>
      <c r="M3306">
        <v>1043.12</v>
      </c>
      <c r="N3306" s="11">
        <v>7</v>
      </c>
      <c r="O3306" s="12">
        <v>150.98</v>
      </c>
      <c r="P3306" s="12">
        <v>13.99</v>
      </c>
      <c r="Q3306" s="13">
        <v>-52.4958</v>
      </c>
      <c r="R3306" s="36" t="s">
        <v>126</v>
      </c>
      <c r="S3306" s="7">
        <f t="shared" si="279"/>
        <v>1</v>
      </c>
      <c r="T3306" s="15" t="str">
        <f>VLOOKUP(R3306,产品分类!$C$2:$D$1278,2,0)</f>
        <v>家具产品</v>
      </c>
    </row>
    <row r="3307" spans="1:20">
      <c r="A3307" s="8">
        <f t="shared" si="281"/>
        <v>41264</v>
      </c>
      <c r="B3307" s="8">
        <f t="shared" si="281"/>
        <v>41264</v>
      </c>
      <c r="C3307" s="9" t="s">
        <v>617</v>
      </c>
      <c r="D3307">
        <v>10021574124</v>
      </c>
      <c r="E3307" t="s">
        <v>47</v>
      </c>
      <c r="F3307" t="s">
        <v>177</v>
      </c>
      <c r="G3307" t="s">
        <v>178</v>
      </c>
      <c r="H3307" t="s">
        <v>2125</v>
      </c>
      <c r="I3307" t="s">
        <v>2126</v>
      </c>
      <c r="J3307" t="s">
        <v>141</v>
      </c>
      <c r="K3307" s="3">
        <v>1003818139</v>
      </c>
      <c r="L3307" s="10">
        <v>41266</v>
      </c>
      <c r="M3307">
        <v>285.91</v>
      </c>
      <c r="N3307" s="11">
        <v>45</v>
      </c>
      <c r="O3307" s="12">
        <v>6.24</v>
      </c>
      <c r="P3307" s="12">
        <v>5.22</v>
      </c>
      <c r="Q3307" s="13">
        <v>-104.99</v>
      </c>
      <c r="R3307" s="36" t="s">
        <v>368</v>
      </c>
      <c r="S3307" s="7">
        <f t="shared" si="279"/>
        <v>2</v>
      </c>
      <c r="T3307" s="15" t="str">
        <f>VLOOKUP(R3307,产品分类!$C$2:$D$1278,2,0)</f>
        <v>办公用品</v>
      </c>
    </row>
    <row r="3308" spans="1:20">
      <c r="A3308" s="8">
        <f t="shared" si="281"/>
        <v>41264</v>
      </c>
      <c r="B3308" s="8">
        <f t="shared" si="281"/>
        <v>41264</v>
      </c>
      <c r="C3308" s="9" t="s">
        <v>617</v>
      </c>
      <c r="D3308">
        <v>10021431481</v>
      </c>
      <c r="E3308" t="s">
        <v>47</v>
      </c>
      <c r="F3308" t="s">
        <v>177</v>
      </c>
      <c r="G3308" t="s">
        <v>178</v>
      </c>
      <c r="H3308" t="s">
        <v>2125</v>
      </c>
      <c r="I3308" t="s">
        <v>2126</v>
      </c>
      <c r="J3308" t="s">
        <v>141</v>
      </c>
      <c r="K3308" s="3">
        <v>100332236789</v>
      </c>
      <c r="L3308" s="10">
        <v>41267</v>
      </c>
      <c r="M3308">
        <v>2611.8035</v>
      </c>
      <c r="N3308" s="11">
        <v>48</v>
      </c>
      <c r="O3308" s="12">
        <v>65.99</v>
      </c>
      <c r="P3308" s="12">
        <v>5.92</v>
      </c>
      <c r="Q3308" s="13">
        <v>644.814</v>
      </c>
      <c r="R3308" s="36" t="s">
        <v>1189</v>
      </c>
      <c r="S3308" s="7">
        <f t="shared" si="279"/>
        <v>3</v>
      </c>
      <c r="T3308" s="15" t="str">
        <f>VLOOKUP(R3308,产品分类!$C$2:$D$1278,2,0)</f>
        <v>家具产品</v>
      </c>
    </row>
    <row r="3309" spans="1:20">
      <c r="A3309" s="8">
        <f>DATE(2012,12,31)-98</f>
        <v>41176</v>
      </c>
      <c r="B3309" s="8">
        <f>DATE(2012,12,31)-98</f>
        <v>41176</v>
      </c>
      <c r="C3309" s="9" t="s">
        <v>808</v>
      </c>
      <c r="D3309">
        <v>10021429534</v>
      </c>
      <c r="E3309" t="s">
        <v>47</v>
      </c>
      <c r="F3309" t="s">
        <v>61</v>
      </c>
      <c r="G3309" t="s">
        <v>62</v>
      </c>
      <c r="H3309" t="s">
        <v>47</v>
      </c>
      <c r="I3309" t="s">
        <v>1778</v>
      </c>
      <c r="J3309" t="s">
        <v>141</v>
      </c>
      <c r="K3309" s="3">
        <v>100929877891</v>
      </c>
      <c r="L3309" s="10">
        <v>41177</v>
      </c>
      <c r="M3309">
        <v>6768.16</v>
      </c>
      <c r="N3309" s="11">
        <v>44</v>
      </c>
      <c r="O3309" s="12">
        <v>152.48</v>
      </c>
      <c r="P3309" s="12">
        <v>6.5</v>
      </c>
      <c r="Q3309" s="13">
        <v>907.49</v>
      </c>
      <c r="R3309" s="36" t="s">
        <v>505</v>
      </c>
      <c r="S3309" s="7">
        <f t="shared" si="279"/>
        <v>1</v>
      </c>
      <c r="T3309" s="15" t="str">
        <f>VLOOKUP(R3309,产品分类!$C$2:$D$1278,2,0)</f>
        <v>家具产品</v>
      </c>
    </row>
    <row r="3310" spans="1:20">
      <c r="A3310" s="8">
        <f>DATE(2012,12,31)-98</f>
        <v>41176</v>
      </c>
      <c r="B3310" s="8">
        <f>DATE(2012,12,31)-98</f>
        <v>41176</v>
      </c>
      <c r="C3310" s="9" t="s">
        <v>808</v>
      </c>
      <c r="D3310">
        <v>10021333064</v>
      </c>
      <c r="E3310" t="s">
        <v>47</v>
      </c>
      <c r="F3310" t="s">
        <v>61</v>
      </c>
      <c r="G3310" t="s">
        <v>62</v>
      </c>
      <c r="H3310" t="s">
        <v>47</v>
      </c>
      <c r="I3310" t="s">
        <v>1778</v>
      </c>
      <c r="J3310" t="s">
        <v>141</v>
      </c>
      <c r="K3310" s="3">
        <v>10045773053</v>
      </c>
      <c r="L3310" s="10">
        <v>41177</v>
      </c>
      <c r="M3310">
        <v>10.65</v>
      </c>
      <c r="N3310" s="11">
        <v>4</v>
      </c>
      <c r="O3310" s="12">
        <v>2.61</v>
      </c>
      <c r="P3310" s="12">
        <v>0.5</v>
      </c>
      <c r="Q3310" s="13">
        <v>-0.64</v>
      </c>
      <c r="R3310" s="36" t="s">
        <v>630</v>
      </c>
      <c r="S3310" s="7">
        <f t="shared" si="279"/>
        <v>1</v>
      </c>
      <c r="T3310" s="15" t="str">
        <f>VLOOKUP(R3310,产品分类!$C$2:$D$1278,2,0)</f>
        <v>数码电子</v>
      </c>
    </row>
    <row r="3311" spans="1:20">
      <c r="A3311" s="8">
        <f>DATE(2012,12,31)-117</f>
        <v>41157</v>
      </c>
      <c r="B3311" s="8">
        <f>DATE(2012,12,31)-117</f>
        <v>41157</v>
      </c>
      <c r="C3311" s="9" t="s">
        <v>1782</v>
      </c>
      <c r="D3311">
        <v>10021346133</v>
      </c>
      <c r="E3311" t="s">
        <v>47</v>
      </c>
      <c r="F3311" t="s">
        <v>61</v>
      </c>
      <c r="G3311" t="s">
        <v>62</v>
      </c>
      <c r="H3311" t="s">
        <v>47</v>
      </c>
      <c r="I3311" t="s">
        <v>1778</v>
      </c>
      <c r="J3311" t="s">
        <v>141</v>
      </c>
      <c r="K3311" s="3">
        <v>100730550485</v>
      </c>
      <c r="L3311" s="10">
        <v>41160</v>
      </c>
      <c r="M3311">
        <v>4587.926</v>
      </c>
      <c r="N3311" s="11">
        <v>30</v>
      </c>
      <c r="O3311" s="12">
        <v>195.99</v>
      </c>
      <c r="P3311" s="12">
        <v>4.2</v>
      </c>
      <c r="Q3311" s="13">
        <v>687.411</v>
      </c>
      <c r="R3311" s="36" t="s">
        <v>1470</v>
      </c>
      <c r="S3311" s="7">
        <f t="shared" si="279"/>
        <v>3</v>
      </c>
      <c r="T3311" s="15" t="str">
        <f>VLOOKUP(R3311,产品分类!$C$2:$D$1278,2,0)</f>
        <v>数码电子</v>
      </c>
    </row>
    <row r="3312" spans="1:20">
      <c r="A3312" s="8">
        <f>DATE(2012,12,31)-117</f>
        <v>41157</v>
      </c>
      <c r="B3312" s="8">
        <f>DATE(2012,12,31)-117</f>
        <v>41157</v>
      </c>
      <c r="C3312" s="9" t="s">
        <v>1782</v>
      </c>
      <c r="D3312">
        <v>10021450214</v>
      </c>
      <c r="E3312" t="s">
        <v>47</v>
      </c>
      <c r="F3312" t="s">
        <v>83</v>
      </c>
      <c r="G3312" t="s">
        <v>84</v>
      </c>
      <c r="H3312" t="s">
        <v>2144</v>
      </c>
      <c r="I3312" t="s">
        <v>2145</v>
      </c>
      <c r="J3312" t="s">
        <v>141</v>
      </c>
      <c r="K3312" s="3">
        <v>100328892029</v>
      </c>
      <c r="L3312" s="10">
        <v>41158</v>
      </c>
      <c r="M3312">
        <v>4541.924</v>
      </c>
      <c r="N3312" s="11">
        <v>42</v>
      </c>
      <c r="O3312" s="12">
        <v>125.99</v>
      </c>
      <c r="P3312" s="12">
        <v>8.08</v>
      </c>
      <c r="Q3312" s="13">
        <v>1222.137</v>
      </c>
      <c r="R3312" s="36" t="s">
        <v>569</v>
      </c>
      <c r="S3312" s="7">
        <f t="shared" si="279"/>
        <v>1</v>
      </c>
      <c r="T3312" s="15" t="str">
        <f>VLOOKUP(R3312,产品分类!$C$2:$D$1278,2,0)</f>
        <v>家具产品</v>
      </c>
    </row>
    <row r="3313" spans="1:20">
      <c r="A3313" s="8">
        <f>DATE(2012,12,31)-1219</f>
        <v>40055</v>
      </c>
      <c r="B3313" s="8">
        <f>DATE(2012,12,31)-1219</f>
        <v>40055</v>
      </c>
      <c r="C3313" s="9" t="s">
        <v>673</v>
      </c>
      <c r="D3313">
        <v>10021576840</v>
      </c>
      <c r="E3313" t="s">
        <v>47</v>
      </c>
      <c r="F3313" t="s">
        <v>61</v>
      </c>
      <c r="G3313" t="s">
        <v>62</v>
      </c>
      <c r="H3313" t="s">
        <v>47</v>
      </c>
      <c r="I3313" t="s">
        <v>1778</v>
      </c>
      <c r="J3313" t="s">
        <v>141</v>
      </c>
      <c r="K3313" s="3">
        <v>100916326931</v>
      </c>
      <c r="L3313" s="10">
        <v>40055</v>
      </c>
      <c r="M3313">
        <v>305.48</v>
      </c>
      <c r="N3313" s="11">
        <v>27</v>
      </c>
      <c r="O3313" s="12">
        <v>11.55</v>
      </c>
      <c r="P3313" s="12">
        <v>2.36</v>
      </c>
      <c r="Q3313" s="13">
        <v>47.14</v>
      </c>
      <c r="R3313" s="36" t="s">
        <v>1043</v>
      </c>
      <c r="S3313" s="7">
        <f t="shared" si="279"/>
        <v>0</v>
      </c>
      <c r="T3313" s="15" t="str">
        <f>VLOOKUP(R3313,产品分类!$C$2:$D$1278,2,0)</f>
        <v>家具产品</v>
      </c>
    </row>
    <row r="3314" spans="1:20">
      <c r="A3314" s="8">
        <f>DATE(2012,12,31)-786</f>
        <v>40488</v>
      </c>
      <c r="B3314" s="8">
        <f>DATE(2012,12,31)-786</f>
        <v>40488</v>
      </c>
      <c r="C3314" s="9" t="s">
        <v>1710</v>
      </c>
      <c r="D3314">
        <v>10021445960</v>
      </c>
      <c r="E3314" t="s">
        <v>47</v>
      </c>
      <c r="F3314" t="s">
        <v>61</v>
      </c>
      <c r="G3314" t="s">
        <v>62</v>
      </c>
      <c r="H3314" t="s">
        <v>47</v>
      </c>
      <c r="I3314" t="s">
        <v>1778</v>
      </c>
      <c r="J3314" t="s">
        <v>141</v>
      </c>
      <c r="K3314" s="3">
        <v>100315573559</v>
      </c>
      <c r="L3314" s="10">
        <v>40489</v>
      </c>
      <c r="M3314">
        <v>2029.496</v>
      </c>
      <c r="N3314" s="11">
        <v>8</v>
      </c>
      <c r="O3314" s="12">
        <v>320.64</v>
      </c>
      <c r="P3314" s="12">
        <v>43.57</v>
      </c>
      <c r="Q3314" s="13">
        <v>251.64</v>
      </c>
      <c r="R3314" s="36" t="s">
        <v>1346</v>
      </c>
      <c r="S3314" s="7">
        <f t="shared" si="279"/>
        <v>1</v>
      </c>
      <c r="T3314" s="15" t="str">
        <f>VLOOKUP(R3314,产品分类!$C$2:$D$1278,2,0)</f>
        <v>办公用品</v>
      </c>
    </row>
    <row r="3315" spans="1:20">
      <c r="A3315" s="16">
        <f>DATE(2012,12,31)-226</f>
        <v>41048</v>
      </c>
      <c r="B3315" s="16">
        <f>DATE(2012,12,31)-226</f>
        <v>41048</v>
      </c>
      <c r="C3315" s="9" t="s">
        <v>1621</v>
      </c>
      <c r="D3315">
        <v>10021461113</v>
      </c>
      <c r="E3315" t="s">
        <v>47</v>
      </c>
      <c r="F3315" t="s">
        <v>61</v>
      </c>
      <c r="G3315" t="s">
        <v>62</v>
      </c>
      <c r="H3315" t="s">
        <v>47</v>
      </c>
      <c r="I3315" t="s">
        <v>1778</v>
      </c>
      <c r="J3315" t="s">
        <v>141</v>
      </c>
      <c r="K3315" s="3">
        <v>100713444815</v>
      </c>
      <c r="L3315" s="10">
        <v>41050</v>
      </c>
      <c r="M3315">
        <v>4182.52</v>
      </c>
      <c r="N3315" s="17">
        <v>42</v>
      </c>
      <c r="O3315" s="5">
        <v>95.99</v>
      </c>
      <c r="P3315" s="5">
        <v>35</v>
      </c>
      <c r="Q3315" s="6">
        <v>-785.36</v>
      </c>
      <c r="R3315" s="37" t="s">
        <v>144</v>
      </c>
      <c r="S3315" s="7">
        <f t="shared" si="279"/>
        <v>2</v>
      </c>
      <c r="T3315" s="15" t="str">
        <f>VLOOKUP(R3315,产品分类!$C$2:$D$1278,2,0)</f>
        <v>办公用品</v>
      </c>
    </row>
    <row r="3316" spans="1:20">
      <c r="A3316" s="8">
        <f>DATE(2012,12,31)-185</f>
        <v>41089</v>
      </c>
      <c r="B3316" s="8">
        <f>DATE(2012,12,31)-185</f>
        <v>41089</v>
      </c>
      <c r="C3316" s="9" t="s">
        <v>1643</v>
      </c>
      <c r="D3316">
        <v>10021576469</v>
      </c>
      <c r="E3316" t="s">
        <v>47</v>
      </c>
      <c r="F3316" t="s">
        <v>61</v>
      </c>
      <c r="G3316" t="s">
        <v>62</v>
      </c>
      <c r="H3316" t="s">
        <v>47</v>
      </c>
      <c r="I3316" t="s">
        <v>1778</v>
      </c>
      <c r="J3316" t="s">
        <v>141</v>
      </c>
      <c r="K3316" s="3">
        <v>100113638946</v>
      </c>
      <c r="L3316" s="10">
        <v>41090</v>
      </c>
      <c r="M3316">
        <v>7928.562</v>
      </c>
      <c r="N3316" s="11">
        <v>46</v>
      </c>
      <c r="O3316" s="12">
        <v>205.99</v>
      </c>
      <c r="P3316" s="12">
        <v>5</v>
      </c>
      <c r="Q3316" s="13">
        <v>2229.48</v>
      </c>
      <c r="R3316" s="36" t="s">
        <v>1979</v>
      </c>
      <c r="S3316" s="7">
        <f t="shared" si="279"/>
        <v>1</v>
      </c>
      <c r="T3316" s="15" t="str">
        <f>VLOOKUP(R3316,产品分类!$C$2:$D$1278,2,0)</f>
        <v>办公用品</v>
      </c>
    </row>
    <row r="3317" spans="1:20">
      <c r="A3317" s="8">
        <f>DATE(2012,12,31)-33</f>
        <v>41241</v>
      </c>
      <c r="B3317" s="8">
        <f>DATE(2012,12,31)-33</f>
        <v>41241</v>
      </c>
      <c r="C3317" s="9" t="s">
        <v>2135</v>
      </c>
      <c r="D3317">
        <v>10021340695</v>
      </c>
      <c r="E3317" t="s">
        <v>47</v>
      </c>
      <c r="F3317" t="s">
        <v>61</v>
      </c>
      <c r="G3317" t="s">
        <v>62</v>
      </c>
      <c r="H3317" t="s">
        <v>47</v>
      </c>
      <c r="I3317" t="s">
        <v>1778</v>
      </c>
      <c r="J3317" t="s">
        <v>141</v>
      </c>
      <c r="K3317" s="3">
        <v>100426534604</v>
      </c>
      <c r="L3317" s="10">
        <v>41244</v>
      </c>
      <c r="M3317">
        <v>3701.5205</v>
      </c>
      <c r="N3317" s="11">
        <v>38</v>
      </c>
      <c r="O3317" s="12">
        <v>115.99</v>
      </c>
      <c r="P3317" s="12">
        <v>5.92</v>
      </c>
      <c r="Q3317" s="13">
        <v>894.06</v>
      </c>
      <c r="R3317" s="36" t="s">
        <v>1104</v>
      </c>
      <c r="S3317" s="7">
        <f t="shared" si="279"/>
        <v>3</v>
      </c>
      <c r="T3317" s="15" t="str">
        <f>VLOOKUP(R3317,产品分类!$C$2:$D$1278,2,0)</f>
        <v>办公用品</v>
      </c>
    </row>
    <row r="3318" spans="1:20">
      <c r="A3318" s="8">
        <f>DATE(2012,12,31)-890</f>
        <v>40384</v>
      </c>
      <c r="B3318" s="8">
        <f>DATE(2012,12,31)-890</f>
        <v>40384</v>
      </c>
      <c r="C3318" s="9" t="s">
        <v>1560</v>
      </c>
      <c r="D3318">
        <v>10021585806</v>
      </c>
      <c r="E3318" t="s">
        <v>47</v>
      </c>
      <c r="F3318" t="s">
        <v>253</v>
      </c>
      <c r="G3318" t="s">
        <v>254</v>
      </c>
      <c r="H3318" t="s">
        <v>1998</v>
      </c>
      <c r="I3318" t="s">
        <v>1999</v>
      </c>
      <c r="J3318" t="s">
        <v>141</v>
      </c>
      <c r="K3318" s="3">
        <v>100928601021</v>
      </c>
      <c r="L3318" s="10">
        <v>40386</v>
      </c>
      <c r="M3318">
        <v>122.74</v>
      </c>
      <c r="N3318" s="11">
        <v>17</v>
      </c>
      <c r="O3318" s="12">
        <v>7.28</v>
      </c>
      <c r="P3318" s="12">
        <v>5.47</v>
      </c>
      <c r="Q3318" s="13">
        <v>-28.13</v>
      </c>
      <c r="R3318" s="36" t="s">
        <v>1697</v>
      </c>
      <c r="S3318" s="7">
        <f t="shared" si="279"/>
        <v>2</v>
      </c>
      <c r="T3318" s="15" t="str">
        <f>VLOOKUP(R3318,产品分类!$C$2:$D$1278,2,0)</f>
        <v>办公用品</v>
      </c>
    </row>
    <row r="3319" spans="1:20">
      <c r="A3319" s="8">
        <f>DATE(2012,12,31)-26</f>
        <v>41248</v>
      </c>
      <c r="B3319" s="8">
        <f>DATE(2012,12,31)-26</f>
        <v>41248</v>
      </c>
      <c r="C3319" s="9" t="s">
        <v>1910</v>
      </c>
      <c r="D3319">
        <v>10021448610</v>
      </c>
      <c r="E3319" t="s">
        <v>47</v>
      </c>
      <c r="F3319" t="s">
        <v>61</v>
      </c>
      <c r="G3319" t="s">
        <v>62</v>
      </c>
      <c r="H3319" t="s">
        <v>47</v>
      </c>
      <c r="I3319" t="s">
        <v>1778</v>
      </c>
      <c r="J3319" t="s">
        <v>141</v>
      </c>
      <c r="K3319" s="3">
        <v>10096481641</v>
      </c>
      <c r="L3319" s="10">
        <v>41248</v>
      </c>
      <c r="M3319">
        <v>715.8</v>
      </c>
      <c r="N3319" s="11">
        <v>12</v>
      </c>
      <c r="O3319" s="12">
        <v>55.5</v>
      </c>
      <c r="P3319" s="12">
        <v>52.2</v>
      </c>
      <c r="Q3319" s="13">
        <v>-279.12</v>
      </c>
      <c r="R3319" s="36" t="s">
        <v>1995</v>
      </c>
      <c r="S3319" s="7">
        <f t="shared" si="279"/>
        <v>0</v>
      </c>
      <c r="T3319" s="15" t="str">
        <f>VLOOKUP(R3319,产品分类!$C$2:$D$1278,2,0)</f>
        <v>家具产品</v>
      </c>
    </row>
    <row r="3320" spans="1:20">
      <c r="A3320" s="8">
        <f>DATE(2012,12,31)-26</f>
        <v>41248</v>
      </c>
      <c r="B3320" s="8">
        <f>DATE(2012,12,31)-26</f>
        <v>41248</v>
      </c>
      <c r="C3320" s="9" t="s">
        <v>1910</v>
      </c>
      <c r="D3320">
        <v>10021493301</v>
      </c>
      <c r="E3320" t="s">
        <v>47</v>
      </c>
      <c r="F3320" t="s">
        <v>61</v>
      </c>
      <c r="G3320" t="s">
        <v>62</v>
      </c>
      <c r="H3320" t="s">
        <v>47</v>
      </c>
      <c r="I3320" t="s">
        <v>1778</v>
      </c>
      <c r="J3320" t="s">
        <v>141</v>
      </c>
      <c r="K3320" s="3">
        <v>10011222067</v>
      </c>
      <c r="L3320" s="10">
        <v>41252</v>
      </c>
      <c r="M3320">
        <v>10941.23</v>
      </c>
      <c r="N3320" s="11">
        <v>47</v>
      </c>
      <c r="O3320" s="12">
        <v>227.55</v>
      </c>
      <c r="P3320" s="12">
        <v>32.48</v>
      </c>
      <c r="Q3320" s="13">
        <v>1687.07</v>
      </c>
      <c r="R3320" s="36" t="s">
        <v>399</v>
      </c>
      <c r="S3320" s="7">
        <f t="shared" si="279"/>
        <v>4</v>
      </c>
      <c r="T3320" s="15" t="str">
        <f>VLOOKUP(R3320,产品分类!$C$2:$D$1278,2,0)</f>
        <v>办公用品</v>
      </c>
    </row>
    <row r="3321" spans="1:20">
      <c r="A3321" s="8">
        <f>DATE(2012,12,31)-747</f>
        <v>40527</v>
      </c>
      <c r="B3321" s="8">
        <f>DATE(2012,12,31)-747</f>
        <v>40527</v>
      </c>
      <c r="C3321" s="9" t="s">
        <v>450</v>
      </c>
      <c r="D3321">
        <v>10021537932</v>
      </c>
      <c r="E3321" t="s">
        <v>47</v>
      </c>
      <c r="F3321" t="s">
        <v>55</v>
      </c>
      <c r="G3321" t="s">
        <v>56</v>
      </c>
      <c r="H3321" t="s">
        <v>2112</v>
      </c>
      <c r="I3321" t="s">
        <v>2113</v>
      </c>
      <c r="J3321" t="s">
        <v>141</v>
      </c>
      <c r="K3321" s="3">
        <v>100133096748</v>
      </c>
      <c r="L3321" s="10">
        <v>40528</v>
      </c>
      <c r="M3321">
        <v>408.23</v>
      </c>
      <c r="N3321" s="11">
        <v>10</v>
      </c>
      <c r="O3321" s="12">
        <v>40.97</v>
      </c>
      <c r="P3321" s="12">
        <v>1.99</v>
      </c>
      <c r="Q3321" s="13">
        <v>52.38</v>
      </c>
      <c r="R3321" s="36" t="s">
        <v>729</v>
      </c>
      <c r="S3321" s="7">
        <f t="shared" si="279"/>
        <v>1</v>
      </c>
      <c r="T3321" s="15" t="str">
        <f>VLOOKUP(R3321,产品分类!$C$2:$D$1278,2,0)</f>
        <v>办公用品</v>
      </c>
    </row>
    <row r="3322" spans="1:20">
      <c r="A3322" s="8">
        <f>DATE(2012,12,31)-143</f>
        <v>41131</v>
      </c>
      <c r="B3322" s="8">
        <f>DATE(2012,12,31)-143</f>
        <v>41131</v>
      </c>
      <c r="C3322" s="9" t="s">
        <v>1922</v>
      </c>
      <c r="D3322">
        <v>10021443428</v>
      </c>
      <c r="E3322" t="s">
        <v>47</v>
      </c>
      <c r="F3322" t="s">
        <v>91</v>
      </c>
      <c r="G3322" t="s">
        <v>92</v>
      </c>
      <c r="H3322" t="s">
        <v>2053</v>
      </c>
      <c r="I3322" t="s">
        <v>2054</v>
      </c>
      <c r="J3322" t="s">
        <v>141</v>
      </c>
      <c r="K3322" s="3">
        <v>100432986084</v>
      </c>
      <c r="L3322" s="10">
        <v>41133</v>
      </c>
      <c r="M3322">
        <v>6163.52</v>
      </c>
      <c r="N3322" s="11">
        <v>26</v>
      </c>
      <c r="O3322" s="12">
        <v>225.02</v>
      </c>
      <c r="P3322" s="12">
        <v>28.66</v>
      </c>
      <c r="Q3322" s="13">
        <v>755.95</v>
      </c>
      <c r="R3322" s="36" t="s">
        <v>760</v>
      </c>
      <c r="S3322" s="7">
        <f t="shared" si="279"/>
        <v>2</v>
      </c>
      <c r="T3322" s="15" t="str">
        <f>VLOOKUP(R3322,产品分类!$C$2:$D$1278,2,0)</f>
        <v>办公用品</v>
      </c>
    </row>
    <row r="3323" spans="1:20">
      <c r="A3323" s="8">
        <f>DATE(2012,12,31)-1384</f>
        <v>39890</v>
      </c>
      <c r="B3323" s="8">
        <f>DATE(2012,12,31)-1384</f>
        <v>39890</v>
      </c>
      <c r="C3323" s="9" t="s">
        <v>229</v>
      </c>
      <c r="D3323">
        <v>10021552083</v>
      </c>
      <c r="E3323" t="s">
        <v>47</v>
      </c>
      <c r="F3323" t="s">
        <v>171</v>
      </c>
      <c r="G3323" t="s">
        <v>172</v>
      </c>
      <c r="H3323" t="s">
        <v>2073</v>
      </c>
      <c r="I3323" t="s">
        <v>2074</v>
      </c>
      <c r="J3323" t="s">
        <v>141</v>
      </c>
      <c r="K3323" s="3">
        <v>100133112947</v>
      </c>
      <c r="L3323" s="10">
        <v>39891</v>
      </c>
      <c r="M3323">
        <v>10364.36</v>
      </c>
      <c r="N3323" s="11">
        <v>44</v>
      </c>
      <c r="O3323" s="12">
        <v>220.98</v>
      </c>
      <c r="P3323" s="12">
        <v>64.66</v>
      </c>
      <c r="Q3323" s="13">
        <v>1049.03</v>
      </c>
      <c r="R3323" s="36" t="s">
        <v>480</v>
      </c>
      <c r="S3323" s="7">
        <f t="shared" si="279"/>
        <v>1</v>
      </c>
      <c r="T3323" s="15" t="str">
        <f>VLOOKUP(R3323,产品分类!$C$2:$D$1278,2,0)</f>
        <v>办公用品</v>
      </c>
    </row>
    <row r="3324" spans="1:20">
      <c r="A3324" s="16">
        <f>DATE(2012,12,31)-35</f>
        <v>41239</v>
      </c>
      <c r="B3324" s="16">
        <f>DATE(2012,12,31)-35</f>
        <v>41239</v>
      </c>
      <c r="C3324" s="9" t="s">
        <v>136</v>
      </c>
      <c r="D3324">
        <v>10021553139</v>
      </c>
      <c r="E3324" t="s">
        <v>47</v>
      </c>
      <c r="F3324" t="s">
        <v>277</v>
      </c>
      <c r="G3324" t="s">
        <v>278</v>
      </c>
      <c r="H3324" t="s">
        <v>279</v>
      </c>
      <c r="I3324" t="s">
        <v>280</v>
      </c>
      <c r="J3324" t="s">
        <v>141</v>
      </c>
      <c r="K3324" s="3">
        <v>100433114873</v>
      </c>
      <c r="L3324" s="10">
        <v>41240</v>
      </c>
      <c r="M3324">
        <v>487.7</v>
      </c>
      <c r="N3324" s="17">
        <v>16</v>
      </c>
      <c r="O3324" s="5">
        <v>31.98</v>
      </c>
      <c r="P3324" s="5">
        <v>6.72</v>
      </c>
      <c r="Q3324" s="6">
        <v>-67.54</v>
      </c>
      <c r="R3324" s="37" t="s">
        <v>449</v>
      </c>
      <c r="S3324" s="7">
        <f t="shared" si="279"/>
        <v>1</v>
      </c>
      <c r="T3324" s="15" t="str">
        <f>VLOOKUP(R3324,产品分类!$C$2:$D$1278,2,0)</f>
        <v>家具产品</v>
      </c>
    </row>
    <row r="3325" spans="1:20">
      <c r="A3325" s="8">
        <f>DATE(2012,12,31)-1267</f>
        <v>40007</v>
      </c>
      <c r="B3325" s="8">
        <f>DATE(2012,12,31)-1267</f>
        <v>40007</v>
      </c>
      <c r="C3325" s="9" t="s">
        <v>1019</v>
      </c>
      <c r="D3325">
        <v>10021372740</v>
      </c>
      <c r="E3325" t="s">
        <v>47</v>
      </c>
      <c r="F3325" t="s">
        <v>132</v>
      </c>
      <c r="G3325" t="s">
        <v>133</v>
      </c>
      <c r="H3325" t="s">
        <v>134</v>
      </c>
      <c r="I3325" t="s">
        <v>133</v>
      </c>
      <c r="J3325" t="s">
        <v>141</v>
      </c>
      <c r="K3325" s="3">
        <v>100832890242</v>
      </c>
      <c r="L3325" s="10">
        <v>40011</v>
      </c>
      <c r="M3325">
        <v>105.94</v>
      </c>
      <c r="N3325" s="11">
        <v>13</v>
      </c>
      <c r="O3325" s="12">
        <v>4.48</v>
      </c>
      <c r="P3325" s="12">
        <v>49</v>
      </c>
      <c r="Q3325" s="13">
        <v>-566</v>
      </c>
      <c r="R3325" s="36" t="s">
        <v>337</v>
      </c>
      <c r="S3325" s="7">
        <f t="shared" si="279"/>
        <v>4</v>
      </c>
      <c r="T3325" s="15" t="str">
        <f>VLOOKUP(R3325,产品分类!$C$2:$D$1278,2,0)</f>
        <v>数码电子</v>
      </c>
    </row>
    <row r="3326" spans="1:20">
      <c r="A3326" s="8">
        <f>DATE(2012,12,31)-427</f>
        <v>40847</v>
      </c>
      <c r="B3326" s="8">
        <f>DATE(2012,12,31)-427</f>
        <v>40847</v>
      </c>
      <c r="C3326" s="9" t="s">
        <v>1110</v>
      </c>
      <c r="D3326">
        <v>10021402459</v>
      </c>
      <c r="E3326" t="s">
        <v>47</v>
      </c>
      <c r="F3326" t="s">
        <v>91</v>
      </c>
      <c r="G3326" t="s">
        <v>92</v>
      </c>
      <c r="H3326" t="s">
        <v>2053</v>
      </c>
      <c r="I3326" t="s">
        <v>2054</v>
      </c>
      <c r="J3326" t="s">
        <v>141</v>
      </c>
      <c r="K3326" s="3">
        <v>100132934766</v>
      </c>
      <c r="L3326" s="10">
        <v>40849</v>
      </c>
      <c r="M3326">
        <v>200.24</v>
      </c>
      <c r="N3326" s="11">
        <v>30</v>
      </c>
      <c r="O3326" s="12">
        <v>6.48</v>
      </c>
      <c r="P3326" s="12">
        <v>5.84</v>
      </c>
      <c r="Q3326" s="13">
        <v>-59.85</v>
      </c>
      <c r="R3326" s="36" t="s">
        <v>2176</v>
      </c>
      <c r="S3326" s="7">
        <f t="shared" si="279"/>
        <v>2</v>
      </c>
      <c r="T3326" s="15" t="str">
        <f>VLOOKUP(R3326,产品分类!$C$2:$D$1278,2,0)</f>
        <v>办公用品</v>
      </c>
    </row>
    <row r="3327" spans="1:20">
      <c r="A3327" s="8">
        <f>DATE(2012,12,31)-1086</f>
        <v>40188</v>
      </c>
      <c r="B3327" s="8">
        <f>DATE(2012,12,31)-1086</f>
        <v>40188</v>
      </c>
      <c r="C3327" s="9" t="s">
        <v>2095</v>
      </c>
      <c r="D3327">
        <v>10021313219</v>
      </c>
      <c r="E3327" t="s">
        <v>47</v>
      </c>
      <c r="F3327" t="s">
        <v>171</v>
      </c>
      <c r="G3327" t="s">
        <v>172</v>
      </c>
      <c r="H3327" t="s">
        <v>2073</v>
      </c>
      <c r="I3327" t="s">
        <v>2074</v>
      </c>
      <c r="J3327" t="s">
        <v>141</v>
      </c>
      <c r="K3327" s="3">
        <v>100332813689</v>
      </c>
      <c r="L3327" s="10">
        <v>40188</v>
      </c>
      <c r="M3327">
        <v>21390.44</v>
      </c>
      <c r="N3327" s="11">
        <v>46</v>
      </c>
      <c r="O3327" s="12">
        <v>500.98</v>
      </c>
      <c r="P3327" s="12">
        <v>26</v>
      </c>
      <c r="Q3327" s="13">
        <v>5365.43</v>
      </c>
      <c r="R3327" s="36" t="s">
        <v>614</v>
      </c>
      <c r="S3327" s="7">
        <f t="shared" si="279"/>
        <v>0</v>
      </c>
      <c r="T3327" s="15" t="str">
        <f>VLOOKUP(R3327,产品分类!$C$2:$D$1278,2,0)</f>
        <v>办公用品</v>
      </c>
    </row>
    <row r="3328" spans="1:20">
      <c r="A3328" s="8">
        <f>DATE(2012,12,31)-1086</f>
        <v>40188</v>
      </c>
      <c r="B3328" s="8">
        <f>DATE(2012,12,31)-1086</f>
        <v>40188</v>
      </c>
      <c r="C3328" s="9" t="s">
        <v>2095</v>
      </c>
      <c r="D3328">
        <v>10021521216</v>
      </c>
      <c r="E3328" t="s">
        <v>47</v>
      </c>
      <c r="F3328" t="s">
        <v>152</v>
      </c>
      <c r="G3328" t="s">
        <v>153</v>
      </c>
      <c r="H3328" t="s">
        <v>2137</v>
      </c>
      <c r="I3328" t="s">
        <v>2138</v>
      </c>
      <c r="J3328" t="s">
        <v>141</v>
      </c>
      <c r="K3328" s="3">
        <v>100933083031</v>
      </c>
      <c r="L3328" s="10">
        <v>40193</v>
      </c>
      <c r="M3328">
        <v>169.75</v>
      </c>
      <c r="N3328" s="11">
        <v>7</v>
      </c>
      <c r="O3328" s="12">
        <v>20.34</v>
      </c>
      <c r="P3328" s="12">
        <v>35</v>
      </c>
      <c r="Q3328" s="13">
        <v>-194.85</v>
      </c>
      <c r="R3328" s="36" t="s">
        <v>1783</v>
      </c>
      <c r="S3328" s="7">
        <f t="shared" si="279"/>
        <v>5</v>
      </c>
      <c r="T3328" s="15" t="str">
        <f>VLOOKUP(R3328,产品分类!$C$2:$D$1278,2,0)</f>
        <v>办公用品</v>
      </c>
    </row>
    <row r="3329" spans="1:20">
      <c r="A3329" s="8">
        <f>DATE(2012,12,31)-1423</f>
        <v>39851</v>
      </c>
      <c r="B3329" s="8">
        <f>DATE(2012,12,31)-1423</f>
        <v>39851</v>
      </c>
      <c r="C3329" s="9" t="s">
        <v>421</v>
      </c>
      <c r="D3329">
        <v>10021279196</v>
      </c>
      <c r="E3329" t="s">
        <v>47</v>
      </c>
      <c r="F3329" t="s">
        <v>72</v>
      </c>
      <c r="G3329" t="s">
        <v>73</v>
      </c>
      <c r="H3329" t="s">
        <v>2008</v>
      </c>
      <c r="I3329" t="s">
        <v>2009</v>
      </c>
      <c r="J3329" t="s">
        <v>141</v>
      </c>
      <c r="K3329" s="3">
        <v>100932781091</v>
      </c>
      <c r="L3329" s="10">
        <v>39858</v>
      </c>
      <c r="M3329">
        <v>630.14</v>
      </c>
      <c r="N3329" s="11">
        <v>30</v>
      </c>
      <c r="O3329" s="12">
        <v>19.98</v>
      </c>
      <c r="P3329" s="12">
        <v>8.68</v>
      </c>
      <c r="Q3329" s="13">
        <v>108</v>
      </c>
      <c r="R3329" s="36" t="s">
        <v>1340</v>
      </c>
      <c r="S3329" s="7">
        <f t="shared" si="279"/>
        <v>7</v>
      </c>
      <c r="T3329" s="15" t="str">
        <f>VLOOKUP(R3329,产品分类!$C$2:$D$1278,2,0)</f>
        <v>办公用品</v>
      </c>
    </row>
    <row r="3330" spans="1:20">
      <c r="A3330" s="8">
        <f>DATE(2012,12,31)-1423</f>
        <v>39851</v>
      </c>
      <c r="B3330" s="8">
        <f>DATE(2012,12,31)-1423</f>
        <v>39851</v>
      </c>
      <c r="C3330" s="9" t="s">
        <v>421</v>
      </c>
      <c r="D3330">
        <v>10021441052</v>
      </c>
      <c r="E3330" t="s">
        <v>47</v>
      </c>
      <c r="F3330" t="s">
        <v>55</v>
      </c>
      <c r="G3330" t="s">
        <v>56</v>
      </c>
      <c r="H3330" t="s">
        <v>2112</v>
      </c>
      <c r="I3330" t="s">
        <v>2113</v>
      </c>
      <c r="J3330" t="s">
        <v>141</v>
      </c>
      <c r="K3330" s="3">
        <v>100932981521</v>
      </c>
      <c r="L3330" s="10">
        <v>39853</v>
      </c>
      <c r="M3330">
        <v>2813.8485</v>
      </c>
      <c r="N3330" s="11">
        <v>28</v>
      </c>
      <c r="O3330" s="12">
        <v>125.99</v>
      </c>
      <c r="P3330" s="12">
        <v>7.69</v>
      </c>
      <c r="Q3330" s="13">
        <v>377.154</v>
      </c>
      <c r="R3330" s="36" t="s">
        <v>903</v>
      </c>
      <c r="S3330" s="7">
        <f t="shared" si="279"/>
        <v>2</v>
      </c>
      <c r="T3330" s="15" t="str">
        <f>VLOOKUP(R3330,产品分类!$C$2:$D$1278,2,0)</f>
        <v>家具产品</v>
      </c>
    </row>
    <row r="3331" spans="1:20">
      <c r="A3331" s="16">
        <f>DATE(2012,12,31)-210</f>
        <v>41064</v>
      </c>
      <c r="B3331" s="16">
        <f>DATE(2012,12,31)-210</f>
        <v>41064</v>
      </c>
      <c r="C3331" s="9" t="s">
        <v>766</v>
      </c>
      <c r="D3331">
        <v>10021409488</v>
      </c>
      <c r="E3331" t="s">
        <v>47</v>
      </c>
      <c r="F3331" t="s">
        <v>102</v>
      </c>
      <c r="G3331" t="s">
        <v>103</v>
      </c>
      <c r="H3331" t="s">
        <v>2119</v>
      </c>
      <c r="I3331" t="s">
        <v>2120</v>
      </c>
      <c r="J3331" t="s">
        <v>141</v>
      </c>
      <c r="K3331" s="3">
        <v>100432949733</v>
      </c>
      <c r="L3331" s="10">
        <v>41066</v>
      </c>
      <c r="M3331">
        <v>86.61</v>
      </c>
      <c r="N3331" s="17">
        <v>7</v>
      </c>
      <c r="O3331" s="5">
        <v>12.97</v>
      </c>
      <c r="P3331" s="5">
        <v>1.49</v>
      </c>
      <c r="Q3331" s="6">
        <v>15.691</v>
      </c>
      <c r="R3331" s="37" t="s">
        <v>917</v>
      </c>
      <c r="S3331" s="7">
        <f t="shared" ref="S3331:S3394" si="282">+L3331-B3331</f>
        <v>2</v>
      </c>
      <c r="T3331" s="15" t="str">
        <f>VLOOKUP(R3331,产品分类!$C$2:$D$1278,2,0)</f>
        <v>家具产品</v>
      </c>
    </row>
    <row r="3332" spans="1:20">
      <c r="A3332" s="8">
        <f>DATE(2012,12,31)-157</f>
        <v>41117</v>
      </c>
      <c r="B3332" s="8">
        <f>DATE(2012,12,31)-157</f>
        <v>41117</v>
      </c>
      <c r="C3332" s="9" t="s">
        <v>1178</v>
      </c>
      <c r="D3332">
        <v>10021491486</v>
      </c>
      <c r="E3332" t="s">
        <v>47</v>
      </c>
      <c r="F3332" t="s">
        <v>102</v>
      </c>
      <c r="G3332" t="s">
        <v>103</v>
      </c>
      <c r="H3332" t="s">
        <v>2119</v>
      </c>
      <c r="I3332" t="s">
        <v>2120</v>
      </c>
      <c r="J3332" t="s">
        <v>141</v>
      </c>
      <c r="K3332" s="3">
        <v>100133051936</v>
      </c>
      <c r="L3332" s="10">
        <v>41117</v>
      </c>
      <c r="M3332">
        <v>5845.82</v>
      </c>
      <c r="N3332" s="11">
        <v>32</v>
      </c>
      <c r="O3332" s="12">
        <v>200.97</v>
      </c>
      <c r="P3332" s="12">
        <v>15.59</v>
      </c>
      <c r="Q3332" s="13">
        <v>2227.89</v>
      </c>
      <c r="R3332" s="36" t="s">
        <v>1825</v>
      </c>
      <c r="S3332" s="7">
        <f t="shared" si="282"/>
        <v>0</v>
      </c>
      <c r="T3332" s="15" t="str">
        <f>VLOOKUP(R3332,产品分类!$C$2:$D$1278,2,0)</f>
        <v>家具产品</v>
      </c>
    </row>
    <row r="3333" spans="1:20">
      <c r="A3333" s="8">
        <f>DATE(2012,12,31)-836</f>
        <v>40438</v>
      </c>
      <c r="B3333" s="8">
        <f>DATE(2012,12,31)-836</f>
        <v>40438</v>
      </c>
      <c r="C3333" s="9" t="s">
        <v>763</v>
      </c>
      <c r="D3333">
        <v>10021317538</v>
      </c>
      <c r="E3333" t="s">
        <v>47</v>
      </c>
      <c r="F3333" t="s">
        <v>208</v>
      </c>
      <c r="G3333" t="s">
        <v>209</v>
      </c>
      <c r="H3333" t="s">
        <v>2177</v>
      </c>
      <c r="I3333" t="s">
        <v>2178</v>
      </c>
      <c r="J3333" t="s">
        <v>141</v>
      </c>
      <c r="K3333" s="3">
        <v>100732827675</v>
      </c>
      <c r="L3333" s="10">
        <v>40445</v>
      </c>
      <c r="M3333">
        <v>127.16</v>
      </c>
      <c r="N3333" s="11">
        <v>20</v>
      </c>
      <c r="O3333" s="12">
        <v>6.68</v>
      </c>
      <c r="P3333" s="12">
        <v>6.92</v>
      </c>
      <c r="Q3333" s="13">
        <v>-74.03</v>
      </c>
      <c r="R3333" s="36" t="s">
        <v>922</v>
      </c>
      <c r="S3333" s="7">
        <f t="shared" si="282"/>
        <v>7</v>
      </c>
      <c r="T3333" s="15" t="str">
        <f>VLOOKUP(R3333,产品分类!$C$2:$D$1278,2,0)</f>
        <v>家具产品</v>
      </c>
    </row>
    <row r="3334" spans="1:20">
      <c r="A3334" s="8">
        <f t="shared" ref="A3334:B3336" si="283">DATE(2012,12,31)-1274</f>
        <v>40000</v>
      </c>
      <c r="B3334" s="8">
        <f t="shared" si="283"/>
        <v>40000</v>
      </c>
      <c r="C3334" s="9" t="s">
        <v>832</v>
      </c>
      <c r="D3334">
        <v>10021279081</v>
      </c>
      <c r="E3334" t="s">
        <v>47</v>
      </c>
      <c r="F3334" t="s">
        <v>253</v>
      </c>
      <c r="G3334" t="s">
        <v>254</v>
      </c>
      <c r="H3334" t="s">
        <v>1998</v>
      </c>
      <c r="I3334" t="s">
        <v>1999</v>
      </c>
      <c r="J3334" t="s">
        <v>141</v>
      </c>
      <c r="K3334" s="3">
        <v>100332780569</v>
      </c>
      <c r="L3334" s="10">
        <v>40002</v>
      </c>
      <c r="M3334">
        <v>1861.36</v>
      </c>
      <c r="N3334" s="11">
        <v>40</v>
      </c>
      <c r="O3334" s="12">
        <v>42.98</v>
      </c>
      <c r="P3334" s="12">
        <v>4.62</v>
      </c>
      <c r="Q3334" s="13">
        <v>627.85</v>
      </c>
      <c r="R3334" s="36" t="s">
        <v>1763</v>
      </c>
      <c r="S3334" s="7">
        <f t="shared" si="282"/>
        <v>2</v>
      </c>
      <c r="T3334" s="15" t="str">
        <f>VLOOKUP(R3334,产品分类!$C$2:$D$1278,2,0)</f>
        <v>数码电子</v>
      </c>
    </row>
    <row r="3335" spans="1:20">
      <c r="A3335" s="8">
        <f t="shared" si="283"/>
        <v>40000</v>
      </c>
      <c r="B3335" s="8">
        <f t="shared" si="283"/>
        <v>40000</v>
      </c>
      <c r="C3335" s="9" t="s">
        <v>832</v>
      </c>
      <c r="D3335">
        <v>10021269438</v>
      </c>
      <c r="E3335" t="s">
        <v>47</v>
      </c>
      <c r="F3335" t="s">
        <v>208</v>
      </c>
      <c r="G3335" t="s">
        <v>209</v>
      </c>
      <c r="H3335" t="s">
        <v>2177</v>
      </c>
      <c r="I3335" t="s">
        <v>2178</v>
      </c>
      <c r="J3335" t="s">
        <v>141</v>
      </c>
      <c r="K3335" s="3">
        <v>100832444742</v>
      </c>
      <c r="L3335" s="10">
        <v>40002</v>
      </c>
      <c r="M3335">
        <v>937.62</v>
      </c>
      <c r="N3335" s="11">
        <v>42</v>
      </c>
      <c r="O3335" s="12">
        <v>21.78</v>
      </c>
      <c r="P3335" s="12">
        <v>5.94</v>
      </c>
      <c r="Q3335" s="13">
        <v>187.2</v>
      </c>
      <c r="R3335" s="36" t="s">
        <v>276</v>
      </c>
      <c r="S3335" s="7">
        <f t="shared" si="282"/>
        <v>2</v>
      </c>
      <c r="T3335" s="15" t="str">
        <f>VLOOKUP(R3335,产品分类!$C$2:$D$1278,2,0)</f>
        <v>办公用品</v>
      </c>
    </row>
    <row r="3336" spans="1:20">
      <c r="A3336" s="8">
        <f t="shared" si="283"/>
        <v>40000</v>
      </c>
      <c r="B3336" s="8">
        <f t="shared" si="283"/>
        <v>40000</v>
      </c>
      <c r="C3336" s="9" t="s">
        <v>832</v>
      </c>
      <c r="D3336">
        <v>10021362530</v>
      </c>
      <c r="E3336" t="s">
        <v>47</v>
      </c>
      <c r="F3336" t="s">
        <v>66</v>
      </c>
      <c r="G3336" t="s">
        <v>67</v>
      </c>
      <c r="H3336" t="s">
        <v>2169</v>
      </c>
      <c r="I3336" t="s">
        <v>2170</v>
      </c>
      <c r="J3336" t="s">
        <v>141</v>
      </c>
      <c r="K3336" s="3">
        <v>100431391364</v>
      </c>
      <c r="L3336" s="10">
        <v>40001</v>
      </c>
      <c r="M3336">
        <v>33.02</v>
      </c>
      <c r="N3336" s="11">
        <v>11</v>
      </c>
      <c r="O3336" s="12">
        <v>3.15</v>
      </c>
      <c r="P3336" s="12">
        <v>0.5</v>
      </c>
      <c r="Q3336" s="13">
        <v>8.4</v>
      </c>
      <c r="R3336" s="36" t="s">
        <v>1815</v>
      </c>
      <c r="S3336" s="7">
        <f t="shared" si="282"/>
        <v>1</v>
      </c>
      <c r="T3336" s="15" t="str">
        <f>VLOOKUP(R3336,产品分类!$C$2:$D$1278,2,0)</f>
        <v>办公用品</v>
      </c>
    </row>
    <row r="3337" spans="1:20">
      <c r="A3337" s="8">
        <f>DATE(2012,12,31)-52</f>
        <v>41222</v>
      </c>
      <c r="B3337" s="8">
        <f>DATE(2012,12,31)-52</f>
        <v>41222</v>
      </c>
      <c r="C3337" s="9" t="s">
        <v>1348</v>
      </c>
      <c r="D3337">
        <v>10021292079</v>
      </c>
      <c r="E3337" t="s">
        <v>47</v>
      </c>
      <c r="F3337" t="s">
        <v>55</v>
      </c>
      <c r="G3337" t="s">
        <v>56</v>
      </c>
      <c r="H3337" t="s">
        <v>2112</v>
      </c>
      <c r="I3337" t="s">
        <v>2113</v>
      </c>
      <c r="J3337" t="s">
        <v>141</v>
      </c>
      <c r="K3337" s="3">
        <v>100131994068</v>
      </c>
      <c r="L3337" s="10">
        <v>41224</v>
      </c>
      <c r="M3337">
        <v>1278.6465</v>
      </c>
      <c r="N3337" s="11">
        <v>7</v>
      </c>
      <c r="O3337" s="12">
        <v>200.99</v>
      </c>
      <c r="P3337" s="12">
        <v>4.2</v>
      </c>
      <c r="Q3337" s="13">
        <v>-396.165</v>
      </c>
      <c r="R3337" s="36" t="s">
        <v>779</v>
      </c>
      <c r="S3337" s="7">
        <f t="shared" si="282"/>
        <v>2</v>
      </c>
      <c r="T3337" s="15" t="str">
        <f>VLOOKUP(R3337,产品分类!$C$2:$D$1278,2,0)</f>
        <v>家具产品</v>
      </c>
    </row>
    <row r="3338" spans="1:20">
      <c r="A3338" s="8">
        <f>DATE(2012,12,31)-1268</f>
        <v>40006</v>
      </c>
      <c r="B3338" s="8">
        <f>DATE(2012,12,31)-1268</f>
        <v>40006</v>
      </c>
      <c r="C3338" s="9" t="s">
        <v>446</v>
      </c>
      <c r="D3338">
        <v>10021375973</v>
      </c>
      <c r="E3338" t="s">
        <v>47</v>
      </c>
      <c r="F3338" t="s">
        <v>208</v>
      </c>
      <c r="G3338" t="s">
        <v>209</v>
      </c>
      <c r="H3338" t="s">
        <v>2177</v>
      </c>
      <c r="I3338" t="s">
        <v>2178</v>
      </c>
      <c r="J3338" t="s">
        <v>141</v>
      </c>
      <c r="K3338" s="3">
        <v>100430509274</v>
      </c>
      <c r="L3338" s="10">
        <v>40006</v>
      </c>
      <c r="M3338">
        <v>1624.5965</v>
      </c>
      <c r="N3338" s="11">
        <v>31</v>
      </c>
      <c r="O3338" s="12">
        <v>65.99</v>
      </c>
      <c r="P3338" s="12">
        <v>8.8</v>
      </c>
      <c r="Q3338" s="13">
        <v>109.836</v>
      </c>
      <c r="R3338" s="36" t="s">
        <v>2179</v>
      </c>
      <c r="S3338" s="7">
        <f t="shared" si="282"/>
        <v>0</v>
      </c>
      <c r="T3338" s="15" t="str">
        <f>VLOOKUP(R3338,产品分类!$C$2:$D$1278,2,0)</f>
        <v>家具产品</v>
      </c>
    </row>
    <row r="3339" spans="1:20">
      <c r="A3339" s="8">
        <f>DATE(2012,12,31)-1268</f>
        <v>40006</v>
      </c>
      <c r="B3339" s="8">
        <f>DATE(2012,12,31)-1268</f>
        <v>40006</v>
      </c>
      <c r="C3339" s="9" t="s">
        <v>446</v>
      </c>
      <c r="D3339">
        <v>10021261682</v>
      </c>
      <c r="E3339" t="s">
        <v>47</v>
      </c>
      <c r="F3339" t="s">
        <v>83</v>
      </c>
      <c r="G3339" t="s">
        <v>84</v>
      </c>
      <c r="H3339" t="s">
        <v>2144</v>
      </c>
      <c r="I3339" t="s">
        <v>2145</v>
      </c>
      <c r="J3339" t="s">
        <v>141</v>
      </c>
      <c r="K3339" s="3">
        <v>100929661241</v>
      </c>
      <c r="L3339" s="10">
        <v>40008</v>
      </c>
      <c r="M3339">
        <v>381.36</v>
      </c>
      <c r="N3339" s="11">
        <v>35</v>
      </c>
      <c r="O3339" s="12">
        <v>10.01</v>
      </c>
      <c r="P3339" s="12">
        <v>1.99</v>
      </c>
      <c r="Q3339" s="13">
        <v>128.03</v>
      </c>
      <c r="R3339" s="36" t="s">
        <v>503</v>
      </c>
      <c r="S3339" s="7">
        <f t="shared" si="282"/>
        <v>2</v>
      </c>
      <c r="T3339" s="15" t="str">
        <f>VLOOKUP(R3339,产品分类!$C$2:$D$1278,2,0)</f>
        <v>数码电子</v>
      </c>
    </row>
    <row r="3340" spans="1:20">
      <c r="A3340" s="8">
        <f>DATE(2012,12,31)-833</f>
        <v>40441</v>
      </c>
      <c r="B3340" s="8">
        <f>DATE(2012,12,31)-833</f>
        <v>40441</v>
      </c>
      <c r="C3340" s="9" t="s">
        <v>2001</v>
      </c>
      <c r="D3340">
        <v>10021507378</v>
      </c>
      <c r="E3340" t="s">
        <v>47</v>
      </c>
      <c r="F3340" t="s">
        <v>91</v>
      </c>
      <c r="G3340" t="s">
        <v>92</v>
      </c>
      <c r="H3340" t="s">
        <v>2053</v>
      </c>
      <c r="I3340" t="s">
        <v>2054</v>
      </c>
      <c r="J3340" t="s">
        <v>141</v>
      </c>
      <c r="K3340" s="3">
        <v>100931975501</v>
      </c>
      <c r="L3340" s="10">
        <v>40442</v>
      </c>
      <c r="M3340">
        <v>321.02</v>
      </c>
      <c r="N3340" s="11">
        <v>37</v>
      </c>
      <c r="O3340" s="12">
        <v>8.67</v>
      </c>
      <c r="P3340" s="12">
        <v>3.5</v>
      </c>
      <c r="Q3340" s="13">
        <v>-11.88</v>
      </c>
      <c r="R3340" s="36" t="s">
        <v>884</v>
      </c>
      <c r="S3340" s="7">
        <f t="shared" si="282"/>
        <v>1</v>
      </c>
      <c r="T3340" s="15" t="str">
        <f>VLOOKUP(R3340,产品分类!$C$2:$D$1278,2,0)</f>
        <v>办公用品</v>
      </c>
    </row>
    <row r="3341" spans="1:20">
      <c r="A3341" s="8">
        <f>DATE(2012,12,31)-536</f>
        <v>40738</v>
      </c>
      <c r="B3341" s="8">
        <f>DATE(2012,12,31)-536</f>
        <v>40738</v>
      </c>
      <c r="C3341" s="9" t="s">
        <v>77</v>
      </c>
      <c r="D3341">
        <v>10021419964</v>
      </c>
      <c r="E3341" t="s">
        <v>47</v>
      </c>
      <c r="F3341" t="s">
        <v>132</v>
      </c>
      <c r="G3341" t="s">
        <v>133</v>
      </c>
      <c r="H3341" t="s">
        <v>134</v>
      </c>
      <c r="I3341" t="s">
        <v>133</v>
      </c>
      <c r="J3341" t="s">
        <v>141</v>
      </c>
      <c r="K3341" s="3">
        <v>100124346957</v>
      </c>
      <c r="L3341" s="10">
        <v>40738</v>
      </c>
      <c r="M3341">
        <v>384.2</v>
      </c>
      <c r="N3341" s="11">
        <v>7</v>
      </c>
      <c r="O3341" s="12">
        <v>65.99</v>
      </c>
      <c r="P3341" s="12">
        <v>2.5</v>
      </c>
      <c r="Q3341" s="13">
        <v>-164.461</v>
      </c>
      <c r="R3341" s="36" t="s">
        <v>293</v>
      </c>
      <c r="S3341" s="7">
        <f t="shared" si="282"/>
        <v>0</v>
      </c>
      <c r="T3341" s="15" t="str">
        <f>VLOOKUP(R3341,产品分类!$C$2:$D$1278,2,0)</f>
        <v>办公用品</v>
      </c>
    </row>
    <row r="3342" spans="1:20">
      <c r="A3342" s="8">
        <f t="shared" ref="A3342:B3344" si="284">DATE(2012,12,31)-213</f>
        <v>41061</v>
      </c>
      <c r="B3342" s="8">
        <f t="shared" si="284"/>
        <v>41061</v>
      </c>
      <c r="C3342" s="9" t="s">
        <v>1502</v>
      </c>
      <c r="D3342">
        <v>10021433190</v>
      </c>
      <c r="E3342" t="s">
        <v>47</v>
      </c>
      <c r="F3342" t="s">
        <v>183</v>
      </c>
      <c r="G3342" t="s">
        <v>184</v>
      </c>
      <c r="H3342" t="s">
        <v>1716</v>
      </c>
      <c r="I3342" t="s">
        <v>1717</v>
      </c>
      <c r="J3342" t="s">
        <v>141</v>
      </c>
      <c r="K3342" s="3">
        <v>100932602071</v>
      </c>
      <c r="L3342" s="10">
        <v>41062</v>
      </c>
      <c r="M3342">
        <v>2580.67</v>
      </c>
      <c r="N3342" s="11">
        <v>21</v>
      </c>
      <c r="O3342" s="12">
        <v>122.99</v>
      </c>
      <c r="P3342" s="12">
        <v>70.2</v>
      </c>
      <c r="Q3342" s="13">
        <v>-1050.77</v>
      </c>
      <c r="R3342" s="36" t="s">
        <v>860</v>
      </c>
      <c r="S3342" s="7">
        <f t="shared" si="282"/>
        <v>1</v>
      </c>
      <c r="T3342" s="15" t="str">
        <f>VLOOKUP(R3342,产品分类!$C$2:$D$1278,2,0)</f>
        <v>办公用品</v>
      </c>
    </row>
    <row r="3343" spans="1:20">
      <c r="A3343" s="8">
        <f t="shared" si="284"/>
        <v>41061</v>
      </c>
      <c r="B3343" s="8">
        <f t="shared" si="284"/>
        <v>41061</v>
      </c>
      <c r="C3343" s="9" t="s">
        <v>1502</v>
      </c>
      <c r="D3343">
        <v>10021591650</v>
      </c>
      <c r="E3343" t="s">
        <v>47</v>
      </c>
      <c r="F3343" t="s">
        <v>342</v>
      </c>
      <c r="G3343" t="s">
        <v>343</v>
      </c>
      <c r="H3343" t="s">
        <v>2090</v>
      </c>
      <c r="I3343" t="s">
        <v>2091</v>
      </c>
      <c r="J3343" t="s">
        <v>141</v>
      </c>
      <c r="K3343" s="3">
        <v>100831913922</v>
      </c>
      <c r="L3343" s="10">
        <v>41062</v>
      </c>
      <c r="M3343">
        <v>955.46</v>
      </c>
      <c r="N3343" s="11">
        <v>19</v>
      </c>
      <c r="O3343" s="12">
        <v>50.98</v>
      </c>
      <c r="P3343" s="12">
        <v>6.5</v>
      </c>
      <c r="Q3343" s="13">
        <v>-79.05</v>
      </c>
      <c r="R3343" s="36" t="s">
        <v>1501</v>
      </c>
      <c r="S3343" s="7">
        <f t="shared" si="282"/>
        <v>1</v>
      </c>
      <c r="T3343" s="15" t="str">
        <f>VLOOKUP(R3343,产品分类!$C$2:$D$1278,2,0)</f>
        <v>家具产品</v>
      </c>
    </row>
    <row r="3344" spans="1:20">
      <c r="A3344" s="8">
        <f t="shared" si="284"/>
        <v>41061</v>
      </c>
      <c r="B3344" s="8">
        <f t="shared" si="284"/>
        <v>41061</v>
      </c>
      <c r="C3344" s="9" t="s">
        <v>1502</v>
      </c>
      <c r="D3344">
        <v>10021373222</v>
      </c>
      <c r="E3344" t="s">
        <v>47</v>
      </c>
      <c r="F3344" t="s">
        <v>152</v>
      </c>
      <c r="G3344" t="s">
        <v>153</v>
      </c>
      <c r="H3344" t="s">
        <v>2137</v>
      </c>
      <c r="I3344" t="s">
        <v>2138</v>
      </c>
      <c r="J3344" t="s">
        <v>141</v>
      </c>
      <c r="K3344" s="3">
        <v>100932891511</v>
      </c>
      <c r="L3344" s="10">
        <v>41062</v>
      </c>
      <c r="M3344">
        <v>121.26</v>
      </c>
      <c r="N3344" s="11">
        <v>3</v>
      </c>
      <c r="O3344" s="12">
        <v>35.44</v>
      </c>
      <c r="P3344" s="12">
        <v>7.5</v>
      </c>
      <c r="Q3344" s="13">
        <v>-12.52</v>
      </c>
      <c r="R3344" s="36" t="s">
        <v>1791</v>
      </c>
      <c r="S3344" s="7">
        <f t="shared" si="282"/>
        <v>1</v>
      </c>
      <c r="T3344" s="15" t="str">
        <f>VLOOKUP(R3344,产品分类!$C$2:$D$1278,2,0)</f>
        <v>家具产品</v>
      </c>
    </row>
    <row r="3345" spans="1:20">
      <c r="A3345" s="8">
        <f>DATE(2012,12,31)-1110</f>
        <v>40164</v>
      </c>
      <c r="B3345" s="8">
        <f>DATE(2012,12,31)-1110</f>
        <v>40164</v>
      </c>
      <c r="C3345" s="9" t="s">
        <v>330</v>
      </c>
      <c r="D3345">
        <v>10021437831</v>
      </c>
      <c r="E3345" t="s">
        <v>47</v>
      </c>
      <c r="F3345" t="s">
        <v>152</v>
      </c>
      <c r="G3345" t="s">
        <v>153</v>
      </c>
      <c r="H3345" t="s">
        <v>2137</v>
      </c>
      <c r="I3345" t="s">
        <v>2138</v>
      </c>
      <c r="J3345" t="s">
        <v>141</v>
      </c>
      <c r="K3345" s="3">
        <v>100832626902</v>
      </c>
      <c r="L3345" s="10">
        <v>40166</v>
      </c>
      <c r="M3345">
        <v>71.39</v>
      </c>
      <c r="N3345" s="11">
        <v>27</v>
      </c>
      <c r="O3345" s="12">
        <v>2.6</v>
      </c>
      <c r="P3345" s="12">
        <v>2.4</v>
      </c>
      <c r="Q3345" s="13">
        <v>-39.33</v>
      </c>
      <c r="R3345" s="36" t="s">
        <v>1884</v>
      </c>
      <c r="S3345" s="7">
        <f t="shared" si="282"/>
        <v>2</v>
      </c>
      <c r="T3345" s="15" t="str">
        <f>VLOOKUP(R3345,产品分类!$C$2:$D$1278,2,0)</f>
        <v>数码电子</v>
      </c>
    </row>
    <row r="3346" spans="1:20">
      <c r="A3346" s="8">
        <f>DATE(2012,12,31)-633</f>
        <v>40641</v>
      </c>
      <c r="B3346" s="8">
        <f>DATE(2012,12,31)-633</f>
        <v>40641</v>
      </c>
      <c r="C3346" s="9" t="s">
        <v>1088</v>
      </c>
      <c r="D3346">
        <v>10021489477</v>
      </c>
      <c r="E3346" t="s">
        <v>47</v>
      </c>
      <c r="F3346" t="s">
        <v>48</v>
      </c>
      <c r="G3346" t="s">
        <v>49</v>
      </c>
      <c r="H3346" t="s">
        <v>2032</v>
      </c>
      <c r="I3346" t="s">
        <v>2033</v>
      </c>
      <c r="J3346" t="s">
        <v>141</v>
      </c>
      <c r="K3346" s="3">
        <v>10096799441</v>
      </c>
      <c r="L3346" s="10">
        <v>40642</v>
      </c>
      <c r="M3346">
        <v>138.52</v>
      </c>
      <c r="N3346" s="11">
        <v>20</v>
      </c>
      <c r="O3346" s="12">
        <v>4.48</v>
      </c>
      <c r="P3346" s="12">
        <v>49</v>
      </c>
      <c r="Q3346" s="13">
        <v>-895.24</v>
      </c>
      <c r="R3346" s="36" t="s">
        <v>337</v>
      </c>
      <c r="S3346" s="7">
        <f t="shared" si="282"/>
        <v>1</v>
      </c>
      <c r="T3346" s="15" t="str">
        <f>VLOOKUP(R3346,产品分类!$C$2:$D$1278,2,0)</f>
        <v>数码电子</v>
      </c>
    </row>
    <row r="3347" spans="1:20">
      <c r="A3347" s="8">
        <f>DATE(2012,12,31)-633</f>
        <v>40641</v>
      </c>
      <c r="B3347" s="8">
        <f>DATE(2012,12,31)-633</f>
        <v>40641</v>
      </c>
      <c r="C3347" s="9" t="s">
        <v>1088</v>
      </c>
      <c r="D3347">
        <v>10021306071</v>
      </c>
      <c r="E3347" t="s">
        <v>47</v>
      </c>
      <c r="F3347" t="s">
        <v>152</v>
      </c>
      <c r="G3347" t="s">
        <v>153</v>
      </c>
      <c r="H3347" t="s">
        <v>2137</v>
      </c>
      <c r="I3347" t="s">
        <v>2138</v>
      </c>
      <c r="J3347" t="s">
        <v>141</v>
      </c>
      <c r="K3347" s="3">
        <v>100731135575</v>
      </c>
      <c r="L3347" s="10">
        <v>40644</v>
      </c>
      <c r="M3347">
        <v>1735.59</v>
      </c>
      <c r="N3347" s="11">
        <v>11</v>
      </c>
      <c r="O3347" s="12">
        <v>150.89</v>
      </c>
      <c r="P3347" s="12">
        <v>60.2</v>
      </c>
      <c r="Q3347" s="13">
        <v>-506.43</v>
      </c>
      <c r="R3347" s="36" t="s">
        <v>274</v>
      </c>
      <c r="S3347" s="7">
        <f t="shared" si="282"/>
        <v>3</v>
      </c>
      <c r="T3347" s="15" t="str">
        <f>VLOOKUP(R3347,产品分类!$C$2:$D$1278,2,0)</f>
        <v>办公用品</v>
      </c>
    </row>
    <row r="3348" spans="1:20">
      <c r="A3348" s="8">
        <f>DATE(2012,12,31)-557</f>
        <v>40717</v>
      </c>
      <c r="B3348" s="8">
        <f>DATE(2012,12,31)-557</f>
        <v>40717</v>
      </c>
      <c r="C3348" s="9" t="s">
        <v>1721</v>
      </c>
      <c r="D3348">
        <v>10021550068</v>
      </c>
      <c r="E3348" t="s">
        <v>47</v>
      </c>
      <c r="F3348" t="s">
        <v>152</v>
      </c>
      <c r="G3348" t="s">
        <v>153</v>
      </c>
      <c r="H3348" t="s">
        <v>2137</v>
      </c>
      <c r="I3348" t="s">
        <v>2138</v>
      </c>
      <c r="J3348" t="s">
        <v>141</v>
      </c>
      <c r="K3348" s="3">
        <v>100131324566</v>
      </c>
      <c r="L3348" s="10">
        <v>40719</v>
      </c>
      <c r="M3348">
        <v>376.53</v>
      </c>
      <c r="N3348" s="11">
        <v>24</v>
      </c>
      <c r="O3348" s="12">
        <v>15.94</v>
      </c>
      <c r="P3348" s="12">
        <v>5.45</v>
      </c>
      <c r="Q3348" s="13">
        <v>3.44</v>
      </c>
      <c r="R3348" s="36" t="s">
        <v>794</v>
      </c>
      <c r="S3348" s="7">
        <f t="shared" si="282"/>
        <v>2</v>
      </c>
      <c r="T3348" s="15" t="str">
        <f>VLOOKUP(R3348,产品分类!$C$2:$D$1278,2,0)</f>
        <v>数码电子</v>
      </c>
    </row>
    <row r="3349" spans="1:20">
      <c r="A3349" s="16">
        <f>DATE(2012,12,31)-668</f>
        <v>40606</v>
      </c>
      <c r="B3349" s="16">
        <f>DATE(2012,12,31)-668</f>
        <v>40606</v>
      </c>
      <c r="C3349" s="9" t="s">
        <v>240</v>
      </c>
      <c r="D3349">
        <v>10021474976</v>
      </c>
      <c r="E3349" t="s">
        <v>47</v>
      </c>
      <c r="F3349" t="s">
        <v>230</v>
      </c>
      <c r="G3349" t="s">
        <v>231</v>
      </c>
      <c r="H3349" t="s">
        <v>2174</v>
      </c>
      <c r="I3349" t="s">
        <v>2175</v>
      </c>
      <c r="J3349" t="s">
        <v>141</v>
      </c>
      <c r="K3349" s="3">
        <v>100731362735</v>
      </c>
      <c r="L3349" s="10">
        <v>40609</v>
      </c>
      <c r="M3349">
        <v>127.48</v>
      </c>
      <c r="N3349" s="17">
        <v>19</v>
      </c>
      <c r="O3349" s="5">
        <v>6.48</v>
      </c>
      <c r="P3349" s="5">
        <v>5.84</v>
      </c>
      <c r="Q3349" s="6">
        <v>-41.99</v>
      </c>
      <c r="R3349" s="37" t="s">
        <v>2176</v>
      </c>
      <c r="S3349" s="7">
        <f t="shared" si="282"/>
        <v>3</v>
      </c>
      <c r="T3349" s="15" t="str">
        <f>VLOOKUP(R3349,产品分类!$C$2:$D$1278,2,0)</f>
        <v>办公用品</v>
      </c>
    </row>
    <row r="3350" spans="1:20">
      <c r="A3350" s="8">
        <f>DATE(2012,12,31)-1136</f>
        <v>40138</v>
      </c>
      <c r="B3350" s="8">
        <f>DATE(2012,12,31)-1136</f>
        <v>40138</v>
      </c>
      <c r="C3350" s="9" t="s">
        <v>1233</v>
      </c>
      <c r="D3350">
        <v>10021457743</v>
      </c>
      <c r="E3350" t="s">
        <v>47</v>
      </c>
      <c r="F3350" t="s">
        <v>434</v>
      </c>
      <c r="G3350" t="s">
        <v>435</v>
      </c>
      <c r="H3350" t="s">
        <v>436</v>
      </c>
      <c r="I3350" t="s">
        <v>437</v>
      </c>
      <c r="J3350" t="s">
        <v>141</v>
      </c>
      <c r="K3350" s="3">
        <v>100912182961</v>
      </c>
      <c r="L3350" s="10">
        <v>40141</v>
      </c>
      <c r="M3350">
        <v>66.63</v>
      </c>
      <c r="N3350" s="11">
        <v>5</v>
      </c>
      <c r="O3350" s="12">
        <v>11.97</v>
      </c>
      <c r="P3350" s="12">
        <v>4.98</v>
      </c>
      <c r="Q3350" s="13">
        <v>-16.92</v>
      </c>
      <c r="R3350" s="36" t="s">
        <v>1833</v>
      </c>
      <c r="S3350" s="7">
        <f t="shared" si="282"/>
        <v>3</v>
      </c>
      <c r="T3350" s="15" t="str">
        <f>VLOOKUP(R3350,产品分类!$C$2:$D$1278,2,0)</f>
        <v>办公用品</v>
      </c>
    </row>
    <row r="3351" spans="1:20">
      <c r="A3351" s="16">
        <f t="shared" ref="A3351:B3354" si="285">DATE(2012,12,31)-1157</f>
        <v>40117</v>
      </c>
      <c r="B3351" s="16">
        <f t="shared" si="285"/>
        <v>40117</v>
      </c>
      <c r="C3351" s="9" t="s">
        <v>982</v>
      </c>
      <c r="D3351">
        <v>10021361690</v>
      </c>
      <c r="E3351" t="s">
        <v>47</v>
      </c>
      <c r="F3351" t="s">
        <v>434</v>
      </c>
      <c r="G3351" t="s">
        <v>435</v>
      </c>
      <c r="H3351" t="s">
        <v>436</v>
      </c>
      <c r="I3351" t="s">
        <v>437</v>
      </c>
      <c r="J3351" t="s">
        <v>141</v>
      </c>
      <c r="K3351" s="3">
        <v>100332385919</v>
      </c>
      <c r="L3351" s="10">
        <v>40119</v>
      </c>
      <c r="M3351">
        <v>87.44</v>
      </c>
      <c r="N3351" s="17">
        <v>49</v>
      </c>
      <c r="O3351" s="5">
        <v>1.76</v>
      </c>
      <c r="P3351" s="5">
        <v>0.7</v>
      </c>
      <c r="Q3351" s="6">
        <v>1.33</v>
      </c>
      <c r="R3351" s="37" t="s">
        <v>561</v>
      </c>
      <c r="S3351" s="7">
        <f t="shared" si="282"/>
        <v>2</v>
      </c>
      <c r="T3351" s="15" t="str">
        <f>VLOOKUP(R3351,产品分类!$C$2:$D$1278,2,0)</f>
        <v>数码电子</v>
      </c>
    </row>
    <row r="3352" spans="1:20">
      <c r="A3352" s="16">
        <f t="shared" si="285"/>
        <v>40117</v>
      </c>
      <c r="B3352" s="16">
        <f t="shared" si="285"/>
        <v>40117</v>
      </c>
      <c r="C3352" s="9" t="s">
        <v>982</v>
      </c>
      <c r="D3352">
        <v>10021407623</v>
      </c>
      <c r="E3352" t="s">
        <v>47</v>
      </c>
      <c r="F3352" t="s">
        <v>91</v>
      </c>
      <c r="G3352" t="s">
        <v>92</v>
      </c>
      <c r="H3352" t="s">
        <v>2053</v>
      </c>
      <c r="I3352" t="s">
        <v>2054</v>
      </c>
      <c r="J3352" t="s">
        <v>141</v>
      </c>
      <c r="K3352" s="3">
        <v>1001726627</v>
      </c>
      <c r="L3352" s="10">
        <v>40118</v>
      </c>
      <c r="M3352">
        <v>1318.49</v>
      </c>
      <c r="N3352" s="17">
        <v>50</v>
      </c>
      <c r="O3352" s="5">
        <v>24.98</v>
      </c>
      <c r="P3352" s="5">
        <v>8.79</v>
      </c>
      <c r="Q3352" s="6">
        <v>4.69</v>
      </c>
      <c r="R3352" s="37" t="s">
        <v>1704</v>
      </c>
      <c r="S3352" s="7">
        <f t="shared" si="282"/>
        <v>1</v>
      </c>
      <c r="T3352" s="15" t="str">
        <f>VLOOKUP(R3352,产品分类!$C$2:$D$1278,2,0)</f>
        <v>家具产品</v>
      </c>
    </row>
    <row r="3353" spans="1:20">
      <c r="A3353" s="8">
        <f t="shared" si="285"/>
        <v>40117</v>
      </c>
      <c r="B3353" s="8">
        <f t="shared" si="285"/>
        <v>40117</v>
      </c>
      <c r="C3353" s="9" t="s">
        <v>982</v>
      </c>
      <c r="D3353">
        <v>10021553166</v>
      </c>
      <c r="E3353" t="s">
        <v>47</v>
      </c>
      <c r="F3353" t="s">
        <v>91</v>
      </c>
      <c r="G3353" t="s">
        <v>92</v>
      </c>
      <c r="H3353" t="s">
        <v>2053</v>
      </c>
      <c r="I3353" t="s">
        <v>2054</v>
      </c>
      <c r="J3353" t="s">
        <v>141</v>
      </c>
      <c r="K3353" s="3">
        <v>100431558774</v>
      </c>
      <c r="L3353" s="10">
        <v>40117</v>
      </c>
      <c r="M3353">
        <v>11.89</v>
      </c>
      <c r="N3353" s="11">
        <v>9</v>
      </c>
      <c r="O3353" s="12">
        <v>1.26</v>
      </c>
      <c r="P3353" s="12">
        <v>0.7</v>
      </c>
      <c r="Q3353" s="13">
        <v>-6.12</v>
      </c>
      <c r="R3353" s="36" t="s">
        <v>339</v>
      </c>
      <c r="S3353" s="7">
        <f t="shared" si="282"/>
        <v>0</v>
      </c>
      <c r="T3353" s="15" t="str">
        <f>VLOOKUP(R3353,产品分类!$C$2:$D$1278,2,0)</f>
        <v>数码电子</v>
      </c>
    </row>
    <row r="3354" spans="1:20">
      <c r="A3354" s="8">
        <f t="shared" si="285"/>
        <v>40117</v>
      </c>
      <c r="B3354" s="8">
        <f t="shared" si="285"/>
        <v>40117</v>
      </c>
      <c r="C3354" s="9" t="s">
        <v>982</v>
      </c>
      <c r="D3354">
        <v>10021394691</v>
      </c>
      <c r="E3354" t="s">
        <v>47</v>
      </c>
      <c r="F3354" t="s">
        <v>55</v>
      </c>
      <c r="G3354" t="s">
        <v>56</v>
      </c>
      <c r="H3354" t="s">
        <v>2112</v>
      </c>
      <c r="I3354" t="s">
        <v>2113</v>
      </c>
      <c r="J3354" t="s">
        <v>141</v>
      </c>
      <c r="K3354" s="3">
        <v>100314791639</v>
      </c>
      <c r="L3354" s="10">
        <v>40119</v>
      </c>
      <c r="M3354">
        <v>129.7865</v>
      </c>
      <c r="N3354" s="11">
        <v>4</v>
      </c>
      <c r="O3354" s="12">
        <v>35.99</v>
      </c>
      <c r="P3354" s="12">
        <v>5.99</v>
      </c>
      <c r="Q3354" s="13">
        <v>-116.512</v>
      </c>
      <c r="R3354" s="36" t="s">
        <v>1664</v>
      </c>
      <c r="S3354" s="7">
        <f t="shared" si="282"/>
        <v>2</v>
      </c>
      <c r="T3354" s="15" t="str">
        <f>VLOOKUP(R3354,产品分类!$C$2:$D$1278,2,0)</f>
        <v>数码电子</v>
      </c>
    </row>
    <row r="3355" spans="1:20">
      <c r="A3355" s="8">
        <f t="shared" ref="A3355:B3357" si="286">DATE(2012,12,31)-858</f>
        <v>40416</v>
      </c>
      <c r="B3355" s="8">
        <f t="shared" si="286"/>
        <v>40416</v>
      </c>
      <c r="C3355" s="9" t="s">
        <v>1163</v>
      </c>
      <c r="D3355">
        <v>10021391817</v>
      </c>
      <c r="E3355" t="s">
        <v>47</v>
      </c>
      <c r="F3355" t="s">
        <v>83</v>
      </c>
      <c r="G3355" t="s">
        <v>84</v>
      </c>
      <c r="H3355" t="s">
        <v>2144</v>
      </c>
      <c r="I3355" t="s">
        <v>2145</v>
      </c>
      <c r="J3355" t="s">
        <v>141</v>
      </c>
      <c r="K3355" s="3">
        <v>10011490187</v>
      </c>
      <c r="L3355" s="10">
        <v>40423</v>
      </c>
      <c r="M3355">
        <v>531.66</v>
      </c>
      <c r="N3355" s="11">
        <v>26</v>
      </c>
      <c r="O3355" s="12">
        <v>20.89</v>
      </c>
      <c r="P3355" s="12">
        <v>1.99</v>
      </c>
      <c r="Q3355" s="13">
        <v>135.65</v>
      </c>
      <c r="R3355" s="36" t="s">
        <v>1745</v>
      </c>
      <c r="S3355" s="7">
        <f t="shared" si="282"/>
        <v>7</v>
      </c>
      <c r="T3355" s="15" t="str">
        <f>VLOOKUP(R3355,产品分类!$C$2:$D$1278,2,0)</f>
        <v>数码电子</v>
      </c>
    </row>
    <row r="3356" spans="1:20">
      <c r="A3356" s="8">
        <f t="shared" si="286"/>
        <v>40416</v>
      </c>
      <c r="B3356" s="8">
        <f t="shared" si="286"/>
        <v>40416</v>
      </c>
      <c r="C3356" s="9" t="s">
        <v>1163</v>
      </c>
      <c r="D3356">
        <v>10021271586</v>
      </c>
      <c r="E3356" t="s">
        <v>47</v>
      </c>
      <c r="F3356" t="s">
        <v>122</v>
      </c>
      <c r="G3356" t="s">
        <v>123</v>
      </c>
      <c r="H3356" t="s">
        <v>2159</v>
      </c>
      <c r="I3356" t="s">
        <v>2160</v>
      </c>
      <c r="J3356" t="s">
        <v>141</v>
      </c>
      <c r="K3356" s="3">
        <v>100126745006</v>
      </c>
      <c r="L3356" s="10">
        <v>40423</v>
      </c>
      <c r="M3356">
        <v>317.85</v>
      </c>
      <c r="N3356" s="11">
        <v>28</v>
      </c>
      <c r="O3356" s="12">
        <v>11.58</v>
      </c>
      <c r="P3356" s="12">
        <v>6.97</v>
      </c>
      <c r="Q3356" s="13">
        <v>-13.95</v>
      </c>
      <c r="R3356" s="36" t="s">
        <v>1022</v>
      </c>
      <c r="S3356" s="7">
        <f t="shared" si="282"/>
        <v>7</v>
      </c>
      <c r="T3356" s="15" t="str">
        <f>VLOOKUP(R3356,产品分类!$C$2:$D$1278,2,0)</f>
        <v>办公用品</v>
      </c>
    </row>
    <row r="3357" spans="1:20">
      <c r="A3357" s="8">
        <f t="shared" si="286"/>
        <v>40416</v>
      </c>
      <c r="B3357" s="8">
        <f t="shared" si="286"/>
        <v>40416</v>
      </c>
      <c r="C3357" s="9" t="s">
        <v>1163</v>
      </c>
      <c r="D3357">
        <v>10021490526</v>
      </c>
      <c r="E3357" t="s">
        <v>47</v>
      </c>
      <c r="F3357" t="s">
        <v>97</v>
      </c>
      <c r="G3357" t="s">
        <v>98</v>
      </c>
      <c r="H3357" t="s">
        <v>99</v>
      </c>
      <c r="I3357" t="s">
        <v>98</v>
      </c>
      <c r="J3357" t="s">
        <v>141</v>
      </c>
      <c r="K3357" s="3">
        <v>100932406141</v>
      </c>
      <c r="L3357" s="10">
        <v>40420</v>
      </c>
      <c r="M3357">
        <v>163.08</v>
      </c>
      <c r="N3357" s="11">
        <v>42</v>
      </c>
      <c r="O3357" s="12">
        <v>4.13</v>
      </c>
      <c r="P3357" s="12">
        <v>0.5</v>
      </c>
      <c r="Q3357" s="13">
        <v>66.17</v>
      </c>
      <c r="R3357" s="36" t="s">
        <v>691</v>
      </c>
      <c r="S3357" s="7">
        <f t="shared" si="282"/>
        <v>4</v>
      </c>
      <c r="T3357" s="15" t="str">
        <f>VLOOKUP(R3357,产品分类!$C$2:$D$1278,2,0)</f>
        <v>办公用品</v>
      </c>
    </row>
    <row r="3358" spans="1:20">
      <c r="A3358" s="8">
        <f>DATE(2012,12,31)-729</f>
        <v>40545</v>
      </c>
      <c r="B3358" s="8">
        <f>DATE(2012,12,31)-729</f>
        <v>40545</v>
      </c>
      <c r="C3358" s="9" t="s">
        <v>893</v>
      </c>
      <c r="D3358">
        <v>10021515286</v>
      </c>
      <c r="E3358" t="s">
        <v>47</v>
      </c>
      <c r="F3358" t="s">
        <v>97</v>
      </c>
      <c r="G3358" t="s">
        <v>98</v>
      </c>
      <c r="H3358" t="s">
        <v>99</v>
      </c>
      <c r="I3358" t="s">
        <v>98</v>
      </c>
      <c r="J3358" t="s">
        <v>141</v>
      </c>
      <c r="K3358" s="3">
        <v>10014666026</v>
      </c>
      <c r="L3358" s="10">
        <v>40547</v>
      </c>
      <c r="M3358">
        <v>1227.18</v>
      </c>
      <c r="N3358" s="11">
        <v>50</v>
      </c>
      <c r="O3358" s="12">
        <v>23.99</v>
      </c>
      <c r="P3358" s="12">
        <v>15.68</v>
      </c>
      <c r="Q3358" s="13">
        <v>-252.53</v>
      </c>
      <c r="R3358" s="36" t="s">
        <v>2100</v>
      </c>
      <c r="S3358" s="7">
        <f t="shared" si="282"/>
        <v>2</v>
      </c>
      <c r="T3358" s="15" t="str">
        <f>VLOOKUP(R3358,产品分类!$C$2:$D$1278,2,0)</f>
        <v>家具产品</v>
      </c>
    </row>
    <row r="3359" spans="1:20">
      <c r="A3359" s="8">
        <f>DATE(2012,12,31)-560</f>
        <v>40714</v>
      </c>
      <c r="B3359" s="8">
        <f>DATE(2012,12,31)-560</f>
        <v>40714</v>
      </c>
      <c r="C3359" s="9" t="s">
        <v>948</v>
      </c>
      <c r="D3359">
        <v>10021357233</v>
      </c>
      <c r="E3359" t="s">
        <v>47</v>
      </c>
      <c r="F3359" t="s">
        <v>132</v>
      </c>
      <c r="G3359" t="s">
        <v>133</v>
      </c>
      <c r="H3359" t="s">
        <v>134</v>
      </c>
      <c r="I3359" t="s">
        <v>133</v>
      </c>
      <c r="J3359" t="s">
        <v>141</v>
      </c>
      <c r="K3359" s="3">
        <v>100131590958</v>
      </c>
      <c r="L3359" s="10">
        <v>40716</v>
      </c>
      <c r="M3359">
        <v>103.07</v>
      </c>
      <c r="N3359" s="11">
        <v>38</v>
      </c>
      <c r="O3359" s="12">
        <v>2.78</v>
      </c>
      <c r="P3359" s="12">
        <v>1.34</v>
      </c>
      <c r="Q3359" s="13">
        <v>-0.949999999999999</v>
      </c>
      <c r="R3359" s="36" t="s">
        <v>452</v>
      </c>
      <c r="S3359" s="7">
        <f t="shared" si="282"/>
        <v>2</v>
      </c>
      <c r="T3359" s="15" t="str">
        <f>VLOOKUP(R3359,产品分类!$C$2:$D$1278,2,0)</f>
        <v>家具产品</v>
      </c>
    </row>
    <row r="3360" spans="1:20">
      <c r="A3360" s="8">
        <f>DATE(2012,12,31)-560</f>
        <v>40714</v>
      </c>
      <c r="B3360" s="8">
        <f>DATE(2012,12,31)-560</f>
        <v>40714</v>
      </c>
      <c r="C3360" s="9" t="s">
        <v>948</v>
      </c>
      <c r="D3360">
        <v>10021405504</v>
      </c>
      <c r="E3360" t="s">
        <v>47</v>
      </c>
      <c r="F3360" t="s">
        <v>132</v>
      </c>
      <c r="G3360" t="s">
        <v>133</v>
      </c>
      <c r="H3360" t="s">
        <v>134</v>
      </c>
      <c r="I3360" t="s">
        <v>133</v>
      </c>
      <c r="J3360" t="s">
        <v>141</v>
      </c>
      <c r="K3360" s="3">
        <v>100431190844</v>
      </c>
      <c r="L3360" s="10">
        <v>40716</v>
      </c>
      <c r="M3360">
        <v>896.1805</v>
      </c>
      <c r="N3360" s="11">
        <v>15</v>
      </c>
      <c r="O3360" s="12">
        <v>65.99</v>
      </c>
      <c r="P3360" s="12">
        <v>5.26</v>
      </c>
      <c r="Q3360" s="13">
        <v>82.044</v>
      </c>
      <c r="R3360" s="36" t="s">
        <v>522</v>
      </c>
      <c r="S3360" s="7">
        <f t="shared" si="282"/>
        <v>2</v>
      </c>
      <c r="T3360" s="15" t="str">
        <f>VLOOKUP(R3360,产品分类!$C$2:$D$1278,2,0)</f>
        <v>家具产品</v>
      </c>
    </row>
    <row r="3361" spans="1:20">
      <c r="A3361" s="8">
        <f>DATE(2012,12,31)-167</f>
        <v>41107</v>
      </c>
      <c r="B3361" s="8">
        <f>DATE(2012,12,31)-167</f>
        <v>41107</v>
      </c>
      <c r="C3361" s="9" t="s">
        <v>1069</v>
      </c>
      <c r="D3361">
        <v>10021375150</v>
      </c>
      <c r="E3361" t="s">
        <v>47</v>
      </c>
      <c r="F3361" t="s">
        <v>102</v>
      </c>
      <c r="G3361" t="s">
        <v>103</v>
      </c>
      <c r="H3361" t="s">
        <v>2119</v>
      </c>
      <c r="I3361" t="s">
        <v>2120</v>
      </c>
      <c r="J3361" t="s">
        <v>141</v>
      </c>
      <c r="K3361" s="3">
        <v>100115476917</v>
      </c>
      <c r="L3361" s="10">
        <v>41109</v>
      </c>
      <c r="M3361">
        <v>199.16</v>
      </c>
      <c r="N3361" s="11">
        <v>5</v>
      </c>
      <c r="O3361" s="12">
        <v>40.98</v>
      </c>
      <c r="P3361" s="12">
        <v>1.99</v>
      </c>
      <c r="Q3361" s="13">
        <v>-64.87</v>
      </c>
      <c r="R3361" s="36" t="s">
        <v>541</v>
      </c>
      <c r="S3361" s="7">
        <f t="shared" si="282"/>
        <v>2</v>
      </c>
      <c r="T3361" s="15" t="str">
        <f>VLOOKUP(R3361,产品分类!$C$2:$D$1278,2,0)</f>
        <v>办公用品</v>
      </c>
    </row>
    <row r="3362" spans="1:20">
      <c r="A3362" s="8">
        <f>DATE(2012,12,31)-890</f>
        <v>40384</v>
      </c>
      <c r="B3362" s="8">
        <f>DATE(2012,12,31)-890</f>
        <v>40384</v>
      </c>
      <c r="C3362" s="9" t="s">
        <v>207</v>
      </c>
      <c r="D3362">
        <v>10021362631</v>
      </c>
      <c r="E3362" t="s">
        <v>47</v>
      </c>
      <c r="F3362" t="s">
        <v>127</v>
      </c>
      <c r="G3362" t="s">
        <v>128</v>
      </c>
      <c r="H3362" t="s">
        <v>1936</v>
      </c>
      <c r="I3362" t="s">
        <v>1937</v>
      </c>
      <c r="J3362" t="s">
        <v>141</v>
      </c>
      <c r="K3362" s="3">
        <v>100432796373</v>
      </c>
      <c r="L3362" s="10">
        <v>40387</v>
      </c>
      <c r="M3362">
        <v>6366.52</v>
      </c>
      <c r="N3362" s="11">
        <v>23</v>
      </c>
      <c r="O3362" s="12">
        <v>297.64</v>
      </c>
      <c r="P3362" s="12">
        <v>14.7</v>
      </c>
      <c r="Q3362" s="13">
        <v>935.800000000001</v>
      </c>
      <c r="R3362" s="36" t="s">
        <v>2064</v>
      </c>
      <c r="S3362" s="7">
        <f t="shared" si="282"/>
        <v>3</v>
      </c>
      <c r="T3362" s="15" t="str">
        <f>VLOOKUP(R3362,产品分类!$C$2:$D$1278,2,0)</f>
        <v>家具产品</v>
      </c>
    </row>
    <row r="3363" spans="1:20">
      <c r="A3363" s="8">
        <f>DATE(2012,12,31)-262</f>
        <v>41012</v>
      </c>
      <c r="B3363" s="8">
        <f>DATE(2012,12,31)-262</f>
        <v>41012</v>
      </c>
      <c r="C3363" s="9" t="s">
        <v>1407</v>
      </c>
      <c r="D3363">
        <v>10021553763</v>
      </c>
      <c r="E3363" t="s">
        <v>47</v>
      </c>
      <c r="F3363" t="s">
        <v>171</v>
      </c>
      <c r="G3363" t="s">
        <v>172</v>
      </c>
      <c r="H3363" t="s">
        <v>2073</v>
      </c>
      <c r="I3363" t="s">
        <v>2074</v>
      </c>
      <c r="J3363" t="s">
        <v>141</v>
      </c>
      <c r="K3363" s="3">
        <v>100132604456</v>
      </c>
      <c r="L3363" s="10">
        <v>41014</v>
      </c>
      <c r="M3363">
        <v>4278.61</v>
      </c>
      <c r="N3363" s="11">
        <v>30</v>
      </c>
      <c r="O3363" s="12">
        <v>150.98</v>
      </c>
      <c r="P3363" s="12">
        <v>66.27</v>
      </c>
      <c r="Q3363" s="13">
        <v>-955.56</v>
      </c>
      <c r="R3363" s="36" t="s">
        <v>1166</v>
      </c>
      <c r="S3363" s="7">
        <f t="shared" si="282"/>
        <v>2</v>
      </c>
      <c r="T3363" s="15" t="str">
        <f>VLOOKUP(R3363,产品分类!$C$2:$D$1278,2,0)</f>
        <v>办公用品</v>
      </c>
    </row>
    <row r="3364" spans="1:20">
      <c r="A3364" s="8">
        <f t="shared" ref="A3364:B3366" si="287">DATE(2012,12,31)-131</f>
        <v>41143</v>
      </c>
      <c r="B3364" s="8">
        <f t="shared" si="287"/>
        <v>41143</v>
      </c>
      <c r="C3364" s="9" t="s">
        <v>2115</v>
      </c>
      <c r="D3364">
        <v>10021456870</v>
      </c>
      <c r="E3364" t="s">
        <v>47</v>
      </c>
      <c r="F3364" t="s">
        <v>171</v>
      </c>
      <c r="G3364" t="s">
        <v>172</v>
      </c>
      <c r="H3364" t="s">
        <v>2073</v>
      </c>
      <c r="I3364" t="s">
        <v>2074</v>
      </c>
      <c r="J3364" t="s">
        <v>141</v>
      </c>
      <c r="K3364" s="3">
        <v>100731961055</v>
      </c>
      <c r="L3364" s="10">
        <v>41145</v>
      </c>
      <c r="M3364">
        <v>128.25</v>
      </c>
      <c r="N3364" s="11">
        <v>30</v>
      </c>
      <c r="O3364" s="12">
        <v>3.98</v>
      </c>
      <c r="P3364" s="12">
        <v>5.26</v>
      </c>
      <c r="Q3364" s="13">
        <v>-95.312</v>
      </c>
      <c r="R3364" s="36" t="s">
        <v>479</v>
      </c>
      <c r="S3364" s="7">
        <f t="shared" si="282"/>
        <v>2</v>
      </c>
      <c r="T3364" s="15" t="str">
        <f>VLOOKUP(R3364,产品分类!$C$2:$D$1278,2,0)</f>
        <v>办公用品</v>
      </c>
    </row>
    <row r="3365" spans="1:20">
      <c r="A3365" s="16">
        <f t="shared" si="287"/>
        <v>41143</v>
      </c>
      <c r="B3365" s="16">
        <f t="shared" si="287"/>
        <v>41143</v>
      </c>
      <c r="C3365" s="9" t="s">
        <v>2115</v>
      </c>
      <c r="D3365">
        <v>10021398058</v>
      </c>
      <c r="E3365" t="s">
        <v>47</v>
      </c>
      <c r="F3365" t="s">
        <v>171</v>
      </c>
      <c r="G3365" t="s">
        <v>172</v>
      </c>
      <c r="H3365" t="s">
        <v>2073</v>
      </c>
      <c r="I3365" t="s">
        <v>2074</v>
      </c>
      <c r="J3365" t="s">
        <v>141</v>
      </c>
      <c r="K3365" s="3">
        <v>100110932528</v>
      </c>
      <c r="L3365" s="10">
        <v>41144</v>
      </c>
      <c r="M3365">
        <v>120.56</v>
      </c>
      <c r="N3365" s="17">
        <v>19</v>
      </c>
      <c r="O3365" s="5">
        <v>5.98</v>
      </c>
      <c r="P3365" s="5">
        <v>7.5</v>
      </c>
      <c r="Q3365" s="6">
        <v>-79.35</v>
      </c>
      <c r="R3365" s="37" t="s">
        <v>1903</v>
      </c>
      <c r="S3365" s="7">
        <f t="shared" si="282"/>
        <v>1</v>
      </c>
      <c r="T3365" s="15" t="str">
        <f>VLOOKUP(R3365,产品分类!$C$2:$D$1278,2,0)</f>
        <v>家具产品</v>
      </c>
    </row>
    <row r="3366" spans="1:20">
      <c r="A3366" s="8">
        <f t="shared" si="287"/>
        <v>41143</v>
      </c>
      <c r="B3366" s="8">
        <f t="shared" si="287"/>
        <v>41143</v>
      </c>
      <c r="C3366" s="9" t="s">
        <v>2115</v>
      </c>
      <c r="D3366">
        <v>10021274531</v>
      </c>
      <c r="E3366" t="s">
        <v>47</v>
      </c>
      <c r="F3366" t="s">
        <v>342</v>
      </c>
      <c r="G3366" t="s">
        <v>343</v>
      </c>
      <c r="H3366" t="s">
        <v>2090</v>
      </c>
      <c r="I3366" t="s">
        <v>2091</v>
      </c>
      <c r="J3366" t="s">
        <v>141</v>
      </c>
      <c r="K3366" s="3">
        <v>100932246571</v>
      </c>
      <c r="L3366" s="10">
        <v>41144</v>
      </c>
      <c r="M3366">
        <v>2640.6865</v>
      </c>
      <c r="N3366" s="11">
        <v>46</v>
      </c>
      <c r="O3366" s="12">
        <v>65.99</v>
      </c>
      <c r="P3366" s="12">
        <v>5.92</v>
      </c>
      <c r="Q3366" s="13">
        <v>751.383</v>
      </c>
      <c r="R3366" s="36" t="s">
        <v>1189</v>
      </c>
      <c r="S3366" s="7">
        <f t="shared" si="282"/>
        <v>1</v>
      </c>
      <c r="T3366" s="15" t="str">
        <f>VLOOKUP(R3366,产品分类!$C$2:$D$1278,2,0)</f>
        <v>家具产品</v>
      </c>
    </row>
    <row r="3367" spans="1:20">
      <c r="A3367" s="8">
        <f>DATE(2012,12,31)-899</f>
        <v>40375</v>
      </c>
      <c r="B3367" s="8">
        <f>DATE(2012,12,31)-899</f>
        <v>40375</v>
      </c>
      <c r="C3367" s="9" t="s">
        <v>1321</v>
      </c>
      <c r="D3367">
        <v>10021359688</v>
      </c>
      <c r="E3367" t="s">
        <v>47</v>
      </c>
      <c r="F3367" t="s">
        <v>342</v>
      </c>
      <c r="G3367" t="s">
        <v>343</v>
      </c>
      <c r="H3367" t="s">
        <v>2090</v>
      </c>
      <c r="I3367" t="s">
        <v>2091</v>
      </c>
      <c r="J3367" t="s">
        <v>141</v>
      </c>
      <c r="K3367" s="3">
        <v>100732372445</v>
      </c>
      <c r="L3367" s="10">
        <v>40382</v>
      </c>
      <c r="M3367">
        <v>7981.2</v>
      </c>
      <c r="N3367" s="11">
        <v>21</v>
      </c>
      <c r="O3367" s="12">
        <v>376.13</v>
      </c>
      <c r="P3367" s="12">
        <v>85.63</v>
      </c>
      <c r="Q3367" s="13">
        <v>-592.5205</v>
      </c>
      <c r="R3367" s="36" t="s">
        <v>1213</v>
      </c>
      <c r="S3367" s="7">
        <f t="shared" si="282"/>
        <v>7</v>
      </c>
      <c r="T3367" s="15" t="str">
        <f>VLOOKUP(R3367,产品分类!$C$2:$D$1278,2,0)</f>
        <v>办公用品</v>
      </c>
    </row>
    <row r="3368" spans="1:20">
      <c r="A3368" s="8">
        <f t="shared" ref="A3368:B3370" si="288">DATE(2012,12,31)-657</f>
        <v>40617</v>
      </c>
      <c r="B3368" s="8">
        <f t="shared" si="288"/>
        <v>40617</v>
      </c>
      <c r="C3368" s="9" t="s">
        <v>197</v>
      </c>
      <c r="D3368">
        <v>10021274194</v>
      </c>
      <c r="E3368" t="s">
        <v>47</v>
      </c>
      <c r="F3368" t="s">
        <v>61</v>
      </c>
      <c r="G3368" t="s">
        <v>62</v>
      </c>
      <c r="H3368" t="s">
        <v>47</v>
      </c>
      <c r="I3368" t="s">
        <v>1778</v>
      </c>
      <c r="J3368" t="s">
        <v>141</v>
      </c>
      <c r="K3368" s="3">
        <v>100832077812</v>
      </c>
      <c r="L3368" s="10">
        <v>40618</v>
      </c>
      <c r="M3368">
        <v>170.42</v>
      </c>
      <c r="N3368" s="11">
        <v>36</v>
      </c>
      <c r="O3368" s="12">
        <v>4.91</v>
      </c>
      <c r="P3368" s="12">
        <v>4.97</v>
      </c>
      <c r="Q3368" s="13">
        <v>-98.3135</v>
      </c>
      <c r="R3368" s="36" t="s">
        <v>2133</v>
      </c>
      <c r="S3368" s="7">
        <f t="shared" si="282"/>
        <v>1</v>
      </c>
      <c r="T3368" s="15" t="str">
        <f>VLOOKUP(R3368,产品分类!$C$2:$D$1278,2,0)</f>
        <v>数码电子</v>
      </c>
    </row>
    <row r="3369" spans="1:20">
      <c r="A3369" s="8">
        <f t="shared" si="288"/>
        <v>40617</v>
      </c>
      <c r="B3369" s="8">
        <f t="shared" si="288"/>
        <v>40617</v>
      </c>
      <c r="C3369" s="9" t="s">
        <v>197</v>
      </c>
      <c r="D3369">
        <v>10021515442</v>
      </c>
      <c r="E3369" t="s">
        <v>47</v>
      </c>
      <c r="F3369" t="s">
        <v>152</v>
      </c>
      <c r="G3369" t="s">
        <v>153</v>
      </c>
      <c r="H3369" t="s">
        <v>2137</v>
      </c>
      <c r="I3369" t="s">
        <v>2138</v>
      </c>
      <c r="J3369" t="s">
        <v>141</v>
      </c>
      <c r="K3369" s="3">
        <v>100426188924</v>
      </c>
      <c r="L3369" s="10">
        <v>40618</v>
      </c>
      <c r="M3369">
        <v>431.29</v>
      </c>
      <c r="N3369" s="11">
        <v>3</v>
      </c>
      <c r="O3369" s="12">
        <v>140.81</v>
      </c>
      <c r="P3369" s="12">
        <v>24.49</v>
      </c>
      <c r="Q3369" s="13">
        <v>-164.59</v>
      </c>
      <c r="R3369" s="36" t="s">
        <v>1469</v>
      </c>
      <c r="S3369" s="7">
        <f t="shared" si="282"/>
        <v>1</v>
      </c>
      <c r="T3369" s="15" t="str">
        <f>VLOOKUP(R3369,产品分类!$C$2:$D$1278,2,0)</f>
        <v>办公用品</v>
      </c>
    </row>
    <row r="3370" spans="1:20">
      <c r="A3370" s="8">
        <f t="shared" si="288"/>
        <v>40617</v>
      </c>
      <c r="B3370" s="8">
        <f t="shared" si="288"/>
        <v>40617</v>
      </c>
      <c r="C3370" s="9" t="s">
        <v>197</v>
      </c>
      <c r="D3370">
        <v>10021409889</v>
      </c>
      <c r="E3370" t="s">
        <v>47</v>
      </c>
      <c r="F3370" t="s">
        <v>61</v>
      </c>
      <c r="G3370" t="s">
        <v>62</v>
      </c>
      <c r="H3370" t="s">
        <v>47</v>
      </c>
      <c r="I3370" t="s">
        <v>1778</v>
      </c>
      <c r="J3370" t="s">
        <v>141</v>
      </c>
      <c r="K3370" s="3">
        <v>100432202993</v>
      </c>
      <c r="L3370" s="10">
        <v>40618</v>
      </c>
      <c r="M3370">
        <v>294.26</v>
      </c>
      <c r="N3370" s="11">
        <v>48</v>
      </c>
      <c r="O3370" s="12">
        <v>5.58</v>
      </c>
      <c r="P3370" s="12">
        <v>0.7</v>
      </c>
      <c r="Q3370" s="13">
        <v>88.8</v>
      </c>
      <c r="R3370" s="36" t="s">
        <v>170</v>
      </c>
      <c r="S3370" s="7">
        <f t="shared" si="282"/>
        <v>1</v>
      </c>
      <c r="T3370" s="15" t="str">
        <f>VLOOKUP(R3370,产品分类!$C$2:$D$1278,2,0)</f>
        <v>数码电子</v>
      </c>
    </row>
    <row r="3371" spans="1:20">
      <c r="A3371" s="8">
        <f t="shared" ref="A3371:B3373" si="289">DATE(2012,12,31)-880</f>
        <v>40394</v>
      </c>
      <c r="B3371" s="8">
        <f t="shared" si="289"/>
        <v>40394</v>
      </c>
      <c r="C3371" s="9" t="s">
        <v>848</v>
      </c>
      <c r="D3371">
        <v>10021599604</v>
      </c>
      <c r="E3371" t="s">
        <v>47</v>
      </c>
      <c r="F3371" t="s">
        <v>61</v>
      </c>
      <c r="G3371" t="s">
        <v>62</v>
      </c>
      <c r="H3371" t="s">
        <v>47</v>
      </c>
      <c r="I3371" t="s">
        <v>1778</v>
      </c>
      <c r="J3371" t="s">
        <v>141</v>
      </c>
      <c r="K3371" s="3">
        <v>10079493645</v>
      </c>
      <c r="L3371" s="10">
        <v>40394</v>
      </c>
      <c r="M3371">
        <v>17.19</v>
      </c>
      <c r="N3371" s="11">
        <v>1</v>
      </c>
      <c r="O3371" s="12">
        <v>14.48</v>
      </c>
      <c r="P3371" s="12">
        <v>1.99</v>
      </c>
      <c r="Q3371" s="13">
        <v>-35.34</v>
      </c>
      <c r="R3371" s="36" t="s">
        <v>696</v>
      </c>
      <c r="S3371" s="7">
        <f t="shared" si="282"/>
        <v>0</v>
      </c>
      <c r="T3371" s="15" t="str">
        <f>VLOOKUP(R3371,产品分类!$C$2:$D$1278,2,0)</f>
        <v>办公用品</v>
      </c>
    </row>
    <row r="3372" spans="1:20">
      <c r="A3372" s="8">
        <f t="shared" si="289"/>
        <v>40394</v>
      </c>
      <c r="B3372" s="8">
        <f t="shared" si="289"/>
        <v>40394</v>
      </c>
      <c r="C3372" s="9" t="s">
        <v>848</v>
      </c>
      <c r="D3372">
        <v>10021327817</v>
      </c>
      <c r="E3372" t="s">
        <v>47</v>
      </c>
      <c r="F3372" t="s">
        <v>253</v>
      </c>
      <c r="G3372" t="s">
        <v>254</v>
      </c>
      <c r="H3372" t="s">
        <v>1998</v>
      </c>
      <c r="I3372" t="s">
        <v>1999</v>
      </c>
      <c r="J3372" t="s">
        <v>141</v>
      </c>
      <c r="K3372" s="3">
        <v>100926193811</v>
      </c>
      <c r="L3372" s="10">
        <v>40396</v>
      </c>
      <c r="M3372">
        <v>2689.48</v>
      </c>
      <c r="N3372" s="11">
        <v>27</v>
      </c>
      <c r="O3372" s="12">
        <v>99.99</v>
      </c>
      <c r="P3372" s="12">
        <v>19.99</v>
      </c>
      <c r="Q3372" s="13">
        <v>399.93</v>
      </c>
      <c r="R3372" s="36" t="s">
        <v>1902</v>
      </c>
      <c r="S3372" s="7">
        <f t="shared" si="282"/>
        <v>2</v>
      </c>
      <c r="T3372" s="15" t="str">
        <f>VLOOKUP(R3372,产品分类!$C$2:$D$1278,2,0)</f>
        <v>办公用品</v>
      </c>
    </row>
    <row r="3373" spans="1:20">
      <c r="A3373" s="8">
        <f t="shared" si="289"/>
        <v>40394</v>
      </c>
      <c r="B3373" s="8">
        <f t="shared" si="289"/>
        <v>40394</v>
      </c>
      <c r="C3373" s="9" t="s">
        <v>848</v>
      </c>
      <c r="D3373">
        <v>10021440325</v>
      </c>
      <c r="E3373" t="s">
        <v>47</v>
      </c>
      <c r="F3373" t="s">
        <v>61</v>
      </c>
      <c r="G3373" t="s">
        <v>62</v>
      </c>
      <c r="H3373" t="s">
        <v>47</v>
      </c>
      <c r="I3373" t="s">
        <v>1778</v>
      </c>
      <c r="J3373" t="s">
        <v>141</v>
      </c>
      <c r="K3373" s="3">
        <v>10037372119</v>
      </c>
      <c r="L3373" s="10">
        <v>40396</v>
      </c>
      <c r="M3373">
        <v>15.31</v>
      </c>
      <c r="N3373" s="11">
        <v>2</v>
      </c>
      <c r="O3373" s="12">
        <v>4.98</v>
      </c>
      <c r="P3373" s="12">
        <v>4.86</v>
      </c>
      <c r="Q3373" s="13">
        <v>-8.15</v>
      </c>
      <c r="R3373" s="36" t="s">
        <v>251</v>
      </c>
      <c r="S3373" s="7">
        <f t="shared" si="282"/>
        <v>2</v>
      </c>
      <c r="T3373" s="15" t="str">
        <f>VLOOKUP(R3373,产品分类!$C$2:$D$1278,2,0)</f>
        <v>办公用品</v>
      </c>
    </row>
    <row r="3374" spans="1:20">
      <c r="A3374" s="16">
        <f t="shared" ref="A3374:B3376" si="290">DATE(2012,12,31)-258</f>
        <v>41016</v>
      </c>
      <c r="B3374" s="16">
        <f t="shared" si="290"/>
        <v>41016</v>
      </c>
      <c r="C3374" s="9" t="s">
        <v>1930</v>
      </c>
      <c r="D3374">
        <v>10021491488</v>
      </c>
      <c r="E3374" t="s">
        <v>47</v>
      </c>
      <c r="F3374" t="s">
        <v>61</v>
      </c>
      <c r="G3374" t="s">
        <v>62</v>
      </c>
      <c r="H3374" t="s">
        <v>47</v>
      </c>
      <c r="I3374" t="s">
        <v>1778</v>
      </c>
      <c r="J3374" t="s">
        <v>141</v>
      </c>
      <c r="K3374" s="3">
        <v>100110891876</v>
      </c>
      <c r="L3374" s="10">
        <v>41017</v>
      </c>
      <c r="M3374">
        <v>199.58</v>
      </c>
      <c r="N3374" s="17">
        <v>42</v>
      </c>
      <c r="O3374" s="5">
        <v>4.82</v>
      </c>
      <c r="P3374" s="5">
        <v>1.49</v>
      </c>
      <c r="Q3374" s="6">
        <v>46.308</v>
      </c>
      <c r="R3374" s="37" t="s">
        <v>1891</v>
      </c>
      <c r="S3374" s="7">
        <f t="shared" si="282"/>
        <v>1</v>
      </c>
      <c r="T3374" s="15" t="str">
        <f>VLOOKUP(R3374,产品分类!$C$2:$D$1278,2,0)</f>
        <v>办公用品</v>
      </c>
    </row>
    <row r="3375" spans="1:20">
      <c r="A3375" s="16">
        <f t="shared" si="290"/>
        <v>41016</v>
      </c>
      <c r="B3375" s="16">
        <f t="shared" si="290"/>
        <v>41016</v>
      </c>
      <c r="C3375" s="9" t="s">
        <v>1930</v>
      </c>
      <c r="D3375">
        <v>10021397786</v>
      </c>
      <c r="E3375" t="s">
        <v>47</v>
      </c>
      <c r="F3375" t="s">
        <v>61</v>
      </c>
      <c r="G3375" t="s">
        <v>62</v>
      </c>
      <c r="H3375" t="s">
        <v>2180</v>
      </c>
      <c r="I3375" t="s">
        <v>2181</v>
      </c>
      <c r="J3375" t="s">
        <v>141</v>
      </c>
      <c r="K3375" s="3">
        <v>100132082096</v>
      </c>
      <c r="L3375" s="10">
        <v>41018</v>
      </c>
      <c r="M3375">
        <v>80.59</v>
      </c>
      <c r="N3375" s="17">
        <v>10</v>
      </c>
      <c r="O3375" s="5">
        <v>7.64</v>
      </c>
      <c r="P3375" s="5">
        <v>5.83</v>
      </c>
      <c r="Q3375" s="6">
        <v>-20.49</v>
      </c>
      <c r="R3375" s="37" t="s">
        <v>202</v>
      </c>
      <c r="S3375" s="7">
        <f t="shared" si="282"/>
        <v>2</v>
      </c>
      <c r="T3375" s="15" t="str">
        <f>VLOOKUP(R3375,产品分类!$C$2:$D$1278,2,0)</f>
        <v>办公用品</v>
      </c>
    </row>
    <row r="3376" spans="1:20">
      <c r="A3376" s="8">
        <f t="shared" si="290"/>
        <v>41016</v>
      </c>
      <c r="B3376" s="8">
        <f t="shared" si="290"/>
        <v>41016</v>
      </c>
      <c r="C3376" s="9" t="s">
        <v>1930</v>
      </c>
      <c r="D3376">
        <v>10021478726</v>
      </c>
      <c r="E3376" t="s">
        <v>47</v>
      </c>
      <c r="F3376" t="s">
        <v>61</v>
      </c>
      <c r="G3376" t="s">
        <v>62</v>
      </c>
      <c r="H3376" t="s">
        <v>2180</v>
      </c>
      <c r="I3376" t="s">
        <v>2181</v>
      </c>
      <c r="J3376" t="s">
        <v>141</v>
      </c>
      <c r="K3376" s="3">
        <v>10019980707</v>
      </c>
      <c r="L3376" s="10">
        <v>41017</v>
      </c>
      <c r="M3376">
        <v>4158.0725</v>
      </c>
      <c r="N3376" s="11">
        <v>32</v>
      </c>
      <c r="O3376" s="12">
        <v>155.99</v>
      </c>
      <c r="P3376" s="12">
        <v>8.99</v>
      </c>
      <c r="Q3376" s="13">
        <v>836.145</v>
      </c>
      <c r="R3376" s="36" t="s">
        <v>469</v>
      </c>
      <c r="S3376" s="7">
        <f t="shared" si="282"/>
        <v>1</v>
      </c>
      <c r="T3376" s="15" t="str">
        <f>VLOOKUP(R3376,产品分类!$C$2:$D$1278,2,0)</f>
        <v>办公用品</v>
      </c>
    </row>
    <row r="3377" spans="1:20">
      <c r="A3377" s="8">
        <f>DATE(2012,12,31)-591</f>
        <v>40683</v>
      </c>
      <c r="B3377" s="8">
        <f>DATE(2012,12,31)-591</f>
        <v>40683</v>
      </c>
      <c r="C3377" s="9" t="s">
        <v>1041</v>
      </c>
      <c r="D3377">
        <v>10021518792</v>
      </c>
      <c r="E3377" t="s">
        <v>47</v>
      </c>
      <c r="F3377" t="s">
        <v>61</v>
      </c>
      <c r="G3377" t="s">
        <v>62</v>
      </c>
      <c r="H3377" t="s">
        <v>2180</v>
      </c>
      <c r="I3377" t="s">
        <v>2181</v>
      </c>
      <c r="J3377" t="s">
        <v>141</v>
      </c>
      <c r="K3377" s="3">
        <v>100412494893</v>
      </c>
      <c r="L3377" s="10">
        <v>40684</v>
      </c>
      <c r="M3377">
        <v>205.24</v>
      </c>
      <c r="N3377" s="11">
        <v>6</v>
      </c>
      <c r="O3377" s="12">
        <v>30.98</v>
      </c>
      <c r="P3377" s="12">
        <v>6.5</v>
      </c>
      <c r="Q3377" s="13">
        <v>-135.51</v>
      </c>
      <c r="R3377" s="36" t="s">
        <v>1418</v>
      </c>
      <c r="S3377" s="7">
        <f t="shared" si="282"/>
        <v>1</v>
      </c>
      <c r="T3377" s="15" t="str">
        <f>VLOOKUP(R3377,产品分类!$C$2:$D$1278,2,0)</f>
        <v>家具产品</v>
      </c>
    </row>
    <row r="3378" spans="1:20">
      <c r="A3378" s="8">
        <f>DATE(2012,12,31)-591</f>
        <v>40683</v>
      </c>
      <c r="B3378" s="8">
        <f>DATE(2012,12,31)-591</f>
        <v>40683</v>
      </c>
      <c r="C3378" s="9" t="s">
        <v>1041</v>
      </c>
      <c r="D3378">
        <v>10021520288</v>
      </c>
      <c r="E3378" t="s">
        <v>47</v>
      </c>
      <c r="F3378" t="s">
        <v>72</v>
      </c>
      <c r="G3378" t="s">
        <v>73</v>
      </c>
      <c r="H3378" t="s">
        <v>2008</v>
      </c>
      <c r="I3378" t="s">
        <v>2009</v>
      </c>
      <c r="J3378" t="s">
        <v>141</v>
      </c>
      <c r="K3378" s="3">
        <v>100932937961</v>
      </c>
      <c r="L3378" s="10">
        <v>40684</v>
      </c>
      <c r="M3378">
        <v>825.82</v>
      </c>
      <c r="N3378" s="11">
        <v>36</v>
      </c>
      <c r="O3378" s="12">
        <v>20.34</v>
      </c>
      <c r="P3378" s="12">
        <v>35</v>
      </c>
      <c r="Q3378" s="13">
        <v>-1049.26</v>
      </c>
      <c r="R3378" s="36" t="s">
        <v>1783</v>
      </c>
      <c r="S3378" s="7">
        <f t="shared" si="282"/>
        <v>1</v>
      </c>
      <c r="T3378" s="15" t="str">
        <f>VLOOKUP(R3378,产品分类!$C$2:$D$1278,2,0)</f>
        <v>办公用品</v>
      </c>
    </row>
    <row r="3379" spans="1:20">
      <c r="A3379" s="8">
        <f>DATE(2012,12,31)-762</f>
        <v>40512</v>
      </c>
      <c r="B3379" s="8">
        <f>DATE(2012,12,31)-762</f>
        <v>40512</v>
      </c>
      <c r="C3379" s="9" t="s">
        <v>1429</v>
      </c>
      <c r="D3379">
        <v>10021562734</v>
      </c>
      <c r="E3379" t="s">
        <v>47</v>
      </c>
      <c r="F3379" t="s">
        <v>91</v>
      </c>
      <c r="G3379" t="s">
        <v>92</v>
      </c>
      <c r="H3379" t="s">
        <v>2053</v>
      </c>
      <c r="I3379" t="s">
        <v>2054</v>
      </c>
      <c r="J3379" t="s">
        <v>141</v>
      </c>
      <c r="K3379" s="3">
        <v>100132324817</v>
      </c>
      <c r="L3379" s="10">
        <v>40513</v>
      </c>
      <c r="M3379">
        <v>1844.26</v>
      </c>
      <c r="N3379" s="11">
        <v>50</v>
      </c>
      <c r="O3379" s="12">
        <v>37.76</v>
      </c>
      <c r="P3379" s="12">
        <v>12.9</v>
      </c>
      <c r="Q3379" s="13">
        <v>47.58</v>
      </c>
      <c r="R3379" s="36" t="s">
        <v>1506</v>
      </c>
      <c r="S3379" s="7">
        <f t="shared" si="282"/>
        <v>1</v>
      </c>
      <c r="T3379" s="15" t="str">
        <f>VLOOKUP(R3379,产品分类!$C$2:$D$1278,2,0)</f>
        <v>办公用品</v>
      </c>
    </row>
    <row r="3380" spans="1:20">
      <c r="A3380" s="8">
        <f>DATE(2012,12,31)-769</f>
        <v>40505</v>
      </c>
      <c r="B3380" s="8">
        <f>DATE(2012,12,31)-769</f>
        <v>40505</v>
      </c>
      <c r="C3380" s="9" t="s">
        <v>748</v>
      </c>
      <c r="D3380">
        <v>10021409436</v>
      </c>
      <c r="E3380" t="s">
        <v>47</v>
      </c>
      <c r="F3380" t="s">
        <v>171</v>
      </c>
      <c r="G3380" t="s">
        <v>172</v>
      </c>
      <c r="H3380" t="s">
        <v>2073</v>
      </c>
      <c r="I3380" t="s">
        <v>2074</v>
      </c>
      <c r="J3380" t="s">
        <v>141</v>
      </c>
      <c r="K3380" s="3">
        <v>100431546254</v>
      </c>
      <c r="L3380" s="10">
        <v>40507</v>
      </c>
      <c r="M3380">
        <v>270.63</v>
      </c>
      <c r="N3380" s="11">
        <v>13</v>
      </c>
      <c r="O3380" s="12">
        <v>21.98</v>
      </c>
      <c r="P3380" s="12">
        <v>8.32</v>
      </c>
      <c r="Q3380" s="13">
        <v>7.07</v>
      </c>
      <c r="R3380" s="36" t="s">
        <v>2114</v>
      </c>
      <c r="S3380" s="7">
        <f t="shared" si="282"/>
        <v>2</v>
      </c>
      <c r="T3380" s="15" t="str">
        <f>VLOOKUP(R3380,产品分类!$C$2:$D$1278,2,0)</f>
        <v>办公用品</v>
      </c>
    </row>
    <row r="3381" spans="1:20">
      <c r="A3381" s="8">
        <f>DATE(2012,12,31)-769</f>
        <v>40505</v>
      </c>
      <c r="B3381" s="8">
        <f>DATE(2012,12,31)-769</f>
        <v>40505</v>
      </c>
      <c r="C3381" s="9" t="s">
        <v>748</v>
      </c>
      <c r="D3381">
        <v>10021401588</v>
      </c>
      <c r="E3381" t="s">
        <v>47</v>
      </c>
      <c r="F3381" t="s">
        <v>61</v>
      </c>
      <c r="G3381" t="s">
        <v>62</v>
      </c>
      <c r="H3381" t="s">
        <v>2180</v>
      </c>
      <c r="I3381" t="s">
        <v>2181</v>
      </c>
      <c r="J3381" t="s">
        <v>141</v>
      </c>
      <c r="K3381" s="3">
        <v>100315587059</v>
      </c>
      <c r="L3381" s="10">
        <v>40507</v>
      </c>
      <c r="M3381">
        <v>6583.913</v>
      </c>
      <c r="N3381" s="11">
        <v>43</v>
      </c>
      <c r="O3381" s="12">
        <v>195.99</v>
      </c>
      <c r="P3381" s="12">
        <v>3.99</v>
      </c>
      <c r="Q3381" s="13">
        <v>1459.791</v>
      </c>
      <c r="R3381" s="36" t="s">
        <v>2168</v>
      </c>
      <c r="S3381" s="7">
        <f t="shared" si="282"/>
        <v>2</v>
      </c>
      <c r="T3381" s="15" t="str">
        <f>VLOOKUP(R3381,产品分类!$C$2:$D$1278,2,0)</f>
        <v>办公用品</v>
      </c>
    </row>
    <row r="3382" spans="1:20">
      <c r="A3382" s="8">
        <f t="shared" ref="A3382:B3387" si="291">DATE(2012,12,31)-1274</f>
        <v>40000</v>
      </c>
      <c r="B3382" s="8">
        <f t="shared" si="291"/>
        <v>40000</v>
      </c>
      <c r="C3382" s="9" t="s">
        <v>464</v>
      </c>
      <c r="D3382">
        <v>10021580158</v>
      </c>
      <c r="E3382" t="s">
        <v>47</v>
      </c>
      <c r="F3382" t="s">
        <v>66</v>
      </c>
      <c r="G3382" t="s">
        <v>67</v>
      </c>
      <c r="H3382" t="s">
        <v>2169</v>
      </c>
      <c r="I3382" t="s">
        <v>2170</v>
      </c>
      <c r="J3382" t="s">
        <v>141</v>
      </c>
      <c r="K3382" s="3">
        <v>100321964819</v>
      </c>
      <c r="L3382" s="10">
        <v>40005</v>
      </c>
      <c r="M3382">
        <v>31.01</v>
      </c>
      <c r="N3382" s="11">
        <v>4</v>
      </c>
      <c r="O3382" s="12">
        <v>6.75</v>
      </c>
      <c r="P3382" s="12">
        <v>2.99</v>
      </c>
      <c r="Q3382" s="13">
        <v>-4.485</v>
      </c>
      <c r="R3382" s="36" t="s">
        <v>1532</v>
      </c>
      <c r="S3382" s="7">
        <f t="shared" si="282"/>
        <v>5</v>
      </c>
      <c r="T3382" s="15" t="str">
        <f>VLOOKUP(R3382,产品分类!$C$2:$D$1278,2,0)</f>
        <v>办公用品</v>
      </c>
    </row>
    <row r="3383" spans="1:20">
      <c r="A3383" s="8">
        <f t="shared" si="291"/>
        <v>40000</v>
      </c>
      <c r="B3383" s="8">
        <f t="shared" si="291"/>
        <v>40000</v>
      </c>
      <c r="C3383" s="9" t="s">
        <v>464</v>
      </c>
      <c r="D3383">
        <v>10021503413</v>
      </c>
      <c r="E3383" t="s">
        <v>47</v>
      </c>
      <c r="F3383" t="s">
        <v>66</v>
      </c>
      <c r="G3383" t="s">
        <v>67</v>
      </c>
      <c r="H3383" t="s">
        <v>2169</v>
      </c>
      <c r="I3383" t="s">
        <v>2170</v>
      </c>
      <c r="J3383" t="s">
        <v>141</v>
      </c>
      <c r="K3383" s="3">
        <v>100429639263</v>
      </c>
      <c r="L3383" s="10">
        <v>40000</v>
      </c>
      <c r="M3383">
        <v>331.83</v>
      </c>
      <c r="N3383" s="11">
        <v>46</v>
      </c>
      <c r="O3383" s="12">
        <v>7.1</v>
      </c>
      <c r="P3383" s="12">
        <v>6.05</v>
      </c>
      <c r="Q3383" s="13">
        <v>-101.246</v>
      </c>
      <c r="R3383" s="36" t="s">
        <v>958</v>
      </c>
      <c r="S3383" s="7">
        <f t="shared" si="282"/>
        <v>0</v>
      </c>
      <c r="T3383" s="15" t="str">
        <f>VLOOKUP(R3383,产品分类!$C$2:$D$1278,2,0)</f>
        <v>办公用品</v>
      </c>
    </row>
    <row r="3384" spans="1:20">
      <c r="A3384" s="8">
        <f t="shared" si="291"/>
        <v>40000</v>
      </c>
      <c r="B3384" s="8">
        <f t="shared" si="291"/>
        <v>40000</v>
      </c>
      <c r="C3384" s="9" t="s">
        <v>464</v>
      </c>
      <c r="D3384">
        <v>10021451602</v>
      </c>
      <c r="E3384" t="s">
        <v>47</v>
      </c>
      <c r="F3384" t="s">
        <v>132</v>
      </c>
      <c r="G3384" t="s">
        <v>133</v>
      </c>
      <c r="H3384" t="s">
        <v>134</v>
      </c>
      <c r="I3384" t="s">
        <v>133</v>
      </c>
      <c r="J3384" t="s">
        <v>141</v>
      </c>
      <c r="K3384" s="3">
        <v>100930602531</v>
      </c>
      <c r="L3384" s="10">
        <v>40005</v>
      </c>
      <c r="M3384">
        <v>446.46</v>
      </c>
      <c r="N3384" s="11">
        <v>22</v>
      </c>
      <c r="O3384" s="12">
        <v>20.95</v>
      </c>
      <c r="P3384" s="12">
        <v>4</v>
      </c>
      <c r="Q3384" s="13">
        <v>-1.88</v>
      </c>
      <c r="R3384" s="36" t="s">
        <v>1324</v>
      </c>
      <c r="S3384" s="7">
        <f t="shared" si="282"/>
        <v>5</v>
      </c>
      <c r="T3384" s="15" t="str">
        <f>VLOOKUP(R3384,产品分类!$C$2:$D$1278,2,0)</f>
        <v>家具产品</v>
      </c>
    </row>
    <row r="3385" spans="1:20">
      <c r="A3385" s="8">
        <f t="shared" si="291"/>
        <v>40000</v>
      </c>
      <c r="B3385" s="8">
        <f t="shared" si="291"/>
        <v>40000</v>
      </c>
      <c r="C3385" s="9" t="s">
        <v>464</v>
      </c>
      <c r="D3385">
        <v>10021588330</v>
      </c>
      <c r="E3385" t="s">
        <v>47</v>
      </c>
      <c r="F3385" t="s">
        <v>152</v>
      </c>
      <c r="G3385" t="s">
        <v>153</v>
      </c>
      <c r="H3385" t="s">
        <v>2137</v>
      </c>
      <c r="I3385" t="s">
        <v>2138</v>
      </c>
      <c r="J3385" t="s">
        <v>141</v>
      </c>
      <c r="K3385" s="3">
        <v>100830445752</v>
      </c>
      <c r="L3385" s="10">
        <v>40007</v>
      </c>
      <c r="M3385">
        <v>1252.89</v>
      </c>
      <c r="N3385" s="11">
        <v>31</v>
      </c>
      <c r="O3385" s="12">
        <v>39.06</v>
      </c>
      <c r="P3385" s="12">
        <v>10.55</v>
      </c>
      <c r="Q3385" s="13">
        <v>339.745</v>
      </c>
      <c r="R3385" s="36" t="s">
        <v>1244</v>
      </c>
      <c r="S3385" s="7">
        <f t="shared" si="282"/>
        <v>7</v>
      </c>
      <c r="T3385" s="15" t="str">
        <f>VLOOKUP(R3385,产品分类!$C$2:$D$1278,2,0)</f>
        <v>办公用品</v>
      </c>
    </row>
    <row r="3386" spans="1:20">
      <c r="A3386" s="8">
        <f t="shared" si="291"/>
        <v>40000</v>
      </c>
      <c r="B3386" s="8">
        <f t="shared" si="291"/>
        <v>40000</v>
      </c>
      <c r="C3386" s="9" t="s">
        <v>464</v>
      </c>
      <c r="D3386">
        <v>10021253281</v>
      </c>
      <c r="E3386" t="s">
        <v>47</v>
      </c>
      <c r="F3386" t="s">
        <v>66</v>
      </c>
      <c r="G3386" t="s">
        <v>67</v>
      </c>
      <c r="H3386" t="s">
        <v>2169</v>
      </c>
      <c r="I3386" t="s">
        <v>2170</v>
      </c>
      <c r="J3386" t="s">
        <v>141</v>
      </c>
      <c r="K3386" s="3">
        <v>100118299506</v>
      </c>
      <c r="L3386" s="10">
        <v>40009</v>
      </c>
      <c r="M3386">
        <v>47.79</v>
      </c>
      <c r="N3386" s="11">
        <v>12</v>
      </c>
      <c r="O3386" s="12">
        <v>3.52</v>
      </c>
      <c r="P3386" s="12">
        <v>6.83</v>
      </c>
      <c r="Q3386" s="13">
        <v>-57.753</v>
      </c>
      <c r="R3386" s="36" t="s">
        <v>1969</v>
      </c>
      <c r="S3386" s="7">
        <f t="shared" si="282"/>
        <v>9</v>
      </c>
      <c r="T3386" s="15" t="str">
        <f>VLOOKUP(R3386,产品分类!$C$2:$D$1278,2,0)</f>
        <v>办公用品</v>
      </c>
    </row>
    <row r="3387" spans="1:20">
      <c r="A3387" s="8">
        <f t="shared" si="291"/>
        <v>40000</v>
      </c>
      <c r="B3387" s="8">
        <f t="shared" si="291"/>
        <v>40000</v>
      </c>
      <c r="C3387" s="9" t="s">
        <v>464</v>
      </c>
      <c r="D3387">
        <v>10021506325</v>
      </c>
      <c r="E3387" t="s">
        <v>47</v>
      </c>
      <c r="F3387" t="s">
        <v>66</v>
      </c>
      <c r="G3387" t="s">
        <v>67</v>
      </c>
      <c r="H3387" t="s">
        <v>2169</v>
      </c>
      <c r="I3387" t="s">
        <v>2170</v>
      </c>
      <c r="J3387" t="s">
        <v>141</v>
      </c>
      <c r="K3387" s="3">
        <v>100831424312</v>
      </c>
      <c r="L3387" s="10">
        <v>40007</v>
      </c>
      <c r="M3387">
        <v>63.84</v>
      </c>
      <c r="N3387" s="11">
        <v>3</v>
      </c>
      <c r="O3387" s="12">
        <v>15.51</v>
      </c>
      <c r="P3387" s="12">
        <v>17.78</v>
      </c>
      <c r="Q3387" s="13">
        <v>-47.97</v>
      </c>
      <c r="R3387" s="36" t="s">
        <v>1513</v>
      </c>
      <c r="S3387" s="7">
        <f t="shared" si="282"/>
        <v>7</v>
      </c>
      <c r="T3387" s="15" t="str">
        <f>VLOOKUP(R3387,产品分类!$C$2:$D$1278,2,0)</f>
        <v>家具产品</v>
      </c>
    </row>
    <row r="3388" spans="1:20">
      <c r="A3388" s="8">
        <f>DATE(2012,12,31)-1074</f>
        <v>40200</v>
      </c>
      <c r="B3388" s="8">
        <f>DATE(2012,12,31)-1074</f>
        <v>40200</v>
      </c>
      <c r="C3388" s="9" t="s">
        <v>540</v>
      </c>
      <c r="D3388">
        <v>10021507456</v>
      </c>
      <c r="E3388" t="s">
        <v>47</v>
      </c>
      <c r="F3388" t="s">
        <v>66</v>
      </c>
      <c r="G3388" t="s">
        <v>67</v>
      </c>
      <c r="H3388" t="s">
        <v>2169</v>
      </c>
      <c r="I3388" t="s">
        <v>2170</v>
      </c>
      <c r="J3388" t="s">
        <v>141</v>
      </c>
      <c r="K3388" s="3">
        <v>100731981585</v>
      </c>
      <c r="L3388" s="10">
        <v>40202</v>
      </c>
      <c r="M3388">
        <v>345.19</v>
      </c>
      <c r="N3388" s="11">
        <v>12</v>
      </c>
      <c r="O3388" s="12">
        <v>30.44</v>
      </c>
      <c r="P3388" s="12">
        <v>1.49</v>
      </c>
      <c r="Q3388" s="13">
        <v>111.588</v>
      </c>
      <c r="R3388" s="36" t="s">
        <v>1960</v>
      </c>
      <c r="S3388" s="7">
        <f t="shared" si="282"/>
        <v>2</v>
      </c>
      <c r="T3388" s="15" t="str">
        <f>VLOOKUP(R3388,产品分类!$C$2:$D$1278,2,0)</f>
        <v>数码电子</v>
      </c>
    </row>
    <row r="3389" spans="1:20">
      <c r="A3389" s="8">
        <f>DATE(2012,12,31)-699</f>
        <v>40575</v>
      </c>
      <c r="B3389" s="8">
        <f>DATE(2012,12,31)-699</f>
        <v>40575</v>
      </c>
      <c r="C3389" s="9" t="s">
        <v>1347</v>
      </c>
      <c r="D3389">
        <v>10021494096</v>
      </c>
      <c r="E3389" t="s">
        <v>47</v>
      </c>
      <c r="F3389" t="s">
        <v>66</v>
      </c>
      <c r="G3389" t="s">
        <v>67</v>
      </c>
      <c r="H3389" t="s">
        <v>2169</v>
      </c>
      <c r="I3389" t="s">
        <v>2170</v>
      </c>
      <c r="J3389" t="s">
        <v>141</v>
      </c>
      <c r="K3389" s="3">
        <v>10019724666</v>
      </c>
      <c r="L3389" s="10">
        <v>40576</v>
      </c>
      <c r="M3389">
        <v>3644.596</v>
      </c>
      <c r="N3389" s="11">
        <v>44</v>
      </c>
      <c r="O3389" s="12">
        <v>95.99</v>
      </c>
      <c r="P3389" s="12">
        <v>4.9</v>
      </c>
      <c r="Q3389" s="13">
        <v>1104.318</v>
      </c>
      <c r="R3389" s="36" t="s">
        <v>509</v>
      </c>
      <c r="S3389" s="7">
        <f t="shared" si="282"/>
        <v>1</v>
      </c>
      <c r="T3389" s="15" t="str">
        <f>VLOOKUP(R3389,产品分类!$C$2:$D$1278,2,0)</f>
        <v>数码电子</v>
      </c>
    </row>
    <row r="3390" spans="1:20">
      <c r="A3390" s="8">
        <f>DATE(2012,12,31)-1227</f>
        <v>40047</v>
      </c>
      <c r="B3390" s="8">
        <f>DATE(2012,12,31)-1227</f>
        <v>40047</v>
      </c>
      <c r="C3390" s="9" t="s">
        <v>191</v>
      </c>
      <c r="D3390">
        <v>10021288438</v>
      </c>
      <c r="E3390" t="s">
        <v>47</v>
      </c>
      <c r="F3390" t="s">
        <v>152</v>
      </c>
      <c r="G3390" t="s">
        <v>153</v>
      </c>
      <c r="H3390" t="s">
        <v>2137</v>
      </c>
      <c r="I3390" t="s">
        <v>2138</v>
      </c>
      <c r="J3390" t="s">
        <v>141</v>
      </c>
      <c r="K3390" s="3">
        <v>10035569519</v>
      </c>
      <c r="L3390" s="10">
        <v>40049</v>
      </c>
      <c r="M3390">
        <v>10.94</v>
      </c>
      <c r="N3390" s="11">
        <v>1</v>
      </c>
      <c r="O3390" s="12">
        <v>9.68</v>
      </c>
      <c r="P3390" s="12">
        <v>2.03</v>
      </c>
      <c r="Q3390" s="13">
        <v>-4.35</v>
      </c>
      <c r="R3390" s="36" t="s">
        <v>1111</v>
      </c>
      <c r="S3390" s="7">
        <f t="shared" si="282"/>
        <v>2</v>
      </c>
      <c r="T3390" s="15" t="str">
        <f>VLOOKUP(R3390,产品分类!$C$2:$D$1278,2,0)</f>
        <v>办公用品</v>
      </c>
    </row>
    <row r="3391" spans="1:20">
      <c r="A3391" s="8">
        <f>DATE(2012,12,31)-1227</f>
        <v>40047</v>
      </c>
      <c r="B3391" s="8">
        <f>DATE(2012,12,31)-1227</f>
        <v>40047</v>
      </c>
      <c r="C3391" s="9" t="s">
        <v>191</v>
      </c>
      <c r="D3391">
        <v>10021264517</v>
      </c>
      <c r="E3391" t="s">
        <v>47</v>
      </c>
      <c r="F3391" t="s">
        <v>66</v>
      </c>
      <c r="G3391" t="s">
        <v>67</v>
      </c>
      <c r="H3391" t="s">
        <v>2169</v>
      </c>
      <c r="I3391" t="s">
        <v>2170</v>
      </c>
      <c r="J3391" t="s">
        <v>141</v>
      </c>
      <c r="K3391" s="3">
        <v>100131190637</v>
      </c>
      <c r="L3391" s="10">
        <v>40048</v>
      </c>
      <c r="M3391">
        <v>1755.3</v>
      </c>
      <c r="N3391" s="11">
        <v>12</v>
      </c>
      <c r="O3391" s="12">
        <v>150.98</v>
      </c>
      <c r="P3391" s="12">
        <v>16.01</v>
      </c>
      <c r="Q3391" s="13">
        <v>-7.00999999999999</v>
      </c>
      <c r="R3391" s="36" t="s">
        <v>986</v>
      </c>
      <c r="S3391" s="7">
        <f t="shared" si="282"/>
        <v>1</v>
      </c>
      <c r="T3391" s="15" t="str">
        <f>VLOOKUP(R3391,产品分类!$C$2:$D$1278,2,0)</f>
        <v>办公用品</v>
      </c>
    </row>
    <row r="3392" spans="1:20">
      <c r="A3392" s="8">
        <f t="shared" ref="A3392:B3394" si="292">DATE(2012,12,31)-1388</f>
        <v>39886</v>
      </c>
      <c r="B3392" s="8">
        <f t="shared" si="292"/>
        <v>39886</v>
      </c>
      <c r="C3392" s="9" t="s">
        <v>1944</v>
      </c>
      <c r="D3392">
        <v>10021494799</v>
      </c>
      <c r="E3392" t="s">
        <v>47</v>
      </c>
      <c r="F3392" t="s">
        <v>152</v>
      </c>
      <c r="G3392" t="s">
        <v>153</v>
      </c>
      <c r="H3392" t="s">
        <v>2137</v>
      </c>
      <c r="I3392" t="s">
        <v>2138</v>
      </c>
      <c r="J3392" t="s">
        <v>141</v>
      </c>
      <c r="K3392" s="3">
        <v>100410105823</v>
      </c>
      <c r="L3392" s="10">
        <v>39888</v>
      </c>
      <c r="M3392">
        <v>9539.6</v>
      </c>
      <c r="N3392" s="11">
        <v>45</v>
      </c>
      <c r="O3392" s="12">
        <v>200.98</v>
      </c>
      <c r="P3392" s="12">
        <v>55.96</v>
      </c>
      <c r="Q3392" s="13">
        <v>-163.63</v>
      </c>
      <c r="R3392" s="36" t="s">
        <v>2182</v>
      </c>
      <c r="S3392" s="7">
        <f t="shared" si="282"/>
        <v>2</v>
      </c>
      <c r="T3392" s="15" t="str">
        <f>VLOOKUP(R3392,产品分类!$C$2:$D$1278,2,0)</f>
        <v>家具产品</v>
      </c>
    </row>
    <row r="3393" spans="1:20">
      <c r="A3393" s="8">
        <f t="shared" si="292"/>
        <v>39886</v>
      </c>
      <c r="B3393" s="8">
        <f t="shared" si="292"/>
        <v>39886</v>
      </c>
      <c r="C3393" s="9" t="s">
        <v>1944</v>
      </c>
      <c r="D3393">
        <v>10021336290</v>
      </c>
      <c r="E3393" t="s">
        <v>47</v>
      </c>
      <c r="F3393" t="s">
        <v>48</v>
      </c>
      <c r="G3393" t="s">
        <v>49</v>
      </c>
      <c r="H3393" t="s">
        <v>2183</v>
      </c>
      <c r="I3393" t="s">
        <v>2184</v>
      </c>
      <c r="J3393" t="s">
        <v>141</v>
      </c>
      <c r="K3393" s="3">
        <v>100417805603</v>
      </c>
      <c r="L3393" s="10">
        <v>39887</v>
      </c>
      <c r="M3393">
        <v>109.86</v>
      </c>
      <c r="N3393" s="11">
        <v>24</v>
      </c>
      <c r="O3393" s="12">
        <v>4.28</v>
      </c>
      <c r="P3393" s="12">
        <v>5.17</v>
      </c>
      <c r="Q3393" s="13">
        <v>-63.87</v>
      </c>
      <c r="R3393" s="36" t="s">
        <v>1993</v>
      </c>
      <c r="S3393" s="7">
        <f t="shared" si="282"/>
        <v>1</v>
      </c>
      <c r="T3393" s="15" t="str">
        <f>VLOOKUP(R3393,产品分类!$C$2:$D$1278,2,0)</f>
        <v>家具产品</v>
      </c>
    </row>
    <row r="3394" spans="1:20">
      <c r="A3394" s="8">
        <f t="shared" si="292"/>
        <v>39886</v>
      </c>
      <c r="B3394" s="8">
        <f t="shared" si="292"/>
        <v>39886</v>
      </c>
      <c r="C3394" s="9" t="s">
        <v>1944</v>
      </c>
      <c r="D3394">
        <v>10021294095</v>
      </c>
      <c r="E3394" t="s">
        <v>47</v>
      </c>
      <c r="F3394" t="s">
        <v>152</v>
      </c>
      <c r="G3394" t="s">
        <v>153</v>
      </c>
      <c r="H3394" t="s">
        <v>2137</v>
      </c>
      <c r="I3394" t="s">
        <v>2138</v>
      </c>
      <c r="J3394" t="s">
        <v>141</v>
      </c>
      <c r="K3394" s="3">
        <v>100111041616</v>
      </c>
      <c r="L3394" s="10">
        <v>39888</v>
      </c>
      <c r="M3394">
        <v>1426.5125</v>
      </c>
      <c r="N3394" s="11">
        <v>19</v>
      </c>
      <c r="O3394" s="12">
        <v>85.99</v>
      </c>
      <c r="P3394" s="12">
        <v>0.99</v>
      </c>
      <c r="Q3394" s="13">
        <v>-175.175</v>
      </c>
      <c r="R3394" s="36" t="s">
        <v>228</v>
      </c>
      <c r="S3394" s="7">
        <f t="shared" si="282"/>
        <v>2</v>
      </c>
      <c r="T3394" s="15" t="str">
        <f>VLOOKUP(R3394,产品分类!$C$2:$D$1278,2,0)</f>
        <v>数码电子</v>
      </c>
    </row>
    <row r="3395" spans="1:20">
      <c r="A3395" s="8">
        <f>DATE(2012,12,31)-885</f>
        <v>40389</v>
      </c>
      <c r="B3395" s="8">
        <f>DATE(2012,12,31)-885</f>
        <v>40389</v>
      </c>
      <c r="C3395" s="9" t="s">
        <v>2051</v>
      </c>
      <c r="D3395">
        <v>10021444310</v>
      </c>
      <c r="E3395" t="s">
        <v>47</v>
      </c>
      <c r="F3395" t="s">
        <v>72</v>
      </c>
      <c r="G3395" t="s">
        <v>73</v>
      </c>
      <c r="H3395" t="s">
        <v>2008</v>
      </c>
      <c r="I3395" t="s">
        <v>2009</v>
      </c>
      <c r="J3395" t="s">
        <v>141</v>
      </c>
      <c r="K3395" s="3">
        <v>10048838814</v>
      </c>
      <c r="L3395" s="10">
        <v>40390</v>
      </c>
      <c r="M3395">
        <v>13.44</v>
      </c>
      <c r="N3395" s="11">
        <v>2</v>
      </c>
      <c r="O3395" s="12">
        <v>4.28</v>
      </c>
      <c r="P3395" s="12">
        <v>5.17</v>
      </c>
      <c r="Q3395" s="13">
        <v>-8.88</v>
      </c>
      <c r="R3395" s="36" t="s">
        <v>1993</v>
      </c>
      <c r="S3395" s="7">
        <f t="shared" ref="S3395:S3458" si="293">+L3395-B3395</f>
        <v>1</v>
      </c>
      <c r="T3395" s="15" t="str">
        <f>VLOOKUP(R3395,产品分类!$C$2:$D$1278,2,0)</f>
        <v>家具产品</v>
      </c>
    </row>
    <row r="3396" spans="1:20">
      <c r="A3396" s="8">
        <f>DATE(2012,12,31)-885</f>
        <v>40389</v>
      </c>
      <c r="B3396" s="8">
        <f>DATE(2012,12,31)-885</f>
        <v>40389</v>
      </c>
      <c r="C3396" s="9" t="s">
        <v>2051</v>
      </c>
      <c r="D3396">
        <v>10021497215</v>
      </c>
      <c r="E3396" t="s">
        <v>47</v>
      </c>
      <c r="F3396" t="s">
        <v>72</v>
      </c>
      <c r="G3396" t="s">
        <v>73</v>
      </c>
      <c r="H3396" t="s">
        <v>2008</v>
      </c>
      <c r="I3396" t="s">
        <v>2009</v>
      </c>
      <c r="J3396" t="s">
        <v>141</v>
      </c>
      <c r="K3396" s="3">
        <v>100711361305</v>
      </c>
      <c r="L3396" s="10">
        <v>40391</v>
      </c>
      <c r="M3396">
        <v>1049.49</v>
      </c>
      <c r="N3396" s="11">
        <v>24</v>
      </c>
      <c r="O3396" s="12">
        <v>43.57</v>
      </c>
      <c r="P3396" s="12">
        <v>16.36</v>
      </c>
      <c r="Q3396" s="13">
        <v>-5.41</v>
      </c>
      <c r="R3396" s="36" t="s">
        <v>1446</v>
      </c>
      <c r="S3396" s="7">
        <f t="shared" si="293"/>
        <v>2</v>
      </c>
      <c r="T3396" s="15" t="str">
        <f>VLOOKUP(R3396,产品分类!$C$2:$D$1278,2,0)</f>
        <v>数码电子</v>
      </c>
    </row>
    <row r="3397" spans="1:20">
      <c r="A3397" s="8">
        <f>DATE(2012,12,31)-1062</f>
        <v>40212</v>
      </c>
      <c r="B3397" s="8">
        <f>DATE(2012,12,31)-1062</f>
        <v>40212</v>
      </c>
      <c r="C3397" s="9" t="s">
        <v>1877</v>
      </c>
      <c r="D3397">
        <v>10021427361</v>
      </c>
      <c r="E3397" t="s">
        <v>47</v>
      </c>
      <c r="F3397" t="s">
        <v>72</v>
      </c>
      <c r="G3397" t="s">
        <v>73</v>
      </c>
      <c r="H3397" t="s">
        <v>2008</v>
      </c>
      <c r="I3397" t="s">
        <v>2009</v>
      </c>
      <c r="J3397" t="s">
        <v>141</v>
      </c>
      <c r="K3397" s="3">
        <v>100930637831</v>
      </c>
      <c r="L3397" s="10">
        <v>40219</v>
      </c>
      <c r="M3397">
        <v>2354.4</v>
      </c>
      <c r="N3397" s="11">
        <v>41</v>
      </c>
      <c r="O3397" s="12">
        <v>55.94</v>
      </c>
      <c r="P3397" s="12">
        <v>6.55</v>
      </c>
      <c r="Q3397" s="13">
        <v>246.54</v>
      </c>
      <c r="R3397" s="36" t="s">
        <v>740</v>
      </c>
      <c r="S3397" s="7">
        <f t="shared" si="293"/>
        <v>7</v>
      </c>
      <c r="T3397" s="15" t="str">
        <f>VLOOKUP(R3397,产品分类!$C$2:$D$1278,2,0)</f>
        <v>办公用品</v>
      </c>
    </row>
    <row r="3398" spans="1:20">
      <c r="A3398" s="8">
        <f>DATE(2012,12,31)-1062</f>
        <v>40212</v>
      </c>
      <c r="B3398" s="8">
        <f>DATE(2012,12,31)-1062</f>
        <v>40212</v>
      </c>
      <c r="C3398" s="9" t="s">
        <v>1877</v>
      </c>
      <c r="D3398">
        <v>10021388817</v>
      </c>
      <c r="E3398" t="s">
        <v>47</v>
      </c>
      <c r="F3398" t="s">
        <v>72</v>
      </c>
      <c r="G3398" t="s">
        <v>73</v>
      </c>
      <c r="H3398" t="s">
        <v>2008</v>
      </c>
      <c r="I3398" t="s">
        <v>2009</v>
      </c>
      <c r="J3398" t="s">
        <v>141</v>
      </c>
      <c r="K3398" s="3">
        <v>100130264726</v>
      </c>
      <c r="L3398" s="10">
        <v>40219</v>
      </c>
      <c r="M3398">
        <v>35.6405</v>
      </c>
      <c r="N3398" s="11">
        <v>2</v>
      </c>
      <c r="O3398" s="12">
        <v>20.99</v>
      </c>
      <c r="P3398" s="12">
        <v>1.25</v>
      </c>
      <c r="Q3398" s="13">
        <v>-110.396</v>
      </c>
      <c r="R3398" s="36" t="s">
        <v>1326</v>
      </c>
      <c r="S3398" s="7">
        <f t="shared" si="293"/>
        <v>7</v>
      </c>
      <c r="T3398" s="15" t="str">
        <f>VLOOKUP(R3398,产品分类!$C$2:$D$1278,2,0)</f>
        <v>家具产品</v>
      </c>
    </row>
    <row r="3399" spans="1:20">
      <c r="A3399" s="8">
        <f>DATE(2012,12,31)-1294</f>
        <v>39980</v>
      </c>
      <c r="B3399" s="8">
        <f>DATE(2012,12,31)-1294</f>
        <v>39980</v>
      </c>
      <c r="C3399" s="9" t="s">
        <v>1068</v>
      </c>
      <c r="D3399">
        <v>10021262760</v>
      </c>
      <c r="E3399" t="s">
        <v>47</v>
      </c>
      <c r="F3399" t="s">
        <v>78</v>
      </c>
      <c r="G3399" t="s">
        <v>79</v>
      </c>
      <c r="H3399" t="s">
        <v>2105</v>
      </c>
      <c r="I3399" t="s">
        <v>2106</v>
      </c>
      <c r="J3399" t="s">
        <v>141</v>
      </c>
      <c r="K3399" s="3">
        <v>100130139798</v>
      </c>
      <c r="L3399" s="10">
        <v>39981</v>
      </c>
      <c r="M3399">
        <v>706.53</v>
      </c>
      <c r="N3399" s="11">
        <v>16</v>
      </c>
      <c r="O3399" s="12">
        <v>40.48</v>
      </c>
      <c r="P3399" s="12">
        <v>19.99</v>
      </c>
      <c r="Q3399" s="13">
        <v>-314.42</v>
      </c>
      <c r="R3399" s="36" t="s">
        <v>1312</v>
      </c>
      <c r="S3399" s="7">
        <f t="shared" si="293"/>
        <v>1</v>
      </c>
      <c r="T3399" s="15" t="str">
        <f>VLOOKUP(R3399,产品分类!$C$2:$D$1278,2,0)</f>
        <v>办公用品</v>
      </c>
    </row>
    <row r="3400" spans="1:20">
      <c r="A3400" s="8">
        <f>DATE(2012,12,31)-868</f>
        <v>40406</v>
      </c>
      <c r="B3400" s="8">
        <f>DATE(2012,12,31)-868</f>
        <v>40406</v>
      </c>
      <c r="C3400" s="9" t="s">
        <v>1410</v>
      </c>
      <c r="D3400">
        <v>10021461987</v>
      </c>
      <c r="E3400" t="s">
        <v>47</v>
      </c>
      <c r="F3400" t="s">
        <v>78</v>
      </c>
      <c r="G3400" t="s">
        <v>79</v>
      </c>
      <c r="H3400" t="s">
        <v>2105</v>
      </c>
      <c r="I3400" t="s">
        <v>2106</v>
      </c>
      <c r="J3400" t="s">
        <v>141</v>
      </c>
      <c r="K3400" s="3">
        <v>100918281461</v>
      </c>
      <c r="L3400" s="10">
        <v>40408</v>
      </c>
      <c r="M3400">
        <v>1840.8535</v>
      </c>
      <c r="N3400" s="11">
        <v>24</v>
      </c>
      <c r="O3400" s="12">
        <v>85.99</v>
      </c>
      <c r="P3400" s="12">
        <v>2.79</v>
      </c>
      <c r="Q3400" s="13">
        <v>424.638</v>
      </c>
      <c r="R3400" s="36" t="s">
        <v>1471</v>
      </c>
      <c r="S3400" s="7">
        <f t="shared" si="293"/>
        <v>2</v>
      </c>
      <c r="T3400" s="15" t="str">
        <f>VLOOKUP(R3400,产品分类!$C$2:$D$1278,2,0)</f>
        <v>数码电子</v>
      </c>
    </row>
    <row r="3401" spans="1:20">
      <c r="A3401" s="8">
        <f>DATE(2012,12,31)-1263</f>
        <v>40011</v>
      </c>
      <c r="B3401" s="8">
        <f>DATE(2012,12,31)-1263</f>
        <v>40011</v>
      </c>
      <c r="C3401" s="9" t="s">
        <v>145</v>
      </c>
      <c r="D3401">
        <v>10021506950</v>
      </c>
      <c r="E3401" t="s">
        <v>47</v>
      </c>
      <c r="F3401" t="s">
        <v>72</v>
      </c>
      <c r="G3401" t="s">
        <v>73</v>
      </c>
      <c r="H3401" t="s">
        <v>2008</v>
      </c>
      <c r="I3401" t="s">
        <v>2009</v>
      </c>
      <c r="J3401" t="s">
        <v>141</v>
      </c>
      <c r="K3401" s="3">
        <v>100131728838</v>
      </c>
      <c r="L3401" s="10">
        <v>40015</v>
      </c>
      <c r="M3401">
        <v>60.64</v>
      </c>
      <c r="N3401" s="11">
        <v>31</v>
      </c>
      <c r="O3401" s="12">
        <v>1.86</v>
      </c>
      <c r="P3401" s="12">
        <v>2.58</v>
      </c>
      <c r="Q3401" s="13">
        <v>-66.62</v>
      </c>
      <c r="R3401" s="36" t="s">
        <v>109</v>
      </c>
      <c r="S3401" s="7">
        <f t="shared" si="293"/>
        <v>4</v>
      </c>
      <c r="T3401" s="15" t="str">
        <f>VLOOKUP(R3401,产品分类!$C$2:$D$1278,2,0)</f>
        <v>数码电子</v>
      </c>
    </row>
    <row r="3402" spans="1:20">
      <c r="A3402" s="8">
        <f>DATE(2012,12,31)-1242</f>
        <v>40032</v>
      </c>
      <c r="B3402" s="8">
        <f>DATE(2012,12,31)-1242</f>
        <v>40032</v>
      </c>
      <c r="C3402" s="9" t="s">
        <v>1129</v>
      </c>
      <c r="D3402">
        <v>10021509974</v>
      </c>
      <c r="E3402" t="s">
        <v>47</v>
      </c>
      <c r="F3402" t="s">
        <v>78</v>
      </c>
      <c r="G3402" t="s">
        <v>79</v>
      </c>
      <c r="H3402" t="s">
        <v>2105</v>
      </c>
      <c r="I3402" t="s">
        <v>2106</v>
      </c>
      <c r="J3402" t="s">
        <v>141</v>
      </c>
      <c r="K3402" s="3">
        <v>100432660553</v>
      </c>
      <c r="L3402" s="10">
        <v>40032</v>
      </c>
      <c r="M3402">
        <v>2482.034</v>
      </c>
      <c r="N3402" s="11">
        <v>48</v>
      </c>
      <c r="O3402" s="12">
        <v>65.99</v>
      </c>
      <c r="P3402" s="12">
        <v>5.92</v>
      </c>
      <c r="Q3402" s="13">
        <v>421.893</v>
      </c>
      <c r="R3402" s="36" t="s">
        <v>1665</v>
      </c>
      <c r="S3402" s="7">
        <f t="shared" si="293"/>
        <v>0</v>
      </c>
      <c r="T3402" s="15" t="str">
        <f>VLOOKUP(R3402,产品分类!$C$2:$D$1278,2,0)</f>
        <v>家具产品</v>
      </c>
    </row>
    <row r="3403" spans="1:20">
      <c r="A3403" s="8">
        <f>DATE(2012,12,31)-820</f>
        <v>40454</v>
      </c>
      <c r="B3403" s="8">
        <f>DATE(2012,12,31)-820</f>
        <v>40454</v>
      </c>
      <c r="C3403" s="9" t="s">
        <v>549</v>
      </c>
      <c r="D3403">
        <v>10021259179</v>
      </c>
      <c r="E3403" t="s">
        <v>47</v>
      </c>
      <c r="F3403" t="s">
        <v>230</v>
      </c>
      <c r="G3403" t="s">
        <v>231</v>
      </c>
      <c r="H3403" t="s">
        <v>2174</v>
      </c>
      <c r="I3403" t="s">
        <v>2175</v>
      </c>
      <c r="J3403" t="s">
        <v>141</v>
      </c>
      <c r="K3403" s="3">
        <v>100315999359</v>
      </c>
      <c r="L3403" s="10">
        <v>40455</v>
      </c>
      <c r="M3403">
        <v>548.3</v>
      </c>
      <c r="N3403" s="11">
        <v>48</v>
      </c>
      <c r="O3403" s="12">
        <v>11.97</v>
      </c>
      <c r="P3403" s="12">
        <v>4.98</v>
      </c>
      <c r="Q3403" s="13">
        <v>-47.92</v>
      </c>
      <c r="R3403" s="36" t="s">
        <v>1833</v>
      </c>
      <c r="S3403" s="7">
        <f t="shared" si="293"/>
        <v>1</v>
      </c>
      <c r="T3403" s="15" t="str">
        <f>VLOOKUP(R3403,产品分类!$C$2:$D$1278,2,0)</f>
        <v>办公用品</v>
      </c>
    </row>
    <row r="3404" spans="1:20">
      <c r="A3404" s="8">
        <f>DATE(2012,12,31)-105</f>
        <v>41169</v>
      </c>
      <c r="B3404" s="8">
        <f>DATE(2012,12,31)-105</f>
        <v>41169</v>
      </c>
      <c r="C3404" s="9" t="s">
        <v>573</v>
      </c>
      <c r="D3404">
        <v>10021577893</v>
      </c>
      <c r="E3404" t="s">
        <v>47</v>
      </c>
      <c r="F3404" t="s">
        <v>230</v>
      </c>
      <c r="G3404" t="s">
        <v>231</v>
      </c>
      <c r="H3404" t="s">
        <v>2174</v>
      </c>
      <c r="I3404" t="s">
        <v>2175</v>
      </c>
      <c r="J3404" t="s">
        <v>141</v>
      </c>
      <c r="K3404" s="3">
        <v>100817015042</v>
      </c>
      <c r="L3404" s="10">
        <v>41171</v>
      </c>
      <c r="M3404">
        <v>946.27</v>
      </c>
      <c r="N3404" s="11">
        <v>28</v>
      </c>
      <c r="O3404" s="12">
        <v>33.29</v>
      </c>
      <c r="P3404" s="12">
        <v>8.74</v>
      </c>
      <c r="Q3404" s="13">
        <v>66.38</v>
      </c>
      <c r="R3404" s="36" t="s">
        <v>1996</v>
      </c>
      <c r="S3404" s="7">
        <f t="shared" si="293"/>
        <v>2</v>
      </c>
      <c r="T3404" s="15" t="str">
        <f>VLOOKUP(R3404,产品分类!$C$2:$D$1278,2,0)</f>
        <v>办公用品</v>
      </c>
    </row>
    <row r="3405" spans="1:20">
      <c r="A3405" s="8">
        <f>DATE(2012,12,31)-107</f>
        <v>41167</v>
      </c>
      <c r="B3405" s="8">
        <f>DATE(2012,12,31)-107</f>
        <v>41167</v>
      </c>
      <c r="C3405" s="9" t="s">
        <v>657</v>
      </c>
      <c r="D3405">
        <v>10021574259</v>
      </c>
      <c r="E3405" t="s">
        <v>47</v>
      </c>
      <c r="F3405" t="s">
        <v>114</v>
      </c>
      <c r="G3405" t="s">
        <v>115</v>
      </c>
      <c r="H3405" t="s">
        <v>2156</v>
      </c>
      <c r="I3405" t="s">
        <v>2157</v>
      </c>
      <c r="J3405" t="s">
        <v>141</v>
      </c>
      <c r="K3405" s="3">
        <v>10071635825</v>
      </c>
      <c r="L3405" s="10">
        <v>41174</v>
      </c>
      <c r="M3405">
        <v>512.81</v>
      </c>
      <c r="N3405" s="11">
        <v>16</v>
      </c>
      <c r="O3405" s="12">
        <v>33.94</v>
      </c>
      <c r="P3405" s="12">
        <v>19.19</v>
      </c>
      <c r="Q3405" s="13">
        <v>-177.07</v>
      </c>
      <c r="R3405" s="36" t="s">
        <v>2185</v>
      </c>
      <c r="S3405" s="7">
        <f t="shared" si="293"/>
        <v>7</v>
      </c>
      <c r="T3405" s="15" t="str">
        <f>VLOOKUP(R3405,产品分类!$C$2:$D$1278,2,0)</f>
        <v>办公用品</v>
      </c>
    </row>
    <row r="3406" spans="1:20">
      <c r="A3406" s="8">
        <f>DATE(2012,12,31)-1247</f>
        <v>40027</v>
      </c>
      <c r="B3406" s="8">
        <f>DATE(2012,12,31)-1247</f>
        <v>40027</v>
      </c>
      <c r="C3406" s="9" t="s">
        <v>1919</v>
      </c>
      <c r="D3406">
        <v>10021502949</v>
      </c>
      <c r="E3406" t="s">
        <v>47</v>
      </c>
      <c r="F3406" t="s">
        <v>122</v>
      </c>
      <c r="G3406" t="s">
        <v>123</v>
      </c>
      <c r="H3406" t="s">
        <v>2159</v>
      </c>
      <c r="I3406" t="s">
        <v>2160</v>
      </c>
      <c r="J3406" t="s">
        <v>141</v>
      </c>
      <c r="K3406" s="3">
        <v>100429296543</v>
      </c>
      <c r="L3406" s="10">
        <v>40028</v>
      </c>
      <c r="M3406">
        <v>4865.72</v>
      </c>
      <c r="N3406" s="11">
        <v>24</v>
      </c>
      <c r="O3406" s="12">
        <v>200.97</v>
      </c>
      <c r="P3406" s="12">
        <v>15.59</v>
      </c>
      <c r="Q3406" s="13">
        <v>1951.3</v>
      </c>
      <c r="R3406" s="36" t="s">
        <v>1825</v>
      </c>
      <c r="S3406" s="7">
        <f t="shared" si="293"/>
        <v>1</v>
      </c>
      <c r="T3406" s="15" t="str">
        <f>VLOOKUP(R3406,产品分类!$C$2:$D$1278,2,0)</f>
        <v>家具产品</v>
      </c>
    </row>
    <row r="3407" spans="1:20">
      <c r="A3407" s="8">
        <f>DATE(2012,12,31)-459</f>
        <v>40815</v>
      </c>
      <c r="B3407" s="8">
        <f>DATE(2012,12,31)-459</f>
        <v>40815</v>
      </c>
      <c r="C3407" s="9" t="s">
        <v>2084</v>
      </c>
      <c r="D3407">
        <v>10021338974</v>
      </c>
      <c r="E3407" t="s">
        <v>47</v>
      </c>
      <c r="F3407" t="s">
        <v>91</v>
      </c>
      <c r="G3407" t="s">
        <v>92</v>
      </c>
      <c r="H3407" t="s">
        <v>2053</v>
      </c>
      <c r="I3407" t="s">
        <v>2054</v>
      </c>
      <c r="J3407" t="s">
        <v>141</v>
      </c>
      <c r="K3407" s="3">
        <v>100924656061</v>
      </c>
      <c r="L3407" s="10">
        <v>40817</v>
      </c>
      <c r="M3407">
        <v>1596.86</v>
      </c>
      <c r="N3407" s="11">
        <v>37</v>
      </c>
      <c r="O3407" s="12">
        <v>44.01</v>
      </c>
      <c r="P3407" s="12">
        <v>3.5</v>
      </c>
      <c r="Q3407" s="13">
        <v>418.6</v>
      </c>
      <c r="R3407" s="36" t="s">
        <v>1590</v>
      </c>
      <c r="S3407" s="7">
        <f t="shared" si="293"/>
        <v>2</v>
      </c>
      <c r="T3407" s="15" t="str">
        <f>VLOOKUP(R3407,产品分类!$C$2:$D$1278,2,0)</f>
        <v>办公用品</v>
      </c>
    </row>
    <row r="3408" spans="1:20">
      <c r="A3408" s="8">
        <f>DATE(2012,12,31)-459</f>
        <v>40815</v>
      </c>
      <c r="B3408" s="8">
        <f>DATE(2012,12,31)-459</f>
        <v>40815</v>
      </c>
      <c r="C3408" s="9" t="s">
        <v>2084</v>
      </c>
      <c r="D3408">
        <v>10021542021</v>
      </c>
      <c r="E3408" t="s">
        <v>47</v>
      </c>
      <c r="F3408" t="s">
        <v>55</v>
      </c>
      <c r="G3408" t="s">
        <v>56</v>
      </c>
      <c r="H3408" t="s">
        <v>2112</v>
      </c>
      <c r="I3408" t="s">
        <v>2113</v>
      </c>
      <c r="J3408" t="s">
        <v>141</v>
      </c>
      <c r="K3408" s="3">
        <v>100924908881</v>
      </c>
      <c r="L3408" s="10">
        <v>40816</v>
      </c>
      <c r="M3408">
        <v>78.36</v>
      </c>
      <c r="N3408" s="11">
        <v>12</v>
      </c>
      <c r="O3408" s="12">
        <v>6.68</v>
      </c>
      <c r="P3408" s="12">
        <v>1.5</v>
      </c>
      <c r="Q3408" s="13">
        <v>8.52</v>
      </c>
      <c r="R3408" s="36" t="s">
        <v>900</v>
      </c>
      <c r="S3408" s="7">
        <f t="shared" si="293"/>
        <v>1</v>
      </c>
      <c r="T3408" s="15" t="str">
        <f>VLOOKUP(R3408,产品分类!$C$2:$D$1278,2,0)</f>
        <v>数码电子</v>
      </c>
    </row>
    <row r="3409" spans="1:20">
      <c r="A3409" s="8">
        <f>DATE(2012,12,31)-966</f>
        <v>40308</v>
      </c>
      <c r="B3409" s="8">
        <f>DATE(2012,12,31)-966</f>
        <v>40308</v>
      </c>
      <c r="C3409" s="9" t="s">
        <v>350</v>
      </c>
      <c r="D3409">
        <v>10021493880</v>
      </c>
      <c r="E3409" t="s">
        <v>47</v>
      </c>
      <c r="F3409" t="s">
        <v>91</v>
      </c>
      <c r="G3409" t="s">
        <v>92</v>
      </c>
      <c r="H3409" t="s">
        <v>2053</v>
      </c>
      <c r="I3409" t="s">
        <v>2054</v>
      </c>
      <c r="J3409" t="s">
        <v>141</v>
      </c>
      <c r="K3409" s="3">
        <v>10018946238</v>
      </c>
      <c r="L3409" s="10">
        <v>40308</v>
      </c>
      <c r="M3409">
        <v>103.48</v>
      </c>
      <c r="N3409" s="11">
        <v>32</v>
      </c>
      <c r="O3409" s="12">
        <v>3.14</v>
      </c>
      <c r="P3409" s="12">
        <v>1.14</v>
      </c>
      <c r="Q3409" s="13">
        <v>20.53</v>
      </c>
      <c r="R3409" s="36" t="s">
        <v>2186</v>
      </c>
      <c r="S3409" s="7">
        <f t="shared" si="293"/>
        <v>0</v>
      </c>
      <c r="T3409" s="15" t="str">
        <f>VLOOKUP(R3409,产品分类!$C$2:$D$1278,2,0)</f>
        <v>数码电子</v>
      </c>
    </row>
    <row r="3410" spans="1:20">
      <c r="A3410" s="8">
        <f>DATE(2012,12,31)-965</f>
        <v>40309</v>
      </c>
      <c r="B3410" s="8">
        <f>DATE(2012,12,31)-965</f>
        <v>40309</v>
      </c>
      <c r="C3410" s="9" t="s">
        <v>500</v>
      </c>
      <c r="D3410">
        <v>10021348615</v>
      </c>
      <c r="E3410" t="s">
        <v>47</v>
      </c>
      <c r="F3410" t="s">
        <v>91</v>
      </c>
      <c r="G3410" t="s">
        <v>92</v>
      </c>
      <c r="H3410" t="s">
        <v>2053</v>
      </c>
      <c r="I3410" t="s">
        <v>2054</v>
      </c>
      <c r="J3410" t="s">
        <v>141</v>
      </c>
      <c r="K3410" s="3">
        <v>100931592281</v>
      </c>
      <c r="L3410" s="10">
        <v>40311</v>
      </c>
      <c r="M3410">
        <v>12612.66</v>
      </c>
      <c r="N3410" s="11">
        <v>37</v>
      </c>
      <c r="O3410" s="12">
        <v>350.99</v>
      </c>
      <c r="P3410" s="12">
        <v>39</v>
      </c>
      <c r="Q3410" s="13">
        <v>3325.03</v>
      </c>
      <c r="R3410" s="36" t="s">
        <v>1319</v>
      </c>
      <c r="S3410" s="7">
        <f t="shared" si="293"/>
        <v>2</v>
      </c>
      <c r="T3410" s="15" t="str">
        <f>VLOOKUP(R3410,产品分类!$C$2:$D$1278,2,0)</f>
        <v>家具产品</v>
      </c>
    </row>
    <row r="3411" spans="1:20">
      <c r="A3411" s="8">
        <f>DATE(2012,12,31)-1325</f>
        <v>39949</v>
      </c>
      <c r="B3411" s="8">
        <f>DATE(2012,12,31)-1325</f>
        <v>39949</v>
      </c>
      <c r="C3411" s="9" t="s">
        <v>953</v>
      </c>
      <c r="D3411">
        <v>10021254810</v>
      </c>
      <c r="E3411" t="s">
        <v>47</v>
      </c>
      <c r="F3411" t="s">
        <v>55</v>
      </c>
      <c r="G3411" t="s">
        <v>56</v>
      </c>
      <c r="H3411" t="s">
        <v>2112</v>
      </c>
      <c r="I3411" t="s">
        <v>2113</v>
      </c>
      <c r="J3411" t="s">
        <v>141</v>
      </c>
      <c r="K3411" s="3">
        <v>100123075986</v>
      </c>
      <c r="L3411" s="10">
        <v>39949</v>
      </c>
      <c r="M3411">
        <v>7333.45</v>
      </c>
      <c r="N3411" s="11">
        <v>27</v>
      </c>
      <c r="O3411" s="12">
        <v>279.48</v>
      </c>
      <c r="P3411" s="12">
        <v>35</v>
      </c>
      <c r="Q3411" s="13">
        <v>-207.28</v>
      </c>
      <c r="R3411" s="36" t="s">
        <v>950</v>
      </c>
      <c r="S3411" s="7">
        <f t="shared" si="293"/>
        <v>0</v>
      </c>
      <c r="T3411" s="15" t="str">
        <f>VLOOKUP(R3411,产品分类!$C$2:$D$1278,2,0)</f>
        <v>数码电子</v>
      </c>
    </row>
    <row r="3412" spans="1:20">
      <c r="A3412" s="8">
        <f t="shared" ref="A3412:B3414" si="294">DATE(2012,12,31)-646</f>
        <v>40628</v>
      </c>
      <c r="B3412" s="8">
        <f t="shared" si="294"/>
        <v>40628</v>
      </c>
      <c r="C3412" s="9" t="s">
        <v>515</v>
      </c>
      <c r="D3412">
        <v>10021425563</v>
      </c>
      <c r="E3412" t="s">
        <v>47</v>
      </c>
      <c r="F3412" t="s">
        <v>55</v>
      </c>
      <c r="G3412" t="s">
        <v>56</v>
      </c>
      <c r="H3412" t="s">
        <v>2112</v>
      </c>
      <c r="I3412" t="s">
        <v>2113</v>
      </c>
      <c r="J3412" t="s">
        <v>141</v>
      </c>
      <c r="K3412" s="3">
        <v>100829585362</v>
      </c>
      <c r="L3412" s="10">
        <v>40630</v>
      </c>
      <c r="M3412">
        <v>205.11</v>
      </c>
      <c r="N3412" s="11">
        <v>44</v>
      </c>
      <c r="O3412" s="12">
        <v>4.91</v>
      </c>
      <c r="P3412" s="12">
        <v>0.5</v>
      </c>
      <c r="Q3412" s="13">
        <v>95.52</v>
      </c>
      <c r="R3412" s="36" t="s">
        <v>827</v>
      </c>
      <c r="S3412" s="7">
        <f t="shared" si="293"/>
        <v>2</v>
      </c>
      <c r="T3412" s="15" t="str">
        <f>VLOOKUP(R3412,产品分类!$C$2:$D$1278,2,0)</f>
        <v>家具产品</v>
      </c>
    </row>
    <row r="3413" spans="1:20">
      <c r="A3413" s="8">
        <f t="shared" si="294"/>
        <v>40628</v>
      </c>
      <c r="B3413" s="8">
        <f t="shared" si="294"/>
        <v>40628</v>
      </c>
      <c r="C3413" s="9" t="s">
        <v>515</v>
      </c>
      <c r="D3413">
        <v>10021498455</v>
      </c>
      <c r="E3413" t="s">
        <v>47</v>
      </c>
      <c r="F3413" t="s">
        <v>122</v>
      </c>
      <c r="G3413" t="s">
        <v>123</v>
      </c>
      <c r="H3413" t="s">
        <v>2159</v>
      </c>
      <c r="I3413" t="s">
        <v>2160</v>
      </c>
      <c r="J3413" t="s">
        <v>141</v>
      </c>
      <c r="K3413" s="3">
        <v>100922353591</v>
      </c>
      <c r="L3413" s="10">
        <v>40630</v>
      </c>
      <c r="M3413">
        <v>3981.23</v>
      </c>
      <c r="N3413" s="11">
        <v>21</v>
      </c>
      <c r="O3413" s="12">
        <v>193.17</v>
      </c>
      <c r="P3413" s="12">
        <v>19.99</v>
      </c>
      <c r="Q3413" s="13">
        <v>294.94</v>
      </c>
      <c r="R3413" s="36" t="s">
        <v>212</v>
      </c>
      <c r="S3413" s="7">
        <f t="shared" si="293"/>
        <v>2</v>
      </c>
      <c r="T3413" s="15" t="str">
        <f>VLOOKUP(R3413,产品分类!$C$2:$D$1278,2,0)</f>
        <v>家具产品</v>
      </c>
    </row>
    <row r="3414" spans="1:20">
      <c r="A3414" s="8">
        <f t="shared" si="294"/>
        <v>40628</v>
      </c>
      <c r="B3414" s="8">
        <f t="shared" si="294"/>
        <v>40628</v>
      </c>
      <c r="C3414" s="9" t="s">
        <v>515</v>
      </c>
      <c r="D3414">
        <v>10021542088</v>
      </c>
      <c r="E3414" t="s">
        <v>47</v>
      </c>
      <c r="F3414" t="s">
        <v>55</v>
      </c>
      <c r="G3414" t="s">
        <v>56</v>
      </c>
      <c r="H3414" t="s">
        <v>2112</v>
      </c>
      <c r="I3414" t="s">
        <v>2113</v>
      </c>
      <c r="J3414" t="s">
        <v>141</v>
      </c>
      <c r="K3414" s="3">
        <v>10018266396</v>
      </c>
      <c r="L3414" s="10">
        <v>40630</v>
      </c>
      <c r="M3414">
        <v>2458.2425</v>
      </c>
      <c r="N3414" s="11">
        <v>20</v>
      </c>
      <c r="O3414" s="12">
        <v>155.99</v>
      </c>
      <c r="P3414" s="12">
        <v>8.99</v>
      </c>
      <c r="Q3414" s="13">
        <v>110.538</v>
      </c>
      <c r="R3414" s="36" t="s">
        <v>87</v>
      </c>
      <c r="S3414" s="7">
        <f t="shared" si="293"/>
        <v>2</v>
      </c>
      <c r="T3414" s="15" t="str">
        <f>VLOOKUP(R3414,产品分类!$C$2:$D$1278,2,0)</f>
        <v>办公用品</v>
      </c>
    </row>
    <row r="3415" spans="1:20">
      <c r="A3415" s="8">
        <f t="shared" ref="A3415:B3417" si="295">DATE(2012,12,31)-188</f>
        <v>41086</v>
      </c>
      <c r="B3415" s="8">
        <f t="shared" si="295"/>
        <v>41086</v>
      </c>
      <c r="C3415" s="9" t="s">
        <v>956</v>
      </c>
      <c r="D3415">
        <v>10021292723</v>
      </c>
      <c r="E3415" t="s">
        <v>47</v>
      </c>
      <c r="F3415" t="s">
        <v>91</v>
      </c>
      <c r="G3415" t="s">
        <v>92</v>
      </c>
      <c r="H3415" t="s">
        <v>2053</v>
      </c>
      <c r="I3415" t="s">
        <v>2054</v>
      </c>
      <c r="J3415" t="s">
        <v>141</v>
      </c>
      <c r="K3415" s="3">
        <v>10011113248</v>
      </c>
      <c r="L3415" s="10">
        <v>41088</v>
      </c>
      <c r="M3415">
        <v>4256.51</v>
      </c>
      <c r="N3415" s="11">
        <v>41</v>
      </c>
      <c r="O3415" s="12">
        <v>100.97</v>
      </c>
      <c r="P3415" s="12">
        <v>7.18</v>
      </c>
      <c r="Q3415" s="13">
        <v>1653.96</v>
      </c>
      <c r="R3415" s="36" t="s">
        <v>2187</v>
      </c>
      <c r="S3415" s="7">
        <f t="shared" si="293"/>
        <v>2</v>
      </c>
      <c r="T3415" s="15" t="str">
        <f>VLOOKUP(R3415,产品分类!$C$2:$D$1278,2,0)</f>
        <v>家具产品</v>
      </c>
    </row>
    <row r="3416" spans="1:20">
      <c r="A3416" s="8">
        <f t="shared" si="295"/>
        <v>41086</v>
      </c>
      <c r="B3416" s="8">
        <f t="shared" si="295"/>
        <v>41086</v>
      </c>
      <c r="C3416" s="9" t="s">
        <v>956</v>
      </c>
      <c r="D3416">
        <v>10021264152</v>
      </c>
      <c r="E3416" t="s">
        <v>47</v>
      </c>
      <c r="F3416" t="s">
        <v>91</v>
      </c>
      <c r="G3416" t="s">
        <v>92</v>
      </c>
      <c r="H3416" t="s">
        <v>2053</v>
      </c>
      <c r="I3416" t="s">
        <v>2054</v>
      </c>
      <c r="J3416" t="s">
        <v>141</v>
      </c>
      <c r="K3416" s="3">
        <v>100415246813</v>
      </c>
      <c r="L3416" s="10">
        <v>41088</v>
      </c>
      <c r="M3416">
        <v>503.08</v>
      </c>
      <c r="N3416" s="11">
        <v>12</v>
      </c>
      <c r="O3416" s="12">
        <v>40.98</v>
      </c>
      <c r="P3416" s="12">
        <v>6.5</v>
      </c>
      <c r="Q3416" s="13">
        <v>-102.74</v>
      </c>
      <c r="R3416" s="36" t="s">
        <v>1444</v>
      </c>
      <c r="S3416" s="7">
        <f t="shared" si="293"/>
        <v>2</v>
      </c>
      <c r="T3416" s="15" t="str">
        <f>VLOOKUP(R3416,产品分类!$C$2:$D$1278,2,0)</f>
        <v>数码电子</v>
      </c>
    </row>
    <row r="3417" spans="1:20">
      <c r="A3417" s="8">
        <f t="shared" si="295"/>
        <v>41086</v>
      </c>
      <c r="B3417" s="8">
        <f t="shared" si="295"/>
        <v>41086</v>
      </c>
      <c r="C3417" s="9" t="s">
        <v>956</v>
      </c>
      <c r="D3417">
        <v>10021504177</v>
      </c>
      <c r="E3417" t="s">
        <v>47</v>
      </c>
      <c r="F3417" t="s">
        <v>91</v>
      </c>
      <c r="G3417" t="s">
        <v>92</v>
      </c>
      <c r="H3417" t="s">
        <v>2053</v>
      </c>
      <c r="I3417" t="s">
        <v>2054</v>
      </c>
      <c r="J3417" t="s">
        <v>141</v>
      </c>
      <c r="K3417" s="3">
        <v>10046836764</v>
      </c>
      <c r="L3417" s="10">
        <v>41087</v>
      </c>
      <c r="M3417">
        <v>76.94</v>
      </c>
      <c r="N3417" s="11">
        <v>15</v>
      </c>
      <c r="O3417" s="12">
        <v>4.13</v>
      </c>
      <c r="P3417" s="12">
        <v>0.99</v>
      </c>
      <c r="Q3417" s="13">
        <v>29.67</v>
      </c>
      <c r="R3417" s="36" t="s">
        <v>971</v>
      </c>
      <c r="S3417" s="7">
        <f t="shared" si="293"/>
        <v>1</v>
      </c>
      <c r="T3417" s="15" t="str">
        <f>VLOOKUP(R3417,产品分类!$C$2:$D$1278,2,0)</f>
        <v>办公用品</v>
      </c>
    </row>
    <row r="3418" spans="1:20">
      <c r="A3418" s="8">
        <f>DATE(2012,12,31)-509</f>
        <v>40765</v>
      </c>
      <c r="B3418" s="8">
        <f>DATE(2012,12,31)-509</f>
        <v>40765</v>
      </c>
      <c r="C3418" s="9" t="s">
        <v>2072</v>
      </c>
      <c r="D3418">
        <v>10021555896</v>
      </c>
      <c r="E3418" t="s">
        <v>47</v>
      </c>
      <c r="F3418" t="s">
        <v>55</v>
      </c>
      <c r="G3418" t="s">
        <v>56</v>
      </c>
      <c r="H3418" t="s">
        <v>2112</v>
      </c>
      <c r="I3418" t="s">
        <v>2113</v>
      </c>
      <c r="J3418" t="s">
        <v>141</v>
      </c>
      <c r="K3418" s="3">
        <v>100320911539</v>
      </c>
      <c r="L3418" s="10">
        <v>40766</v>
      </c>
      <c r="M3418">
        <v>1003.31</v>
      </c>
      <c r="N3418" s="11">
        <v>23</v>
      </c>
      <c r="O3418" s="12">
        <v>40.97</v>
      </c>
      <c r="P3418" s="12">
        <v>14.45</v>
      </c>
      <c r="Q3418" s="13">
        <v>51.9</v>
      </c>
      <c r="R3418" s="36" t="s">
        <v>542</v>
      </c>
      <c r="S3418" s="7">
        <f t="shared" si="293"/>
        <v>1</v>
      </c>
      <c r="T3418" s="15" t="str">
        <f>VLOOKUP(R3418,产品分类!$C$2:$D$1278,2,0)</f>
        <v>办公用品</v>
      </c>
    </row>
    <row r="3419" spans="1:20">
      <c r="A3419" s="8">
        <f>DATE(2012,12,31)-509</f>
        <v>40765</v>
      </c>
      <c r="B3419" s="8">
        <f>DATE(2012,12,31)-509</f>
        <v>40765</v>
      </c>
      <c r="C3419" s="9" t="s">
        <v>2072</v>
      </c>
      <c r="D3419">
        <v>10021415845</v>
      </c>
      <c r="E3419" t="s">
        <v>47</v>
      </c>
      <c r="F3419" t="s">
        <v>55</v>
      </c>
      <c r="G3419" t="s">
        <v>56</v>
      </c>
      <c r="H3419" t="s">
        <v>2112</v>
      </c>
      <c r="I3419" t="s">
        <v>2113</v>
      </c>
      <c r="J3419" t="s">
        <v>141</v>
      </c>
      <c r="K3419" s="3">
        <v>100111226288</v>
      </c>
      <c r="L3419" s="10">
        <v>40765</v>
      </c>
      <c r="M3419">
        <v>6048.18</v>
      </c>
      <c r="N3419" s="11">
        <v>17</v>
      </c>
      <c r="O3419" s="12">
        <v>349.45</v>
      </c>
      <c r="P3419" s="12">
        <v>60</v>
      </c>
      <c r="Q3419" s="13">
        <v>1418.36</v>
      </c>
      <c r="R3419" s="36" t="s">
        <v>1081</v>
      </c>
      <c r="S3419" s="7">
        <f t="shared" si="293"/>
        <v>0</v>
      </c>
      <c r="T3419" s="15" t="str">
        <f>VLOOKUP(R3419,产品分类!$C$2:$D$1278,2,0)</f>
        <v>办公用品</v>
      </c>
    </row>
    <row r="3420" spans="1:20">
      <c r="A3420" s="8">
        <f>DATE(2012,12,31)-705</f>
        <v>40569</v>
      </c>
      <c r="B3420" s="8">
        <f>DATE(2012,12,31)-705</f>
        <v>40569</v>
      </c>
      <c r="C3420" s="9" t="s">
        <v>989</v>
      </c>
      <c r="D3420">
        <v>10021332715</v>
      </c>
      <c r="E3420" t="s">
        <v>47</v>
      </c>
      <c r="F3420" t="s">
        <v>122</v>
      </c>
      <c r="G3420" t="s">
        <v>123</v>
      </c>
      <c r="H3420" t="s">
        <v>2159</v>
      </c>
      <c r="I3420" t="s">
        <v>2160</v>
      </c>
      <c r="J3420" t="s">
        <v>141</v>
      </c>
      <c r="K3420" s="3">
        <v>100310821189</v>
      </c>
      <c r="L3420" s="10">
        <v>40570</v>
      </c>
      <c r="M3420">
        <v>8662.34</v>
      </c>
      <c r="N3420" s="11">
        <v>15</v>
      </c>
      <c r="O3420" s="12">
        <v>549.99</v>
      </c>
      <c r="P3420" s="12">
        <v>49</v>
      </c>
      <c r="Q3420" s="13">
        <v>-704.66</v>
      </c>
      <c r="R3420" s="36" t="s">
        <v>746</v>
      </c>
      <c r="S3420" s="7">
        <f t="shared" si="293"/>
        <v>1</v>
      </c>
      <c r="T3420" s="15" t="str">
        <f>VLOOKUP(R3420,产品分类!$C$2:$D$1278,2,0)</f>
        <v>数码电子</v>
      </c>
    </row>
    <row r="3421" spans="1:20">
      <c r="A3421" s="8">
        <f>DATE(2012,12,31)-208</f>
        <v>41066</v>
      </c>
      <c r="B3421" s="8">
        <f>DATE(2012,12,31)-208</f>
        <v>41066</v>
      </c>
      <c r="C3421" s="9" t="s">
        <v>1809</v>
      </c>
      <c r="D3421">
        <v>10021460461</v>
      </c>
      <c r="E3421" t="s">
        <v>47</v>
      </c>
      <c r="F3421" t="s">
        <v>91</v>
      </c>
      <c r="G3421" t="s">
        <v>92</v>
      </c>
      <c r="H3421" t="s">
        <v>2053</v>
      </c>
      <c r="I3421" t="s">
        <v>2054</v>
      </c>
      <c r="J3421" t="s">
        <v>141</v>
      </c>
      <c r="K3421" s="3">
        <v>10017038606</v>
      </c>
      <c r="L3421" s="10">
        <v>41068</v>
      </c>
      <c r="M3421">
        <v>107.67</v>
      </c>
      <c r="N3421" s="11">
        <v>2</v>
      </c>
      <c r="O3421" s="12">
        <v>50.98</v>
      </c>
      <c r="P3421" s="12">
        <v>6.5</v>
      </c>
      <c r="Q3421" s="13">
        <v>-234.66</v>
      </c>
      <c r="R3421" s="36" t="s">
        <v>1501</v>
      </c>
      <c r="S3421" s="7">
        <f t="shared" si="293"/>
        <v>2</v>
      </c>
      <c r="T3421" s="15" t="str">
        <f>VLOOKUP(R3421,产品分类!$C$2:$D$1278,2,0)</f>
        <v>家具产品</v>
      </c>
    </row>
    <row r="3422" spans="1:20">
      <c r="A3422" s="8">
        <f>DATE(2012,12,31)-1396</f>
        <v>39878</v>
      </c>
      <c r="B3422" s="8">
        <f>DATE(2012,12,31)-1396</f>
        <v>39878</v>
      </c>
      <c r="C3422" s="9" t="s">
        <v>823</v>
      </c>
      <c r="D3422">
        <v>10021351815</v>
      </c>
      <c r="E3422" t="s">
        <v>47</v>
      </c>
      <c r="F3422" t="s">
        <v>55</v>
      </c>
      <c r="G3422" t="s">
        <v>56</v>
      </c>
      <c r="H3422" t="s">
        <v>2112</v>
      </c>
      <c r="I3422" t="s">
        <v>2113</v>
      </c>
      <c r="J3422" t="s">
        <v>141</v>
      </c>
      <c r="K3422" s="3">
        <v>100132504916</v>
      </c>
      <c r="L3422" s="10">
        <v>39882</v>
      </c>
      <c r="M3422">
        <v>3236.8</v>
      </c>
      <c r="N3422" s="11">
        <v>14</v>
      </c>
      <c r="O3422" s="12">
        <v>230.98</v>
      </c>
      <c r="P3422" s="12">
        <v>23.78</v>
      </c>
      <c r="Q3422" s="13">
        <v>501.69</v>
      </c>
      <c r="R3422" s="36" t="s">
        <v>1150</v>
      </c>
      <c r="S3422" s="7">
        <f t="shared" si="293"/>
        <v>4</v>
      </c>
      <c r="T3422" s="15" t="str">
        <f>VLOOKUP(R3422,产品分类!$C$2:$D$1278,2,0)</f>
        <v>办公用品</v>
      </c>
    </row>
    <row r="3423" spans="1:20">
      <c r="A3423" s="8">
        <f>DATE(2012,12,31)-368</f>
        <v>40906</v>
      </c>
      <c r="B3423" s="8">
        <f>DATE(2012,12,31)-368</f>
        <v>40906</v>
      </c>
      <c r="C3423" s="9" t="s">
        <v>113</v>
      </c>
      <c r="D3423">
        <v>10021459579</v>
      </c>
      <c r="E3423" t="s">
        <v>47</v>
      </c>
      <c r="F3423" t="s">
        <v>91</v>
      </c>
      <c r="G3423" t="s">
        <v>92</v>
      </c>
      <c r="H3423" t="s">
        <v>2053</v>
      </c>
      <c r="I3423" t="s">
        <v>2054</v>
      </c>
      <c r="J3423" t="s">
        <v>141</v>
      </c>
      <c r="K3423" s="3">
        <v>10012461386</v>
      </c>
      <c r="L3423" s="10">
        <v>40908</v>
      </c>
      <c r="M3423">
        <v>3467.28</v>
      </c>
      <c r="N3423" s="11">
        <v>20</v>
      </c>
      <c r="O3423" s="12">
        <v>179.29</v>
      </c>
      <c r="P3423" s="12">
        <v>29.21</v>
      </c>
      <c r="Q3423" s="13">
        <v>-433.290143</v>
      </c>
      <c r="R3423" s="36" t="s">
        <v>629</v>
      </c>
      <c r="S3423" s="7">
        <f t="shared" si="293"/>
        <v>2</v>
      </c>
      <c r="T3423" s="15" t="str">
        <f>VLOOKUP(R3423,产品分类!$C$2:$D$1278,2,0)</f>
        <v>办公用品</v>
      </c>
    </row>
    <row r="3424" spans="1:20">
      <c r="A3424" s="8">
        <f>DATE(2012,12,31)-329</f>
        <v>40945</v>
      </c>
      <c r="B3424" s="8">
        <f>DATE(2012,12,31)-329</f>
        <v>40945</v>
      </c>
      <c r="C3424" s="9" t="s">
        <v>861</v>
      </c>
      <c r="D3424">
        <v>10021270096</v>
      </c>
      <c r="E3424" t="s">
        <v>47</v>
      </c>
      <c r="F3424" t="s">
        <v>91</v>
      </c>
      <c r="G3424" t="s">
        <v>92</v>
      </c>
      <c r="H3424" t="s">
        <v>2053</v>
      </c>
      <c r="I3424" t="s">
        <v>2054</v>
      </c>
      <c r="J3424" t="s">
        <v>141</v>
      </c>
      <c r="K3424" s="3">
        <v>100932474721</v>
      </c>
      <c r="L3424" s="10">
        <v>40947</v>
      </c>
      <c r="M3424">
        <v>11036.16</v>
      </c>
      <c r="N3424" s="11">
        <v>46</v>
      </c>
      <c r="O3424" s="12">
        <v>236.97</v>
      </c>
      <c r="P3424" s="12">
        <v>59.24</v>
      </c>
      <c r="Q3424" s="13">
        <v>1187.8</v>
      </c>
      <c r="R3424" s="36" t="s">
        <v>2188</v>
      </c>
      <c r="S3424" s="7">
        <f t="shared" si="293"/>
        <v>2</v>
      </c>
      <c r="T3424" s="15" t="str">
        <f>VLOOKUP(R3424,产品分类!$C$2:$D$1278,2,0)</f>
        <v>办公用品</v>
      </c>
    </row>
    <row r="3425" spans="1:20">
      <c r="A3425" s="8">
        <f t="shared" ref="A3425:B3427" si="296">DATE(2012,12,31)-175</f>
        <v>41099</v>
      </c>
      <c r="B3425" s="8">
        <f t="shared" si="296"/>
        <v>41099</v>
      </c>
      <c r="C3425" s="9" t="s">
        <v>1139</v>
      </c>
      <c r="D3425">
        <v>10021335906</v>
      </c>
      <c r="E3425" t="s">
        <v>47</v>
      </c>
      <c r="F3425" t="s">
        <v>127</v>
      </c>
      <c r="G3425" t="s">
        <v>128</v>
      </c>
      <c r="H3425" t="s">
        <v>2189</v>
      </c>
      <c r="I3425" t="s">
        <v>2190</v>
      </c>
      <c r="J3425" t="s">
        <v>141</v>
      </c>
      <c r="K3425" s="3">
        <v>100917484881</v>
      </c>
      <c r="L3425" s="10">
        <v>41101</v>
      </c>
      <c r="M3425">
        <v>443.35</v>
      </c>
      <c r="N3425" s="11">
        <v>37</v>
      </c>
      <c r="O3425" s="12">
        <v>11.97</v>
      </c>
      <c r="P3425" s="12">
        <v>4.98</v>
      </c>
      <c r="Q3425" s="13">
        <v>-21.73</v>
      </c>
      <c r="R3425" s="36" t="s">
        <v>1833</v>
      </c>
      <c r="S3425" s="7">
        <f t="shared" si="293"/>
        <v>2</v>
      </c>
      <c r="T3425" s="15" t="str">
        <f>VLOOKUP(R3425,产品分类!$C$2:$D$1278,2,0)</f>
        <v>办公用品</v>
      </c>
    </row>
    <row r="3426" spans="1:20">
      <c r="A3426" s="8">
        <f t="shared" si="296"/>
        <v>41099</v>
      </c>
      <c r="B3426" s="8">
        <f t="shared" si="296"/>
        <v>41099</v>
      </c>
      <c r="C3426" s="9" t="s">
        <v>1139</v>
      </c>
      <c r="D3426">
        <v>10021429684</v>
      </c>
      <c r="E3426" t="s">
        <v>47</v>
      </c>
      <c r="F3426" t="s">
        <v>97</v>
      </c>
      <c r="G3426" t="s">
        <v>98</v>
      </c>
      <c r="H3426" t="s">
        <v>99</v>
      </c>
      <c r="I3426" t="s">
        <v>98</v>
      </c>
      <c r="J3426" t="s">
        <v>141</v>
      </c>
      <c r="K3426" s="3">
        <v>100131653156</v>
      </c>
      <c r="L3426" s="10">
        <v>41102</v>
      </c>
      <c r="M3426">
        <v>392.61</v>
      </c>
      <c r="N3426" s="11">
        <v>41</v>
      </c>
      <c r="O3426" s="12">
        <v>9.48</v>
      </c>
      <c r="P3426" s="12">
        <v>7.29</v>
      </c>
      <c r="Q3426" s="13">
        <v>-100.15</v>
      </c>
      <c r="R3426" s="36" t="s">
        <v>839</v>
      </c>
      <c r="S3426" s="7">
        <f t="shared" si="293"/>
        <v>3</v>
      </c>
      <c r="T3426" s="15" t="str">
        <f>VLOOKUP(R3426,产品分类!$C$2:$D$1278,2,0)</f>
        <v>办公用品</v>
      </c>
    </row>
    <row r="3427" spans="1:20">
      <c r="A3427" s="8">
        <f t="shared" si="296"/>
        <v>41099</v>
      </c>
      <c r="B3427" s="8">
        <f t="shared" si="296"/>
        <v>41099</v>
      </c>
      <c r="C3427" s="9" t="s">
        <v>1139</v>
      </c>
      <c r="D3427">
        <v>10021280540</v>
      </c>
      <c r="E3427" t="s">
        <v>47</v>
      </c>
      <c r="F3427" t="s">
        <v>304</v>
      </c>
      <c r="G3427" t="s">
        <v>305</v>
      </c>
      <c r="H3427" t="s">
        <v>2015</v>
      </c>
      <c r="I3427" t="s">
        <v>2016</v>
      </c>
      <c r="J3427" t="s">
        <v>141</v>
      </c>
      <c r="K3427" s="3">
        <v>100115048688</v>
      </c>
      <c r="L3427" s="10">
        <v>41101</v>
      </c>
      <c r="M3427">
        <v>30.85</v>
      </c>
      <c r="N3427" s="11">
        <v>4</v>
      </c>
      <c r="O3427" s="12">
        <v>5.98</v>
      </c>
      <c r="P3427" s="12">
        <v>5.79</v>
      </c>
      <c r="Q3427" s="13">
        <v>-12.88</v>
      </c>
      <c r="R3427" s="36" t="s">
        <v>915</v>
      </c>
      <c r="S3427" s="7">
        <f t="shared" si="293"/>
        <v>2</v>
      </c>
      <c r="T3427" s="15" t="str">
        <f>VLOOKUP(R3427,产品分类!$C$2:$D$1278,2,0)</f>
        <v>家具产品</v>
      </c>
    </row>
    <row r="3428" spans="1:20">
      <c r="A3428" s="16">
        <f>DATE(2012,12,31)-28</f>
        <v>41246</v>
      </c>
      <c r="B3428" s="16">
        <f>DATE(2012,12,31)-28</f>
        <v>41246</v>
      </c>
      <c r="C3428" s="9" t="s">
        <v>948</v>
      </c>
      <c r="D3428">
        <v>10021499837</v>
      </c>
      <c r="E3428" t="s">
        <v>47</v>
      </c>
      <c r="F3428" t="s">
        <v>304</v>
      </c>
      <c r="G3428" t="s">
        <v>305</v>
      </c>
      <c r="H3428" t="s">
        <v>2015</v>
      </c>
      <c r="I3428" t="s">
        <v>2016</v>
      </c>
      <c r="J3428" t="s">
        <v>141</v>
      </c>
      <c r="K3428" s="3">
        <v>100125296646</v>
      </c>
      <c r="L3428" s="10">
        <v>41247</v>
      </c>
      <c r="M3428">
        <v>1689.97</v>
      </c>
      <c r="N3428" s="17">
        <v>24</v>
      </c>
      <c r="O3428" s="5">
        <v>68.81</v>
      </c>
      <c r="P3428" s="5">
        <v>60</v>
      </c>
      <c r="Q3428" s="6">
        <v>-564.74</v>
      </c>
      <c r="R3428" s="37" t="s">
        <v>390</v>
      </c>
      <c r="S3428" s="7">
        <f t="shared" si="293"/>
        <v>1</v>
      </c>
      <c r="T3428" s="15" t="str">
        <f>VLOOKUP(R3428,产品分类!$C$2:$D$1278,2,0)</f>
        <v>办公用品</v>
      </c>
    </row>
    <row r="3429" spans="1:20">
      <c r="A3429" s="8">
        <f>DATE(2012,12,31)-1334</f>
        <v>39940</v>
      </c>
      <c r="B3429" s="8">
        <f>DATE(2012,12,31)-1334</f>
        <v>39940</v>
      </c>
      <c r="C3429" s="9" t="s">
        <v>147</v>
      </c>
      <c r="D3429">
        <v>10021452349</v>
      </c>
      <c r="E3429" t="s">
        <v>47</v>
      </c>
      <c r="F3429" t="s">
        <v>102</v>
      </c>
      <c r="G3429" t="s">
        <v>103</v>
      </c>
      <c r="H3429" t="s">
        <v>2119</v>
      </c>
      <c r="I3429" t="s">
        <v>2120</v>
      </c>
      <c r="J3429" t="s">
        <v>141</v>
      </c>
      <c r="K3429" s="3">
        <v>100931069821</v>
      </c>
      <c r="L3429" s="10">
        <v>39940</v>
      </c>
      <c r="M3429">
        <v>115.71</v>
      </c>
      <c r="N3429" s="11">
        <v>18</v>
      </c>
      <c r="O3429" s="12">
        <v>6.48</v>
      </c>
      <c r="P3429" s="12">
        <v>8.4</v>
      </c>
      <c r="Q3429" s="13">
        <v>-91.61</v>
      </c>
      <c r="R3429" s="36" t="s">
        <v>767</v>
      </c>
      <c r="S3429" s="7">
        <f t="shared" si="293"/>
        <v>0</v>
      </c>
      <c r="T3429" s="15" t="str">
        <f>VLOOKUP(R3429,产品分类!$C$2:$D$1278,2,0)</f>
        <v>家具产品</v>
      </c>
    </row>
    <row r="3430" spans="1:20">
      <c r="A3430" s="8">
        <f>DATE(2012,12,31)-1121</f>
        <v>40153</v>
      </c>
      <c r="B3430" s="8">
        <f>DATE(2012,12,31)-1121</f>
        <v>40153</v>
      </c>
      <c r="C3430" s="9" t="s">
        <v>2123</v>
      </c>
      <c r="D3430">
        <v>10021293245</v>
      </c>
      <c r="E3430" t="s">
        <v>47</v>
      </c>
      <c r="F3430" t="s">
        <v>102</v>
      </c>
      <c r="G3430" t="s">
        <v>103</v>
      </c>
      <c r="H3430" t="s">
        <v>2119</v>
      </c>
      <c r="I3430" t="s">
        <v>2120</v>
      </c>
      <c r="J3430" t="s">
        <v>141</v>
      </c>
      <c r="K3430" s="3">
        <v>10075565775</v>
      </c>
      <c r="L3430" s="10">
        <v>40155</v>
      </c>
      <c r="M3430">
        <v>169.11</v>
      </c>
      <c r="N3430" s="11">
        <v>8</v>
      </c>
      <c r="O3430" s="12">
        <v>20.89</v>
      </c>
      <c r="P3430" s="12">
        <v>1.99</v>
      </c>
      <c r="Q3430" s="13">
        <v>-10.59</v>
      </c>
      <c r="R3430" s="36" t="s">
        <v>1745</v>
      </c>
      <c r="S3430" s="7">
        <f t="shared" si="293"/>
        <v>2</v>
      </c>
      <c r="T3430" s="15" t="str">
        <f>VLOOKUP(R3430,产品分类!$C$2:$D$1278,2,0)</f>
        <v>数码电子</v>
      </c>
    </row>
    <row r="3431" spans="1:20">
      <c r="A3431" s="16">
        <f>DATE(2012,12,31)-1121</f>
        <v>40153</v>
      </c>
      <c r="B3431" s="16">
        <f>DATE(2012,12,31)-1121</f>
        <v>40153</v>
      </c>
      <c r="C3431" s="9" t="s">
        <v>2123</v>
      </c>
      <c r="D3431">
        <v>10021385938</v>
      </c>
      <c r="E3431" t="s">
        <v>47</v>
      </c>
      <c r="F3431" t="s">
        <v>137</v>
      </c>
      <c r="G3431" t="s">
        <v>138</v>
      </c>
      <c r="H3431" t="s">
        <v>139</v>
      </c>
      <c r="I3431" t="s">
        <v>140</v>
      </c>
      <c r="J3431" t="s">
        <v>141</v>
      </c>
      <c r="K3431" s="3">
        <v>10033224559</v>
      </c>
      <c r="L3431" s="10">
        <v>40156</v>
      </c>
      <c r="M3431">
        <v>152.59</v>
      </c>
      <c r="N3431" s="17">
        <v>41</v>
      </c>
      <c r="O3431" s="5">
        <v>3.98</v>
      </c>
      <c r="P3431" s="5">
        <v>0.83</v>
      </c>
      <c r="Q3431" s="6">
        <v>27.38</v>
      </c>
      <c r="R3431" s="37" t="s">
        <v>1553</v>
      </c>
      <c r="S3431" s="7">
        <f t="shared" si="293"/>
        <v>3</v>
      </c>
      <c r="T3431" s="15" t="str">
        <f>VLOOKUP(R3431,产品分类!$C$2:$D$1278,2,0)</f>
        <v>办公用品</v>
      </c>
    </row>
    <row r="3432" spans="1:20">
      <c r="A3432" s="8">
        <f>DATE(2012,12,31)-619</f>
        <v>40655</v>
      </c>
      <c r="B3432" s="8">
        <f>DATE(2012,12,31)-619</f>
        <v>40655</v>
      </c>
      <c r="C3432" s="9" t="s">
        <v>635</v>
      </c>
      <c r="D3432">
        <v>10021501683</v>
      </c>
      <c r="E3432" t="s">
        <v>47</v>
      </c>
      <c r="F3432" t="s">
        <v>208</v>
      </c>
      <c r="G3432" t="s">
        <v>209</v>
      </c>
      <c r="H3432" t="s">
        <v>2177</v>
      </c>
      <c r="I3432" t="s">
        <v>2178</v>
      </c>
      <c r="J3432" t="s">
        <v>141</v>
      </c>
      <c r="K3432" s="3">
        <v>100127404526</v>
      </c>
      <c r="L3432" s="10">
        <v>40656</v>
      </c>
      <c r="M3432">
        <v>28.11</v>
      </c>
      <c r="N3432" s="11">
        <v>3</v>
      </c>
      <c r="O3432" s="12">
        <v>8.12</v>
      </c>
      <c r="P3432" s="12">
        <v>2.83</v>
      </c>
      <c r="Q3432" s="13">
        <v>-31.62</v>
      </c>
      <c r="R3432" s="36" t="s">
        <v>923</v>
      </c>
      <c r="S3432" s="7">
        <f t="shared" si="293"/>
        <v>1</v>
      </c>
      <c r="T3432" s="15" t="str">
        <f>VLOOKUP(R3432,产品分类!$C$2:$D$1278,2,0)</f>
        <v>办公用品</v>
      </c>
    </row>
    <row r="3433" spans="1:20">
      <c r="A3433" s="8">
        <f>DATE(2012,12,31)-619</f>
        <v>40655</v>
      </c>
      <c r="B3433" s="8">
        <f>DATE(2012,12,31)-619</f>
        <v>40655</v>
      </c>
      <c r="C3433" s="9" t="s">
        <v>635</v>
      </c>
      <c r="D3433">
        <v>10021269543</v>
      </c>
      <c r="E3433" t="s">
        <v>47</v>
      </c>
      <c r="F3433" t="s">
        <v>102</v>
      </c>
      <c r="G3433" t="s">
        <v>103</v>
      </c>
      <c r="H3433" t="s">
        <v>2119</v>
      </c>
      <c r="I3433" t="s">
        <v>2120</v>
      </c>
      <c r="J3433" t="s">
        <v>141</v>
      </c>
      <c r="K3433" s="3">
        <v>100132448496</v>
      </c>
      <c r="L3433" s="10">
        <v>40656</v>
      </c>
      <c r="M3433">
        <v>27.06</v>
      </c>
      <c r="N3433" s="11">
        <v>14</v>
      </c>
      <c r="O3433" s="12">
        <v>1.76</v>
      </c>
      <c r="P3433" s="12">
        <v>0.7</v>
      </c>
      <c r="Q3433" s="13">
        <v>-0.0600000000000001</v>
      </c>
      <c r="R3433" s="36" t="s">
        <v>561</v>
      </c>
      <c r="S3433" s="7">
        <f t="shared" si="293"/>
        <v>1</v>
      </c>
      <c r="T3433" s="15" t="str">
        <f>VLOOKUP(R3433,产品分类!$C$2:$D$1278,2,0)</f>
        <v>数码电子</v>
      </c>
    </row>
    <row r="3434" spans="1:20">
      <c r="A3434" s="8">
        <f>DATE(2012,12,31)-970</f>
        <v>40304</v>
      </c>
      <c r="B3434" s="8">
        <f>DATE(2012,12,31)-970</f>
        <v>40304</v>
      </c>
      <c r="C3434" s="9" t="s">
        <v>748</v>
      </c>
      <c r="D3434">
        <v>10021525000</v>
      </c>
      <c r="E3434" t="s">
        <v>47</v>
      </c>
      <c r="F3434" t="s">
        <v>304</v>
      </c>
      <c r="G3434" t="s">
        <v>305</v>
      </c>
      <c r="H3434" t="s">
        <v>2015</v>
      </c>
      <c r="I3434" t="s">
        <v>2016</v>
      </c>
      <c r="J3434" t="s">
        <v>141</v>
      </c>
      <c r="K3434" s="3">
        <v>100720181855</v>
      </c>
      <c r="L3434" s="10">
        <v>40306</v>
      </c>
      <c r="M3434">
        <v>3051.27</v>
      </c>
      <c r="N3434" s="11">
        <v>41</v>
      </c>
      <c r="O3434" s="12">
        <v>80.97</v>
      </c>
      <c r="P3434" s="12">
        <v>33.6</v>
      </c>
      <c r="Q3434" s="13">
        <v>121.48</v>
      </c>
      <c r="R3434" s="36" t="s">
        <v>1183</v>
      </c>
      <c r="S3434" s="7">
        <f t="shared" si="293"/>
        <v>2</v>
      </c>
      <c r="T3434" s="15" t="str">
        <f>VLOOKUP(R3434,产品分类!$C$2:$D$1278,2,0)</f>
        <v>办公用品</v>
      </c>
    </row>
    <row r="3435" spans="1:20">
      <c r="A3435" s="8">
        <f>DATE(2012,12,31)-569</f>
        <v>40705</v>
      </c>
      <c r="B3435" s="8">
        <f>DATE(2012,12,31)-569</f>
        <v>40705</v>
      </c>
      <c r="C3435" s="9" t="s">
        <v>313</v>
      </c>
      <c r="D3435">
        <v>10021532643</v>
      </c>
      <c r="E3435" t="s">
        <v>47</v>
      </c>
      <c r="F3435" t="s">
        <v>208</v>
      </c>
      <c r="G3435" t="s">
        <v>209</v>
      </c>
      <c r="H3435" t="s">
        <v>2177</v>
      </c>
      <c r="I3435" t="s">
        <v>2178</v>
      </c>
      <c r="J3435" t="s">
        <v>141</v>
      </c>
      <c r="K3435" s="3">
        <v>100731785475</v>
      </c>
      <c r="L3435" s="10">
        <v>40706</v>
      </c>
      <c r="M3435">
        <v>127.56</v>
      </c>
      <c r="N3435" s="11">
        <v>22</v>
      </c>
      <c r="O3435" s="12">
        <v>5.34</v>
      </c>
      <c r="P3435" s="12">
        <v>5.63</v>
      </c>
      <c r="Q3435" s="13">
        <v>-60.72</v>
      </c>
      <c r="R3435" s="36" t="s">
        <v>988</v>
      </c>
      <c r="S3435" s="7">
        <f t="shared" si="293"/>
        <v>1</v>
      </c>
      <c r="T3435" s="15" t="str">
        <f>VLOOKUP(R3435,产品分类!$C$2:$D$1278,2,0)</f>
        <v>办公用品</v>
      </c>
    </row>
    <row r="3436" spans="1:20">
      <c r="A3436" s="8">
        <f t="shared" ref="A3436:B3438" si="297">DATE(2012,12,31)-1435</f>
        <v>39839</v>
      </c>
      <c r="B3436" s="8">
        <f t="shared" si="297"/>
        <v>39839</v>
      </c>
      <c r="C3436" s="9" t="s">
        <v>448</v>
      </c>
      <c r="D3436">
        <v>10021346962</v>
      </c>
      <c r="E3436" t="s">
        <v>47</v>
      </c>
      <c r="F3436" t="s">
        <v>102</v>
      </c>
      <c r="G3436" t="s">
        <v>103</v>
      </c>
      <c r="H3436" t="s">
        <v>2119</v>
      </c>
      <c r="I3436" t="s">
        <v>2120</v>
      </c>
      <c r="J3436" t="s">
        <v>141</v>
      </c>
      <c r="K3436" s="3">
        <v>100930963541</v>
      </c>
      <c r="L3436" s="10">
        <v>39840</v>
      </c>
      <c r="M3436">
        <v>4587.3</v>
      </c>
      <c r="N3436" s="11">
        <v>31</v>
      </c>
      <c r="O3436" s="12">
        <v>150.98</v>
      </c>
      <c r="P3436" s="12">
        <v>13.99</v>
      </c>
      <c r="Q3436" s="13">
        <v>1771.15</v>
      </c>
      <c r="R3436" s="36" t="s">
        <v>126</v>
      </c>
      <c r="S3436" s="7">
        <f t="shared" si="293"/>
        <v>1</v>
      </c>
      <c r="T3436" s="15" t="str">
        <f>VLOOKUP(R3436,产品分类!$C$2:$D$1278,2,0)</f>
        <v>家具产品</v>
      </c>
    </row>
    <row r="3437" spans="1:20">
      <c r="A3437" s="8">
        <f t="shared" si="297"/>
        <v>39839</v>
      </c>
      <c r="B3437" s="8">
        <f t="shared" si="297"/>
        <v>39839</v>
      </c>
      <c r="C3437" s="9" t="s">
        <v>448</v>
      </c>
      <c r="D3437">
        <v>10021301707</v>
      </c>
      <c r="E3437" t="s">
        <v>47</v>
      </c>
      <c r="F3437" t="s">
        <v>171</v>
      </c>
      <c r="G3437" t="s">
        <v>172</v>
      </c>
      <c r="H3437" t="s">
        <v>2073</v>
      </c>
      <c r="I3437" t="s">
        <v>2074</v>
      </c>
      <c r="J3437" t="s">
        <v>141</v>
      </c>
      <c r="K3437" s="3">
        <v>100112468568</v>
      </c>
      <c r="L3437" s="10">
        <v>39840</v>
      </c>
      <c r="M3437">
        <v>403.71</v>
      </c>
      <c r="N3437" s="11">
        <v>15</v>
      </c>
      <c r="O3437" s="12">
        <v>25.98</v>
      </c>
      <c r="P3437" s="12">
        <v>14.36</v>
      </c>
      <c r="Q3437" s="13">
        <v>-97.47</v>
      </c>
      <c r="R3437" s="36" t="s">
        <v>1510</v>
      </c>
      <c r="S3437" s="7">
        <f t="shared" si="293"/>
        <v>1</v>
      </c>
      <c r="T3437" s="15" t="str">
        <f>VLOOKUP(R3437,产品分类!$C$2:$D$1278,2,0)</f>
        <v>办公用品</v>
      </c>
    </row>
    <row r="3438" spans="1:20">
      <c r="A3438" s="8">
        <f t="shared" si="297"/>
        <v>39839</v>
      </c>
      <c r="B3438" s="8">
        <f t="shared" si="297"/>
        <v>39839</v>
      </c>
      <c r="C3438" s="9" t="s">
        <v>448</v>
      </c>
      <c r="D3438">
        <v>10021452658</v>
      </c>
      <c r="E3438" t="s">
        <v>47</v>
      </c>
      <c r="F3438" t="s">
        <v>171</v>
      </c>
      <c r="G3438" t="s">
        <v>172</v>
      </c>
      <c r="H3438" t="s">
        <v>2073</v>
      </c>
      <c r="I3438" t="s">
        <v>2074</v>
      </c>
      <c r="J3438" t="s">
        <v>141</v>
      </c>
      <c r="K3438" s="3">
        <v>100110602056</v>
      </c>
      <c r="L3438" s="10">
        <v>39840</v>
      </c>
      <c r="M3438">
        <v>1243.45</v>
      </c>
      <c r="N3438" s="11">
        <v>39</v>
      </c>
      <c r="O3438" s="12">
        <v>32.48</v>
      </c>
      <c r="P3438" s="12">
        <v>35</v>
      </c>
      <c r="Q3438" s="13">
        <v>-1212.55</v>
      </c>
      <c r="R3438" s="36" t="s">
        <v>1966</v>
      </c>
      <c r="S3438" s="7">
        <f t="shared" si="293"/>
        <v>1</v>
      </c>
      <c r="T3438" s="15" t="str">
        <f>VLOOKUP(R3438,产品分类!$C$2:$D$1278,2,0)</f>
        <v>数码电子</v>
      </c>
    </row>
    <row r="3439" spans="1:20">
      <c r="A3439" s="8">
        <f>DATE(2012,12,31)-280</f>
        <v>40994</v>
      </c>
      <c r="B3439" s="8">
        <f>DATE(2012,12,31)-280</f>
        <v>40994</v>
      </c>
      <c r="C3439" s="9" t="s">
        <v>369</v>
      </c>
      <c r="D3439">
        <v>10021422846</v>
      </c>
      <c r="E3439" t="s">
        <v>47</v>
      </c>
      <c r="F3439" t="s">
        <v>171</v>
      </c>
      <c r="G3439" t="s">
        <v>172</v>
      </c>
      <c r="H3439" t="s">
        <v>2073</v>
      </c>
      <c r="I3439" t="s">
        <v>2074</v>
      </c>
      <c r="J3439" t="s">
        <v>141</v>
      </c>
      <c r="K3439" s="3">
        <v>100827272082</v>
      </c>
      <c r="L3439" s="10">
        <v>40995</v>
      </c>
      <c r="M3439">
        <v>81.58</v>
      </c>
      <c r="N3439" s="11">
        <v>7</v>
      </c>
      <c r="O3439" s="12">
        <v>10.98</v>
      </c>
      <c r="P3439" s="12">
        <v>3.37</v>
      </c>
      <c r="Q3439" s="13">
        <v>-7.78</v>
      </c>
      <c r="R3439" s="36" t="s">
        <v>1792</v>
      </c>
      <c r="S3439" s="7">
        <f t="shared" si="293"/>
        <v>1</v>
      </c>
      <c r="T3439" s="15" t="str">
        <f>VLOOKUP(R3439,产品分类!$C$2:$D$1278,2,0)</f>
        <v>办公用品</v>
      </c>
    </row>
    <row r="3440" spans="1:20">
      <c r="A3440" s="8">
        <f>DATE(2012,12,31)-658</f>
        <v>40616</v>
      </c>
      <c r="B3440" s="8">
        <f>DATE(2012,12,31)-658</f>
        <v>40616</v>
      </c>
      <c r="C3440" s="9" t="s">
        <v>553</v>
      </c>
      <c r="D3440">
        <v>10021263737</v>
      </c>
      <c r="E3440" t="s">
        <v>47</v>
      </c>
      <c r="F3440" t="s">
        <v>527</v>
      </c>
      <c r="G3440" t="s">
        <v>528</v>
      </c>
      <c r="H3440" t="s">
        <v>2191</v>
      </c>
      <c r="I3440" t="s">
        <v>2192</v>
      </c>
      <c r="J3440" t="s">
        <v>141</v>
      </c>
      <c r="K3440" s="3">
        <v>100930832401</v>
      </c>
      <c r="L3440" s="10">
        <v>40617</v>
      </c>
      <c r="M3440">
        <v>269.3</v>
      </c>
      <c r="N3440" s="11">
        <v>32</v>
      </c>
      <c r="O3440" s="12">
        <v>7.96</v>
      </c>
      <c r="P3440" s="12">
        <v>4.95</v>
      </c>
      <c r="Q3440" s="13">
        <v>22.38</v>
      </c>
      <c r="R3440" s="36" t="s">
        <v>1167</v>
      </c>
      <c r="S3440" s="7">
        <f t="shared" si="293"/>
        <v>1</v>
      </c>
      <c r="T3440" s="15" t="str">
        <f>VLOOKUP(R3440,产品分类!$C$2:$D$1278,2,0)</f>
        <v>家具产品</v>
      </c>
    </row>
    <row r="3441" spans="1:20">
      <c r="A3441" s="8">
        <f>DATE(2012,12,31)-20</f>
        <v>41254</v>
      </c>
      <c r="B3441" s="8">
        <f>DATE(2012,12,31)-20</f>
        <v>41254</v>
      </c>
      <c r="C3441" s="9" t="s">
        <v>2077</v>
      </c>
      <c r="D3441">
        <v>10021385992</v>
      </c>
      <c r="E3441" t="s">
        <v>47</v>
      </c>
      <c r="F3441" t="s">
        <v>171</v>
      </c>
      <c r="G3441" t="s">
        <v>172</v>
      </c>
      <c r="H3441" t="s">
        <v>2073</v>
      </c>
      <c r="I3441" t="s">
        <v>2074</v>
      </c>
      <c r="J3441" t="s">
        <v>141</v>
      </c>
      <c r="K3441" s="3">
        <v>10014047267</v>
      </c>
      <c r="L3441" s="10">
        <v>41256</v>
      </c>
      <c r="M3441">
        <v>531.063</v>
      </c>
      <c r="N3441" s="11">
        <v>29</v>
      </c>
      <c r="O3441" s="12">
        <v>20.99</v>
      </c>
      <c r="P3441" s="12">
        <v>4.81</v>
      </c>
      <c r="Q3441" s="13">
        <v>24.561</v>
      </c>
      <c r="R3441" s="36" t="s">
        <v>692</v>
      </c>
      <c r="S3441" s="7">
        <f t="shared" si="293"/>
        <v>2</v>
      </c>
      <c r="T3441" s="15" t="str">
        <f>VLOOKUP(R3441,产品分类!$C$2:$D$1278,2,0)</f>
        <v>办公用品</v>
      </c>
    </row>
    <row r="3442" spans="1:20">
      <c r="A3442" s="8">
        <f>DATE(2012,12,31)-20</f>
        <v>41254</v>
      </c>
      <c r="B3442" s="8">
        <f>DATE(2012,12,31)-20</f>
        <v>41254</v>
      </c>
      <c r="C3442" s="9" t="s">
        <v>2077</v>
      </c>
      <c r="D3442">
        <v>10021262444</v>
      </c>
      <c r="E3442" t="s">
        <v>47</v>
      </c>
      <c r="F3442" t="s">
        <v>171</v>
      </c>
      <c r="G3442" t="s">
        <v>172</v>
      </c>
      <c r="H3442" t="s">
        <v>2073</v>
      </c>
      <c r="I3442" t="s">
        <v>2074</v>
      </c>
      <c r="J3442" t="s">
        <v>141</v>
      </c>
      <c r="K3442" s="3">
        <v>100930073601</v>
      </c>
      <c r="L3442" s="10">
        <v>41256</v>
      </c>
      <c r="M3442">
        <v>152.84</v>
      </c>
      <c r="N3442" s="11">
        <v>10</v>
      </c>
      <c r="O3442" s="12">
        <v>14.58</v>
      </c>
      <c r="P3442" s="12">
        <v>7.4</v>
      </c>
      <c r="Q3442" s="13">
        <v>38.02</v>
      </c>
      <c r="R3442" s="36" t="s">
        <v>379</v>
      </c>
      <c r="S3442" s="7">
        <f t="shared" si="293"/>
        <v>2</v>
      </c>
      <c r="T3442" s="15" t="str">
        <f>VLOOKUP(R3442,产品分类!$C$2:$D$1278,2,0)</f>
        <v>数码电子</v>
      </c>
    </row>
    <row r="3443" spans="1:20">
      <c r="A3443" s="8">
        <f>DATE(2012,12,31)-1036</f>
        <v>40238</v>
      </c>
      <c r="B3443" s="8">
        <f>DATE(2012,12,31)-1036</f>
        <v>40238</v>
      </c>
      <c r="C3443" s="9" t="s">
        <v>1290</v>
      </c>
      <c r="D3443">
        <v>10021268376</v>
      </c>
      <c r="E3443" t="s">
        <v>47</v>
      </c>
      <c r="F3443" t="s">
        <v>167</v>
      </c>
      <c r="G3443" t="s">
        <v>168</v>
      </c>
      <c r="H3443" t="s">
        <v>169</v>
      </c>
      <c r="I3443" t="s">
        <v>168</v>
      </c>
      <c r="J3443" t="s">
        <v>141</v>
      </c>
      <c r="K3443" s="3">
        <v>100132395396</v>
      </c>
      <c r="L3443" s="10">
        <v>40239</v>
      </c>
      <c r="M3443">
        <v>180.79</v>
      </c>
      <c r="N3443" s="11">
        <v>8</v>
      </c>
      <c r="O3443" s="12">
        <v>22.84</v>
      </c>
      <c r="P3443" s="12">
        <v>5.47</v>
      </c>
      <c r="Q3443" s="13">
        <v>20.09</v>
      </c>
      <c r="R3443" s="36" t="s">
        <v>682</v>
      </c>
      <c r="S3443" s="7">
        <f t="shared" si="293"/>
        <v>1</v>
      </c>
      <c r="T3443" s="15" t="str">
        <f>VLOOKUP(R3443,产品分类!$C$2:$D$1278,2,0)</f>
        <v>家具产品</v>
      </c>
    </row>
    <row r="3444" spans="1:20">
      <c r="A3444" s="8">
        <f>DATE(2012,12,31)-43</f>
        <v>41231</v>
      </c>
      <c r="B3444" s="8">
        <f>DATE(2012,12,31)-43</f>
        <v>41231</v>
      </c>
      <c r="C3444" s="9" t="s">
        <v>369</v>
      </c>
      <c r="D3444">
        <v>10021507642</v>
      </c>
      <c r="E3444" t="s">
        <v>47</v>
      </c>
      <c r="F3444" t="s">
        <v>342</v>
      </c>
      <c r="G3444" t="s">
        <v>343</v>
      </c>
      <c r="H3444" t="s">
        <v>2090</v>
      </c>
      <c r="I3444" t="s">
        <v>2091</v>
      </c>
      <c r="J3444" t="s">
        <v>141</v>
      </c>
      <c r="K3444" s="3">
        <v>100932000591</v>
      </c>
      <c r="L3444" s="10">
        <v>41232</v>
      </c>
      <c r="M3444">
        <v>13921.6</v>
      </c>
      <c r="N3444" s="11">
        <v>45</v>
      </c>
      <c r="O3444" s="12">
        <v>300.65</v>
      </c>
      <c r="P3444" s="12">
        <v>24.49</v>
      </c>
      <c r="Q3444" s="13">
        <v>5183.04</v>
      </c>
      <c r="R3444" s="36" t="s">
        <v>979</v>
      </c>
      <c r="S3444" s="7">
        <f t="shared" si="293"/>
        <v>1</v>
      </c>
      <c r="T3444" s="15" t="str">
        <f>VLOOKUP(R3444,产品分类!$C$2:$D$1278,2,0)</f>
        <v>办公用品</v>
      </c>
    </row>
    <row r="3445" spans="1:20">
      <c r="A3445" s="8">
        <f>DATE(2012,12,31)-43</f>
        <v>41231</v>
      </c>
      <c r="B3445" s="8">
        <f>DATE(2012,12,31)-43</f>
        <v>41231</v>
      </c>
      <c r="C3445" s="9" t="s">
        <v>369</v>
      </c>
      <c r="D3445">
        <v>10021332527</v>
      </c>
      <c r="E3445" t="s">
        <v>47</v>
      </c>
      <c r="F3445" t="s">
        <v>61</v>
      </c>
      <c r="G3445" t="s">
        <v>62</v>
      </c>
      <c r="H3445" t="s">
        <v>2180</v>
      </c>
      <c r="I3445" t="s">
        <v>2181</v>
      </c>
      <c r="J3445" t="s">
        <v>141</v>
      </c>
      <c r="K3445" s="3">
        <v>100410191224</v>
      </c>
      <c r="L3445" s="10">
        <v>41233</v>
      </c>
      <c r="M3445">
        <v>467.5</v>
      </c>
      <c r="N3445" s="11">
        <v>40</v>
      </c>
      <c r="O3445" s="12">
        <v>11.97</v>
      </c>
      <c r="P3445" s="12">
        <v>4.98</v>
      </c>
      <c r="Q3445" s="13">
        <v>-33.34</v>
      </c>
      <c r="R3445" s="36" t="s">
        <v>1833</v>
      </c>
      <c r="S3445" s="7">
        <f t="shared" si="293"/>
        <v>2</v>
      </c>
      <c r="T3445" s="15" t="str">
        <f>VLOOKUP(R3445,产品分类!$C$2:$D$1278,2,0)</f>
        <v>办公用品</v>
      </c>
    </row>
    <row r="3446" spans="1:20">
      <c r="A3446" s="8">
        <f>DATE(2012,12,31)-191</f>
        <v>41083</v>
      </c>
      <c r="B3446" s="8">
        <f>DATE(2012,12,31)-191</f>
        <v>41083</v>
      </c>
      <c r="C3446" s="9" t="s">
        <v>1696</v>
      </c>
      <c r="D3446">
        <v>10021483136</v>
      </c>
      <c r="E3446" t="s">
        <v>47</v>
      </c>
      <c r="F3446" t="s">
        <v>61</v>
      </c>
      <c r="G3446" t="s">
        <v>62</v>
      </c>
      <c r="H3446" t="s">
        <v>2180</v>
      </c>
      <c r="I3446" t="s">
        <v>2181</v>
      </c>
      <c r="J3446" t="s">
        <v>141</v>
      </c>
      <c r="K3446" s="3">
        <v>100913711971</v>
      </c>
      <c r="L3446" s="10">
        <v>41084</v>
      </c>
      <c r="M3446">
        <v>1081.22</v>
      </c>
      <c r="N3446" s="11">
        <v>25</v>
      </c>
      <c r="O3446" s="12">
        <v>43.98</v>
      </c>
      <c r="P3446" s="12">
        <v>8.99</v>
      </c>
      <c r="Q3446" s="13">
        <v>130.8</v>
      </c>
      <c r="R3446" s="36" t="s">
        <v>189</v>
      </c>
      <c r="S3446" s="7">
        <f t="shared" si="293"/>
        <v>1</v>
      </c>
      <c r="T3446" s="15" t="str">
        <f>VLOOKUP(R3446,产品分类!$C$2:$D$1278,2,0)</f>
        <v>数码电子</v>
      </c>
    </row>
    <row r="3447" spans="1:20">
      <c r="A3447" s="8">
        <f>DATE(2012,12,31)-191</f>
        <v>41083</v>
      </c>
      <c r="B3447" s="8">
        <f>DATE(2012,12,31)-191</f>
        <v>41083</v>
      </c>
      <c r="C3447" s="9" t="s">
        <v>1696</v>
      </c>
      <c r="D3447">
        <v>10021248129</v>
      </c>
      <c r="E3447" t="s">
        <v>47</v>
      </c>
      <c r="F3447" t="s">
        <v>61</v>
      </c>
      <c r="G3447" t="s">
        <v>62</v>
      </c>
      <c r="H3447" t="s">
        <v>2180</v>
      </c>
      <c r="I3447" t="s">
        <v>2181</v>
      </c>
      <c r="J3447" t="s">
        <v>141</v>
      </c>
      <c r="K3447" s="3">
        <v>1001319557</v>
      </c>
      <c r="L3447" s="10">
        <v>41085</v>
      </c>
      <c r="M3447">
        <v>36.41</v>
      </c>
      <c r="N3447" s="11">
        <v>14</v>
      </c>
      <c r="O3447" s="12">
        <v>2.23</v>
      </c>
      <c r="P3447" s="12">
        <v>4.57</v>
      </c>
      <c r="Q3447" s="13">
        <v>-31.45</v>
      </c>
      <c r="R3447" s="36" t="s">
        <v>1314</v>
      </c>
      <c r="S3447" s="7">
        <f t="shared" si="293"/>
        <v>2</v>
      </c>
      <c r="T3447" s="15" t="str">
        <f>VLOOKUP(R3447,产品分类!$C$2:$D$1278,2,0)</f>
        <v>家具产品</v>
      </c>
    </row>
    <row r="3448" spans="1:20">
      <c r="A3448" s="8">
        <f>DATE(2012,12,31)-997</f>
        <v>40277</v>
      </c>
      <c r="B3448" s="8">
        <f>DATE(2012,12,31)-997</f>
        <v>40277</v>
      </c>
      <c r="C3448" s="9" t="s">
        <v>1753</v>
      </c>
      <c r="D3448">
        <v>10021428781</v>
      </c>
      <c r="E3448" t="s">
        <v>47</v>
      </c>
      <c r="F3448" t="s">
        <v>61</v>
      </c>
      <c r="G3448" t="s">
        <v>62</v>
      </c>
      <c r="H3448" t="s">
        <v>2180</v>
      </c>
      <c r="I3448" t="s">
        <v>2181</v>
      </c>
      <c r="J3448" t="s">
        <v>141</v>
      </c>
      <c r="K3448" s="3">
        <v>100931096921</v>
      </c>
      <c r="L3448" s="10">
        <v>40278</v>
      </c>
      <c r="M3448">
        <v>38.56</v>
      </c>
      <c r="N3448" s="11">
        <v>8</v>
      </c>
      <c r="O3448" s="12">
        <v>4.55</v>
      </c>
      <c r="P3448" s="12">
        <v>1.49</v>
      </c>
      <c r="Q3448" s="13">
        <v>4.08</v>
      </c>
      <c r="R3448" s="36" t="s">
        <v>1668</v>
      </c>
      <c r="S3448" s="7">
        <f t="shared" si="293"/>
        <v>1</v>
      </c>
      <c r="T3448" s="15" t="str">
        <f>VLOOKUP(R3448,产品分类!$C$2:$D$1278,2,0)</f>
        <v>办公用品</v>
      </c>
    </row>
    <row r="3449" spans="1:20">
      <c r="A3449" s="8">
        <f>DATE(2012,12,31)-510</f>
        <v>40764</v>
      </c>
      <c r="B3449" s="8">
        <f>DATE(2012,12,31)-510</f>
        <v>40764</v>
      </c>
      <c r="C3449" s="9" t="s">
        <v>558</v>
      </c>
      <c r="D3449">
        <v>10021296784</v>
      </c>
      <c r="E3449" t="s">
        <v>47</v>
      </c>
      <c r="F3449" t="s">
        <v>61</v>
      </c>
      <c r="G3449" t="s">
        <v>62</v>
      </c>
      <c r="H3449" t="s">
        <v>2180</v>
      </c>
      <c r="I3449" t="s">
        <v>2181</v>
      </c>
      <c r="J3449" t="s">
        <v>141</v>
      </c>
      <c r="K3449" s="3">
        <v>100122757197</v>
      </c>
      <c r="L3449" s="10">
        <v>40767</v>
      </c>
      <c r="M3449">
        <v>42.29</v>
      </c>
      <c r="N3449" s="11">
        <v>17</v>
      </c>
      <c r="O3449" s="12">
        <v>2.16</v>
      </c>
      <c r="P3449" s="12">
        <v>6.05</v>
      </c>
      <c r="Q3449" s="13">
        <v>-85.2725</v>
      </c>
      <c r="R3449" s="36" t="s">
        <v>507</v>
      </c>
      <c r="S3449" s="7">
        <f t="shared" si="293"/>
        <v>3</v>
      </c>
      <c r="T3449" s="15" t="str">
        <f>VLOOKUP(R3449,产品分类!$C$2:$D$1278,2,0)</f>
        <v>家具产品</v>
      </c>
    </row>
    <row r="3450" spans="1:20">
      <c r="A3450" s="8">
        <f>DATE(2012,12,31)-139</f>
        <v>41135</v>
      </c>
      <c r="B3450" s="8">
        <f>DATE(2012,12,31)-139</f>
        <v>41135</v>
      </c>
      <c r="C3450" s="9" t="s">
        <v>686</v>
      </c>
      <c r="D3450">
        <v>10021505203</v>
      </c>
      <c r="E3450" t="s">
        <v>47</v>
      </c>
      <c r="F3450" t="s">
        <v>61</v>
      </c>
      <c r="G3450" t="s">
        <v>62</v>
      </c>
      <c r="H3450" t="s">
        <v>2180</v>
      </c>
      <c r="I3450" t="s">
        <v>2181</v>
      </c>
      <c r="J3450" t="s">
        <v>141</v>
      </c>
      <c r="K3450" s="3">
        <v>100417326344</v>
      </c>
      <c r="L3450" s="10">
        <v>41136</v>
      </c>
      <c r="M3450">
        <v>197.36</v>
      </c>
      <c r="N3450" s="11">
        <v>50</v>
      </c>
      <c r="O3450" s="12">
        <v>4.18</v>
      </c>
      <c r="P3450" s="12">
        <v>2.99</v>
      </c>
      <c r="Q3450" s="13">
        <v>-43.5045</v>
      </c>
      <c r="R3450" s="36" t="s">
        <v>1531</v>
      </c>
      <c r="S3450" s="7">
        <f t="shared" si="293"/>
        <v>1</v>
      </c>
      <c r="T3450" s="15" t="str">
        <f>VLOOKUP(R3450,产品分类!$C$2:$D$1278,2,0)</f>
        <v>办公用品</v>
      </c>
    </row>
    <row r="3451" spans="1:20">
      <c r="A3451" s="8">
        <f>DATE(2012,12,31)-1078</f>
        <v>40196</v>
      </c>
      <c r="B3451" s="8">
        <f>DATE(2012,12,31)-1078</f>
        <v>40196</v>
      </c>
      <c r="C3451" s="9" t="s">
        <v>1280</v>
      </c>
      <c r="D3451">
        <v>10021402973</v>
      </c>
      <c r="E3451" t="s">
        <v>47</v>
      </c>
      <c r="F3451" t="s">
        <v>61</v>
      </c>
      <c r="G3451" t="s">
        <v>62</v>
      </c>
      <c r="H3451" t="s">
        <v>2180</v>
      </c>
      <c r="I3451" t="s">
        <v>2181</v>
      </c>
      <c r="J3451" t="s">
        <v>141</v>
      </c>
      <c r="K3451" s="3">
        <v>10096739501</v>
      </c>
      <c r="L3451" s="10">
        <v>40198</v>
      </c>
      <c r="M3451">
        <v>883.31</v>
      </c>
      <c r="N3451" s="11">
        <v>4</v>
      </c>
      <c r="O3451" s="12">
        <v>200.98</v>
      </c>
      <c r="P3451" s="12">
        <v>23.76</v>
      </c>
      <c r="Q3451" s="13">
        <v>-79.96</v>
      </c>
      <c r="R3451" s="36" t="s">
        <v>1343</v>
      </c>
      <c r="S3451" s="7">
        <f t="shared" si="293"/>
        <v>2</v>
      </c>
      <c r="T3451" s="15" t="str">
        <f>VLOOKUP(R3451,产品分类!$C$2:$D$1278,2,0)</f>
        <v>办公用品</v>
      </c>
    </row>
    <row r="3452" spans="1:20">
      <c r="A3452" s="8">
        <f t="shared" ref="A3452:B3454" si="298">DATE(2012,12,31)-168</f>
        <v>41106</v>
      </c>
      <c r="B3452" s="8">
        <f t="shared" si="298"/>
        <v>41106</v>
      </c>
      <c r="C3452" s="9" t="s">
        <v>786</v>
      </c>
      <c r="D3452">
        <v>10021336247</v>
      </c>
      <c r="E3452" t="s">
        <v>47</v>
      </c>
      <c r="F3452" t="s">
        <v>253</v>
      </c>
      <c r="G3452" t="s">
        <v>254</v>
      </c>
      <c r="H3452" t="s">
        <v>2193</v>
      </c>
      <c r="I3452" t="s">
        <v>2194</v>
      </c>
      <c r="J3452" t="s">
        <v>141</v>
      </c>
      <c r="K3452" s="3">
        <v>100117518378</v>
      </c>
      <c r="L3452" s="10">
        <v>41115</v>
      </c>
      <c r="M3452">
        <v>9695.84</v>
      </c>
      <c r="N3452" s="11">
        <v>16</v>
      </c>
      <c r="O3452" s="12">
        <v>599.99</v>
      </c>
      <c r="P3452" s="12">
        <v>24.49</v>
      </c>
      <c r="Q3452" s="13">
        <v>2752.11</v>
      </c>
      <c r="R3452" s="36" t="s">
        <v>634</v>
      </c>
      <c r="S3452" s="7">
        <f t="shared" si="293"/>
        <v>9</v>
      </c>
      <c r="T3452" s="15" t="str">
        <f>VLOOKUP(R3452,产品分类!$C$2:$D$1278,2,0)</f>
        <v>办公用品</v>
      </c>
    </row>
    <row r="3453" spans="1:20">
      <c r="A3453" s="8">
        <f t="shared" si="298"/>
        <v>41106</v>
      </c>
      <c r="B3453" s="8">
        <f t="shared" si="298"/>
        <v>41106</v>
      </c>
      <c r="C3453" s="9" t="s">
        <v>786</v>
      </c>
      <c r="D3453">
        <v>10021522334</v>
      </c>
      <c r="E3453" t="s">
        <v>47</v>
      </c>
      <c r="F3453" t="s">
        <v>83</v>
      </c>
      <c r="G3453" t="s">
        <v>84</v>
      </c>
      <c r="H3453" t="s">
        <v>2144</v>
      </c>
      <c r="I3453" t="s">
        <v>2145</v>
      </c>
      <c r="J3453" t="s">
        <v>141</v>
      </c>
      <c r="K3453" s="3">
        <v>10015005686</v>
      </c>
      <c r="L3453" s="10">
        <v>41115</v>
      </c>
      <c r="M3453">
        <v>246.79</v>
      </c>
      <c r="N3453" s="11">
        <v>36</v>
      </c>
      <c r="O3453" s="12">
        <v>6.48</v>
      </c>
      <c r="P3453" s="12">
        <v>6.6</v>
      </c>
      <c r="Q3453" s="13">
        <v>-90.08</v>
      </c>
      <c r="R3453" s="36" t="s">
        <v>784</v>
      </c>
      <c r="S3453" s="7">
        <f t="shared" si="293"/>
        <v>9</v>
      </c>
      <c r="T3453" s="15" t="str">
        <f>VLOOKUP(R3453,产品分类!$C$2:$D$1278,2,0)</f>
        <v>数码电子</v>
      </c>
    </row>
    <row r="3454" spans="1:20">
      <c r="A3454" s="8">
        <f t="shared" si="298"/>
        <v>41106</v>
      </c>
      <c r="B3454" s="8">
        <f t="shared" si="298"/>
        <v>41106</v>
      </c>
      <c r="C3454" s="9" t="s">
        <v>786</v>
      </c>
      <c r="D3454">
        <v>10021496995</v>
      </c>
      <c r="E3454" t="s">
        <v>47</v>
      </c>
      <c r="F3454" t="s">
        <v>61</v>
      </c>
      <c r="G3454" t="s">
        <v>62</v>
      </c>
      <c r="H3454" t="s">
        <v>2180</v>
      </c>
      <c r="I3454" t="s">
        <v>2181</v>
      </c>
      <c r="J3454" t="s">
        <v>141</v>
      </c>
      <c r="K3454" s="3">
        <v>100916004361</v>
      </c>
      <c r="L3454" s="10">
        <v>41115</v>
      </c>
      <c r="M3454">
        <v>777.78</v>
      </c>
      <c r="N3454" s="11">
        <v>39</v>
      </c>
      <c r="O3454" s="12">
        <v>19.84</v>
      </c>
      <c r="P3454" s="12">
        <v>4.1</v>
      </c>
      <c r="Q3454" s="13">
        <v>237.75</v>
      </c>
      <c r="R3454" s="36" t="s">
        <v>175</v>
      </c>
      <c r="S3454" s="7">
        <f t="shared" si="293"/>
        <v>9</v>
      </c>
      <c r="T3454" s="15" t="str">
        <f>VLOOKUP(R3454,产品分类!$C$2:$D$1278,2,0)</f>
        <v>办公用品</v>
      </c>
    </row>
    <row r="3455" spans="1:20">
      <c r="A3455" s="8">
        <f>DATE(2012,12,31)-1136</f>
        <v>40138</v>
      </c>
      <c r="B3455" s="8">
        <f>DATE(2012,12,31)-1136</f>
        <v>40138</v>
      </c>
      <c r="C3455" s="9" t="s">
        <v>428</v>
      </c>
      <c r="D3455">
        <v>10021424957</v>
      </c>
      <c r="E3455" t="s">
        <v>47</v>
      </c>
      <c r="F3455" t="s">
        <v>61</v>
      </c>
      <c r="G3455" t="s">
        <v>62</v>
      </c>
      <c r="H3455" t="s">
        <v>2180</v>
      </c>
      <c r="I3455" t="s">
        <v>2181</v>
      </c>
      <c r="J3455" t="s">
        <v>141</v>
      </c>
      <c r="K3455" s="3">
        <v>100129239177</v>
      </c>
      <c r="L3455" s="10">
        <v>40145</v>
      </c>
      <c r="M3455">
        <v>1644.59</v>
      </c>
      <c r="N3455" s="11">
        <v>33</v>
      </c>
      <c r="O3455" s="12">
        <v>50.98</v>
      </c>
      <c r="P3455" s="12">
        <v>6.5</v>
      </c>
      <c r="Q3455" s="13">
        <v>-52.92</v>
      </c>
      <c r="R3455" s="36" t="s">
        <v>1501</v>
      </c>
      <c r="S3455" s="7">
        <f t="shared" si="293"/>
        <v>7</v>
      </c>
      <c r="T3455" s="15" t="str">
        <f>VLOOKUP(R3455,产品分类!$C$2:$D$1278,2,0)</f>
        <v>家具产品</v>
      </c>
    </row>
    <row r="3456" spans="1:20">
      <c r="A3456" s="8">
        <f>DATE(2012,12,31)-702</f>
        <v>40572</v>
      </c>
      <c r="B3456" s="8">
        <f>DATE(2012,12,31)-702</f>
        <v>40572</v>
      </c>
      <c r="C3456" s="9" t="s">
        <v>2071</v>
      </c>
      <c r="D3456">
        <v>10021424596</v>
      </c>
      <c r="E3456" t="s">
        <v>47</v>
      </c>
      <c r="F3456" t="s">
        <v>61</v>
      </c>
      <c r="G3456" t="s">
        <v>62</v>
      </c>
      <c r="H3456" t="s">
        <v>2180</v>
      </c>
      <c r="I3456" t="s">
        <v>2181</v>
      </c>
      <c r="J3456" t="s">
        <v>141</v>
      </c>
      <c r="K3456" s="3">
        <v>100428854193</v>
      </c>
      <c r="L3456" s="10">
        <v>40573</v>
      </c>
      <c r="M3456">
        <v>1379.98</v>
      </c>
      <c r="N3456" s="11">
        <v>12</v>
      </c>
      <c r="O3456" s="12">
        <v>113.98</v>
      </c>
      <c r="P3456" s="12">
        <v>30</v>
      </c>
      <c r="Q3456" s="13">
        <v>-151.73</v>
      </c>
      <c r="R3456" s="36" t="s">
        <v>556</v>
      </c>
      <c r="S3456" s="7">
        <f t="shared" si="293"/>
        <v>1</v>
      </c>
      <c r="T3456" s="15" t="str">
        <f>VLOOKUP(R3456,产品分类!$C$2:$D$1278,2,0)</f>
        <v>办公用品</v>
      </c>
    </row>
    <row r="3457" spans="1:20">
      <c r="A3457" s="8">
        <f>DATE(2012,12,31)-246</f>
        <v>41028</v>
      </c>
      <c r="B3457" s="8">
        <f>DATE(2012,12,31)-246</f>
        <v>41028</v>
      </c>
      <c r="C3457" s="9" t="s">
        <v>1780</v>
      </c>
      <c r="D3457">
        <v>10021269140</v>
      </c>
      <c r="E3457" t="s">
        <v>47</v>
      </c>
      <c r="F3457" t="s">
        <v>61</v>
      </c>
      <c r="G3457" t="s">
        <v>62</v>
      </c>
      <c r="H3457" t="s">
        <v>2180</v>
      </c>
      <c r="I3457" t="s">
        <v>2181</v>
      </c>
      <c r="J3457" t="s">
        <v>141</v>
      </c>
      <c r="K3457" s="3">
        <v>100432430774</v>
      </c>
      <c r="L3457" s="10">
        <v>41030</v>
      </c>
      <c r="M3457">
        <v>2368.168</v>
      </c>
      <c r="N3457" s="11">
        <v>30</v>
      </c>
      <c r="O3457" s="12">
        <v>85.99</v>
      </c>
      <c r="P3457" s="12">
        <v>1.25</v>
      </c>
      <c r="Q3457" s="13">
        <v>1181.295</v>
      </c>
      <c r="R3457" s="36" t="s">
        <v>723</v>
      </c>
      <c r="S3457" s="7">
        <f t="shared" si="293"/>
        <v>2</v>
      </c>
      <c r="T3457" s="15" t="str">
        <f>VLOOKUP(R3457,产品分类!$C$2:$D$1278,2,0)</f>
        <v>办公用品</v>
      </c>
    </row>
    <row r="3458" spans="1:20">
      <c r="A3458" s="16">
        <f>DATE(2012,12,31)-1252</f>
        <v>40022</v>
      </c>
      <c r="B3458" s="16">
        <f>DATE(2012,12,31)-1252</f>
        <v>40022</v>
      </c>
      <c r="C3458" s="9" t="s">
        <v>1464</v>
      </c>
      <c r="D3458">
        <v>10021497231</v>
      </c>
      <c r="E3458" t="s">
        <v>47</v>
      </c>
      <c r="F3458" t="s">
        <v>61</v>
      </c>
      <c r="G3458" t="s">
        <v>62</v>
      </c>
      <c r="H3458" t="s">
        <v>2180</v>
      </c>
      <c r="I3458" t="s">
        <v>2181</v>
      </c>
      <c r="J3458" t="s">
        <v>141</v>
      </c>
      <c r="K3458" s="3">
        <v>100812288702</v>
      </c>
      <c r="L3458" s="10">
        <v>40024</v>
      </c>
      <c r="M3458">
        <v>2550.12</v>
      </c>
      <c r="N3458" s="17">
        <v>40</v>
      </c>
      <c r="O3458" s="5">
        <v>60.97</v>
      </c>
      <c r="P3458" s="5">
        <v>4.5</v>
      </c>
      <c r="Q3458" s="6">
        <v>882.45</v>
      </c>
      <c r="R3458" s="37" t="s">
        <v>608</v>
      </c>
      <c r="S3458" s="7">
        <f t="shared" si="293"/>
        <v>2</v>
      </c>
      <c r="T3458" s="15" t="str">
        <f>VLOOKUP(R3458,产品分类!$C$2:$D$1278,2,0)</f>
        <v>家具产品</v>
      </c>
    </row>
    <row r="3459" spans="1:20">
      <c r="A3459" s="8">
        <f>DATE(2012,12,31)-1252</f>
        <v>40022</v>
      </c>
      <c r="B3459" s="8">
        <f>DATE(2012,12,31)-1252</f>
        <v>40022</v>
      </c>
      <c r="C3459" s="9" t="s">
        <v>1464</v>
      </c>
      <c r="D3459">
        <v>10021386948</v>
      </c>
      <c r="E3459" t="s">
        <v>47</v>
      </c>
      <c r="F3459" t="s">
        <v>61</v>
      </c>
      <c r="G3459" t="s">
        <v>62</v>
      </c>
      <c r="H3459" t="s">
        <v>2180</v>
      </c>
      <c r="I3459" t="s">
        <v>2181</v>
      </c>
      <c r="J3459" t="s">
        <v>141</v>
      </c>
      <c r="K3459" s="3">
        <v>100114405998</v>
      </c>
      <c r="L3459" s="10">
        <v>40023</v>
      </c>
      <c r="M3459">
        <v>5897.47</v>
      </c>
      <c r="N3459" s="11">
        <v>46</v>
      </c>
      <c r="O3459" s="12">
        <v>122.99</v>
      </c>
      <c r="P3459" s="12">
        <v>70.2</v>
      </c>
      <c r="Q3459" s="13">
        <v>-1764.29</v>
      </c>
      <c r="R3459" s="36" t="s">
        <v>860</v>
      </c>
      <c r="S3459" s="7">
        <f t="shared" ref="S3459:S3522" si="299">+L3459-B3459</f>
        <v>1</v>
      </c>
      <c r="T3459" s="15" t="str">
        <f>VLOOKUP(R3459,产品分类!$C$2:$D$1278,2,0)</f>
        <v>办公用品</v>
      </c>
    </row>
    <row r="3460" spans="1:20">
      <c r="A3460" s="8">
        <f>DATE(2012,12,31)-626</f>
        <v>40648</v>
      </c>
      <c r="B3460" s="8">
        <f>DATE(2012,12,31)-626</f>
        <v>40648</v>
      </c>
      <c r="C3460" s="9" t="s">
        <v>1571</v>
      </c>
      <c r="D3460">
        <v>10021374622</v>
      </c>
      <c r="E3460" t="s">
        <v>47</v>
      </c>
      <c r="F3460" t="s">
        <v>91</v>
      </c>
      <c r="G3460" t="s">
        <v>92</v>
      </c>
      <c r="H3460" t="s">
        <v>2053</v>
      </c>
      <c r="I3460" t="s">
        <v>2054</v>
      </c>
      <c r="J3460" t="s">
        <v>141</v>
      </c>
      <c r="K3460" s="3">
        <v>100132122668</v>
      </c>
      <c r="L3460" s="10">
        <v>40649</v>
      </c>
      <c r="M3460">
        <v>662.51</v>
      </c>
      <c r="N3460" s="11">
        <v>46</v>
      </c>
      <c r="O3460" s="12">
        <v>15.67</v>
      </c>
      <c r="P3460" s="12">
        <v>1.39</v>
      </c>
      <c r="Q3460" s="13">
        <v>293.32</v>
      </c>
      <c r="R3460" s="36" t="s">
        <v>1012</v>
      </c>
      <c r="S3460" s="7">
        <f t="shared" si="299"/>
        <v>1</v>
      </c>
      <c r="T3460" s="15" t="str">
        <f>VLOOKUP(R3460,产品分类!$C$2:$D$1278,2,0)</f>
        <v>家具产品</v>
      </c>
    </row>
    <row r="3461" spans="1:20">
      <c r="A3461" s="8">
        <f>DATE(2012,12,31)-626</f>
        <v>40648</v>
      </c>
      <c r="B3461" s="8">
        <f>DATE(2012,12,31)-626</f>
        <v>40648</v>
      </c>
      <c r="C3461" s="9" t="s">
        <v>1571</v>
      </c>
      <c r="D3461">
        <v>10021346415</v>
      </c>
      <c r="E3461" t="s">
        <v>47</v>
      </c>
      <c r="F3461" t="s">
        <v>55</v>
      </c>
      <c r="G3461" t="s">
        <v>56</v>
      </c>
      <c r="H3461" t="s">
        <v>2112</v>
      </c>
      <c r="I3461" t="s">
        <v>2113</v>
      </c>
      <c r="J3461" t="s">
        <v>141</v>
      </c>
      <c r="K3461" s="3">
        <v>100830594612</v>
      </c>
      <c r="L3461" s="10">
        <v>40650</v>
      </c>
      <c r="M3461">
        <v>61.18</v>
      </c>
      <c r="N3461" s="11">
        <v>21</v>
      </c>
      <c r="O3461" s="12">
        <v>2.88</v>
      </c>
      <c r="P3461" s="12">
        <v>0.7</v>
      </c>
      <c r="Q3461" s="13">
        <v>6.85</v>
      </c>
      <c r="R3461" s="36" t="s">
        <v>100</v>
      </c>
      <c r="S3461" s="7">
        <f t="shared" si="299"/>
        <v>2</v>
      </c>
      <c r="T3461" s="15" t="str">
        <f>VLOOKUP(R3461,产品分类!$C$2:$D$1278,2,0)</f>
        <v>数码电子</v>
      </c>
    </row>
    <row r="3462" spans="1:20">
      <c r="A3462" s="8">
        <f>DATE(2012,12,31)-1306</f>
        <v>39968</v>
      </c>
      <c r="B3462" s="8">
        <f>DATE(2012,12,31)-1306</f>
        <v>39968</v>
      </c>
      <c r="C3462" s="9" t="s">
        <v>2056</v>
      </c>
      <c r="D3462">
        <v>10021421161</v>
      </c>
      <c r="E3462" t="s">
        <v>47</v>
      </c>
      <c r="F3462" t="s">
        <v>167</v>
      </c>
      <c r="G3462" t="s">
        <v>168</v>
      </c>
      <c r="H3462" t="s">
        <v>169</v>
      </c>
      <c r="I3462" t="s">
        <v>168</v>
      </c>
      <c r="J3462" t="s">
        <v>141</v>
      </c>
      <c r="K3462" s="3">
        <v>100925695851</v>
      </c>
      <c r="L3462" s="10">
        <v>39970</v>
      </c>
      <c r="M3462">
        <v>3029.97</v>
      </c>
      <c r="N3462" s="11">
        <v>3</v>
      </c>
      <c r="O3462" s="12">
        <v>999.99</v>
      </c>
      <c r="P3462" s="12">
        <v>13.99</v>
      </c>
      <c r="Q3462" s="13">
        <v>-1819.9965</v>
      </c>
      <c r="R3462" s="36" t="s">
        <v>1576</v>
      </c>
      <c r="S3462" s="7">
        <f t="shared" si="299"/>
        <v>2</v>
      </c>
      <c r="T3462" s="15" t="str">
        <f>VLOOKUP(R3462,产品分类!$C$2:$D$1278,2,0)</f>
        <v>办公用品</v>
      </c>
    </row>
    <row r="3463" spans="1:20">
      <c r="A3463" s="8">
        <f>DATE(2012,12,31)-1306</f>
        <v>39968</v>
      </c>
      <c r="B3463" s="8">
        <f>DATE(2012,12,31)-1306</f>
        <v>39968</v>
      </c>
      <c r="C3463" s="9" t="s">
        <v>2056</v>
      </c>
      <c r="D3463">
        <v>10021268587</v>
      </c>
      <c r="E3463" t="s">
        <v>47</v>
      </c>
      <c r="F3463" t="s">
        <v>61</v>
      </c>
      <c r="G3463" t="s">
        <v>62</v>
      </c>
      <c r="H3463" t="s">
        <v>2180</v>
      </c>
      <c r="I3463" t="s">
        <v>2181</v>
      </c>
      <c r="J3463" t="s">
        <v>141</v>
      </c>
      <c r="K3463" s="3">
        <v>100932403701</v>
      </c>
      <c r="L3463" s="10">
        <v>39969</v>
      </c>
      <c r="M3463">
        <v>241.04</v>
      </c>
      <c r="N3463" s="11">
        <v>34</v>
      </c>
      <c r="O3463" s="12">
        <v>6.48</v>
      </c>
      <c r="P3463" s="12">
        <v>5.14</v>
      </c>
      <c r="Q3463" s="13">
        <v>-28.2</v>
      </c>
      <c r="R3463" s="36" t="s">
        <v>325</v>
      </c>
      <c r="S3463" s="7">
        <f t="shared" si="299"/>
        <v>1</v>
      </c>
      <c r="T3463" s="15" t="str">
        <f>VLOOKUP(R3463,产品分类!$C$2:$D$1278,2,0)</f>
        <v>数码电子</v>
      </c>
    </row>
    <row r="3464" spans="1:20">
      <c r="A3464" s="8">
        <f t="shared" ref="A3464:B3466" si="300">DATE(2012,12,31)-289</f>
        <v>40985</v>
      </c>
      <c r="B3464" s="8">
        <f t="shared" si="300"/>
        <v>40985</v>
      </c>
      <c r="C3464" s="9" t="s">
        <v>1249</v>
      </c>
      <c r="D3464">
        <v>10021409632</v>
      </c>
      <c r="E3464" t="s">
        <v>47</v>
      </c>
      <c r="F3464" t="s">
        <v>152</v>
      </c>
      <c r="G3464" t="s">
        <v>153</v>
      </c>
      <c r="H3464" t="s">
        <v>2137</v>
      </c>
      <c r="I3464" t="s">
        <v>2138</v>
      </c>
      <c r="J3464" t="s">
        <v>141</v>
      </c>
      <c r="K3464" s="3">
        <v>10018218227</v>
      </c>
      <c r="L3464" s="10">
        <v>40988</v>
      </c>
      <c r="M3464">
        <v>44.17</v>
      </c>
      <c r="N3464" s="11">
        <v>5</v>
      </c>
      <c r="O3464" s="12">
        <v>7.59</v>
      </c>
      <c r="P3464" s="12">
        <v>4</v>
      </c>
      <c r="Q3464" s="13">
        <v>23.41</v>
      </c>
      <c r="R3464" s="36" t="s">
        <v>996</v>
      </c>
      <c r="S3464" s="7">
        <f t="shared" si="299"/>
        <v>3</v>
      </c>
      <c r="T3464" s="15" t="str">
        <f>VLOOKUP(R3464,产品分类!$C$2:$D$1278,2,0)</f>
        <v>家具产品</v>
      </c>
    </row>
    <row r="3465" spans="1:20">
      <c r="A3465" s="8">
        <f t="shared" si="300"/>
        <v>40985</v>
      </c>
      <c r="B3465" s="8">
        <f t="shared" si="300"/>
        <v>40985</v>
      </c>
      <c r="C3465" s="9" t="s">
        <v>1249</v>
      </c>
      <c r="D3465">
        <v>10021312990</v>
      </c>
      <c r="E3465" t="s">
        <v>47</v>
      </c>
      <c r="F3465" t="s">
        <v>66</v>
      </c>
      <c r="G3465" t="s">
        <v>67</v>
      </c>
      <c r="H3465" t="s">
        <v>2169</v>
      </c>
      <c r="I3465" t="s">
        <v>2170</v>
      </c>
      <c r="J3465" t="s">
        <v>141</v>
      </c>
      <c r="K3465" s="3">
        <v>100410556094</v>
      </c>
      <c r="L3465" s="10">
        <v>40987</v>
      </c>
      <c r="M3465">
        <v>192.92</v>
      </c>
      <c r="N3465" s="11">
        <v>37</v>
      </c>
      <c r="O3465" s="12">
        <v>5.43</v>
      </c>
      <c r="P3465" s="12">
        <v>0.95</v>
      </c>
      <c r="Q3465" s="13">
        <v>74.58</v>
      </c>
      <c r="R3465" s="36" t="s">
        <v>1308</v>
      </c>
      <c r="S3465" s="7">
        <f t="shared" si="299"/>
        <v>2</v>
      </c>
      <c r="T3465" s="15" t="str">
        <f>VLOOKUP(R3465,产品分类!$C$2:$D$1278,2,0)</f>
        <v>办公用品</v>
      </c>
    </row>
    <row r="3466" spans="1:20">
      <c r="A3466" s="8">
        <f t="shared" si="300"/>
        <v>40985</v>
      </c>
      <c r="B3466" s="8">
        <f t="shared" si="300"/>
        <v>40985</v>
      </c>
      <c r="C3466" s="9" t="s">
        <v>1249</v>
      </c>
      <c r="D3466">
        <v>10021478308</v>
      </c>
      <c r="E3466" t="s">
        <v>47</v>
      </c>
      <c r="F3466" t="s">
        <v>72</v>
      </c>
      <c r="G3466" t="s">
        <v>73</v>
      </c>
      <c r="H3466" t="s">
        <v>2008</v>
      </c>
      <c r="I3466" t="s">
        <v>2009</v>
      </c>
      <c r="J3466" t="s">
        <v>141</v>
      </c>
      <c r="K3466" s="3">
        <v>100915291561</v>
      </c>
      <c r="L3466" s="10">
        <v>40987</v>
      </c>
      <c r="M3466">
        <v>10532.94</v>
      </c>
      <c r="N3466" s="11">
        <v>37</v>
      </c>
      <c r="O3466" s="12">
        <v>279.48</v>
      </c>
      <c r="P3466" s="12">
        <v>35</v>
      </c>
      <c r="Q3466" s="13">
        <v>406.37</v>
      </c>
      <c r="R3466" s="36" t="s">
        <v>950</v>
      </c>
      <c r="S3466" s="7">
        <f t="shared" si="299"/>
        <v>2</v>
      </c>
      <c r="T3466" s="15" t="str">
        <f>VLOOKUP(R3466,产品分类!$C$2:$D$1278,2,0)</f>
        <v>数码电子</v>
      </c>
    </row>
    <row r="3467" spans="1:20">
      <c r="A3467" s="8">
        <f>DATE(2012,12,31)-301</f>
        <v>40973</v>
      </c>
      <c r="B3467" s="8">
        <f>DATE(2012,12,31)-301</f>
        <v>40973</v>
      </c>
      <c r="C3467" s="9" t="s">
        <v>1604</v>
      </c>
      <c r="D3467">
        <v>10021307258</v>
      </c>
      <c r="E3467" t="s">
        <v>47</v>
      </c>
      <c r="F3467" t="s">
        <v>230</v>
      </c>
      <c r="G3467" t="s">
        <v>231</v>
      </c>
      <c r="H3467" t="s">
        <v>2174</v>
      </c>
      <c r="I3467" t="s">
        <v>2175</v>
      </c>
      <c r="J3467" t="s">
        <v>141</v>
      </c>
      <c r="K3467" s="3">
        <v>10081475292</v>
      </c>
      <c r="L3467" s="10">
        <v>40975</v>
      </c>
      <c r="M3467">
        <v>364.4</v>
      </c>
      <c r="N3467" s="11">
        <v>44</v>
      </c>
      <c r="O3467" s="12">
        <v>8.5</v>
      </c>
      <c r="P3467" s="12">
        <v>1.99</v>
      </c>
      <c r="Q3467" s="13">
        <v>51.08</v>
      </c>
      <c r="R3467" s="36" t="s">
        <v>973</v>
      </c>
      <c r="S3467" s="7">
        <f t="shared" si="299"/>
        <v>2</v>
      </c>
      <c r="T3467" s="15" t="str">
        <f>VLOOKUP(R3467,产品分类!$C$2:$D$1278,2,0)</f>
        <v>办公用品</v>
      </c>
    </row>
    <row r="3468" spans="1:20">
      <c r="A3468" s="8">
        <f>DATE(2012,12,31)-604</f>
        <v>40670</v>
      </c>
      <c r="B3468" s="8">
        <f>DATE(2012,12,31)-604</f>
        <v>40670</v>
      </c>
      <c r="C3468" s="9" t="s">
        <v>1649</v>
      </c>
      <c r="D3468">
        <v>10021438052</v>
      </c>
      <c r="E3468" t="s">
        <v>47</v>
      </c>
      <c r="F3468" t="s">
        <v>91</v>
      </c>
      <c r="G3468" t="s">
        <v>92</v>
      </c>
      <c r="H3468" t="s">
        <v>2053</v>
      </c>
      <c r="I3468" t="s">
        <v>2054</v>
      </c>
      <c r="J3468" t="s">
        <v>141</v>
      </c>
      <c r="K3468" s="3">
        <v>10034187109</v>
      </c>
      <c r="L3468" s="10">
        <v>40671</v>
      </c>
      <c r="M3468">
        <v>33.99</v>
      </c>
      <c r="N3468" s="11">
        <v>7</v>
      </c>
      <c r="O3468" s="12">
        <v>4.77</v>
      </c>
      <c r="P3468" s="12">
        <v>2.39</v>
      </c>
      <c r="Q3468" s="13">
        <v>-25.86</v>
      </c>
      <c r="R3468" s="36" t="s">
        <v>1398</v>
      </c>
      <c r="S3468" s="7">
        <f t="shared" si="299"/>
        <v>1</v>
      </c>
      <c r="T3468" s="15" t="str">
        <f>VLOOKUP(R3468,产品分类!$C$2:$D$1278,2,0)</f>
        <v>办公用品</v>
      </c>
    </row>
    <row r="3469" spans="1:20">
      <c r="A3469" s="8">
        <f>DATE(2012,12,31)-473</f>
        <v>40801</v>
      </c>
      <c r="B3469" s="8">
        <f>DATE(2012,12,31)-473</f>
        <v>40801</v>
      </c>
      <c r="C3469" s="9" t="s">
        <v>809</v>
      </c>
      <c r="D3469">
        <v>10021398326</v>
      </c>
      <c r="E3469" t="s">
        <v>47</v>
      </c>
      <c r="F3469" t="s">
        <v>55</v>
      </c>
      <c r="G3469" t="s">
        <v>56</v>
      </c>
      <c r="H3469" t="s">
        <v>2112</v>
      </c>
      <c r="I3469" t="s">
        <v>2113</v>
      </c>
      <c r="J3469" t="s">
        <v>141</v>
      </c>
      <c r="K3469" s="3">
        <v>100332769779</v>
      </c>
      <c r="L3469" s="10">
        <v>40803</v>
      </c>
      <c r="M3469">
        <v>260.51</v>
      </c>
      <c r="N3469" s="11">
        <v>34</v>
      </c>
      <c r="O3469" s="12">
        <v>7.3</v>
      </c>
      <c r="P3469" s="12">
        <v>7.72</v>
      </c>
      <c r="Q3469" s="13">
        <v>-127.5235</v>
      </c>
      <c r="R3469" s="36" t="s">
        <v>295</v>
      </c>
      <c r="S3469" s="7">
        <f t="shared" si="299"/>
        <v>2</v>
      </c>
      <c r="T3469" s="15" t="str">
        <f>VLOOKUP(R3469,产品分类!$C$2:$D$1278,2,0)</f>
        <v>办公用品</v>
      </c>
    </row>
    <row r="3470" spans="1:20">
      <c r="A3470" s="8">
        <f>DATE(2012,12,31)-473</f>
        <v>40801</v>
      </c>
      <c r="B3470" s="8">
        <f>DATE(2012,12,31)-473</f>
        <v>40801</v>
      </c>
      <c r="C3470" s="9" t="s">
        <v>809</v>
      </c>
      <c r="D3470">
        <v>10021356209</v>
      </c>
      <c r="E3470" t="s">
        <v>47</v>
      </c>
      <c r="F3470" t="s">
        <v>177</v>
      </c>
      <c r="G3470" t="s">
        <v>178</v>
      </c>
      <c r="H3470" t="s">
        <v>2195</v>
      </c>
      <c r="I3470" t="s">
        <v>2196</v>
      </c>
      <c r="J3470" t="s">
        <v>141</v>
      </c>
      <c r="K3470" s="3">
        <v>100426271813</v>
      </c>
      <c r="L3470" s="10">
        <v>40803</v>
      </c>
      <c r="M3470">
        <v>466.28</v>
      </c>
      <c r="N3470" s="11">
        <v>15</v>
      </c>
      <c r="O3470" s="12">
        <v>29.89</v>
      </c>
      <c r="P3470" s="12">
        <v>1.99</v>
      </c>
      <c r="Q3470" s="13">
        <v>92.7</v>
      </c>
      <c r="R3470" s="36" t="s">
        <v>866</v>
      </c>
      <c r="S3470" s="7">
        <f t="shared" si="299"/>
        <v>2</v>
      </c>
      <c r="T3470" s="15" t="str">
        <f>VLOOKUP(R3470,产品分类!$C$2:$D$1278,2,0)</f>
        <v>办公用品</v>
      </c>
    </row>
    <row r="3471" spans="1:20">
      <c r="A3471" s="8">
        <f>DATE(2012,12,31)-296</f>
        <v>40978</v>
      </c>
      <c r="B3471" s="8">
        <f>DATE(2012,12,31)-296</f>
        <v>40978</v>
      </c>
      <c r="C3471" s="9" t="s">
        <v>453</v>
      </c>
      <c r="D3471">
        <v>10021247874</v>
      </c>
      <c r="E3471" t="s">
        <v>47</v>
      </c>
      <c r="F3471" t="s">
        <v>55</v>
      </c>
      <c r="G3471" t="s">
        <v>56</v>
      </c>
      <c r="H3471" t="s">
        <v>2112</v>
      </c>
      <c r="I3471" t="s">
        <v>2113</v>
      </c>
      <c r="J3471" t="s">
        <v>141</v>
      </c>
      <c r="K3471" s="3">
        <v>100132755927</v>
      </c>
      <c r="L3471" s="10">
        <v>40979</v>
      </c>
      <c r="M3471">
        <v>1961.39</v>
      </c>
      <c r="N3471" s="11">
        <v>14</v>
      </c>
      <c r="O3471" s="12">
        <v>136.98</v>
      </c>
      <c r="P3471" s="12">
        <v>24.49</v>
      </c>
      <c r="Q3471" s="13">
        <v>761.04</v>
      </c>
      <c r="R3471" s="36" t="s">
        <v>594</v>
      </c>
      <c r="S3471" s="7">
        <f t="shared" si="299"/>
        <v>1</v>
      </c>
      <c r="T3471" s="15" t="str">
        <f>VLOOKUP(R3471,产品分类!$C$2:$D$1278,2,0)</f>
        <v>数码电子</v>
      </c>
    </row>
    <row r="3472" spans="1:20">
      <c r="A3472" s="16">
        <f>DATE(2012,12,31)-296</f>
        <v>40978</v>
      </c>
      <c r="B3472" s="16">
        <f>DATE(2012,12,31)-296</f>
        <v>40978</v>
      </c>
      <c r="C3472" s="9" t="s">
        <v>453</v>
      </c>
      <c r="D3472">
        <v>10021563517</v>
      </c>
      <c r="E3472" t="s">
        <v>47</v>
      </c>
      <c r="F3472" t="s">
        <v>61</v>
      </c>
      <c r="G3472" t="s">
        <v>62</v>
      </c>
      <c r="H3472" t="s">
        <v>2180</v>
      </c>
      <c r="I3472" t="s">
        <v>2181</v>
      </c>
      <c r="J3472" t="s">
        <v>141</v>
      </c>
      <c r="K3472" s="3">
        <v>100824027212</v>
      </c>
      <c r="L3472" s="10">
        <v>40980</v>
      </c>
      <c r="M3472">
        <v>4.94</v>
      </c>
      <c r="N3472" s="17">
        <v>3</v>
      </c>
      <c r="O3472" s="5">
        <v>1.48</v>
      </c>
      <c r="P3472" s="5">
        <v>0.7</v>
      </c>
      <c r="Q3472" s="6">
        <v>-1.76</v>
      </c>
      <c r="R3472" s="37" t="s">
        <v>1220</v>
      </c>
      <c r="S3472" s="7">
        <f t="shared" si="299"/>
        <v>2</v>
      </c>
      <c r="T3472" s="15" t="str">
        <f>VLOOKUP(R3472,产品分类!$C$2:$D$1278,2,0)</f>
        <v>家具产品</v>
      </c>
    </row>
    <row r="3473" spans="1:20">
      <c r="A3473" s="8">
        <f>DATE(2012,12,31)-823</f>
        <v>40451</v>
      </c>
      <c r="B3473" s="8">
        <f>DATE(2012,12,31)-823</f>
        <v>40451</v>
      </c>
      <c r="C3473" s="9" t="s">
        <v>2011</v>
      </c>
      <c r="D3473">
        <v>10021490014</v>
      </c>
      <c r="E3473" t="s">
        <v>47</v>
      </c>
      <c r="F3473" t="s">
        <v>83</v>
      </c>
      <c r="G3473" t="s">
        <v>84</v>
      </c>
      <c r="H3473" t="s">
        <v>2144</v>
      </c>
      <c r="I3473" t="s">
        <v>2145</v>
      </c>
      <c r="J3473" t="s">
        <v>141</v>
      </c>
      <c r="K3473" s="3">
        <v>100723385045</v>
      </c>
      <c r="L3473" s="10">
        <v>40455</v>
      </c>
      <c r="M3473">
        <v>22.06</v>
      </c>
      <c r="N3473" s="11">
        <v>3</v>
      </c>
      <c r="O3473" s="12">
        <v>4.98</v>
      </c>
      <c r="P3473" s="12">
        <v>7.44</v>
      </c>
      <c r="Q3473" s="13">
        <v>-15.6</v>
      </c>
      <c r="R3473" s="36" t="s">
        <v>287</v>
      </c>
      <c r="S3473" s="7">
        <f t="shared" si="299"/>
        <v>4</v>
      </c>
      <c r="T3473" s="15" t="str">
        <f>VLOOKUP(R3473,产品分类!$C$2:$D$1278,2,0)</f>
        <v>办公用品</v>
      </c>
    </row>
    <row r="3474" spans="1:20">
      <c r="A3474" s="8">
        <f>DATE(2012,12,31)-1121</f>
        <v>40153</v>
      </c>
      <c r="B3474" s="8">
        <f>DATE(2012,12,31)-1121</f>
        <v>40153</v>
      </c>
      <c r="C3474" s="9" t="s">
        <v>197</v>
      </c>
      <c r="D3474">
        <v>10021470898</v>
      </c>
      <c r="E3474" t="s">
        <v>47</v>
      </c>
      <c r="F3474" t="s">
        <v>55</v>
      </c>
      <c r="G3474" t="s">
        <v>56</v>
      </c>
      <c r="H3474" t="s">
        <v>2112</v>
      </c>
      <c r="I3474" t="s">
        <v>2113</v>
      </c>
      <c r="J3474" t="s">
        <v>141</v>
      </c>
      <c r="K3474" s="3">
        <v>100717102135</v>
      </c>
      <c r="L3474" s="10">
        <v>40156</v>
      </c>
      <c r="M3474">
        <v>549.92</v>
      </c>
      <c r="N3474" s="11">
        <v>3</v>
      </c>
      <c r="O3474" s="12">
        <v>180.98</v>
      </c>
      <c r="P3474" s="12">
        <v>26.2</v>
      </c>
      <c r="Q3474" s="13">
        <v>-210.97</v>
      </c>
      <c r="R3474" s="36" t="s">
        <v>1580</v>
      </c>
      <c r="S3474" s="7">
        <f t="shared" si="299"/>
        <v>3</v>
      </c>
      <c r="T3474" s="15" t="str">
        <f>VLOOKUP(R3474,产品分类!$C$2:$D$1278,2,0)</f>
        <v>数码电子</v>
      </c>
    </row>
    <row r="3475" spans="1:20">
      <c r="A3475" s="8">
        <f>DATE(2012,12,31)-1121</f>
        <v>40153</v>
      </c>
      <c r="B3475" s="8">
        <f>DATE(2012,12,31)-1121</f>
        <v>40153</v>
      </c>
      <c r="C3475" s="9" t="s">
        <v>197</v>
      </c>
      <c r="D3475">
        <v>10021377759</v>
      </c>
      <c r="E3475" t="s">
        <v>47</v>
      </c>
      <c r="F3475" t="s">
        <v>55</v>
      </c>
      <c r="G3475" t="s">
        <v>56</v>
      </c>
      <c r="H3475" t="s">
        <v>2197</v>
      </c>
      <c r="I3475" t="s">
        <v>2198</v>
      </c>
      <c r="J3475" t="s">
        <v>141</v>
      </c>
      <c r="K3475" s="3">
        <v>100413544643</v>
      </c>
      <c r="L3475" s="10">
        <v>40154</v>
      </c>
      <c r="M3475">
        <v>182.09</v>
      </c>
      <c r="N3475" s="11">
        <v>26</v>
      </c>
      <c r="O3475" s="12">
        <v>6.48</v>
      </c>
      <c r="P3475" s="12">
        <v>5.19</v>
      </c>
      <c r="Q3475" s="13">
        <v>-28.15</v>
      </c>
      <c r="R3475" s="36" t="s">
        <v>2199</v>
      </c>
      <c r="S3475" s="7">
        <f t="shared" si="299"/>
        <v>1</v>
      </c>
      <c r="T3475" s="15" t="str">
        <f>VLOOKUP(R3475,产品分类!$C$2:$D$1278,2,0)</f>
        <v>办公用品</v>
      </c>
    </row>
    <row r="3476" spans="1:20">
      <c r="A3476" s="8">
        <f>DATE(2012,12,31)-1086</f>
        <v>40188</v>
      </c>
      <c r="B3476" s="8">
        <f>DATE(2012,12,31)-1086</f>
        <v>40188</v>
      </c>
      <c r="C3476" s="9" t="s">
        <v>877</v>
      </c>
      <c r="D3476">
        <v>10021481628</v>
      </c>
      <c r="E3476" t="s">
        <v>47</v>
      </c>
      <c r="F3476" t="s">
        <v>97</v>
      </c>
      <c r="G3476" t="s">
        <v>98</v>
      </c>
      <c r="H3476" t="s">
        <v>99</v>
      </c>
      <c r="I3476" t="s">
        <v>98</v>
      </c>
      <c r="J3476" t="s">
        <v>141</v>
      </c>
      <c r="K3476" s="3">
        <v>100716071195</v>
      </c>
      <c r="L3476" s="10">
        <v>40189</v>
      </c>
      <c r="M3476">
        <v>1091.47</v>
      </c>
      <c r="N3476" s="11">
        <v>11</v>
      </c>
      <c r="O3476" s="12">
        <v>92.23</v>
      </c>
      <c r="P3476" s="12">
        <v>39.61</v>
      </c>
      <c r="Q3476" s="13">
        <v>160.48</v>
      </c>
      <c r="R3476" s="36" t="s">
        <v>1164</v>
      </c>
      <c r="S3476" s="7">
        <f t="shared" si="299"/>
        <v>1</v>
      </c>
      <c r="T3476" s="15" t="str">
        <f>VLOOKUP(R3476,产品分类!$C$2:$D$1278,2,0)</f>
        <v>数码电子</v>
      </c>
    </row>
    <row r="3477" spans="1:20">
      <c r="A3477" s="8">
        <f>DATE(2012,12,31)-1086</f>
        <v>40188</v>
      </c>
      <c r="B3477" s="8">
        <f>DATE(2012,12,31)-1086</f>
        <v>40188</v>
      </c>
      <c r="C3477" s="9" t="s">
        <v>877</v>
      </c>
      <c r="D3477">
        <v>10021474209</v>
      </c>
      <c r="E3477" t="s">
        <v>47</v>
      </c>
      <c r="F3477" t="s">
        <v>208</v>
      </c>
      <c r="G3477" t="s">
        <v>209</v>
      </c>
      <c r="H3477" t="s">
        <v>2177</v>
      </c>
      <c r="I3477" t="s">
        <v>2178</v>
      </c>
      <c r="J3477" t="s">
        <v>141</v>
      </c>
      <c r="K3477" s="3">
        <v>100132932948</v>
      </c>
      <c r="L3477" s="10">
        <v>40188</v>
      </c>
      <c r="M3477">
        <v>112.59</v>
      </c>
      <c r="N3477" s="11">
        <v>35</v>
      </c>
      <c r="O3477" s="12">
        <v>3.28</v>
      </c>
      <c r="P3477" s="12">
        <v>5</v>
      </c>
      <c r="Q3477" s="13">
        <v>-126.7</v>
      </c>
      <c r="R3477" s="36" t="s">
        <v>906</v>
      </c>
      <c r="S3477" s="7">
        <f t="shared" si="299"/>
        <v>0</v>
      </c>
      <c r="T3477" s="15" t="str">
        <f>VLOOKUP(R3477,产品分类!$C$2:$D$1278,2,0)</f>
        <v>数码电子</v>
      </c>
    </row>
    <row r="3478" spans="1:20">
      <c r="A3478" s="8">
        <f>DATE(2012,12,31)-186</f>
        <v>41088</v>
      </c>
      <c r="B3478" s="8">
        <f>DATE(2012,12,31)-186</f>
        <v>41088</v>
      </c>
      <c r="C3478" s="9" t="s">
        <v>425</v>
      </c>
      <c r="D3478">
        <v>10021511066</v>
      </c>
      <c r="E3478" t="s">
        <v>47</v>
      </c>
      <c r="F3478" t="s">
        <v>66</v>
      </c>
      <c r="G3478" t="s">
        <v>67</v>
      </c>
      <c r="H3478" t="s">
        <v>2169</v>
      </c>
      <c r="I3478" t="s">
        <v>2170</v>
      </c>
      <c r="J3478" t="s">
        <v>141</v>
      </c>
      <c r="K3478" s="3">
        <v>100432711574</v>
      </c>
      <c r="L3478" s="10">
        <v>41095</v>
      </c>
      <c r="M3478">
        <v>9633.59</v>
      </c>
      <c r="N3478" s="11">
        <v>47</v>
      </c>
      <c r="O3478" s="12">
        <v>216.6</v>
      </c>
      <c r="P3478" s="12">
        <v>64.2</v>
      </c>
      <c r="Q3478" s="13">
        <v>176.67</v>
      </c>
      <c r="R3478" s="36" t="s">
        <v>898</v>
      </c>
      <c r="S3478" s="7">
        <f t="shared" si="299"/>
        <v>7</v>
      </c>
      <c r="T3478" s="15" t="str">
        <f>VLOOKUP(R3478,产品分类!$C$2:$D$1278,2,0)</f>
        <v>数码电子</v>
      </c>
    </row>
    <row r="3479" spans="1:20">
      <c r="A3479" s="8">
        <f>DATE(2012,12,31)-186</f>
        <v>41088</v>
      </c>
      <c r="B3479" s="8">
        <f>DATE(2012,12,31)-186</f>
        <v>41088</v>
      </c>
      <c r="C3479" s="9" t="s">
        <v>425</v>
      </c>
      <c r="D3479">
        <v>10021255307</v>
      </c>
      <c r="E3479" t="s">
        <v>47</v>
      </c>
      <c r="F3479" t="s">
        <v>66</v>
      </c>
      <c r="G3479" t="s">
        <v>67</v>
      </c>
      <c r="H3479" t="s">
        <v>2169</v>
      </c>
      <c r="I3479" t="s">
        <v>2170</v>
      </c>
      <c r="J3479" t="s">
        <v>141</v>
      </c>
      <c r="K3479" s="3">
        <v>100123764008</v>
      </c>
      <c r="L3479" s="10">
        <v>41093</v>
      </c>
      <c r="M3479">
        <v>3758.77</v>
      </c>
      <c r="N3479" s="11">
        <v>26</v>
      </c>
      <c r="O3479" s="12">
        <v>140.81</v>
      </c>
      <c r="P3479" s="12">
        <v>24.49</v>
      </c>
      <c r="Q3479" s="13">
        <v>753.61</v>
      </c>
      <c r="R3479" s="36" t="s">
        <v>1469</v>
      </c>
      <c r="S3479" s="7">
        <f t="shared" si="299"/>
        <v>5</v>
      </c>
      <c r="T3479" s="15" t="str">
        <f>VLOOKUP(R3479,产品分类!$C$2:$D$1278,2,0)</f>
        <v>办公用品</v>
      </c>
    </row>
    <row r="3480" spans="1:20">
      <c r="A3480" s="8">
        <f>DATE(2012,12,31)-318</f>
        <v>40956</v>
      </c>
      <c r="B3480" s="8">
        <f>DATE(2012,12,31)-318</f>
        <v>40956</v>
      </c>
      <c r="C3480" s="9" t="s">
        <v>1868</v>
      </c>
      <c r="D3480">
        <v>10021593334</v>
      </c>
      <c r="E3480" t="s">
        <v>47</v>
      </c>
      <c r="F3480" t="s">
        <v>152</v>
      </c>
      <c r="G3480" t="s">
        <v>153</v>
      </c>
      <c r="H3480" t="s">
        <v>2137</v>
      </c>
      <c r="I3480" t="s">
        <v>2138</v>
      </c>
      <c r="J3480" t="s">
        <v>141</v>
      </c>
      <c r="K3480" s="3">
        <v>100932415781</v>
      </c>
      <c r="L3480" s="10">
        <v>40958</v>
      </c>
      <c r="M3480">
        <v>1616.66</v>
      </c>
      <c r="N3480" s="11">
        <v>15</v>
      </c>
      <c r="O3480" s="12">
        <v>100.98</v>
      </c>
      <c r="P3480" s="12">
        <v>56.22</v>
      </c>
      <c r="Q3480" s="13">
        <v>112.58</v>
      </c>
      <c r="R3480" s="36" t="s">
        <v>424</v>
      </c>
      <c r="S3480" s="7">
        <f t="shared" si="299"/>
        <v>2</v>
      </c>
      <c r="T3480" s="15" t="str">
        <f>VLOOKUP(R3480,产品分类!$C$2:$D$1278,2,0)</f>
        <v>数码电子</v>
      </c>
    </row>
    <row r="3481" spans="1:20">
      <c r="A3481" s="8">
        <f>DATE(2012,12,31)-318</f>
        <v>40956</v>
      </c>
      <c r="B3481" s="8">
        <f>DATE(2012,12,31)-318</f>
        <v>40956</v>
      </c>
      <c r="C3481" s="9" t="s">
        <v>1868</v>
      </c>
      <c r="D3481">
        <v>10021576589</v>
      </c>
      <c r="E3481" t="s">
        <v>47</v>
      </c>
      <c r="F3481" t="s">
        <v>152</v>
      </c>
      <c r="G3481" t="s">
        <v>153</v>
      </c>
      <c r="H3481" t="s">
        <v>2200</v>
      </c>
      <c r="I3481" t="s">
        <v>2201</v>
      </c>
      <c r="J3481" t="s">
        <v>141</v>
      </c>
      <c r="K3481" s="3">
        <v>100914246111</v>
      </c>
      <c r="L3481" s="10">
        <v>40957</v>
      </c>
      <c r="M3481">
        <v>96.21</v>
      </c>
      <c r="N3481" s="11">
        <v>6</v>
      </c>
      <c r="O3481" s="12">
        <v>14.58</v>
      </c>
      <c r="P3481" s="12">
        <v>57.4</v>
      </c>
      <c r="Q3481" s="13">
        <v>-19.34</v>
      </c>
      <c r="R3481" s="36" t="s">
        <v>379</v>
      </c>
      <c r="S3481" s="7">
        <f t="shared" si="299"/>
        <v>1</v>
      </c>
      <c r="T3481" s="15" t="str">
        <f>VLOOKUP(R3481,产品分类!$C$2:$D$1278,2,0)</f>
        <v>数码电子</v>
      </c>
    </row>
    <row r="3482" spans="1:20">
      <c r="A3482" s="8">
        <f t="shared" ref="A3482:B3484" si="301">DATE(2012,12,31)-46</f>
        <v>41228</v>
      </c>
      <c r="B3482" s="8">
        <f t="shared" si="301"/>
        <v>41228</v>
      </c>
      <c r="C3482" s="9" t="s">
        <v>546</v>
      </c>
      <c r="D3482">
        <v>10021504086</v>
      </c>
      <c r="E3482" t="s">
        <v>47</v>
      </c>
      <c r="F3482" t="s">
        <v>66</v>
      </c>
      <c r="G3482" t="s">
        <v>67</v>
      </c>
      <c r="H3482" t="s">
        <v>2169</v>
      </c>
      <c r="I3482" t="s">
        <v>2170</v>
      </c>
      <c r="J3482" t="s">
        <v>141</v>
      </c>
      <c r="K3482" s="3">
        <v>100330037269</v>
      </c>
      <c r="L3482" s="10">
        <v>41229</v>
      </c>
      <c r="M3482">
        <v>18.91</v>
      </c>
      <c r="N3482" s="11">
        <v>3</v>
      </c>
      <c r="O3482" s="12">
        <v>3.89</v>
      </c>
      <c r="P3482" s="12">
        <v>7.01</v>
      </c>
      <c r="Q3482" s="13">
        <v>-16.353</v>
      </c>
      <c r="R3482" s="36" t="s">
        <v>749</v>
      </c>
      <c r="S3482" s="7">
        <f t="shared" si="299"/>
        <v>1</v>
      </c>
      <c r="T3482" s="15" t="str">
        <f>VLOOKUP(R3482,产品分类!$C$2:$D$1278,2,0)</f>
        <v>办公用品</v>
      </c>
    </row>
    <row r="3483" spans="1:20">
      <c r="A3483" s="8">
        <f t="shared" si="301"/>
        <v>41228</v>
      </c>
      <c r="B3483" s="8">
        <f t="shared" si="301"/>
        <v>41228</v>
      </c>
      <c r="C3483" s="9" t="s">
        <v>546</v>
      </c>
      <c r="D3483">
        <v>10021264164</v>
      </c>
      <c r="E3483" t="s">
        <v>47</v>
      </c>
      <c r="F3483" t="s">
        <v>152</v>
      </c>
      <c r="G3483" t="s">
        <v>153</v>
      </c>
      <c r="H3483" t="s">
        <v>2200</v>
      </c>
      <c r="I3483" t="s">
        <v>2201</v>
      </c>
      <c r="J3483" t="s">
        <v>141</v>
      </c>
      <c r="K3483" s="3">
        <v>100418719743</v>
      </c>
      <c r="L3483" s="10">
        <v>41229</v>
      </c>
      <c r="M3483">
        <v>685.7</v>
      </c>
      <c r="N3483" s="11">
        <v>7</v>
      </c>
      <c r="O3483" s="12">
        <v>88.84</v>
      </c>
      <c r="P3483" s="12">
        <v>20.79</v>
      </c>
      <c r="Q3483" s="13">
        <v>350.94</v>
      </c>
      <c r="R3483" s="36" t="s">
        <v>2202</v>
      </c>
      <c r="S3483" s="7">
        <f t="shared" si="299"/>
        <v>1</v>
      </c>
      <c r="T3483" s="15" t="str">
        <f>VLOOKUP(R3483,产品分类!$C$2:$D$1278,2,0)</f>
        <v>办公用品</v>
      </c>
    </row>
    <row r="3484" spans="1:20">
      <c r="A3484" s="8">
        <f t="shared" si="301"/>
        <v>41228</v>
      </c>
      <c r="B3484" s="8">
        <f t="shared" si="301"/>
        <v>41228</v>
      </c>
      <c r="C3484" s="9" t="s">
        <v>546</v>
      </c>
      <c r="D3484">
        <v>10021250948</v>
      </c>
      <c r="E3484" t="s">
        <v>47</v>
      </c>
      <c r="F3484" t="s">
        <v>66</v>
      </c>
      <c r="G3484" t="s">
        <v>67</v>
      </c>
      <c r="H3484" t="s">
        <v>2169</v>
      </c>
      <c r="I3484" t="s">
        <v>2170</v>
      </c>
      <c r="J3484" t="s">
        <v>141</v>
      </c>
      <c r="K3484" s="3">
        <v>100116355938</v>
      </c>
      <c r="L3484" s="10">
        <v>41229</v>
      </c>
      <c r="M3484">
        <v>1024.165</v>
      </c>
      <c r="N3484" s="11">
        <v>10</v>
      </c>
      <c r="O3484" s="12">
        <v>115.99</v>
      </c>
      <c r="P3484" s="12">
        <v>5.99</v>
      </c>
      <c r="Q3484" s="13">
        <v>-105.699</v>
      </c>
      <c r="R3484" s="36" t="s">
        <v>1082</v>
      </c>
      <c r="S3484" s="7">
        <f t="shared" si="299"/>
        <v>1</v>
      </c>
      <c r="T3484" s="15" t="str">
        <f>VLOOKUP(R3484,产品分类!$C$2:$D$1278,2,0)</f>
        <v>家具产品</v>
      </c>
    </row>
    <row r="3485" spans="1:20">
      <c r="A3485" s="8">
        <f>DATE(2012,12,31)-1438</f>
        <v>39836</v>
      </c>
      <c r="B3485" s="8">
        <f>DATE(2012,12,31)-1438</f>
        <v>39836</v>
      </c>
      <c r="C3485" s="9" t="s">
        <v>2203</v>
      </c>
      <c r="D3485">
        <v>10021576903</v>
      </c>
      <c r="E3485" t="s">
        <v>47</v>
      </c>
      <c r="F3485" t="s">
        <v>66</v>
      </c>
      <c r="G3485" t="s">
        <v>67</v>
      </c>
      <c r="H3485" t="s">
        <v>2169</v>
      </c>
      <c r="I3485" t="s">
        <v>2170</v>
      </c>
      <c r="J3485" t="s">
        <v>141</v>
      </c>
      <c r="K3485" s="3">
        <v>100916610971</v>
      </c>
      <c r="L3485" s="10">
        <v>39838</v>
      </c>
      <c r="M3485">
        <v>1383.2</v>
      </c>
      <c r="N3485" s="11">
        <v>18</v>
      </c>
      <c r="O3485" s="12">
        <v>73.98</v>
      </c>
      <c r="P3485" s="12">
        <v>12.14</v>
      </c>
      <c r="Q3485" s="13">
        <v>-23.44</v>
      </c>
      <c r="R3485" s="36" t="s">
        <v>600</v>
      </c>
      <c r="S3485" s="7">
        <f t="shared" si="299"/>
        <v>2</v>
      </c>
      <c r="T3485" s="15" t="str">
        <f>VLOOKUP(R3485,产品分类!$C$2:$D$1278,2,0)</f>
        <v>数码电子</v>
      </c>
    </row>
    <row r="3486" spans="1:20">
      <c r="A3486" s="8">
        <f>DATE(2012,12,31)-584</f>
        <v>40690</v>
      </c>
      <c r="B3486" s="8">
        <f>DATE(2012,12,31)-584</f>
        <v>40690</v>
      </c>
      <c r="C3486" s="9" t="s">
        <v>1448</v>
      </c>
      <c r="D3486">
        <v>10021587943</v>
      </c>
      <c r="E3486" t="s">
        <v>47</v>
      </c>
      <c r="F3486" t="s">
        <v>66</v>
      </c>
      <c r="G3486" t="s">
        <v>67</v>
      </c>
      <c r="H3486" t="s">
        <v>2169</v>
      </c>
      <c r="I3486" t="s">
        <v>2170</v>
      </c>
      <c r="J3486" t="s">
        <v>141</v>
      </c>
      <c r="K3486" s="3">
        <v>100930112941</v>
      </c>
      <c r="L3486" s="10">
        <v>40692</v>
      </c>
      <c r="M3486">
        <v>211.42</v>
      </c>
      <c r="N3486" s="11">
        <v>20</v>
      </c>
      <c r="O3486" s="12">
        <v>9.71</v>
      </c>
      <c r="P3486" s="12">
        <v>9.45</v>
      </c>
      <c r="Q3486" s="13">
        <v>-113.52</v>
      </c>
      <c r="R3486" s="36" t="s">
        <v>135</v>
      </c>
      <c r="S3486" s="7">
        <f t="shared" si="299"/>
        <v>2</v>
      </c>
      <c r="T3486" s="15" t="str">
        <f>VLOOKUP(R3486,产品分类!$C$2:$D$1278,2,0)</f>
        <v>办公用品</v>
      </c>
    </row>
    <row r="3487" spans="1:20">
      <c r="A3487" s="16">
        <f>DATE(2012,12,31)-847</f>
        <v>40427</v>
      </c>
      <c r="B3487" s="16">
        <f>DATE(2012,12,31)-847</f>
        <v>40427</v>
      </c>
      <c r="C3487" s="9" t="s">
        <v>1168</v>
      </c>
      <c r="D3487">
        <v>10021581537</v>
      </c>
      <c r="E3487" t="s">
        <v>47</v>
      </c>
      <c r="F3487" t="s">
        <v>66</v>
      </c>
      <c r="G3487" t="s">
        <v>67</v>
      </c>
      <c r="H3487" t="s">
        <v>2169</v>
      </c>
      <c r="I3487" t="s">
        <v>2170</v>
      </c>
      <c r="J3487" t="s">
        <v>141</v>
      </c>
      <c r="K3487" s="3">
        <v>100124496168</v>
      </c>
      <c r="L3487" s="10">
        <v>40429</v>
      </c>
      <c r="M3487">
        <v>112.03</v>
      </c>
      <c r="N3487" s="17">
        <v>20</v>
      </c>
      <c r="O3487" s="5">
        <v>5.18</v>
      </c>
      <c r="P3487" s="5">
        <v>5.74</v>
      </c>
      <c r="Q3487" s="6">
        <v>-57.9945</v>
      </c>
      <c r="R3487" s="37" t="s">
        <v>458</v>
      </c>
      <c r="S3487" s="7">
        <f t="shared" si="299"/>
        <v>2</v>
      </c>
      <c r="T3487" s="15" t="str">
        <f>VLOOKUP(R3487,产品分类!$C$2:$D$1278,2,0)</f>
        <v>家具产品</v>
      </c>
    </row>
    <row r="3488" spans="1:20">
      <c r="A3488" s="8">
        <f>DATE(2012,12,31)-899</f>
        <v>40375</v>
      </c>
      <c r="B3488" s="8">
        <f>DATE(2012,12,31)-899</f>
        <v>40375</v>
      </c>
      <c r="C3488" s="9" t="s">
        <v>388</v>
      </c>
      <c r="D3488">
        <v>10021433009</v>
      </c>
      <c r="E3488" t="s">
        <v>47</v>
      </c>
      <c r="F3488" t="s">
        <v>152</v>
      </c>
      <c r="G3488" t="s">
        <v>153</v>
      </c>
      <c r="H3488" t="s">
        <v>2200</v>
      </c>
      <c r="I3488" t="s">
        <v>2201</v>
      </c>
      <c r="J3488" t="s">
        <v>141</v>
      </c>
      <c r="K3488" s="3">
        <v>100432591163</v>
      </c>
      <c r="L3488" s="10">
        <v>40377</v>
      </c>
      <c r="M3488">
        <v>5205.83</v>
      </c>
      <c r="N3488" s="11">
        <v>45</v>
      </c>
      <c r="O3488" s="12">
        <v>124.49</v>
      </c>
      <c r="P3488" s="12">
        <v>51.94</v>
      </c>
      <c r="Q3488" s="13">
        <v>-818.766</v>
      </c>
      <c r="R3488" s="36" t="s">
        <v>237</v>
      </c>
      <c r="S3488" s="7">
        <f t="shared" si="299"/>
        <v>2</v>
      </c>
      <c r="T3488" s="15" t="str">
        <f>VLOOKUP(R3488,产品分类!$C$2:$D$1278,2,0)</f>
        <v>数码电子</v>
      </c>
    </row>
    <row r="3489" spans="1:20">
      <c r="A3489" s="8">
        <f>DATE(2012,12,31)-287</f>
        <v>40987</v>
      </c>
      <c r="B3489" s="8">
        <f>DATE(2012,12,31)-287</f>
        <v>40987</v>
      </c>
      <c r="C3489" s="9" t="s">
        <v>147</v>
      </c>
      <c r="D3489">
        <v>10021346487</v>
      </c>
      <c r="E3489" t="s">
        <v>47</v>
      </c>
      <c r="F3489" t="s">
        <v>48</v>
      </c>
      <c r="G3489" t="s">
        <v>49</v>
      </c>
      <c r="H3489" t="s">
        <v>2183</v>
      </c>
      <c r="I3489" t="s">
        <v>2184</v>
      </c>
      <c r="J3489" t="s">
        <v>141</v>
      </c>
      <c r="K3489" s="3">
        <v>100430659683</v>
      </c>
      <c r="L3489" s="10">
        <v>40988</v>
      </c>
      <c r="M3489">
        <v>175.23</v>
      </c>
      <c r="N3489" s="11">
        <v>46</v>
      </c>
      <c r="O3489" s="12">
        <v>3.69</v>
      </c>
      <c r="P3489" s="12">
        <v>2.5</v>
      </c>
      <c r="Q3489" s="13">
        <v>-13.35</v>
      </c>
      <c r="R3489" s="36" t="s">
        <v>1982</v>
      </c>
      <c r="S3489" s="7">
        <f t="shared" si="299"/>
        <v>1</v>
      </c>
      <c r="T3489" s="15" t="str">
        <f>VLOOKUP(R3489,产品分类!$C$2:$D$1278,2,0)</f>
        <v>办公用品</v>
      </c>
    </row>
    <row r="3490" spans="1:20">
      <c r="A3490" s="8">
        <f>DATE(2012,12,31)-1300</f>
        <v>39974</v>
      </c>
      <c r="B3490" s="8">
        <f>DATE(2012,12,31)-1300</f>
        <v>39974</v>
      </c>
      <c r="C3490" s="9" t="s">
        <v>1159</v>
      </c>
      <c r="D3490">
        <v>10021363898</v>
      </c>
      <c r="E3490" t="s">
        <v>47</v>
      </c>
      <c r="F3490" t="s">
        <v>48</v>
      </c>
      <c r="G3490" t="s">
        <v>49</v>
      </c>
      <c r="H3490" t="s">
        <v>2183</v>
      </c>
      <c r="I3490" t="s">
        <v>2184</v>
      </c>
      <c r="J3490" t="s">
        <v>141</v>
      </c>
      <c r="K3490" s="3">
        <v>10078152365</v>
      </c>
      <c r="L3490" s="10">
        <v>39975</v>
      </c>
      <c r="M3490">
        <v>132.72</v>
      </c>
      <c r="N3490" s="11">
        <v>14</v>
      </c>
      <c r="O3490" s="12">
        <v>8.85</v>
      </c>
      <c r="P3490" s="12">
        <v>5.6</v>
      </c>
      <c r="Q3490" s="13">
        <v>-9.177</v>
      </c>
      <c r="R3490" s="36" t="s">
        <v>1281</v>
      </c>
      <c r="S3490" s="7">
        <f t="shared" si="299"/>
        <v>1</v>
      </c>
      <c r="T3490" s="15" t="str">
        <f>VLOOKUP(R3490,产品分类!$C$2:$D$1278,2,0)</f>
        <v>办公用品</v>
      </c>
    </row>
    <row r="3491" spans="1:20">
      <c r="A3491" s="8">
        <f>DATE(2012,12,31)-1347</f>
        <v>39927</v>
      </c>
      <c r="B3491" s="8">
        <f>DATE(2012,12,31)-1347</f>
        <v>39927</v>
      </c>
      <c r="C3491" s="9" t="s">
        <v>413</v>
      </c>
      <c r="D3491">
        <v>10021578411</v>
      </c>
      <c r="E3491" t="s">
        <v>47</v>
      </c>
      <c r="F3491" t="s">
        <v>72</v>
      </c>
      <c r="G3491" t="s">
        <v>73</v>
      </c>
      <c r="H3491" t="s">
        <v>2008</v>
      </c>
      <c r="I3491" t="s">
        <v>2009</v>
      </c>
      <c r="J3491" t="s">
        <v>141</v>
      </c>
      <c r="K3491" s="3">
        <v>100912127071</v>
      </c>
      <c r="L3491" s="10">
        <v>39929</v>
      </c>
      <c r="M3491">
        <v>1396.58</v>
      </c>
      <c r="N3491" s="11">
        <v>38</v>
      </c>
      <c r="O3491" s="12">
        <v>35.41</v>
      </c>
      <c r="P3491" s="12">
        <v>1.99</v>
      </c>
      <c r="Q3491" s="13">
        <v>600.72</v>
      </c>
      <c r="R3491" s="36" t="s">
        <v>1051</v>
      </c>
      <c r="S3491" s="7">
        <f t="shared" si="299"/>
        <v>2</v>
      </c>
      <c r="T3491" s="15" t="str">
        <f>VLOOKUP(R3491,产品分类!$C$2:$D$1278,2,0)</f>
        <v>家具产品</v>
      </c>
    </row>
    <row r="3492" spans="1:20">
      <c r="A3492" s="16">
        <f>DATE(2012,12,31)-1347</f>
        <v>39927</v>
      </c>
      <c r="B3492" s="16">
        <f>DATE(2012,12,31)-1347</f>
        <v>39927</v>
      </c>
      <c r="C3492" s="9" t="s">
        <v>413</v>
      </c>
      <c r="D3492">
        <v>10021501655</v>
      </c>
      <c r="E3492" t="s">
        <v>47</v>
      </c>
      <c r="F3492" t="s">
        <v>78</v>
      </c>
      <c r="G3492" t="s">
        <v>79</v>
      </c>
      <c r="H3492" t="s">
        <v>2105</v>
      </c>
      <c r="I3492" t="s">
        <v>2106</v>
      </c>
      <c r="J3492" t="s">
        <v>141</v>
      </c>
      <c r="K3492" s="3">
        <v>100927395681</v>
      </c>
      <c r="L3492" s="10">
        <v>39936</v>
      </c>
      <c r="M3492">
        <v>6448.69</v>
      </c>
      <c r="N3492" s="17">
        <v>45</v>
      </c>
      <c r="O3492" s="5">
        <v>142.86</v>
      </c>
      <c r="P3492" s="5">
        <v>19.99</v>
      </c>
      <c r="Q3492" s="6">
        <v>1663.35</v>
      </c>
      <c r="R3492" s="37" t="s">
        <v>1067</v>
      </c>
      <c r="S3492" s="7">
        <f t="shared" si="299"/>
        <v>9</v>
      </c>
      <c r="T3492" s="15" t="str">
        <f>VLOOKUP(R3492,产品分类!$C$2:$D$1278,2,0)</f>
        <v>办公用品</v>
      </c>
    </row>
    <row r="3493" spans="1:20">
      <c r="A3493" s="8">
        <f>DATE(2012,12,31)-649</f>
        <v>40625</v>
      </c>
      <c r="B3493" s="8">
        <f>DATE(2012,12,31)-649</f>
        <v>40625</v>
      </c>
      <c r="C3493" s="9" t="s">
        <v>510</v>
      </c>
      <c r="D3493">
        <v>10021248799</v>
      </c>
      <c r="E3493" t="s">
        <v>47</v>
      </c>
      <c r="F3493" t="s">
        <v>72</v>
      </c>
      <c r="G3493" t="s">
        <v>73</v>
      </c>
      <c r="H3493" t="s">
        <v>2008</v>
      </c>
      <c r="I3493" t="s">
        <v>2009</v>
      </c>
      <c r="J3493" t="s">
        <v>141</v>
      </c>
      <c r="K3493" s="3">
        <v>10094289971</v>
      </c>
      <c r="L3493" s="10">
        <v>40626</v>
      </c>
      <c r="M3493">
        <v>143.78</v>
      </c>
      <c r="N3493" s="11">
        <v>6</v>
      </c>
      <c r="O3493" s="12">
        <v>22.72</v>
      </c>
      <c r="P3493" s="12">
        <v>8.99</v>
      </c>
      <c r="Q3493" s="13">
        <v>75.3</v>
      </c>
      <c r="R3493" s="36" t="s">
        <v>972</v>
      </c>
      <c r="S3493" s="7">
        <f t="shared" si="299"/>
        <v>1</v>
      </c>
      <c r="T3493" s="15" t="str">
        <f>VLOOKUP(R3493,产品分类!$C$2:$D$1278,2,0)</f>
        <v>办公用品</v>
      </c>
    </row>
    <row r="3494" spans="1:20">
      <c r="A3494" s="8">
        <f>DATE(2012,12,31)-499</f>
        <v>40775</v>
      </c>
      <c r="B3494" s="8">
        <f>DATE(2012,12,31)-499</f>
        <v>40775</v>
      </c>
      <c r="C3494" s="9" t="s">
        <v>1564</v>
      </c>
      <c r="D3494">
        <v>10021347837</v>
      </c>
      <c r="E3494" t="s">
        <v>47</v>
      </c>
      <c r="F3494" t="s">
        <v>72</v>
      </c>
      <c r="G3494" t="s">
        <v>73</v>
      </c>
      <c r="H3494" t="s">
        <v>2008</v>
      </c>
      <c r="I3494" t="s">
        <v>2009</v>
      </c>
      <c r="J3494" t="s">
        <v>141</v>
      </c>
      <c r="K3494" s="3">
        <v>100931309771</v>
      </c>
      <c r="L3494" s="10">
        <v>40777</v>
      </c>
      <c r="M3494">
        <v>252.99</v>
      </c>
      <c r="N3494" s="11">
        <v>37</v>
      </c>
      <c r="O3494" s="12">
        <v>7.08</v>
      </c>
      <c r="P3494" s="12">
        <v>2.35</v>
      </c>
      <c r="Q3494" s="13">
        <v>28.76</v>
      </c>
      <c r="R3494" s="36" t="s">
        <v>1940</v>
      </c>
      <c r="S3494" s="7">
        <f t="shared" si="299"/>
        <v>2</v>
      </c>
      <c r="T3494" s="15" t="str">
        <f>VLOOKUP(R3494,产品分类!$C$2:$D$1278,2,0)</f>
        <v>数码电子</v>
      </c>
    </row>
    <row r="3495" spans="1:20">
      <c r="A3495" s="8">
        <f>DATE(2012,12,31)-950</f>
        <v>40324</v>
      </c>
      <c r="B3495" s="8">
        <f>DATE(2012,12,31)-950</f>
        <v>40324</v>
      </c>
      <c r="C3495" s="9" t="s">
        <v>1700</v>
      </c>
      <c r="D3495">
        <v>10021269737</v>
      </c>
      <c r="E3495" t="s">
        <v>47</v>
      </c>
      <c r="F3495" t="s">
        <v>72</v>
      </c>
      <c r="G3495" t="s">
        <v>73</v>
      </c>
      <c r="H3495" t="s">
        <v>2008</v>
      </c>
      <c r="I3495" t="s">
        <v>2009</v>
      </c>
      <c r="J3495" t="s">
        <v>141</v>
      </c>
      <c r="K3495" s="3">
        <v>100932459071</v>
      </c>
      <c r="L3495" s="10">
        <v>40326</v>
      </c>
      <c r="M3495">
        <v>224.58</v>
      </c>
      <c r="N3495" s="11">
        <v>43</v>
      </c>
      <c r="O3495" s="12">
        <v>5.18</v>
      </c>
      <c r="P3495" s="12">
        <v>2.04</v>
      </c>
      <c r="Q3495" s="13">
        <v>46.31</v>
      </c>
      <c r="R3495" s="36" t="s">
        <v>1522</v>
      </c>
      <c r="S3495" s="7">
        <f t="shared" si="299"/>
        <v>2</v>
      </c>
      <c r="T3495" s="15" t="str">
        <f>VLOOKUP(R3495,产品分类!$C$2:$D$1278,2,0)</f>
        <v>办公用品</v>
      </c>
    </row>
    <row r="3496" spans="1:20">
      <c r="A3496" s="8">
        <f>DATE(2012,12,31)-804</f>
        <v>40470</v>
      </c>
      <c r="B3496" s="8">
        <f>DATE(2012,12,31)-804</f>
        <v>40470</v>
      </c>
      <c r="C3496" s="9" t="s">
        <v>802</v>
      </c>
      <c r="D3496">
        <v>10021522788</v>
      </c>
      <c r="E3496" t="s">
        <v>47</v>
      </c>
      <c r="F3496" t="s">
        <v>230</v>
      </c>
      <c r="G3496" t="s">
        <v>231</v>
      </c>
      <c r="H3496" t="s">
        <v>2174</v>
      </c>
      <c r="I3496" t="s">
        <v>2175</v>
      </c>
      <c r="J3496" t="s">
        <v>141</v>
      </c>
      <c r="K3496" s="3">
        <v>100910860141</v>
      </c>
      <c r="L3496" s="10">
        <v>40477</v>
      </c>
      <c r="M3496">
        <v>1646.47</v>
      </c>
      <c r="N3496" s="11">
        <v>33</v>
      </c>
      <c r="O3496" s="12">
        <v>48.91</v>
      </c>
      <c r="P3496" s="12">
        <v>5.81</v>
      </c>
      <c r="Q3496" s="13">
        <v>743.59</v>
      </c>
      <c r="R3496" s="36" t="s">
        <v>700</v>
      </c>
      <c r="S3496" s="7">
        <f t="shared" si="299"/>
        <v>7</v>
      </c>
      <c r="T3496" s="15" t="str">
        <f>VLOOKUP(R3496,产品分类!$C$2:$D$1278,2,0)</f>
        <v>家具产品</v>
      </c>
    </row>
    <row r="3497" spans="1:20">
      <c r="A3497" s="8">
        <f>DATE(2012,12,31)-420</f>
        <v>40854</v>
      </c>
      <c r="B3497" s="8">
        <f>DATE(2012,12,31)-420</f>
        <v>40854</v>
      </c>
      <c r="C3497" s="9" t="s">
        <v>1831</v>
      </c>
      <c r="D3497">
        <v>10021339894</v>
      </c>
      <c r="E3497" t="s">
        <v>47</v>
      </c>
      <c r="F3497" t="s">
        <v>114</v>
      </c>
      <c r="G3497" t="s">
        <v>115</v>
      </c>
      <c r="H3497" t="s">
        <v>2204</v>
      </c>
      <c r="I3497" t="s">
        <v>2205</v>
      </c>
      <c r="J3497" t="s">
        <v>141</v>
      </c>
      <c r="K3497" s="3">
        <v>100925630031</v>
      </c>
      <c r="L3497" s="10">
        <v>40858</v>
      </c>
      <c r="M3497">
        <v>149.64</v>
      </c>
      <c r="N3497" s="11">
        <v>9</v>
      </c>
      <c r="O3497" s="12">
        <v>16.74</v>
      </c>
      <c r="P3497" s="12">
        <v>5.08</v>
      </c>
      <c r="Q3497" s="13">
        <v>13.77</v>
      </c>
      <c r="R3497" s="36" t="s">
        <v>2206</v>
      </c>
      <c r="S3497" s="7">
        <f t="shared" si="299"/>
        <v>4</v>
      </c>
      <c r="T3497" s="15" t="str">
        <f>VLOOKUP(R3497,产品分类!$C$2:$D$1278,2,0)</f>
        <v>办公用品</v>
      </c>
    </row>
    <row r="3498" spans="1:20">
      <c r="A3498" s="8">
        <f>DATE(2012,12,31)-1254</f>
        <v>40020</v>
      </c>
      <c r="B3498" s="8">
        <f>DATE(2012,12,31)-1254</f>
        <v>40020</v>
      </c>
      <c r="C3498" s="9" t="s">
        <v>497</v>
      </c>
      <c r="D3498">
        <v>10021420707</v>
      </c>
      <c r="E3498" t="s">
        <v>47</v>
      </c>
      <c r="F3498" t="s">
        <v>114</v>
      </c>
      <c r="G3498" t="s">
        <v>115</v>
      </c>
      <c r="H3498" t="s">
        <v>2204</v>
      </c>
      <c r="I3498" t="s">
        <v>2205</v>
      </c>
      <c r="J3498" t="s">
        <v>141</v>
      </c>
      <c r="K3498" s="3">
        <v>100925168701</v>
      </c>
      <c r="L3498" s="10">
        <v>40022</v>
      </c>
      <c r="M3498">
        <v>3416.38</v>
      </c>
      <c r="N3498" s="11">
        <v>32</v>
      </c>
      <c r="O3498" s="12">
        <v>100.98</v>
      </c>
      <c r="P3498" s="12">
        <v>57.38</v>
      </c>
      <c r="Q3498" s="13">
        <v>-1142.2</v>
      </c>
      <c r="R3498" s="36" t="s">
        <v>661</v>
      </c>
      <c r="S3498" s="7">
        <f t="shared" si="299"/>
        <v>2</v>
      </c>
      <c r="T3498" s="15" t="str">
        <f>VLOOKUP(R3498,产品分类!$C$2:$D$1278,2,0)</f>
        <v>办公用品</v>
      </c>
    </row>
    <row r="3499" spans="1:20">
      <c r="A3499" s="8">
        <f>DATE(2012,12,31)-1254</f>
        <v>40020</v>
      </c>
      <c r="B3499" s="8">
        <f>DATE(2012,12,31)-1254</f>
        <v>40020</v>
      </c>
      <c r="C3499" s="9" t="s">
        <v>497</v>
      </c>
      <c r="D3499">
        <v>10021585190</v>
      </c>
      <c r="E3499" t="s">
        <v>47</v>
      </c>
      <c r="F3499" t="s">
        <v>473</v>
      </c>
      <c r="G3499" t="s">
        <v>474</v>
      </c>
      <c r="H3499" t="s">
        <v>2142</v>
      </c>
      <c r="I3499" t="s">
        <v>2143</v>
      </c>
      <c r="J3499" t="s">
        <v>141</v>
      </c>
      <c r="K3499" s="3">
        <v>100127999347</v>
      </c>
      <c r="L3499" s="10">
        <v>40022</v>
      </c>
      <c r="M3499">
        <v>142.81</v>
      </c>
      <c r="N3499" s="11">
        <v>14</v>
      </c>
      <c r="O3499" s="12">
        <v>10.14</v>
      </c>
      <c r="P3499" s="12">
        <v>2.27</v>
      </c>
      <c r="Q3499" s="13">
        <v>39.64</v>
      </c>
      <c r="R3499" s="36" t="s">
        <v>1527</v>
      </c>
      <c r="S3499" s="7">
        <f t="shared" si="299"/>
        <v>2</v>
      </c>
      <c r="T3499" s="15" t="str">
        <f>VLOOKUP(R3499,产品分类!$C$2:$D$1278,2,0)</f>
        <v>办公用品</v>
      </c>
    </row>
    <row r="3500" spans="1:20">
      <c r="A3500" s="8">
        <f t="shared" ref="A3500:B3503" si="302">DATE(2012,12,31)-704</f>
        <v>40570</v>
      </c>
      <c r="B3500" s="8">
        <f t="shared" si="302"/>
        <v>40570</v>
      </c>
      <c r="C3500" s="9" t="s">
        <v>1233</v>
      </c>
      <c r="D3500">
        <v>10021452488</v>
      </c>
      <c r="E3500" t="s">
        <v>47</v>
      </c>
      <c r="F3500" t="s">
        <v>114</v>
      </c>
      <c r="G3500" t="s">
        <v>115</v>
      </c>
      <c r="H3500" t="s">
        <v>2204</v>
      </c>
      <c r="I3500" t="s">
        <v>2205</v>
      </c>
      <c r="J3500" t="s">
        <v>141</v>
      </c>
      <c r="K3500" s="3">
        <v>100431300733</v>
      </c>
      <c r="L3500" s="10">
        <v>40571</v>
      </c>
      <c r="M3500">
        <v>1760.35</v>
      </c>
      <c r="N3500" s="11">
        <v>48</v>
      </c>
      <c r="O3500" s="12">
        <v>34.98</v>
      </c>
      <c r="P3500" s="12">
        <v>7.53</v>
      </c>
      <c r="Q3500" s="13">
        <v>-17.08</v>
      </c>
      <c r="R3500" s="36" t="s">
        <v>1788</v>
      </c>
      <c r="S3500" s="7">
        <f t="shared" si="299"/>
        <v>1</v>
      </c>
      <c r="T3500" s="15" t="str">
        <f>VLOOKUP(R3500,产品分类!$C$2:$D$1278,2,0)</f>
        <v>办公用品</v>
      </c>
    </row>
    <row r="3501" spans="1:20">
      <c r="A3501" s="8">
        <f t="shared" si="302"/>
        <v>40570</v>
      </c>
      <c r="B3501" s="8">
        <f t="shared" si="302"/>
        <v>40570</v>
      </c>
      <c r="C3501" s="9" t="s">
        <v>1233</v>
      </c>
      <c r="D3501">
        <v>10021499564</v>
      </c>
      <c r="E3501" t="s">
        <v>47</v>
      </c>
      <c r="F3501" t="s">
        <v>434</v>
      </c>
      <c r="G3501" t="s">
        <v>435</v>
      </c>
      <c r="H3501" t="s">
        <v>436</v>
      </c>
      <c r="I3501" t="s">
        <v>437</v>
      </c>
      <c r="J3501" t="s">
        <v>141</v>
      </c>
      <c r="K3501" s="3">
        <v>100324764999</v>
      </c>
      <c r="L3501" s="10">
        <v>40571</v>
      </c>
      <c r="M3501">
        <v>1436.94</v>
      </c>
      <c r="N3501" s="11">
        <v>37</v>
      </c>
      <c r="O3501" s="12">
        <v>37.94</v>
      </c>
      <c r="P3501" s="12">
        <v>5.08</v>
      </c>
      <c r="Q3501" s="13">
        <v>639.66</v>
      </c>
      <c r="R3501" s="36" t="s">
        <v>947</v>
      </c>
      <c r="S3501" s="7">
        <f t="shared" si="299"/>
        <v>1</v>
      </c>
      <c r="T3501" s="15" t="str">
        <f>VLOOKUP(R3501,产品分类!$C$2:$D$1278,2,0)</f>
        <v>办公用品</v>
      </c>
    </row>
    <row r="3502" spans="1:20">
      <c r="A3502" s="8">
        <f t="shared" si="302"/>
        <v>40570</v>
      </c>
      <c r="B3502" s="8">
        <f t="shared" si="302"/>
        <v>40570</v>
      </c>
      <c r="C3502" s="9" t="s">
        <v>1233</v>
      </c>
      <c r="D3502">
        <v>10021338362</v>
      </c>
      <c r="E3502" t="s">
        <v>47</v>
      </c>
      <c r="F3502" t="s">
        <v>83</v>
      </c>
      <c r="G3502" t="s">
        <v>84</v>
      </c>
      <c r="H3502" t="s">
        <v>2144</v>
      </c>
      <c r="I3502" t="s">
        <v>2145</v>
      </c>
      <c r="J3502" t="s">
        <v>141</v>
      </c>
      <c r="K3502" s="3">
        <v>100423871333</v>
      </c>
      <c r="L3502" s="10">
        <v>40572</v>
      </c>
      <c r="M3502">
        <v>125.8</v>
      </c>
      <c r="N3502" s="11">
        <v>18</v>
      </c>
      <c r="O3502" s="12">
        <v>6.48</v>
      </c>
      <c r="P3502" s="12">
        <v>5.87</v>
      </c>
      <c r="Q3502" s="13">
        <v>-35.98</v>
      </c>
      <c r="R3502" s="36" t="s">
        <v>2207</v>
      </c>
      <c r="S3502" s="7">
        <f t="shared" si="299"/>
        <v>2</v>
      </c>
      <c r="T3502" s="15" t="str">
        <f>VLOOKUP(R3502,产品分类!$C$2:$D$1278,2,0)</f>
        <v>办公用品</v>
      </c>
    </row>
    <row r="3503" spans="1:20">
      <c r="A3503" s="8">
        <f t="shared" si="302"/>
        <v>40570</v>
      </c>
      <c r="B3503" s="8">
        <f t="shared" si="302"/>
        <v>40570</v>
      </c>
      <c r="C3503" s="9" t="s">
        <v>1233</v>
      </c>
      <c r="D3503">
        <v>10021293219</v>
      </c>
      <c r="E3503" t="s">
        <v>47</v>
      </c>
      <c r="F3503" t="s">
        <v>91</v>
      </c>
      <c r="G3503" t="s">
        <v>92</v>
      </c>
      <c r="H3503" t="s">
        <v>2053</v>
      </c>
      <c r="I3503" t="s">
        <v>2054</v>
      </c>
      <c r="J3503" t="s">
        <v>141</v>
      </c>
      <c r="K3503" s="3">
        <v>10085317752</v>
      </c>
      <c r="L3503" s="10">
        <v>40571</v>
      </c>
      <c r="M3503">
        <v>5797.68</v>
      </c>
      <c r="N3503" s="11">
        <v>35</v>
      </c>
      <c r="O3503" s="12">
        <v>200.99</v>
      </c>
      <c r="P3503" s="12">
        <v>4.2</v>
      </c>
      <c r="Q3503" s="13">
        <v>1366.569</v>
      </c>
      <c r="R3503" s="36" t="s">
        <v>779</v>
      </c>
      <c r="S3503" s="7">
        <f t="shared" si="299"/>
        <v>1</v>
      </c>
      <c r="T3503" s="15" t="str">
        <f>VLOOKUP(R3503,产品分类!$C$2:$D$1278,2,0)</f>
        <v>家具产品</v>
      </c>
    </row>
    <row r="3504" spans="1:20">
      <c r="A3504" s="8">
        <f>DATE(2012,12,31)-1070</f>
        <v>40204</v>
      </c>
      <c r="B3504" s="8">
        <f>DATE(2012,12,31)-1070</f>
        <v>40204</v>
      </c>
      <c r="C3504" s="9" t="s">
        <v>916</v>
      </c>
      <c r="D3504">
        <v>10021432916</v>
      </c>
      <c r="E3504" t="s">
        <v>47</v>
      </c>
      <c r="F3504" t="s">
        <v>91</v>
      </c>
      <c r="G3504" t="s">
        <v>92</v>
      </c>
      <c r="H3504" t="s">
        <v>2053</v>
      </c>
      <c r="I3504" t="s">
        <v>2054</v>
      </c>
      <c r="J3504" t="s">
        <v>141</v>
      </c>
      <c r="K3504" s="3">
        <v>100732587285</v>
      </c>
      <c r="L3504" s="10">
        <v>40211</v>
      </c>
      <c r="M3504">
        <v>487.59</v>
      </c>
      <c r="N3504" s="11">
        <v>8</v>
      </c>
      <c r="O3504" s="12">
        <v>58.14</v>
      </c>
      <c r="P3504" s="12">
        <v>36.61</v>
      </c>
      <c r="Q3504" s="13">
        <v>-205.29</v>
      </c>
      <c r="R3504" s="36" t="s">
        <v>1368</v>
      </c>
      <c r="S3504" s="7">
        <f t="shared" si="299"/>
        <v>7</v>
      </c>
      <c r="T3504" s="15" t="str">
        <f>VLOOKUP(R3504,产品分类!$C$2:$D$1278,2,0)</f>
        <v>数码电子</v>
      </c>
    </row>
    <row r="3505" spans="1:20">
      <c r="A3505" s="16">
        <f>DATE(2012,12,31)-643</f>
        <v>40631</v>
      </c>
      <c r="B3505" s="16">
        <f>DATE(2012,12,31)-643</f>
        <v>40631</v>
      </c>
      <c r="C3505" s="9" t="s">
        <v>948</v>
      </c>
      <c r="D3505">
        <v>10021252545</v>
      </c>
      <c r="E3505" t="s">
        <v>47</v>
      </c>
      <c r="F3505" t="s">
        <v>122</v>
      </c>
      <c r="G3505" t="s">
        <v>123</v>
      </c>
      <c r="H3505" t="s">
        <v>2159</v>
      </c>
      <c r="I3505" t="s">
        <v>2160</v>
      </c>
      <c r="J3505" t="s">
        <v>141</v>
      </c>
      <c r="K3505" s="3">
        <v>100111929387</v>
      </c>
      <c r="L3505" s="10">
        <v>40636</v>
      </c>
      <c r="M3505">
        <v>2528.49</v>
      </c>
      <c r="N3505" s="17">
        <v>6</v>
      </c>
      <c r="O3505" s="5">
        <v>420.98</v>
      </c>
      <c r="P3505" s="5">
        <v>19.99</v>
      </c>
      <c r="Q3505" s="6">
        <v>580.1505</v>
      </c>
      <c r="R3505" s="37" t="s">
        <v>498</v>
      </c>
      <c r="S3505" s="7">
        <f t="shared" si="299"/>
        <v>5</v>
      </c>
      <c r="T3505" s="15" t="str">
        <f>VLOOKUP(R3505,产品分类!$C$2:$D$1278,2,0)</f>
        <v>家具产品</v>
      </c>
    </row>
    <row r="3506" spans="1:20">
      <c r="A3506" s="8">
        <f>DATE(2012,12,31)-643</f>
        <v>40631</v>
      </c>
      <c r="B3506" s="8">
        <f>DATE(2012,12,31)-643</f>
        <v>40631</v>
      </c>
      <c r="C3506" s="9" t="s">
        <v>948</v>
      </c>
      <c r="D3506">
        <v>10021528323</v>
      </c>
      <c r="E3506" t="s">
        <v>47</v>
      </c>
      <c r="F3506" t="s">
        <v>83</v>
      </c>
      <c r="G3506" t="s">
        <v>84</v>
      </c>
      <c r="H3506" t="s">
        <v>2144</v>
      </c>
      <c r="I3506" t="s">
        <v>2145</v>
      </c>
      <c r="J3506" t="s">
        <v>141</v>
      </c>
      <c r="K3506" s="3">
        <v>100821158922</v>
      </c>
      <c r="L3506" s="10">
        <v>40631</v>
      </c>
      <c r="M3506">
        <v>1146.11</v>
      </c>
      <c r="N3506" s="11">
        <v>42</v>
      </c>
      <c r="O3506" s="12">
        <v>29.18</v>
      </c>
      <c r="P3506" s="12">
        <v>8.55</v>
      </c>
      <c r="Q3506" s="13">
        <v>330.63</v>
      </c>
      <c r="R3506" s="36" t="s">
        <v>912</v>
      </c>
      <c r="S3506" s="7">
        <f t="shared" si="299"/>
        <v>0</v>
      </c>
      <c r="T3506" s="15" t="str">
        <f>VLOOKUP(R3506,产品分类!$C$2:$D$1278,2,0)</f>
        <v>办公用品</v>
      </c>
    </row>
    <row r="3507" spans="1:20">
      <c r="A3507" s="8">
        <f>DATE(2012,12,31)-380</f>
        <v>40894</v>
      </c>
      <c r="B3507" s="8">
        <f>DATE(2012,12,31)-380</f>
        <v>40894</v>
      </c>
      <c r="C3507" s="9" t="s">
        <v>1612</v>
      </c>
      <c r="D3507">
        <v>10021259556</v>
      </c>
      <c r="E3507" t="s">
        <v>47</v>
      </c>
      <c r="F3507" t="s">
        <v>55</v>
      </c>
      <c r="G3507" t="s">
        <v>56</v>
      </c>
      <c r="H3507" t="s">
        <v>2197</v>
      </c>
      <c r="I3507" t="s">
        <v>2198</v>
      </c>
      <c r="J3507" t="s">
        <v>141</v>
      </c>
      <c r="K3507" s="3">
        <v>100927972931</v>
      </c>
      <c r="L3507" s="10">
        <v>40895</v>
      </c>
      <c r="M3507">
        <v>4152.12</v>
      </c>
      <c r="N3507" s="11">
        <v>34</v>
      </c>
      <c r="O3507" s="12">
        <v>120.33</v>
      </c>
      <c r="P3507" s="12">
        <v>19.99</v>
      </c>
      <c r="Q3507" s="13">
        <v>817.98</v>
      </c>
      <c r="R3507" s="36" t="s">
        <v>663</v>
      </c>
      <c r="S3507" s="7">
        <f t="shared" si="299"/>
        <v>1</v>
      </c>
      <c r="T3507" s="15" t="str">
        <f>VLOOKUP(R3507,产品分类!$C$2:$D$1278,2,0)</f>
        <v>家具产品</v>
      </c>
    </row>
    <row r="3508" spans="1:20">
      <c r="A3508" s="8">
        <f>DATE(2012,12,31)-1026</f>
        <v>40248</v>
      </c>
      <c r="B3508" s="8">
        <f>DATE(2012,12,31)-1026</f>
        <v>40248</v>
      </c>
      <c r="C3508" s="9" t="s">
        <v>1944</v>
      </c>
      <c r="D3508">
        <v>10021249412</v>
      </c>
      <c r="E3508" t="s">
        <v>47</v>
      </c>
      <c r="F3508" t="s">
        <v>91</v>
      </c>
      <c r="G3508" t="s">
        <v>92</v>
      </c>
      <c r="H3508" t="s">
        <v>2053</v>
      </c>
      <c r="I3508" t="s">
        <v>2054</v>
      </c>
      <c r="J3508" t="s">
        <v>141</v>
      </c>
      <c r="K3508" s="3">
        <v>10019340806</v>
      </c>
      <c r="L3508" s="10">
        <v>40250</v>
      </c>
      <c r="M3508">
        <v>1561.2205</v>
      </c>
      <c r="N3508" s="11">
        <v>36</v>
      </c>
      <c r="O3508" s="12">
        <v>55.99</v>
      </c>
      <c r="P3508" s="12">
        <v>2.5</v>
      </c>
      <c r="Q3508" s="13">
        <v>-226.82</v>
      </c>
      <c r="R3508" s="36" t="s">
        <v>1204</v>
      </c>
      <c r="S3508" s="7">
        <f t="shared" si="299"/>
        <v>2</v>
      </c>
      <c r="T3508" s="15" t="str">
        <f>VLOOKUP(R3508,产品分类!$C$2:$D$1278,2,0)</f>
        <v>办公用品</v>
      </c>
    </row>
    <row r="3509" spans="1:20">
      <c r="A3509" s="8">
        <f>DATE(2012,12,31)-463</f>
        <v>40811</v>
      </c>
      <c r="B3509" s="8">
        <f>DATE(2012,12,31)-463</f>
        <v>40811</v>
      </c>
      <c r="C3509" s="9" t="s">
        <v>571</v>
      </c>
      <c r="D3509">
        <v>10021509361</v>
      </c>
      <c r="E3509" t="s">
        <v>47</v>
      </c>
      <c r="F3509" t="s">
        <v>91</v>
      </c>
      <c r="G3509" t="s">
        <v>92</v>
      </c>
      <c r="H3509" t="s">
        <v>2053</v>
      </c>
      <c r="I3509" t="s">
        <v>2054</v>
      </c>
      <c r="J3509" t="s">
        <v>141</v>
      </c>
      <c r="K3509" s="3">
        <v>100132360727</v>
      </c>
      <c r="L3509" s="10">
        <v>40812</v>
      </c>
      <c r="M3509">
        <v>1793.24</v>
      </c>
      <c r="N3509" s="11">
        <v>36</v>
      </c>
      <c r="O3509" s="12">
        <v>46.89</v>
      </c>
      <c r="P3509" s="12">
        <v>5.1</v>
      </c>
      <c r="Q3509" s="13">
        <v>739.36</v>
      </c>
      <c r="R3509" s="36" t="s">
        <v>1530</v>
      </c>
      <c r="S3509" s="7">
        <f t="shared" si="299"/>
        <v>1</v>
      </c>
      <c r="T3509" s="15" t="str">
        <f>VLOOKUP(R3509,产品分类!$C$2:$D$1278,2,0)</f>
        <v>数码电子</v>
      </c>
    </row>
    <row r="3510" spans="1:20">
      <c r="A3510" s="8">
        <f>DATE(2012,12,31)-463</f>
        <v>40811</v>
      </c>
      <c r="B3510" s="8">
        <f>DATE(2012,12,31)-463</f>
        <v>40811</v>
      </c>
      <c r="C3510" s="9" t="s">
        <v>571</v>
      </c>
      <c r="D3510">
        <v>10021424131</v>
      </c>
      <c r="E3510" t="s">
        <v>47</v>
      </c>
      <c r="F3510" t="s">
        <v>122</v>
      </c>
      <c r="G3510" t="s">
        <v>123</v>
      </c>
      <c r="H3510" t="s">
        <v>2159</v>
      </c>
      <c r="I3510" t="s">
        <v>2160</v>
      </c>
      <c r="J3510" t="s">
        <v>141</v>
      </c>
      <c r="K3510" s="3">
        <v>100128416487</v>
      </c>
      <c r="L3510" s="10">
        <v>40813</v>
      </c>
      <c r="M3510">
        <v>143.667</v>
      </c>
      <c r="N3510" s="11">
        <v>2</v>
      </c>
      <c r="O3510" s="12">
        <v>85.99</v>
      </c>
      <c r="P3510" s="12">
        <v>1.25</v>
      </c>
      <c r="Q3510" s="13">
        <v>-363.55</v>
      </c>
      <c r="R3510" s="36" t="s">
        <v>723</v>
      </c>
      <c r="S3510" s="7">
        <f t="shared" si="299"/>
        <v>2</v>
      </c>
      <c r="T3510" s="15" t="str">
        <f>VLOOKUP(R3510,产品分类!$C$2:$D$1278,2,0)</f>
        <v>办公用品</v>
      </c>
    </row>
    <row r="3511" spans="1:20">
      <c r="A3511" s="8">
        <f>DATE(2012,12,31)-1111</f>
        <v>40163</v>
      </c>
      <c r="B3511" s="8">
        <f>DATE(2012,12,31)-1111</f>
        <v>40163</v>
      </c>
      <c r="C3511" s="9" t="s">
        <v>2208</v>
      </c>
      <c r="D3511">
        <v>10021352077</v>
      </c>
      <c r="E3511" t="s">
        <v>47</v>
      </c>
      <c r="F3511" t="s">
        <v>55</v>
      </c>
      <c r="G3511" t="s">
        <v>56</v>
      </c>
      <c r="H3511" t="s">
        <v>2197</v>
      </c>
      <c r="I3511" t="s">
        <v>2198</v>
      </c>
      <c r="J3511" t="s">
        <v>141</v>
      </c>
      <c r="K3511" s="3">
        <v>100429045244</v>
      </c>
      <c r="L3511" s="10">
        <v>40165</v>
      </c>
      <c r="M3511">
        <v>3585.91</v>
      </c>
      <c r="N3511" s="11">
        <v>25</v>
      </c>
      <c r="O3511" s="12">
        <v>146.34</v>
      </c>
      <c r="P3511" s="12">
        <v>43.75</v>
      </c>
      <c r="Q3511" s="13">
        <v>-178.54</v>
      </c>
      <c r="R3511" s="36" t="s">
        <v>998</v>
      </c>
      <c r="S3511" s="7">
        <f t="shared" si="299"/>
        <v>2</v>
      </c>
      <c r="T3511" s="15" t="str">
        <f>VLOOKUP(R3511,产品分类!$C$2:$D$1278,2,0)</f>
        <v>办公用品</v>
      </c>
    </row>
    <row r="3512" spans="1:20">
      <c r="A3512" s="8">
        <f>DATE(2012,12,31)-726</f>
        <v>40548</v>
      </c>
      <c r="B3512" s="8">
        <f>DATE(2012,12,31)-726</f>
        <v>40548</v>
      </c>
      <c r="C3512" s="9" t="s">
        <v>2209</v>
      </c>
      <c r="D3512">
        <v>10021352301</v>
      </c>
      <c r="E3512" t="s">
        <v>47</v>
      </c>
      <c r="F3512" t="s">
        <v>91</v>
      </c>
      <c r="G3512" t="s">
        <v>92</v>
      </c>
      <c r="H3512" t="s">
        <v>2053</v>
      </c>
      <c r="I3512" t="s">
        <v>2054</v>
      </c>
      <c r="J3512" t="s">
        <v>141</v>
      </c>
      <c r="K3512" s="3">
        <v>100932519721</v>
      </c>
      <c r="L3512" s="10">
        <v>40549</v>
      </c>
      <c r="M3512">
        <v>477.39</v>
      </c>
      <c r="N3512" s="11">
        <v>5</v>
      </c>
      <c r="O3512" s="12">
        <v>81.94</v>
      </c>
      <c r="P3512" s="12">
        <v>55.81</v>
      </c>
      <c r="Q3512" s="13">
        <v>-211.36</v>
      </c>
      <c r="R3512" s="36" t="s">
        <v>1354</v>
      </c>
      <c r="S3512" s="7">
        <f t="shared" si="299"/>
        <v>1</v>
      </c>
      <c r="T3512" s="15" t="str">
        <f>VLOOKUP(R3512,产品分类!$C$2:$D$1278,2,0)</f>
        <v>办公用品</v>
      </c>
    </row>
    <row r="3513" spans="1:20">
      <c r="A3513" s="8">
        <f>DATE(2012,12,31)-726</f>
        <v>40548</v>
      </c>
      <c r="B3513" s="8">
        <f>DATE(2012,12,31)-726</f>
        <v>40548</v>
      </c>
      <c r="C3513" s="9" t="s">
        <v>2209</v>
      </c>
      <c r="D3513">
        <v>10021506400</v>
      </c>
      <c r="E3513" t="s">
        <v>47</v>
      </c>
      <c r="F3513" t="s">
        <v>91</v>
      </c>
      <c r="G3513" t="s">
        <v>92</v>
      </c>
      <c r="H3513" t="s">
        <v>2053</v>
      </c>
      <c r="I3513" t="s">
        <v>2054</v>
      </c>
      <c r="J3513" t="s">
        <v>141</v>
      </c>
      <c r="K3513" s="3">
        <v>100131438948</v>
      </c>
      <c r="L3513" s="10">
        <v>40550</v>
      </c>
      <c r="M3513">
        <v>552.08</v>
      </c>
      <c r="N3513" s="11">
        <v>14</v>
      </c>
      <c r="O3513" s="12">
        <v>37.94</v>
      </c>
      <c r="P3513" s="12">
        <v>5.08</v>
      </c>
      <c r="Q3513" s="13">
        <v>203.24</v>
      </c>
      <c r="R3513" s="36" t="s">
        <v>947</v>
      </c>
      <c r="S3513" s="7">
        <f t="shared" si="299"/>
        <v>2</v>
      </c>
      <c r="T3513" s="15" t="str">
        <f>VLOOKUP(R3513,产品分类!$C$2:$D$1278,2,0)</f>
        <v>办公用品</v>
      </c>
    </row>
    <row r="3514" spans="1:20">
      <c r="A3514" s="8">
        <f>DATE(2012,12,31)-1226</f>
        <v>40048</v>
      </c>
      <c r="B3514" s="8">
        <f>DATE(2012,12,31)-1226</f>
        <v>40048</v>
      </c>
      <c r="C3514" s="9" t="s">
        <v>1537</v>
      </c>
      <c r="D3514">
        <v>10021296307</v>
      </c>
      <c r="E3514" t="s">
        <v>47</v>
      </c>
      <c r="F3514" t="s">
        <v>55</v>
      </c>
      <c r="G3514" t="s">
        <v>56</v>
      </c>
      <c r="H3514" t="s">
        <v>2197</v>
      </c>
      <c r="I3514" t="s">
        <v>2198</v>
      </c>
      <c r="J3514" t="s">
        <v>141</v>
      </c>
      <c r="K3514" s="3">
        <v>100121393426</v>
      </c>
      <c r="L3514" s="10">
        <v>40050</v>
      </c>
      <c r="M3514">
        <v>4636.62</v>
      </c>
      <c r="N3514" s="11">
        <v>24</v>
      </c>
      <c r="O3514" s="12">
        <v>209.37</v>
      </c>
      <c r="P3514" s="12">
        <v>69</v>
      </c>
      <c r="Q3514" s="13">
        <v>-318.45177</v>
      </c>
      <c r="R3514" s="36" t="s">
        <v>1184</v>
      </c>
      <c r="S3514" s="7">
        <f t="shared" si="299"/>
        <v>2</v>
      </c>
      <c r="T3514" s="15" t="str">
        <f>VLOOKUP(R3514,产品分类!$C$2:$D$1278,2,0)</f>
        <v>数码电子</v>
      </c>
    </row>
    <row r="3515" spans="1:20">
      <c r="A3515" s="8">
        <f>DATE(2012,12,31)-1226</f>
        <v>40048</v>
      </c>
      <c r="B3515" s="8">
        <f>DATE(2012,12,31)-1226</f>
        <v>40048</v>
      </c>
      <c r="C3515" s="9" t="s">
        <v>1537</v>
      </c>
      <c r="D3515">
        <v>10021591153</v>
      </c>
      <c r="E3515" t="s">
        <v>47</v>
      </c>
      <c r="F3515" t="s">
        <v>91</v>
      </c>
      <c r="G3515" t="s">
        <v>92</v>
      </c>
      <c r="H3515" t="s">
        <v>2053</v>
      </c>
      <c r="I3515" t="s">
        <v>2054</v>
      </c>
      <c r="J3515" t="s">
        <v>141</v>
      </c>
      <c r="K3515" s="3">
        <v>100831454292</v>
      </c>
      <c r="L3515" s="10">
        <v>40049</v>
      </c>
      <c r="M3515">
        <v>100.11</v>
      </c>
      <c r="N3515" s="11">
        <v>20</v>
      </c>
      <c r="O3515" s="12">
        <v>4.98</v>
      </c>
      <c r="P3515" s="12">
        <v>4.7</v>
      </c>
      <c r="Q3515" s="13">
        <v>-41.7</v>
      </c>
      <c r="R3515" s="36" t="s">
        <v>1648</v>
      </c>
      <c r="S3515" s="7">
        <f t="shared" si="299"/>
        <v>1</v>
      </c>
      <c r="T3515" s="15" t="str">
        <f>VLOOKUP(R3515,产品分类!$C$2:$D$1278,2,0)</f>
        <v>办公用品</v>
      </c>
    </row>
    <row r="3516" spans="1:20">
      <c r="A3516" s="8">
        <f>DATE(2012,12,31)-832</f>
        <v>40442</v>
      </c>
      <c r="B3516" s="8">
        <f>DATE(2012,12,31)-832</f>
        <v>40442</v>
      </c>
      <c r="C3516" s="9" t="s">
        <v>1272</v>
      </c>
      <c r="D3516">
        <v>10021267785</v>
      </c>
      <c r="E3516" t="s">
        <v>47</v>
      </c>
      <c r="F3516" t="s">
        <v>91</v>
      </c>
      <c r="G3516" t="s">
        <v>92</v>
      </c>
      <c r="H3516" t="s">
        <v>2053</v>
      </c>
      <c r="I3516" t="s">
        <v>2054</v>
      </c>
      <c r="J3516" t="s">
        <v>141</v>
      </c>
      <c r="K3516" s="3">
        <v>100432111624</v>
      </c>
      <c r="L3516" s="10">
        <v>40444</v>
      </c>
      <c r="M3516">
        <v>295.12</v>
      </c>
      <c r="N3516" s="11">
        <v>41</v>
      </c>
      <c r="O3516" s="12">
        <v>6.48</v>
      </c>
      <c r="P3516" s="12">
        <v>8.19</v>
      </c>
      <c r="Q3516" s="13">
        <v>-151.93</v>
      </c>
      <c r="R3516" s="36" t="s">
        <v>120</v>
      </c>
      <c r="S3516" s="7">
        <f t="shared" si="299"/>
        <v>2</v>
      </c>
      <c r="T3516" s="15" t="str">
        <f>VLOOKUP(R3516,产品分类!$C$2:$D$1278,2,0)</f>
        <v>家具产品</v>
      </c>
    </row>
    <row r="3517" spans="1:20">
      <c r="A3517" s="8">
        <f>DATE(2012,12,31)-1260</f>
        <v>40014</v>
      </c>
      <c r="B3517" s="8">
        <f>DATE(2012,12,31)-1260</f>
        <v>40014</v>
      </c>
      <c r="C3517" s="9" t="s">
        <v>2059</v>
      </c>
      <c r="D3517">
        <v>10021338959</v>
      </c>
      <c r="E3517" t="s">
        <v>47</v>
      </c>
      <c r="F3517" t="s">
        <v>55</v>
      </c>
      <c r="G3517" t="s">
        <v>56</v>
      </c>
      <c r="H3517" t="s">
        <v>2197</v>
      </c>
      <c r="I3517" t="s">
        <v>2198</v>
      </c>
      <c r="J3517" t="s">
        <v>141</v>
      </c>
      <c r="K3517" s="3">
        <v>100424594754</v>
      </c>
      <c r="L3517" s="10">
        <v>40016</v>
      </c>
      <c r="M3517">
        <v>7767.02</v>
      </c>
      <c r="N3517" s="11">
        <v>6</v>
      </c>
      <c r="O3517" s="12">
        <v>1270.99</v>
      </c>
      <c r="P3517" s="12">
        <v>19.99</v>
      </c>
      <c r="Q3517" s="13">
        <v>2070.617</v>
      </c>
      <c r="R3517" s="36" t="s">
        <v>929</v>
      </c>
      <c r="S3517" s="7">
        <f t="shared" si="299"/>
        <v>2</v>
      </c>
      <c r="T3517" s="15" t="str">
        <f>VLOOKUP(R3517,产品分类!$C$2:$D$1278,2,0)</f>
        <v>数码电子</v>
      </c>
    </row>
    <row r="3518" spans="1:20">
      <c r="A3518" s="8">
        <f>DATE(2012,12,31)-1260</f>
        <v>40014</v>
      </c>
      <c r="B3518" s="8">
        <f>DATE(2012,12,31)-1260</f>
        <v>40014</v>
      </c>
      <c r="C3518" s="9" t="s">
        <v>2059</v>
      </c>
      <c r="D3518">
        <v>10021434142</v>
      </c>
      <c r="E3518" t="s">
        <v>47</v>
      </c>
      <c r="F3518" t="s">
        <v>127</v>
      </c>
      <c r="G3518" t="s">
        <v>128</v>
      </c>
      <c r="H3518" t="s">
        <v>2189</v>
      </c>
      <c r="I3518" t="s">
        <v>2190</v>
      </c>
      <c r="J3518" t="s">
        <v>141</v>
      </c>
      <c r="K3518" s="3">
        <v>100432651643</v>
      </c>
      <c r="L3518" s="10">
        <v>40016</v>
      </c>
      <c r="M3518">
        <v>1893.93</v>
      </c>
      <c r="N3518" s="11">
        <v>1</v>
      </c>
      <c r="O3518" s="12">
        <v>2036.48</v>
      </c>
      <c r="P3518" s="12">
        <v>14.7</v>
      </c>
      <c r="Q3518" s="13">
        <v>-4654.7349</v>
      </c>
      <c r="R3518" s="36" t="s">
        <v>680</v>
      </c>
      <c r="S3518" s="7">
        <f t="shared" si="299"/>
        <v>2</v>
      </c>
      <c r="T3518" s="15" t="str">
        <f>VLOOKUP(R3518,产品分类!$C$2:$D$1278,2,0)</f>
        <v>数码电子</v>
      </c>
    </row>
    <row r="3519" spans="1:20">
      <c r="A3519" s="8">
        <f>DATE(2012,12,31)-379</f>
        <v>40895</v>
      </c>
      <c r="B3519" s="8">
        <f>DATE(2012,12,31)-379</f>
        <v>40895</v>
      </c>
      <c r="C3519" s="9" t="s">
        <v>1838</v>
      </c>
      <c r="D3519">
        <v>10021433088</v>
      </c>
      <c r="E3519" t="s">
        <v>47</v>
      </c>
      <c r="F3519" t="s">
        <v>132</v>
      </c>
      <c r="G3519" t="s">
        <v>133</v>
      </c>
      <c r="H3519" t="s">
        <v>134</v>
      </c>
      <c r="I3519" t="s">
        <v>133</v>
      </c>
      <c r="J3519" t="s">
        <v>141</v>
      </c>
      <c r="K3519" s="3">
        <v>100932596961</v>
      </c>
      <c r="L3519" s="10">
        <v>40897</v>
      </c>
      <c r="M3519">
        <v>941.13</v>
      </c>
      <c r="N3519" s="11">
        <v>20</v>
      </c>
      <c r="O3519" s="12">
        <v>48.04</v>
      </c>
      <c r="P3519" s="12">
        <v>7.23</v>
      </c>
      <c r="Q3519" s="13">
        <v>344.95</v>
      </c>
      <c r="R3519" s="36" t="s">
        <v>936</v>
      </c>
      <c r="S3519" s="7">
        <f t="shared" si="299"/>
        <v>2</v>
      </c>
      <c r="T3519" s="15" t="str">
        <f>VLOOKUP(R3519,产品分类!$C$2:$D$1278,2,0)</f>
        <v>办公用品</v>
      </c>
    </row>
    <row r="3520" spans="1:20">
      <c r="A3520" s="16">
        <f>DATE(2012,12,31)-793</f>
        <v>40481</v>
      </c>
      <c r="B3520" s="16">
        <f>DATE(2012,12,31)-793</f>
        <v>40481</v>
      </c>
      <c r="C3520" s="9" t="s">
        <v>675</v>
      </c>
      <c r="D3520">
        <v>10021446526</v>
      </c>
      <c r="E3520" t="s">
        <v>47</v>
      </c>
      <c r="F3520" t="s">
        <v>97</v>
      </c>
      <c r="G3520" t="s">
        <v>98</v>
      </c>
      <c r="H3520" t="s">
        <v>99</v>
      </c>
      <c r="I3520" t="s">
        <v>98</v>
      </c>
      <c r="J3520" t="s">
        <v>141</v>
      </c>
      <c r="K3520" s="3">
        <v>100919806411</v>
      </c>
      <c r="L3520" s="10">
        <v>40483</v>
      </c>
      <c r="M3520">
        <v>78.79</v>
      </c>
      <c r="N3520" s="17">
        <v>5</v>
      </c>
      <c r="O3520" s="5">
        <v>14.42</v>
      </c>
      <c r="P3520" s="5">
        <v>6.75</v>
      </c>
      <c r="Q3520" s="6">
        <v>-21.29</v>
      </c>
      <c r="R3520" s="37" t="s">
        <v>441</v>
      </c>
      <c r="S3520" s="7">
        <f t="shared" si="299"/>
        <v>2</v>
      </c>
      <c r="T3520" s="15" t="str">
        <f>VLOOKUP(R3520,产品分类!$C$2:$D$1278,2,0)</f>
        <v>办公用品</v>
      </c>
    </row>
    <row r="3521" spans="1:20">
      <c r="A3521" s="16">
        <f>DATE(2012,12,31)-793</f>
        <v>40481</v>
      </c>
      <c r="B3521" s="16">
        <f>DATE(2012,12,31)-793</f>
        <v>40481</v>
      </c>
      <c r="C3521" s="9" t="s">
        <v>675</v>
      </c>
      <c r="D3521">
        <v>10021260615</v>
      </c>
      <c r="E3521" t="s">
        <v>47</v>
      </c>
      <c r="F3521" t="s">
        <v>132</v>
      </c>
      <c r="G3521" t="s">
        <v>133</v>
      </c>
      <c r="H3521" t="s">
        <v>134</v>
      </c>
      <c r="I3521" t="s">
        <v>133</v>
      </c>
      <c r="J3521" t="s">
        <v>141</v>
      </c>
      <c r="K3521" s="3">
        <v>100328704739</v>
      </c>
      <c r="L3521" s="10">
        <v>40483</v>
      </c>
      <c r="M3521">
        <v>3928.25</v>
      </c>
      <c r="N3521" s="17">
        <v>9</v>
      </c>
      <c r="O3521" s="5">
        <v>420.98</v>
      </c>
      <c r="P3521" s="5">
        <v>19.99</v>
      </c>
      <c r="Q3521" s="6">
        <v>1343.2465</v>
      </c>
      <c r="R3521" s="37" t="s">
        <v>498</v>
      </c>
      <c r="S3521" s="7">
        <f t="shared" si="299"/>
        <v>2</v>
      </c>
      <c r="T3521" s="15" t="str">
        <f>VLOOKUP(R3521,产品分类!$C$2:$D$1278,2,0)</f>
        <v>家具产品</v>
      </c>
    </row>
    <row r="3522" spans="1:20">
      <c r="A3522" s="8">
        <f>DATE(2012,12,31)-1281</f>
        <v>39993</v>
      </c>
      <c r="B3522" s="8">
        <f>DATE(2012,12,31)-1281</f>
        <v>39993</v>
      </c>
      <c r="C3522" s="9" t="s">
        <v>450</v>
      </c>
      <c r="D3522">
        <v>10021504008</v>
      </c>
      <c r="E3522" t="s">
        <v>47</v>
      </c>
      <c r="F3522" t="s">
        <v>97</v>
      </c>
      <c r="G3522" t="s">
        <v>98</v>
      </c>
      <c r="H3522" t="s">
        <v>99</v>
      </c>
      <c r="I3522" t="s">
        <v>98</v>
      </c>
      <c r="J3522" t="s">
        <v>141</v>
      </c>
      <c r="K3522" s="3">
        <v>100130016578</v>
      </c>
      <c r="L3522" s="10">
        <v>39993</v>
      </c>
      <c r="M3522">
        <v>711.875</v>
      </c>
      <c r="N3522" s="11">
        <v>24</v>
      </c>
      <c r="O3522" s="12">
        <v>35.99</v>
      </c>
      <c r="P3522" s="12">
        <v>3.3</v>
      </c>
      <c r="Q3522" s="13">
        <v>217.332</v>
      </c>
      <c r="R3522" s="36" t="s">
        <v>1817</v>
      </c>
      <c r="S3522" s="7">
        <f t="shared" si="299"/>
        <v>0</v>
      </c>
      <c r="T3522" s="15" t="str">
        <f>VLOOKUP(R3522,产品分类!$C$2:$D$1278,2,0)</f>
        <v>数码电子</v>
      </c>
    </row>
    <row r="3523" spans="1:20">
      <c r="A3523" s="16">
        <f>DATE(2012,12,31)-1046</f>
        <v>40228</v>
      </c>
      <c r="B3523" s="16">
        <f>DATE(2012,12,31)-1046</f>
        <v>40228</v>
      </c>
      <c r="C3523" s="9" t="s">
        <v>457</v>
      </c>
      <c r="D3523">
        <v>10021371449</v>
      </c>
      <c r="E3523" t="s">
        <v>47</v>
      </c>
      <c r="F3523" t="s">
        <v>304</v>
      </c>
      <c r="G3523" t="s">
        <v>305</v>
      </c>
      <c r="H3523" t="s">
        <v>2015</v>
      </c>
      <c r="I3523" t="s">
        <v>2016</v>
      </c>
      <c r="J3523" t="s">
        <v>141</v>
      </c>
      <c r="K3523" s="3">
        <v>100112686296</v>
      </c>
      <c r="L3523" s="10">
        <v>40231</v>
      </c>
      <c r="M3523">
        <v>156.97</v>
      </c>
      <c r="N3523" s="17">
        <v>4</v>
      </c>
      <c r="O3523" s="5">
        <v>34.54</v>
      </c>
      <c r="P3523" s="5">
        <v>14.72</v>
      </c>
      <c r="Q3523" s="6">
        <v>-25.4265</v>
      </c>
      <c r="R3523" s="37" t="s">
        <v>1376</v>
      </c>
      <c r="S3523" s="7">
        <f t="shared" ref="S3523:S3586" si="303">+L3523-B3523</f>
        <v>3</v>
      </c>
      <c r="T3523" s="15" t="str">
        <f>VLOOKUP(R3523,产品分类!$C$2:$D$1278,2,0)</f>
        <v>办公用品</v>
      </c>
    </row>
    <row r="3524" spans="1:20">
      <c r="A3524" s="8">
        <f t="shared" ref="A3524:B3526" si="304">DATE(2012,12,31)-761</f>
        <v>40513</v>
      </c>
      <c r="B3524" s="8">
        <f t="shared" si="304"/>
        <v>40513</v>
      </c>
      <c r="C3524" s="9" t="s">
        <v>615</v>
      </c>
      <c r="D3524">
        <v>10021430117</v>
      </c>
      <c r="E3524" t="s">
        <v>47</v>
      </c>
      <c r="F3524" t="s">
        <v>102</v>
      </c>
      <c r="G3524" t="s">
        <v>103</v>
      </c>
      <c r="H3524" t="s">
        <v>2119</v>
      </c>
      <c r="I3524" t="s">
        <v>2120</v>
      </c>
      <c r="J3524" t="s">
        <v>141</v>
      </c>
      <c r="K3524" s="3">
        <v>100131901006</v>
      </c>
      <c r="L3524" s="10">
        <v>40515</v>
      </c>
      <c r="M3524">
        <v>141.27</v>
      </c>
      <c r="N3524" s="11">
        <v>6</v>
      </c>
      <c r="O3524" s="12">
        <v>21.38</v>
      </c>
      <c r="P3524" s="12">
        <v>2.99</v>
      </c>
      <c r="Q3524" s="13">
        <v>28.1435</v>
      </c>
      <c r="R3524" s="36" t="s">
        <v>2210</v>
      </c>
      <c r="S3524" s="7">
        <f t="shared" si="303"/>
        <v>2</v>
      </c>
      <c r="T3524" s="15" t="str">
        <f>VLOOKUP(R3524,产品分类!$C$2:$D$1278,2,0)</f>
        <v>数码电子</v>
      </c>
    </row>
    <row r="3525" spans="1:20">
      <c r="A3525" s="8">
        <f t="shared" si="304"/>
        <v>40513</v>
      </c>
      <c r="B3525" s="8">
        <f t="shared" si="304"/>
        <v>40513</v>
      </c>
      <c r="C3525" s="9" t="s">
        <v>615</v>
      </c>
      <c r="D3525">
        <v>10021294005</v>
      </c>
      <c r="E3525" t="s">
        <v>47</v>
      </c>
      <c r="F3525" t="s">
        <v>137</v>
      </c>
      <c r="G3525" t="s">
        <v>138</v>
      </c>
      <c r="H3525" t="s">
        <v>139</v>
      </c>
      <c r="I3525" t="s">
        <v>140</v>
      </c>
      <c r="J3525" t="s">
        <v>141</v>
      </c>
      <c r="K3525" s="3">
        <v>100110400988</v>
      </c>
      <c r="L3525" s="10">
        <v>40515</v>
      </c>
      <c r="M3525">
        <v>16.02</v>
      </c>
      <c r="N3525" s="11">
        <v>9</v>
      </c>
      <c r="O3525" s="12">
        <v>1.81</v>
      </c>
      <c r="P3525" s="12">
        <v>0.75</v>
      </c>
      <c r="Q3525" s="13">
        <v>-2.82</v>
      </c>
      <c r="R3525" s="36" t="s">
        <v>1253</v>
      </c>
      <c r="S3525" s="7">
        <f t="shared" si="303"/>
        <v>2</v>
      </c>
      <c r="T3525" s="15" t="str">
        <f>VLOOKUP(R3525,产品分类!$C$2:$D$1278,2,0)</f>
        <v>办公用品</v>
      </c>
    </row>
    <row r="3526" spans="1:20">
      <c r="A3526" s="8">
        <f t="shared" si="304"/>
        <v>40513</v>
      </c>
      <c r="B3526" s="8">
        <f t="shared" si="304"/>
        <v>40513</v>
      </c>
      <c r="C3526" s="9" t="s">
        <v>615</v>
      </c>
      <c r="D3526">
        <v>10021446188</v>
      </c>
      <c r="E3526" t="s">
        <v>47</v>
      </c>
      <c r="F3526" t="s">
        <v>304</v>
      </c>
      <c r="G3526" t="s">
        <v>305</v>
      </c>
      <c r="H3526" t="s">
        <v>2015</v>
      </c>
      <c r="I3526" t="s">
        <v>2016</v>
      </c>
      <c r="J3526" t="s">
        <v>141</v>
      </c>
      <c r="K3526" s="3">
        <v>100316856879</v>
      </c>
      <c r="L3526" s="10">
        <v>40515</v>
      </c>
      <c r="M3526">
        <v>242.8</v>
      </c>
      <c r="N3526" s="11">
        <v>42</v>
      </c>
      <c r="O3526" s="12">
        <v>5.84</v>
      </c>
      <c r="P3526" s="12">
        <v>1</v>
      </c>
      <c r="Q3526" s="13">
        <v>95.91</v>
      </c>
      <c r="R3526" s="36" t="s">
        <v>1202</v>
      </c>
      <c r="S3526" s="7">
        <f t="shared" si="303"/>
        <v>2</v>
      </c>
      <c r="T3526" s="15" t="str">
        <f>VLOOKUP(R3526,产品分类!$C$2:$D$1278,2,0)</f>
        <v>办公用品</v>
      </c>
    </row>
    <row r="3527" spans="1:20">
      <c r="A3527" s="8">
        <f>DATE(2012,12,31)-706</f>
        <v>40568</v>
      </c>
      <c r="B3527" s="8">
        <f>DATE(2012,12,31)-706</f>
        <v>40568</v>
      </c>
      <c r="C3527" s="9" t="s">
        <v>1560</v>
      </c>
      <c r="D3527">
        <v>10021525726</v>
      </c>
      <c r="E3527" t="s">
        <v>47</v>
      </c>
      <c r="F3527" t="s">
        <v>78</v>
      </c>
      <c r="G3527" t="s">
        <v>79</v>
      </c>
      <c r="H3527" t="s">
        <v>2105</v>
      </c>
      <c r="I3527" t="s">
        <v>2106</v>
      </c>
      <c r="J3527" t="s">
        <v>141</v>
      </c>
      <c r="K3527" s="3">
        <v>100122731096</v>
      </c>
      <c r="L3527" s="10">
        <v>40573</v>
      </c>
      <c r="M3527">
        <v>693.06</v>
      </c>
      <c r="N3527" s="11">
        <v>18</v>
      </c>
      <c r="O3527" s="12">
        <v>39.98</v>
      </c>
      <c r="P3527" s="12">
        <v>9.83</v>
      </c>
      <c r="Q3527" s="13">
        <v>148.3</v>
      </c>
      <c r="R3527" s="36" t="s">
        <v>1705</v>
      </c>
      <c r="S3527" s="7">
        <f t="shared" si="303"/>
        <v>5</v>
      </c>
      <c r="T3527" s="15" t="str">
        <f>VLOOKUP(R3527,产品分类!$C$2:$D$1278,2,0)</f>
        <v>办公用品</v>
      </c>
    </row>
    <row r="3528" spans="1:20">
      <c r="A3528" s="8">
        <f>DATE(2012,12,31)-706</f>
        <v>40568</v>
      </c>
      <c r="B3528" s="8">
        <f>DATE(2012,12,31)-706</f>
        <v>40568</v>
      </c>
      <c r="C3528" s="9" t="s">
        <v>1560</v>
      </c>
      <c r="D3528">
        <v>10021350374</v>
      </c>
      <c r="E3528" t="s">
        <v>47</v>
      </c>
      <c r="F3528" t="s">
        <v>527</v>
      </c>
      <c r="G3528" t="s">
        <v>528</v>
      </c>
      <c r="H3528" t="s">
        <v>2191</v>
      </c>
      <c r="I3528" t="s">
        <v>2192</v>
      </c>
      <c r="J3528" t="s">
        <v>141</v>
      </c>
      <c r="K3528" s="3">
        <v>100332148589</v>
      </c>
      <c r="L3528" s="10">
        <v>40568</v>
      </c>
      <c r="M3528">
        <v>4475.03</v>
      </c>
      <c r="N3528" s="11">
        <v>41</v>
      </c>
      <c r="O3528" s="12">
        <v>115.99</v>
      </c>
      <c r="P3528" s="12">
        <v>56.14</v>
      </c>
      <c r="Q3528" s="13">
        <v>-167.8317</v>
      </c>
      <c r="R3528" s="36" t="s">
        <v>329</v>
      </c>
      <c r="S3528" s="7">
        <f t="shared" si="303"/>
        <v>0</v>
      </c>
      <c r="T3528" s="15" t="str">
        <f>VLOOKUP(R3528,产品分类!$C$2:$D$1278,2,0)</f>
        <v>办公用品</v>
      </c>
    </row>
    <row r="3529" spans="1:20">
      <c r="A3529" s="8">
        <f t="shared" ref="A3529:B3531" si="305">DATE(2012,12,31)-1426</f>
        <v>39848</v>
      </c>
      <c r="B3529" s="8">
        <f t="shared" si="305"/>
        <v>39848</v>
      </c>
      <c r="C3529" s="9" t="s">
        <v>1594</v>
      </c>
      <c r="D3529">
        <v>10021499356</v>
      </c>
      <c r="E3529" t="s">
        <v>47</v>
      </c>
      <c r="F3529" t="s">
        <v>171</v>
      </c>
      <c r="G3529" t="s">
        <v>172</v>
      </c>
      <c r="H3529" t="s">
        <v>2073</v>
      </c>
      <c r="I3529" t="s">
        <v>2074</v>
      </c>
      <c r="J3529" t="s">
        <v>141</v>
      </c>
      <c r="K3529" s="3">
        <v>100324261339</v>
      </c>
      <c r="L3529" s="10">
        <v>39850</v>
      </c>
      <c r="M3529">
        <v>237.15</v>
      </c>
      <c r="N3529" s="11">
        <v>46</v>
      </c>
      <c r="O3529" s="12">
        <v>4.91</v>
      </c>
      <c r="P3529" s="12">
        <v>0.5</v>
      </c>
      <c r="Q3529" s="13">
        <v>123.02</v>
      </c>
      <c r="R3529" s="36" t="s">
        <v>427</v>
      </c>
      <c r="S3529" s="7">
        <f t="shared" si="303"/>
        <v>2</v>
      </c>
      <c r="T3529" s="15" t="str">
        <f>VLOOKUP(R3529,产品分类!$C$2:$D$1278,2,0)</f>
        <v>数码电子</v>
      </c>
    </row>
    <row r="3530" spans="1:20">
      <c r="A3530" s="8">
        <f t="shared" si="305"/>
        <v>39848</v>
      </c>
      <c r="B3530" s="8">
        <f t="shared" si="305"/>
        <v>39848</v>
      </c>
      <c r="C3530" s="9" t="s">
        <v>1594</v>
      </c>
      <c r="D3530">
        <v>10021335920</v>
      </c>
      <c r="E3530" t="s">
        <v>47</v>
      </c>
      <c r="F3530" t="s">
        <v>171</v>
      </c>
      <c r="G3530" t="s">
        <v>172</v>
      </c>
      <c r="H3530" t="s">
        <v>2073</v>
      </c>
      <c r="I3530" t="s">
        <v>2074</v>
      </c>
      <c r="J3530" t="s">
        <v>141</v>
      </c>
      <c r="K3530" s="3">
        <v>100717634865</v>
      </c>
      <c r="L3530" s="10">
        <v>39849</v>
      </c>
      <c r="M3530">
        <v>179.22</v>
      </c>
      <c r="N3530" s="11">
        <v>22</v>
      </c>
      <c r="O3530" s="12">
        <v>7.28</v>
      </c>
      <c r="P3530" s="12">
        <v>11.15</v>
      </c>
      <c r="Q3530" s="13">
        <v>-139.9</v>
      </c>
      <c r="R3530" s="36" t="s">
        <v>1394</v>
      </c>
      <c r="S3530" s="7">
        <f t="shared" si="303"/>
        <v>1</v>
      </c>
      <c r="T3530" s="15" t="str">
        <f>VLOOKUP(R3530,产品分类!$C$2:$D$1278,2,0)</f>
        <v>办公用品</v>
      </c>
    </row>
    <row r="3531" spans="1:20">
      <c r="A3531" s="8">
        <f t="shared" si="305"/>
        <v>39848</v>
      </c>
      <c r="B3531" s="8">
        <f t="shared" si="305"/>
        <v>39848</v>
      </c>
      <c r="C3531" s="9" t="s">
        <v>1594</v>
      </c>
      <c r="D3531">
        <v>10021444621</v>
      </c>
      <c r="E3531" t="s">
        <v>47</v>
      </c>
      <c r="F3531" t="s">
        <v>171</v>
      </c>
      <c r="G3531" t="s">
        <v>172</v>
      </c>
      <c r="H3531" t="s">
        <v>2073</v>
      </c>
      <c r="I3531" t="s">
        <v>2074</v>
      </c>
      <c r="J3531" t="s">
        <v>141</v>
      </c>
      <c r="K3531" s="3">
        <v>10092988301</v>
      </c>
      <c r="L3531" s="10">
        <v>39851</v>
      </c>
      <c r="M3531">
        <v>71.86</v>
      </c>
      <c r="N3531" s="11">
        <v>10</v>
      </c>
      <c r="O3531" s="12">
        <v>6.68</v>
      </c>
      <c r="P3531" s="12">
        <v>6.93</v>
      </c>
      <c r="Q3531" s="13">
        <v>-35.52</v>
      </c>
      <c r="R3531" s="36" t="s">
        <v>1002</v>
      </c>
      <c r="S3531" s="7">
        <f t="shared" si="303"/>
        <v>3</v>
      </c>
      <c r="T3531" s="15" t="str">
        <f>VLOOKUP(R3531,产品分类!$C$2:$D$1278,2,0)</f>
        <v>办公用品</v>
      </c>
    </row>
    <row r="3532" spans="1:20">
      <c r="A3532" s="16">
        <f>DATE(2012,12,31)-77</f>
        <v>41197</v>
      </c>
      <c r="B3532" s="16">
        <f>DATE(2012,12,31)-77</f>
        <v>41197</v>
      </c>
      <c r="C3532" s="9" t="s">
        <v>1669</v>
      </c>
      <c r="D3532">
        <v>10021589661</v>
      </c>
      <c r="E3532" t="s">
        <v>47</v>
      </c>
      <c r="F3532" t="s">
        <v>527</v>
      </c>
      <c r="G3532" t="s">
        <v>528</v>
      </c>
      <c r="H3532" t="s">
        <v>2191</v>
      </c>
      <c r="I3532" t="s">
        <v>2192</v>
      </c>
      <c r="J3532" t="s">
        <v>141</v>
      </c>
      <c r="K3532" s="3">
        <v>100731193715</v>
      </c>
      <c r="L3532" s="10">
        <v>41199</v>
      </c>
      <c r="M3532">
        <v>195.21</v>
      </c>
      <c r="N3532" s="17">
        <v>29</v>
      </c>
      <c r="O3532" s="5">
        <v>7.08</v>
      </c>
      <c r="P3532" s="5">
        <v>2.35</v>
      </c>
      <c r="Q3532" s="6">
        <v>16.4</v>
      </c>
      <c r="R3532" s="37" t="s">
        <v>1940</v>
      </c>
      <c r="S3532" s="7">
        <f t="shared" si="303"/>
        <v>2</v>
      </c>
      <c r="T3532" s="15" t="str">
        <f>VLOOKUP(R3532,产品分类!$C$2:$D$1278,2,0)</f>
        <v>数码电子</v>
      </c>
    </row>
    <row r="3533" spans="1:20">
      <c r="A3533" s="16">
        <f>DATE(2012,12,31)-864</f>
        <v>40410</v>
      </c>
      <c r="B3533" s="16">
        <f>DATE(2012,12,31)-864</f>
        <v>40410</v>
      </c>
      <c r="C3533" s="9" t="s">
        <v>865</v>
      </c>
      <c r="D3533">
        <v>10021594947</v>
      </c>
      <c r="E3533" t="s">
        <v>47</v>
      </c>
      <c r="F3533" t="s">
        <v>171</v>
      </c>
      <c r="G3533" t="s">
        <v>172</v>
      </c>
      <c r="H3533" t="s">
        <v>2073</v>
      </c>
      <c r="I3533" t="s">
        <v>2074</v>
      </c>
      <c r="J3533" t="s">
        <v>141</v>
      </c>
      <c r="K3533" s="3">
        <v>100332780019</v>
      </c>
      <c r="L3533" s="10">
        <v>40411</v>
      </c>
      <c r="M3533">
        <v>102.5</v>
      </c>
      <c r="N3533" s="17">
        <v>16</v>
      </c>
      <c r="O3533" s="5">
        <v>6.68</v>
      </c>
      <c r="P3533" s="5">
        <v>1.5</v>
      </c>
      <c r="Q3533" s="6">
        <v>13.84</v>
      </c>
      <c r="R3533" s="37" t="s">
        <v>900</v>
      </c>
      <c r="S3533" s="7">
        <f t="shared" si="303"/>
        <v>1</v>
      </c>
      <c r="T3533" s="15" t="str">
        <f>VLOOKUP(R3533,产品分类!$C$2:$D$1278,2,0)</f>
        <v>数码电子</v>
      </c>
    </row>
    <row r="3534" spans="1:20">
      <c r="A3534" s="8">
        <f t="shared" ref="A3534:B3536" si="306">DATE(2012,12,31)-1076</f>
        <v>40198</v>
      </c>
      <c r="B3534" s="8">
        <f t="shared" si="306"/>
        <v>40198</v>
      </c>
      <c r="C3534" s="9" t="s">
        <v>703</v>
      </c>
      <c r="D3534">
        <v>10021581052</v>
      </c>
      <c r="E3534" t="s">
        <v>47</v>
      </c>
      <c r="F3534" t="s">
        <v>177</v>
      </c>
      <c r="G3534" t="s">
        <v>178</v>
      </c>
      <c r="H3534" t="s">
        <v>2195</v>
      </c>
      <c r="I3534" t="s">
        <v>2196</v>
      </c>
      <c r="J3534" t="s">
        <v>141</v>
      </c>
      <c r="K3534" s="3">
        <v>100413025243</v>
      </c>
      <c r="L3534" s="10">
        <v>40205</v>
      </c>
      <c r="M3534">
        <v>1038.99</v>
      </c>
      <c r="N3534" s="11">
        <v>48</v>
      </c>
      <c r="O3534" s="12">
        <v>19.94</v>
      </c>
      <c r="P3534" s="12">
        <v>14.87</v>
      </c>
      <c r="Q3534" s="13">
        <v>-180.45</v>
      </c>
      <c r="R3534" s="36" t="s">
        <v>2211</v>
      </c>
      <c r="S3534" s="7">
        <f t="shared" si="303"/>
        <v>7</v>
      </c>
      <c r="T3534" s="15" t="str">
        <f>VLOOKUP(R3534,产品分类!$C$2:$D$1278,2,0)</f>
        <v>办公用品</v>
      </c>
    </row>
    <row r="3535" spans="1:20">
      <c r="A3535" s="8">
        <f t="shared" si="306"/>
        <v>40198</v>
      </c>
      <c r="B3535" s="8">
        <f t="shared" si="306"/>
        <v>40198</v>
      </c>
      <c r="C3535" s="9" t="s">
        <v>703</v>
      </c>
      <c r="D3535">
        <v>10021589170</v>
      </c>
      <c r="E3535" t="s">
        <v>47</v>
      </c>
      <c r="F3535" t="s">
        <v>127</v>
      </c>
      <c r="G3535" t="s">
        <v>128</v>
      </c>
      <c r="H3535" t="s">
        <v>2189</v>
      </c>
      <c r="I3535" t="s">
        <v>2190</v>
      </c>
      <c r="J3535" t="s">
        <v>141</v>
      </c>
      <c r="K3535" s="3">
        <v>100930848611</v>
      </c>
      <c r="L3535" s="10">
        <v>40205</v>
      </c>
      <c r="M3535">
        <v>114.01</v>
      </c>
      <c r="N3535" s="11">
        <v>17</v>
      </c>
      <c r="O3535" s="12">
        <v>6.69</v>
      </c>
      <c r="P3535" s="12">
        <v>3.1</v>
      </c>
      <c r="Q3535" s="13">
        <v>6.99</v>
      </c>
      <c r="R3535" s="36" t="s">
        <v>2161</v>
      </c>
      <c r="S3535" s="7">
        <f t="shared" si="303"/>
        <v>7</v>
      </c>
      <c r="T3535" s="15" t="str">
        <f>VLOOKUP(R3535,产品分类!$C$2:$D$1278,2,0)</f>
        <v>数码电子</v>
      </c>
    </row>
    <row r="3536" spans="1:20">
      <c r="A3536" s="8">
        <f t="shared" si="306"/>
        <v>40198</v>
      </c>
      <c r="B3536" s="8">
        <f t="shared" si="306"/>
        <v>40198</v>
      </c>
      <c r="C3536" s="9" t="s">
        <v>703</v>
      </c>
      <c r="D3536">
        <v>10021470560</v>
      </c>
      <c r="E3536" t="s">
        <v>47</v>
      </c>
      <c r="F3536" t="s">
        <v>183</v>
      </c>
      <c r="G3536" t="s">
        <v>184</v>
      </c>
      <c r="H3536" t="s">
        <v>2212</v>
      </c>
      <c r="I3536" t="s">
        <v>2213</v>
      </c>
      <c r="J3536" t="s">
        <v>141</v>
      </c>
      <c r="K3536" s="3">
        <v>100432615823</v>
      </c>
      <c r="L3536" s="10">
        <v>40203</v>
      </c>
      <c r="M3536">
        <v>30.37</v>
      </c>
      <c r="N3536" s="11">
        <v>3</v>
      </c>
      <c r="O3536" s="12">
        <v>4.98</v>
      </c>
      <c r="P3536" s="12">
        <v>5.49</v>
      </c>
      <c r="Q3536" s="13">
        <v>-1.74</v>
      </c>
      <c r="R3536" s="36" t="s">
        <v>602</v>
      </c>
      <c r="S3536" s="7">
        <f t="shared" si="303"/>
        <v>5</v>
      </c>
      <c r="T3536" s="15" t="str">
        <f>VLOOKUP(R3536,产品分类!$C$2:$D$1278,2,0)</f>
        <v>办公用品</v>
      </c>
    </row>
    <row r="3537" spans="1:20">
      <c r="A3537" s="8">
        <f>DATE(2012,12,31)-951</f>
        <v>40323</v>
      </c>
      <c r="B3537" s="8">
        <f>DATE(2012,12,31)-951</f>
        <v>40323</v>
      </c>
      <c r="C3537" s="9" t="s">
        <v>1464</v>
      </c>
      <c r="D3537">
        <v>10021592543</v>
      </c>
      <c r="E3537" t="s">
        <v>47</v>
      </c>
      <c r="F3537" t="s">
        <v>127</v>
      </c>
      <c r="G3537" t="s">
        <v>128</v>
      </c>
      <c r="H3537" t="s">
        <v>2189</v>
      </c>
      <c r="I3537" t="s">
        <v>2190</v>
      </c>
      <c r="J3537" t="s">
        <v>141</v>
      </c>
      <c r="K3537" s="3">
        <v>100132121696</v>
      </c>
      <c r="L3537" s="10">
        <v>40325</v>
      </c>
      <c r="M3537">
        <v>545.38</v>
      </c>
      <c r="N3537" s="11">
        <v>24</v>
      </c>
      <c r="O3537" s="12">
        <v>22.84</v>
      </c>
      <c r="P3537" s="12">
        <v>8.18</v>
      </c>
      <c r="Q3537" s="13">
        <v>89.6</v>
      </c>
      <c r="R3537" s="36" t="s">
        <v>1569</v>
      </c>
      <c r="S3537" s="7">
        <f t="shared" si="303"/>
        <v>2</v>
      </c>
      <c r="T3537" s="15" t="str">
        <f>VLOOKUP(R3537,产品分类!$C$2:$D$1278,2,0)</f>
        <v>办公用品</v>
      </c>
    </row>
    <row r="3538" spans="1:20">
      <c r="A3538" s="8">
        <f>DATE(2012,12,31)-951</f>
        <v>40323</v>
      </c>
      <c r="B3538" s="8">
        <f>DATE(2012,12,31)-951</f>
        <v>40323</v>
      </c>
      <c r="C3538" s="9" t="s">
        <v>1464</v>
      </c>
      <c r="D3538">
        <v>10021505923</v>
      </c>
      <c r="E3538" t="s">
        <v>47</v>
      </c>
      <c r="F3538" t="s">
        <v>183</v>
      </c>
      <c r="G3538" t="s">
        <v>184</v>
      </c>
      <c r="H3538" t="s">
        <v>2212</v>
      </c>
      <c r="I3538" t="s">
        <v>2213</v>
      </c>
      <c r="J3538" t="s">
        <v>141</v>
      </c>
      <c r="K3538" s="3">
        <v>100831149912</v>
      </c>
      <c r="L3538" s="10">
        <v>40324</v>
      </c>
      <c r="M3538">
        <v>271.78</v>
      </c>
      <c r="N3538" s="11">
        <v>47</v>
      </c>
      <c r="O3538" s="12">
        <v>5.84</v>
      </c>
      <c r="P3538" s="12">
        <v>1.2</v>
      </c>
      <c r="Q3538" s="13">
        <v>52.74</v>
      </c>
      <c r="R3538" s="36" t="s">
        <v>1478</v>
      </c>
      <c r="S3538" s="7">
        <f t="shared" si="303"/>
        <v>1</v>
      </c>
      <c r="T3538" s="15" t="str">
        <f>VLOOKUP(R3538,产品分类!$C$2:$D$1278,2,0)</f>
        <v>办公用品</v>
      </c>
    </row>
    <row r="3539" spans="1:20">
      <c r="A3539" s="8">
        <f>DATE(2012,12,31)-728</f>
        <v>40546</v>
      </c>
      <c r="B3539" s="8">
        <f>DATE(2012,12,31)-728</f>
        <v>40546</v>
      </c>
      <c r="C3539" s="9" t="s">
        <v>1688</v>
      </c>
      <c r="D3539">
        <v>10021254154</v>
      </c>
      <c r="E3539" t="s">
        <v>47</v>
      </c>
      <c r="F3539" t="s">
        <v>177</v>
      </c>
      <c r="G3539" t="s">
        <v>178</v>
      </c>
      <c r="H3539" t="s">
        <v>2195</v>
      </c>
      <c r="I3539" t="s">
        <v>2196</v>
      </c>
      <c r="J3539" t="s">
        <v>141</v>
      </c>
      <c r="K3539" s="3">
        <v>100110028388</v>
      </c>
      <c r="L3539" s="10">
        <v>40548</v>
      </c>
      <c r="M3539">
        <v>1564.1615</v>
      </c>
      <c r="N3539" s="11">
        <v>20</v>
      </c>
      <c r="O3539" s="12">
        <v>85.99</v>
      </c>
      <c r="P3539" s="12">
        <v>2.5</v>
      </c>
      <c r="Q3539" s="13">
        <v>682.479</v>
      </c>
      <c r="R3539" s="36" t="s">
        <v>2214</v>
      </c>
      <c r="S3539" s="7">
        <f t="shared" si="303"/>
        <v>2</v>
      </c>
      <c r="T3539" s="15" t="str">
        <f>VLOOKUP(R3539,产品分类!$C$2:$D$1278,2,0)</f>
        <v>办公用品</v>
      </c>
    </row>
    <row r="3540" spans="1:20">
      <c r="A3540" s="8">
        <f>DATE(2012,12,31)-642</f>
        <v>40632</v>
      </c>
      <c r="B3540" s="8">
        <f>DATE(2012,12,31)-642</f>
        <v>40632</v>
      </c>
      <c r="C3540" s="9" t="s">
        <v>336</v>
      </c>
      <c r="D3540">
        <v>10021578627</v>
      </c>
      <c r="E3540" t="s">
        <v>47</v>
      </c>
      <c r="F3540" t="s">
        <v>342</v>
      </c>
      <c r="G3540" t="s">
        <v>343</v>
      </c>
      <c r="H3540" t="s">
        <v>2090</v>
      </c>
      <c r="I3540" t="s">
        <v>2091</v>
      </c>
      <c r="J3540" t="s">
        <v>141</v>
      </c>
      <c r="K3540" s="3">
        <v>100415318174</v>
      </c>
      <c r="L3540" s="10">
        <v>40632</v>
      </c>
      <c r="M3540">
        <v>4091.152</v>
      </c>
      <c r="N3540" s="11">
        <v>42</v>
      </c>
      <c r="O3540" s="12">
        <v>115.99</v>
      </c>
      <c r="P3540" s="12">
        <v>2.5</v>
      </c>
      <c r="Q3540" s="13">
        <v>1303.92</v>
      </c>
      <c r="R3540" s="36" t="s">
        <v>857</v>
      </c>
      <c r="S3540" s="7">
        <f t="shared" si="303"/>
        <v>0</v>
      </c>
      <c r="T3540" s="15" t="str">
        <f>VLOOKUP(R3540,产品分类!$C$2:$D$1278,2,0)</f>
        <v>办公用品</v>
      </c>
    </row>
    <row r="3541" spans="1:20">
      <c r="A3541" s="8">
        <f>DATE(2012,12,31)-396</f>
        <v>40878</v>
      </c>
      <c r="B3541" s="8">
        <f>DATE(2012,12,31)-396</f>
        <v>40878</v>
      </c>
      <c r="C3541" s="9" t="s">
        <v>835</v>
      </c>
      <c r="D3541">
        <v>10021416903</v>
      </c>
      <c r="E3541" t="s">
        <v>47</v>
      </c>
      <c r="F3541" t="s">
        <v>342</v>
      </c>
      <c r="G3541" t="s">
        <v>343</v>
      </c>
      <c r="H3541" t="s">
        <v>2090</v>
      </c>
      <c r="I3541" t="s">
        <v>2091</v>
      </c>
      <c r="J3541" t="s">
        <v>141</v>
      </c>
      <c r="K3541" s="3">
        <v>100414532384</v>
      </c>
      <c r="L3541" s="10">
        <v>40880</v>
      </c>
      <c r="M3541">
        <v>271.14</v>
      </c>
      <c r="N3541" s="11">
        <v>33</v>
      </c>
      <c r="O3541" s="12">
        <v>8.33</v>
      </c>
      <c r="P3541" s="12">
        <v>1.99</v>
      </c>
      <c r="Q3541" s="13">
        <v>29.21</v>
      </c>
      <c r="R3541" s="36" t="s">
        <v>1011</v>
      </c>
      <c r="S3541" s="7">
        <f t="shared" si="303"/>
        <v>2</v>
      </c>
      <c r="T3541" s="15" t="str">
        <f>VLOOKUP(R3541,产品分类!$C$2:$D$1278,2,0)</f>
        <v>家具产品</v>
      </c>
    </row>
    <row r="3542" spans="1:20">
      <c r="A3542" s="8">
        <f>DATE(2012,12,31)-396</f>
        <v>40878</v>
      </c>
      <c r="B3542" s="8">
        <f>DATE(2012,12,31)-396</f>
        <v>40878</v>
      </c>
      <c r="C3542" s="9" t="s">
        <v>835</v>
      </c>
      <c r="D3542">
        <v>10021251632</v>
      </c>
      <c r="E3542" t="s">
        <v>47</v>
      </c>
      <c r="F3542" t="s">
        <v>61</v>
      </c>
      <c r="G3542" t="s">
        <v>62</v>
      </c>
      <c r="H3542" t="s">
        <v>2180</v>
      </c>
      <c r="I3542" t="s">
        <v>2181</v>
      </c>
      <c r="J3542" t="s">
        <v>141</v>
      </c>
      <c r="K3542" s="3">
        <v>100111035127</v>
      </c>
      <c r="L3542" s="10">
        <v>40879</v>
      </c>
      <c r="M3542">
        <v>1150.3</v>
      </c>
      <c r="N3542" s="11">
        <v>26</v>
      </c>
      <c r="O3542" s="12">
        <v>48.91</v>
      </c>
      <c r="P3542" s="12">
        <v>5.81</v>
      </c>
      <c r="Q3542" s="13">
        <v>418.19</v>
      </c>
      <c r="R3542" s="36" t="s">
        <v>700</v>
      </c>
      <c r="S3542" s="7">
        <f t="shared" si="303"/>
        <v>1</v>
      </c>
      <c r="T3542" s="15" t="str">
        <f>VLOOKUP(R3542,产品分类!$C$2:$D$1278,2,0)</f>
        <v>家具产品</v>
      </c>
    </row>
    <row r="3543" spans="1:20">
      <c r="A3543" s="8">
        <f>DATE(2012,12,31)-55</f>
        <v>41219</v>
      </c>
      <c r="B3543" s="8">
        <f>DATE(2012,12,31)-55</f>
        <v>41219</v>
      </c>
      <c r="C3543" s="9" t="s">
        <v>639</v>
      </c>
      <c r="D3543">
        <v>10021366292</v>
      </c>
      <c r="E3543" t="s">
        <v>47</v>
      </c>
      <c r="F3543" t="s">
        <v>61</v>
      </c>
      <c r="G3543" t="s">
        <v>62</v>
      </c>
      <c r="H3543" t="s">
        <v>2180</v>
      </c>
      <c r="I3543" t="s">
        <v>2181</v>
      </c>
      <c r="J3543" t="s">
        <v>141</v>
      </c>
      <c r="K3543" s="3">
        <v>100425443183</v>
      </c>
      <c r="L3543" s="10">
        <v>41221</v>
      </c>
      <c r="M3543">
        <v>926.85</v>
      </c>
      <c r="N3543" s="11">
        <v>34</v>
      </c>
      <c r="O3543" s="12">
        <v>28.53</v>
      </c>
      <c r="P3543" s="12">
        <v>1.49</v>
      </c>
      <c r="Q3543" s="13">
        <v>382.942</v>
      </c>
      <c r="R3543" s="36" t="s">
        <v>1651</v>
      </c>
      <c r="S3543" s="7">
        <f t="shared" si="303"/>
        <v>2</v>
      </c>
      <c r="T3543" s="15" t="str">
        <f>VLOOKUP(R3543,产品分类!$C$2:$D$1278,2,0)</f>
        <v>数码电子</v>
      </c>
    </row>
    <row r="3544" spans="1:20">
      <c r="A3544" s="8">
        <f>DATE(2012,12,31)-836</f>
        <v>40438</v>
      </c>
      <c r="B3544" s="8">
        <f>DATE(2012,12,31)-836</f>
        <v>40438</v>
      </c>
      <c r="C3544" s="9" t="s">
        <v>1427</v>
      </c>
      <c r="D3544">
        <v>10021279701</v>
      </c>
      <c r="E3544" t="s">
        <v>47</v>
      </c>
      <c r="F3544" t="s">
        <v>253</v>
      </c>
      <c r="G3544" t="s">
        <v>254</v>
      </c>
      <c r="H3544" t="s">
        <v>2193</v>
      </c>
      <c r="I3544" t="s">
        <v>2194</v>
      </c>
      <c r="J3544" t="s">
        <v>141</v>
      </c>
      <c r="K3544" s="3">
        <v>10045313323</v>
      </c>
      <c r="L3544" s="10">
        <v>40440</v>
      </c>
      <c r="M3544">
        <v>299.68</v>
      </c>
      <c r="N3544" s="11">
        <v>35</v>
      </c>
      <c r="O3544" s="12">
        <v>8.85</v>
      </c>
      <c r="P3544" s="12">
        <v>5.6</v>
      </c>
      <c r="Q3544" s="13">
        <v>-29.3595</v>
      </c>
      <c r="R3544" s="36" t="s">
        <v>1281</v>
      </c>
      <c r="S3544" s="7">
        <f t="shared" si="303"/>
        <v>2</v>
      </c>
      <c r="T3544" s="15" t="str">
        <f>VLOOKUP(R3544,产品分类!$C$2:$D$1278,2,0)</f>
        <v>办公用品</v>
      </c>
    </row>
    <row r="3545" spans="1:20">
      <c r="A3545" s="8">
        <f>DATE(2012,12,31)-590</f>
        <v>40684</v>
      </c>
      <c r="B3545" s="8">
        <f>DATE(2012,12,31)-590</f>
        <v>40684</v>
      </c>
      <c r="C3545" s="9" t="s">
        <v>391</v>
      </c>
      <c r="D3545">
        <v>10021545996</v>
      </c>
      <c r="E3545" t="s">
        <v>47</v>
      </c>
      <c r="F3545" t="s">
        <v>61</v>
      </c>
      <c r="G3545" t="s">
        <v>62</v>
      </c>
      <c r="H3545" t="s">
        <v>2180</v>
      </c>
      <c r="I3545" t="s">
        <v>2181</v>
      </c>
      <c r="J3545" t="s">
        <v>141</v>
      </c>
      <c r="K3545" s="3">
        <v>100830736362</v>
      </c>
      <c r="L3545" s="10">
        <v>40686</v>
      </c>
      <c r="M3545">
        <v>179.26</v>
      </c>
      <c r="N3545" s="11">
        <v>16</v>
      </c>
      <c r="O3545" s="12">
        <v>10.91</v>
      </c>
      <c r="P3545" s="12">
        <v>2.99</v>
      </c>
      <c r="Q3545" s="13">
        <v>36.7795</v>
      </c>
      <c r="R3545" s="36" t="s">
        <v>588</v>
      </c>
      <c r="S3545" s="7">
        <f t="shared" si="303"/>
        <v>2</v>
      </c>
      <c r="T3545" s="15" t="str">
        <f>VLOOKUP(R3545,产品分类!$C$2:$D$1278,2,0)</f>
        <v>家具产品</v>
      </c>
    </row>
    <row r="3546" spans="1:20">
      <c r="A3546" s="8">
        <f>DATE(2012,12,31)-590</f>
        <v>40684</v>
      </c>
      <c r="B3546" s="8">
        <f>DATE(2012,12,31)-590</f>
        <v>40684</v>
      </c>
      <c r="C3546" s="9" t="s">
        <v>391</v>
      </c>
      <c r="D3546">
        <v>10021576604</v>
      </c>
      <c r="E3546" t="s">
        <v>47</v>
      </c>
      <c r="F3546" t="s">
        <v>61</v>
      </c>
      <c r="G3546" t="s">
        <v>62</v>
      </c>
      <c r="H3546" t="s">
        <v>2180</v>
      </c>
      <c r="I3546" t="s">
        <v>2181</v>
      </c>
      <c r="J3546" t="s">
        <v>141</v>
      </c>
      <c r="K3546" s="3">
        <v>100414256804</v>
      </c>
      <c r="L3546" s="10">
        <v>40685</v>
      </c>
      <c r="M3546">
        <v>202.64</v>
      </c>
      <c r="N3546" s="11">
        <v>47</v>
      </c>
      <c r="O3546" s="12">
        <v>4.13</v>
      </c>
      <c r="P3546" s="12">
        <v>1.17</v>
      </c>
      <c r="Q3546" s="13">
        <v>28.75</v>
      </c>
      <c r="R3546" s="36" t="s">
        <v>1904</v>
      </c>
      <c r="S3546" s="7">
        <f t="shared" si="303"/>
        <v>1</v>
      </c>
      <c r="T3546" s="15" t="str">
        <f>VLOOKUP(R3546,产品分类!$C$2:$D$1278,2,0)</f>
        <v>办公用品</v>
      </c>
    </row>
    <row r="3547" spans="1:20">
      <c r="A3547" s="8">
        <f>DATE(2012,12,31)-132</f>
        <v>41142</v>
      </c>
      <c r="B3547" s="8">
        <f>DATE(2012,12,31)-132</f>
        <v>41142</v>
      </c>
      <c r="C3547" s="9" t="s">
        <v>433</v>
      </c>
      <c r="D3547">
        <v>10021495766</v>
      </c>
      <c r="E3547" t="s">
        <v>47</v>
      </c>
      <c r="F3547" t="s">
        <v>61</v>
      </c>
      <c r="G3547" t="s">
        <v>62</v>
      </c>
      <c r="H3547" t="s">
        <v>2180</v>
      </c>
      <c r="I3547" t="s">
        <v>2181</v>
      </c>
      <c r="J3547" t="s">
        <v>141</v>
      </c>
      <c r="K3547" s="3">
        <v>100110894648</v>
      </c>
      <c r="L3547" s="10">
        <v>41144</v>
      </c>
      <c r="M3547">
        <v>418.7</v>
      </c>
      <c r="N3547" s="11">
        <v>19</v>
      </c>
      <c r="O3547" s="12">
        <v>22.01</v>
      </c>
      <c r="P3547" s="12">
        <v>5.53</v>
      </c>
      <c r="Q3547" s="13">
        <v>22.88</v>
      </c>
      <c r="R3547" s="36" t="s">
        <v>747</v>
      </c>
      <c r="S3547" s="7">
        <f t="shared" si="303"/>
        <v>2</v>
      </c>
      <c r="T3547" s="15" t="str">
        <f>VLOOKUP(R3547,产品分类!$C$2:$D$1278,2,0)</f>
        <v>数码电子</v>
      </c>
    </row>
    <row r="3548" spans="1:20">
      <c r="A3548" s="8">
        <f>DATE(2012,12,31)-311</f>
        <v>40963</v>
      </c>
      <c r="B3548" s="8">
        <f>DATE(2012,12,31)-311</f>
        <v>40963</v>
      </c>
      <c r="C3548" s="9" t="s">
        <v>2002</v>
      </c>
      <c r="D3548">
        <v>10021264017</v>
      </c>
      <c r="E3548" t="s">
        <v>47</v>
      </c>
      <c r="F3548" t="s">
        <v>61</v>
      </c>
      <c r="G3548" t="s">
        <v>62</v>
      </c>
      <c r="H3548" t="s">
        <v>2180</v>
      </c>
      <c r="I3548" t="s">
        <v>2181</v>
      </c>
      <c r="J3548" t="s">
        <v>141</v>
      </c>
      <c r="K3548" s="3">
        <v>100730878275</v>
      </c>
      <c r="L3548" s="10">
        <v>40965</v>
      </c>
      <c r="M3548">
        <v>7679.512</v>
      </c>
      <c r="N3548" s="11">
        <v>43</v>
      </c>
      <c r="O3548" s="12">
        <v>205.99</v>
      </c>
      <c r="P3548" s="12">
        <v>5</v>
      </c>
      <c r="Q3548" s="13">
        <v>2307.42</v>
      </c>
      <c r="R3548" s="36" t="s">
        <v>1979</v>
      </c>
      <c r="S3548" s="7">
        <f t="shared" si="303"/>
        <v>2</v>
      </c>
      <c r="T3548" s="15" t="str">
        <f>VLOOKUP(R3548,产品分类!$C$2:$D$1278,2,0)</f>
        <v>办公用品</v>
      </c>
    </row>
    <row r="3549" spans="1:20">
      <c r="A3549" s="16">
        <f t="shared" ref="A3549:B3551" si="307">DATE(2012,12,31)-760</f>
        <v>40514</v>
      </c>
      <c r="B3549" s="16">
        <f t="shared" si="307"/>
        <v>40514</v>
      </c>
      <c r="C3549" s="9" t="s">
        <v>1517</v>
      </c>
      <c r="D3549">
        <v>10021395186</v>
      </c>
      <c r="E3549" t="s">
        <v>47</v>
      </c>
      <c r="F3549" t="s">
        <v>61</v>
      </c>
      <c r="G3549" t="s">
        <v>62</v>
      </c>
      <c r="H3549" t="s">
        <v>2180</v>
      </c>
      <c r="I3549" t="s">
        <v>2181</v>
      </c>
      <c r="J3549" t="s">
        <v>141</v>
      </c>
      <c r="K3549" s="3">
        <v>10037635739</v>
      </c>
      <c r="L3549" s="10">
        <v>40514</v>
      </c>
      <c r="M3549">
        <v>7783.36</v>
      </c>
      <c r="N3549" s="17">
        <v>36</v>
      </c>
      <c r="O3549" s="5">
        <v>225.04</v>
      </c>
      <c r="P3549" s="5">
        <v>11.79</v>
      </c>
      <c r="Q3549" s="6">
        <v>3506.24</v>
      </c>
      <c r="R3549" s="37" t="s">
        <v>2215</v>
      </c>
      <c r="S3549" s="7">
        <f t="shared" si="303"/>
        <v>0</v>
      </c>
      <c r="T3549" s="15" t="str">
        <f>VLOOKUP(R3549,产品分类!$C$2:$D$1278,2,0)</f>
        <v>家具产品</v>
      </c>
    </row>
    <row r="3550" spans="1:20">
      <c r="A3550" s="16">
        <f t="shared" si="307"/>
        <v>40514</v>
      </c>
      <c r="B3550" s="16">
        <f t="shared" si="307"/>
        <v>40514</v>
      </c>
      <c r="C3550" s="9" t="s">
        <v>1517</v>
      </c>
      <c r="D3550">
        <v>10021423928</v>
      </c>
      <c r="E3550" t="s">
        <v>47</v>
      </c>
      <c r="F3550" t="s">
        <v>61</v>
      </c>
      <c r="G3550" t="s">
        <v>62</v>
      </c>
      <c r="H3550" t="s">
        <v>2180</v>
      </c>
      <c r="I3550" t="s">
        <v>2181</v>
      </c>
      <c r="J3550" t="s">
        <v>141</v>
      </c>
      <c r="K3550" s="3">
        <v>100328341309</v>
      </c>
      <c r="L3550" s="10">
        <v>40514</v>
      </c>
      <c r="M3550">
        <v>61.76</v>
      </c>
      <c r="N3550" s="17">
        <v>21</v>
      </c>
      <c r="O3550" s="5">
        <v>2.84</v>
      </c>
      <c r="P3550" s="5">
        <v>0.93</v>
      </c>
      <c r="Q3550" s="6">
        <v>4.34</v>
      </c>
      <c r="R3550" s="37" t="s">
        <v>544</v>
      </c>
      <c r="S3550" s="7">
        <f t="shared" si="303"/>
        <v>0</v>
      </c>
      <c r="T3550" s="15" t="str">
        <f>VLOOKUP(R3550,产品分类!$C$2:$D$1278,2,0)</f>
        <v>办公用品</v>
      </c>
    </row>
    <row r="3551" spans="1:20">
      <c r="A3551" s="8">
        <f t="shared" si="307"/>
        <v>40514</v>
      </c>
      <c r="B3551" s="8">
        <f t="shared" si="307"/>
        <v>40514</v>
      </c>
      <c r="C3551" s="9" t="s">
        <v>1517</v>
      </c>
      <c r="D3551">
        <v>10021493195</v>
      </c>
      <c r="E3551" t="s">
        <v>47</v>
      </c>
      <c r="F3551" t="s">
        <v>61</v>
      </c>
      <c r="G3551" t="s">
        <v>62</v>
      </c>
      <c r="H3551" t="s">
        <v>2180</v>
      </c>
      <c r="I3551" t="s">
        <v>2181</v>
      </c>
      <c r="J3551" t="s">
        <v>141</v>
      </c>
      <c r="K3551" s="3">
        <v>1009502761</v>
      </c>
      <c r="L3551" s="10">
        <v>40516</v>
      </c>
      <c r="M3551">
        <v>1280.34</v>
      </c>
      <c r="N3551" s="11">
        <v>36</v>
      </c>
      <c r="O3551" s="12">
        <v>31.76</v>
      </c>
      <c r="P3551" s="12">
        <v>45.51</v>
      </c>
      <c r="Q3551" s="13">
        <v>-1048.248</v>
      </c>
      <c r="R3551" s="36" t="s">
        <v>576</v>
      </c>
      <c r="S3551" s="7">
        <f t="shared" si="303"/>
        <v>2</v>
      </c>
      <c r="T3551" s="15" t="str">
        <f>VLOOKUP(R3551,产品分类!$C$2:$D$1278,2,0)</f>
        <v>办公用品</v>
      </c>
    </row>
    <row r="3552" spans="1:20">
      <c r="A3552" s="8">
        <f>DATE(2012,12,31)-408</f>
        <v>40866</v>
      </c>
      <c r="B3552" s="8">
        <f>DATE(2012,12,31)-408</f>
        <v>40866</v>
      </c>
      <c r="C3552" s="9" t="s">
        <v>742</v>
      </c>
      <c r="D3552">
        <v>10021331875</v>
      </c>
      <c r="E3552" t="s">
        <v>47</v>
      </c>
      <c r="F3552" t="s">
        <v>61</v>
      </c>
      <c r="G3552" t="s">
        <v>62</v>
      </c>
      <c r="H3552" t="s">
        <v>2180</v>
      </c>
      <c r="I3552" t="s">
        <v>2181</v>
      </c>
      <c r="J3552" t="s">
        <v>141</v>
      </c>
      <c r="K3552" s="3">
        <v>10039353929</v>
      </c>
      <c r="L3552" s="10">
        <v>40868</v>
      </c>
      <c r="M3552">
        <v>440.92</v>
      </c>
      <c r="N3552" s="11">
        <v>22</v>
      </c>
      <c r="O3552" s="12">
        <v>19.98</v>
      </c>
      <c r="P3552" s="12">
        <v>10.49</v>
      </c>
      <c r="Q3552" s="13">
        <v>-65.18</v>
      </c>
      <c r="R3552" s="36" t="s">
        <v>932</v>
      </c>
      <c r="S3552" s="7">
        <f t="shared" si="303"/>
        <v>2</v>
      </c>
      <c r="T3552" s="15" t="str">
        <f>VLOOKUP(R3552,产品分类!$C$2:$D$1278,2,0)</f>
        <v>数码电子</v>
      </c>
    </row>
    <row r="3553" spans="1:20">
      <c r="A3553" s="8">
        <f>DATE(2012,12,31)-408</f>
        <v>40866</v>
      </c>
      <c r="B3553" s="8">
        <f>DATE(2012,12,31)-408</f>
        <v>40866</v>
      </c>
      <c r="C3553" s="9" t="s">
        <v>1703</v>
      </c>
      <c r="D3553">
        <v>10021528367</v>
      </c>
      <c r="E3553" t="s">
        <v>47</v>
      </c>
      <c r="F3553" t="s">
        <v>61</v>
      </c>
      <c r="G3553" t="s">
        <v>62</v>
      </c>
      <c r="H3553" t="s">
        <v>2180</v>
      </c>
      <c r="I3553" t="s">
        <v>2181</v>
      </c>
      <c r="J3553" t="s">
        <v>141</v>
      </c>
      <c r="K3553" s="3">
        <v>100826064642</v>
      </c>
      <c r="L3553" s="10">
        <v>40868</v>
      </c>
      <c r="M3553">
        <v>3.2</v>
      </c>
      <c r="N3553" s="11">
        <v>1</v>
      </c>
      <c r="O3553" s="12">
        <v>1.88</v>
      </c>
      <c r="P3553" s="12">
        <v>1.49</v>
      </c>
      <c r="Q3553" s="13">
        <v>-3.1625</v>
      </c>
      <c r="R3553" s="36" t="s">
        <v>1426</v>
      </c>
      <c r="S3553" s="7">
        <f t="shared" si="303"/>
        <v>2</v>
      </c>
      <c r="T3553" s="15" t="str">
        <f>VLOOKUP(R3553,产品分类!$C$2:$D$1278,2,0)</f>
        <v>办公用品</v>
      </c>
    </row>
    <row r="3554" spans="1:20">
      <c r="A3554" s="8">
        <f>DATE(2012,12,31)-1298</f>
        <v>39976</v>
      </c>
      <c r="B3554" s="8">
        <f>DATE(2012,12,31)-1298</f>
        <v>39976</v>
      </c>
      <c r="C3554" s="9" t="s">
        <v>472</v>
      </c>
      <c r="D3554">
        <v>10021588847</v>
      </c>
      <c r="E3554" t="s">
        <v>47</v>
      </c>
      <c r="F3554" t="s">
        <v>61</v>
      </c>
      <c r="G3554" t="s">
        <v>62</v>
      </c>
      <c r="H3554" t="s">
        <v>2216</v>
      </c>
      <c r="I3554" t="s">
        <v>2217</v>
      </c>
      <c r="J3554" t="s">
        <v>141</v>
      </c>
      <c r="K3554" s="3">
        <v>100330823509</v>
      </c>
      <c r="L3554" s="10">
        <v>39983</v>
      </c>
      <c r="M3554">
        <v>967.27</v>
      </c>
      <c r="N3554" s="11">
        <v>28</v>
      </c>
      <c r="O3554" s="12">
        <v>35.44</v>
      </c>
      <c r="P3554" s="12">
        <v>7.5</v>
      </c>
      <c r="Q3554" s="13">
        <v>309.31</v>
      </c>
      <c r="R3554" s="36" t="s">
        <v>1791</v>
      </c>
      <c r="S3554" s="7">
        <f t="shared" si="303"/>
        <v>7</v>
      </c>
      <c r="T3554" s="15" t="str">
        <f>VLOOKUP(R3554,产品分类!$C$2:$D$1278,2,0)</f>
        <v>家具产品</v>
      </c>
    </row>
    <row r="3555" spans="1:20">
      <c r="A3555" s="8">
        <f>DATE(2012,12,31)-236</f>
        <v>41038</v>
      </c>
      <c r="B3555" s="8">
        <f>DATE(2012,12,31)-236</f>
        <v>41038</v>
      </c>
      <c r="C3555" s="9" t="s">
        <v>1001</v>
      </c>
      <c r="D3555">
        <v>10021335513</v>
      </c>
      <c r="E3555" t="s">
        <v>47</v>
      </c>
      <c r="F3555" t="s">
        <v>61</v>
      </c>
      <c r="G3555" t="s">
        <v>62</v>
      </c>
      <c r="H3555" t="s">
        <v>2216</v>
      </c>
      <c r="I3555" t="s">
        <v>2217</v>
      </c>
      <c r="J3555" t="s">
        <v>141</v>
      </c>
      <c r="K3555" s="3">
        <v>100312303579</v>
      </c>
      <c r="L3555" s="10">
        <v>41040</v>
      </c>
      <c r="M3555">
        <v>343.36</v>
      </c>
      <c r="N3555" s="11">
        <v>6</v>
      </c>
      <c r="O3555" s="12">
        <v>56.96</v>
      </c>
      <c r="P3555" s="12">
        <v>13.22</v>
      </c>
      <c r="Q3555" s="13">
        <v>-41.27</v>
      </c>
      <c r="R3555" s="36" t="s">
        <v>949</v>
      </c>
      <c r="S3555" s="7">
        <f t="shared" si="303"/>
        <v>2</v>
      </c>
      <c r="T3555" s="15" t="str">
        <f>VLOOKUP(R3555,产品分类!$C$2:$D$1278,2,0)</f>
        <v>家具产品</v>
      </c>
    </row>
    <row r="3556" spans="1:20">
      <c r="A3556" s="8">
        <f>DATE(2012,12,31)-236</f>
        <v>41038</v>
      </c>
      <c r="B3556" s="8">
        <f>DATE(2012,12,31)-236</f>
        <v>41038</v>
      </c>
      <c r="C3556" s="9" t="s">
        <v>1001</v>
      </c>
      <c r="D3556">
        <v>10021497105</v>
      </c>
      <c r="E3556" t="s">
        <v>47</v>
      </c>
      <c r="F3556" t="s">
        <v>83</v>
      </c>
      <c r="G3556" t="s">
        <v>84</v>
      </c>
      <c r="H3556" t="s">
        <v>2144</v>
      </c>
      <c r="I3556" t="s">
        <v>2145</v>
      </c>
      <c r="J3556" t="s">
        <v>141</v>
      </c>
      <c r="K3556" s="3">
        <v>100916821751</v>
      </c>
      <c r="L3556" s="10">
        <v>41040</v>
      </c>
      <c r="M3556">
        <v>309.2215</v>
      </c>
      <c r="N3556" s="11">
        <v>7</v>
      </c>
      <c r="O3556" s="12">
        <v>55.99</v>
      </c>
      <c r="P3556" s="12">
        <v>1.25</v>
      </c>
      <c r="Q3556" s="13">
        <v>-68.299</v>
      </c>
      <c r="R3556" s="36" t="s">
        <v>856</v>
      </c>
      <c r="S3556" s="7">
        <f t="shared" si="303"/>
        <v>2</v>
      </c>
      <c r="T3556" s="15" t="str">
        <f>VLOOKUP(R3556,产品分类!$C$2:$D$1278,2,0)</f>
        <v>数码电子</v>
      </c>
    </row>
    <row r="3557" spans="1:20">
      <c r="A3557" s="8">
        <f>DATE(2012,12,31)-759</f>
        <v>40515</v>
      </c>
      <c r="B3557" s="8">
        <f>DATE(2012,12,31)-759</f>
        <v>40515</v>
      </c>
      <c r="C3557" s="9" t="s">
        <v>719</v>
      </c>
      <c r="D3557">
        <v>10021370497</v>
      </c>
      <c r="E3557" t="s">
        <v>47</v>
      </c>
      <c r="F3557" t="s">
        <v>61</v>
      </c>
      <c r="G3557" t="s">
        <v>62</v>
      </c>
      <c r="H3557" t="s">
        <v>2216</v>
      </c>
      <c r="I3557" t="s">
        <v>2217</v>
      </c>
      <c r="J3557" t="s">
        <v>141</v>
      </c>
      <c r="K3557" s="3">
        <v>100811129042</v>
      </c>
      <c r="L3557" s="10">
        <v>40517</v>
      </c>
      <c r="M3557">
        <v>2477.99</v>
      </c>
      <c r="N3557" s="11">
        <v>30</v>
      </c>
      <c r="O3557" s="12">
        <v>80.98</v>
      </c>
      <c r="P3557" s="12">
        <v>4.5</v>
      </c>
      <c r="Q3557" s="13">
        <v>747.68</v>
      </c>
      <c r="R3557" s="36" t="s">
        <v>324</v>
      </c>
      <c r="S3557" s="7">
        <f t="shared" si="303"/>
        <v>2</v>
      </c>
      <c r="T3557" s="15" t="str">
        <f>VLOOKUP(R3557,产品分类!$C$2:$D$1278,2,0)</f>
        <v>办公用品</v>
      </c>
    </row>
    <row r="3558" spans="1:20">
      <c r="A3558" s="8">
        <f>DATE(2012,12,31)-759</f>
        <v>40515</v>
      </c>
      <c r="B3558" s="8">
        <f>DATE(2012,12,31)-759</f>
        <v>40515</v>
      </c>
      <c r="C3558" s="9" t="s">
        <v>719</v>
      </c>
      <c r="D3558">
        <v>10021586461</v>
      </c>
      <c r="E3558" t="s">
        <v>47</v>
      </c>
      <c r="F3558" t="s">
        <v>61</v>
      </c>
      <c r="G3558" t="s">
        <v>62</v>
      </c>
      <c r="H3558" t="s">
        <v>2216</v>
      </c>
      <c r="I3558" t="s">
        <v>2217</v>
      </c>
      <c r="J3558" t="s">
        <v>141</v>
      </c>
      <c r="K3558" s="3">
        <v>100129096428</v>
      </c>
      <c r="L3558" s="10">
        <v>40517</v>
      </c>
      <c r="M3558">
        <v>48.83</v>
      </c>
      <c r="N3558" s="11">
        <v>23</v>
      </c>
      <c r="O3558" s="12">
        <v>2.1</v>
      </c>
      <c r="P3558" s="12">
        <v>0.7</v>
      </c>
      <c r="Q3558" s="13">
        <v>1</v>
      </c>
      <c r="R3558" s="36" t="s">
        <v>1959</v>
      </c>
      <c r="S3558" s="7">
        <f t="shared" si="303"/>
        <v>2</v>
      </c>
      <c r="T3558" s="15" t="str">
        <f>VLOOKUP(R3558,产品分类!$C$2:$D$1278,2,0)</f>
        <v>办公用品</v>
      </c>
    </row>
    <row r="3559" spans="1:20">
      <c r="A3559" s="8">
        <f>DATE(2012,12,31)-646</f>
        <v>40628</v>
      </c>
      <c r="B3559" s="8">
        <f>DATE(2012,12,31)-646</f>
        <v>40628</v>
      </c>
      <c r="C3559" s="9" t="s">
        <v>1764</v>
      </c>
      <c r="D3559">
        <v>10021295007</v>
      </c>
      <c r="E3559" t="s">
        <v>47</v>
      </c>
      <c r="F3559" t="s">
        <v>61</v>
      </c>
      <c r="G3559" t="s">
        <v>62</v>
      </c>
      <c r="H3559" t="s">
        <v>2216</v>
      </c>
      <c r="I3559" t="s">
        <v>2217</v>
      </c>
      <c r="J3559" t="s">
        <v>141</v>
      </c>
      <c r="K3559" s="3">
        <v>100112607077</v>
      </c>
      <c r="L3559" s="10">
        <v>40629</v>
      </c>
      <c r="M3559">
        <v>76.61</v>
      </c>
      <c r="N3559" s="11">
        <v>12</v>
      </c>
      <c r="O3559" s="12">
        <v>6.28</v>
      </c>
      <c r="P3559" s="12">
        <v>5.29</v>
      </c>
      <c r="Q3559" s="13">
        <v>-31.83</v>
      </c>
      <c r="R3559" s="36" t="s">
        <v>560</v>
      </c>
      <c r="S3559" s="7">
        <f t="shared" si="303"/>
        <v>1</v>
      </c>
      <c r="T3559" s="15" t="str">
        <f>VLOOKUP(R3559,产品分类!$C$2:$D$1278,2,0)</f>
        <v>数码电子</v>
      </c>
    </row>
    <row r="3560" spans="1:20">
      <c r="A3560" s="8">
        <f>DATE(2012,12,31)-35</f>
        <v>41239</v>
      </c>
      <c r="B3560" s="8">
        <f>DATE(2012,12,31)-35</f>
        <v>41239</v>
      </c>
      <c r="C3560" s="9" t="s">
        <v>1097</v>
      </c>
      <c r="D3560">
        <v>10021254481</v>
      </c>
      <c r="E3560" t="s">
        <v>47</v>
      </c>
      <c r="F3560" t="s">
        <v>61</v>
      </c>
      <c r="G3560" t="s">
        <v>62</v>
      </c>
      <c r="H3560" t="s">
        <v>2216</v>
      </c>
      <c r="I3560" t="s">
        <v>2217</v>
      </c>
      <c r="J3560" t="s">
        <v>141</v>
      </c>
      <c r="K3560" s="3">
        <v>100922280411</v>
      </c>
      <c r="L3560" s="10">
        <v>41246</v>
      </c>
      <c r="M3560">
        <v>4343.51</v>
      </c>
      <c r="N3560" s="11">
        <v>3</v>
      </c>
      <c r="O3560" s="12">
        <v>1500.97</v>
      </c>
      <c r="P3560" s="12">
        <v>29.7</v>
      </c>
      <c r="Q3560" s="13">
        <v>-3755.0331</v>
      </c>
      <c r="R3560" s="36" t="s">
        <v>1402</v>
      </c>
      <c r="S3560" s="7">
        <f t="shared" si="303"/>
        <v>7</v>
      </c>
      <c r="T3560" s="15" t="str">
        <f>VLOOKUP(R3560,产品分类!$C$2:$D$1278,2,0)</f>
        <v>家具产品</v>
      </c>
    </row>
    <row r="3561" spans="1:20">
      <c r="A3561" s="8">
        <f>DATE(2012,12,31)-379</f>
        <v>40895</v>
      </c>
      <c r="B3561" s="8">
        <f>DATE(2012,12,31)-379</f>
        <v>40895</v>
      </c>
      <c r="C3561" s="9" t="s">
        <v>1862</v>
      </c>
      <c r="D3561">
        <v>10021252497</v>
      </c>
      <c r="E3561" t="s">
        <v>47</v>
      </c>
      <c r="F3561" t="s">
        <v>61</v>
      </c>
      <c r="G3561" t="s">
        <v>62</v>
      </c>
      <c r="H3561" t="s">
        <v>2216</v>
      </c>
      <c r="I3561" t="s">
        <v>2217</v>
      </c>
      <c r="J3561" t="s">
        <v>141</v>
      </c>
      <c r="K3561" s="3">
        <v>100911861391</v>
      </c>
      <c r="L3561" s="10">
        <v>40897</v>
      </c>
      <c r="M3561">
        <v>3713.0125</v>
      </c>
      <c r="N3561" s="11">
        <v>48</v>
      </c>
      <c r="O3561" s="12">
        <v>95.99</v>
      </c>
      <c r="P3561" s="12">
        <v>7.69</v>
      </c>
      <c r="Q3561" s="13">
        <v>803.601</v>
      </c>
      <c r="R3561" s="36" t="s">
        <v>2218</v>
      </c>
      <c r="S3561" s="7">
        <f t="shared" si="303"/>
        <v>2</v>
      </c>
      <c r="T3561" s="15" t="str">
        <f>VLOOKUP(R3561,产品分类!$C$2:$D$1278,2,0)</f>
        <v>办公用品</v>
      </c>
    </row>
    <row r="3562" spans="1:20">
      <c r="A3562" s="8">
        <f>DATE(2012,12,31)-574</f>
        <v>40700</v>
      </c>
      <c r="B3562" s="8">
        <f>DATE(2012,12,31)-574</f>
        <v>40700</v>
      </c>
      <c r="C3562" s="9" t="s">
        <v>2219</v>
      </c>
      <c r="D3562">
        <v>10021317676</v>
      </c>
      <c r="E3562" t="s">
        <v>47</v>
      </c>
      <c r="F3562" t="s">
        <v>122</v>
      </c>
      <c r="G3562" t="s">
        <v>123</v>
      </c>
      <c r="H3562" t="s">
        <v>2159</v>
      </c>
      <c r="I3562" t="s">
        <v>2160</v>
      </c>
      <c r="J3562" t="s">
        <v>141</v>
      </c>
      <c r="K3562" s="3">
        <v>100932828151</v>
      </c>
      <c r="L3562" s="10">
        <v>40702</v>
      </c>
      <c r="M3562">
        <v>129.77</v>
      </c>
      <c r="N3562" s="11">
        <v>18</v>
      </c>
      <c r="O3562" s="12">
        <v>6.48</v>
      </c>
      <c r="P3562" s="12">
        <v>9.68</v>
      </c>
      <c r="Q3562" s="13">
        <v>-99.42</v>
      </c>
      <c r="R3562" s="36" t="s">
        <v>1905</v>
      </c>
      <c r="S3562" s="7">
        <f t="shared" si="303"/>
        <v>2</v>
      </c>
      <c r="T3562" s="15" t="str">
        <f>VLOOKUP(R3562,产品分类!$C$2:$D$1278,2,0)</f>
        <v>数码电子</v>
      </c>
    </row>
    <row r="3563" spans="1:20">
      <c r="A3563" s="8">
        <f>DATE(2012,12,31)-1424</f>
        <v>39850</v>
      </c>
      <c r="B3563" s="8">
        <f>DATE(2012,12,31)-1424</f>
        <v>39850</v>
      </c>
      <c r="C3563" s="9" t="s">
        <v>984</v>
      </c>
      <c r="D3563">
        <v>10021304798</v>
      </c>
      <c r="E3563" t="s">
        <v>47</v>
      </c>
      <c r="F3563" t="s">
        <v>132</v>
      </c>
      <c r="G3563" t="s">
        <v>133</v>
      </c>
      <c r="H3563" t="s">
        <v>134</v>
      </c>
      <c r="I3563" t="s">
        <v>133</v>
      </c>
      <c r="J3563" t="s">
        <v>141</v>
      </c>
      <c r="K3563" s="3">
        <v>100332794519</v>
      </c>
      <c r="L3563" s="10">
        <v>39850</v>
      </c>
      <c r="M3563">
        <v>6589.304</v>
      </c>
      <c r="N3563" s="11">
        <v>30</v>
      </c>
      <c r="O3563" s="12">
        <v>259.71</v>
      </c>
      <c r="P3563" s="12">
        <v>66.67</v>
      </c>
      <c r="Q3563" s="13">
        <v>912.48</v>
      </c>
      <c r="R3563" s="36" t="s">
        <v>1360</v>
      </c>
      <c r="S3563" s="7">
        <f t="shared" si="303"/>
        <v>0</v>
      </c>
      <c r="T3563" s="15" t="str">
        <f>VLOOKUP(R3563,产品分类!$C$2:$D$1278,2,0)</f>
        <v>办公用品</v>
      </c>
    </row>
    <row r="3564" spans="1:20">
      <c r="A3564" s="16">
        <f>DATE(2012,12,31)-361</f>
        <v>40913</v>
      </c>
      <c r="B3564" s="16">
        <f>DATE(2012,12,31)-361</f>
        <v>40913</v>
      </c>
      <c r="C3564" s="9" t="s">
        <v>875</v>
      </c>
      <c r="D3564">
        <v>10021490938</v>
      </c>
      <c r="E3564" t="s">
        <v>47</v>
      </c>
      <c r="F3564" t="s">
        <v>230</v>
      </c>
      <c r="G3564" t="s">
        <v>231</v>
      </c>
      <c r="H3564" t="s">
        <v>2174</v>
      </c>
      <c r="I3564" t="s">
        <v>2175</v>
      </c>
      <c r="J3564" t="s">
        <v>141</v>
      </c>
      <c r="K3564" s="3">
        <v>100133049768</v>
      </c>
      <c r="L3564" s="10">
        <v>40915</v>
      </c>
      <c r="M3564">
        <v>1666</v>
      </c>
      <c r="N3564" s="17">
        <v>32</v>
      </c>
      <c r="O3564" s="5">
        <v>55.48</v>
      </c>
      <c r="P3564" s="5">
        <v>4.85</v>
      </c>
      <c r="Q3564" s="6">
        <v>742.96</v>
      </c>
      <c r="R3564" s="37" t="s">
        <v>2220</v>
      </c>
      <c r="S3564" s="7">
        <f t="shared" si="303"/>
        <v>2</v>
      </c>
      <c r="T3564" s="15" t="str">
        <f>VLOOKUP(R3564,产品分类!$C$2:$D$1278,2,0)</f>
        <v>办公用品</v>
      </c>
    </row>
    <row r="3565" spans="1:20">
      <c r="A3565" s="8">
        <f>DATE(2012,12,31)-361</f>
        <v>40913</v>
      </c>
      <c r="B3565" s="8">
        <f>DATE(2012,12,31)-361</f>
        <v>40913</v>
      </c>
      <c r="C3565" s="9" t="s">
        <v>875</v>
      </c>
      <c r="D3565">
        <v>10021291963</v>
      </c>
      <c r="E3565" t="s">
        <v>47</v>
      </c>
      <c r="F3565" t="s">
        <v>122</v>
      </c>
      <c r="G3565" t="s">
        <v>123</v>
      </c>
      <c r="H3565" t="s">
        <v>2159</v>
      </c>
      <c r="I3565" t="s">
        <v>2160</v>
      </c>
      <c r="J3565" t="s">
        <v>141</v>
      </c>
      <c r="K3565" s="3">
        <v>100932790991</v>
      </c>
      <c r="L3565" s="10">
        <v>40915</v>
      </c>
      <c r="M3565">
        <v>453.98</v>
      </c>
      <c r="N3565" s="11">
        <v>40</v>
      </c>
      <c r="O3565" s="12">
        <v>11.34</v>
      </c>
      <c r="P3565" s="12">
        <v>5.01</v>
      </c>
      <c r="Q3565" s="13">
        <v>67.6</v>
      </c>
      <c r="R3565" s="36" t="s">
        <v>1504</v>
      </c>
      <c r="S3565" s="7">
        <f t="shared" si="303"/>
        <v>2</v>
      </c>
      <c r="T3565" s="15" t="str">
        <f>VLOOKUP(R3565,产品分类!$C$2:$D$1278,2,0)</f>
        <v>家具产品</v>
      </c>
    </row>
    <row r="3566" spans="1:20">
      <c r="A3566" s="8">
        <f>DATE(2012,12,31)-100</f>
        <v>41174</v>
      </c>
      <c r="B3566" s="8">
        <f>DATE(2012,12,31)-100</f>
        <v>41174</v>
      </c>
      <c r="C3566" s="9" t="s">
        <v>525</v>
      </c>
      <c r="D3566">
        <v>10021513329</v>
      </c>
      <c r="E3566" t="s">
        <v>47</v>
      </c>
      <c r="F3566" t="s">
        <v>97</v>
      </c>
      <c r="G3566" t="s">
        <v>98</v>
      </c>
      <c r="H3566" t="s">
        <v>99</v>
      </c>
      <c r="I3566" t="s">
        <v>98</v>
      </c>
      <c r="J3566" t="s">
        <v>141</v>
      </c>
      <c r="K3566" s="3">
        <v>100933059731</v>
      </c>
      <c r="L3566" s="10">
        <v>41174</v>
      </c>
      <c r="M3566">
        <v>570.24</v>
      </c>
      <c r="N3566" s="11">
        <v>33</v>
      </c>
      <c r="O3566" s="12">
        <v>15.99</v>
      </c>
      <c r="P3566" s="12">
        <v>11.28</v>
      </c>
      <c r="Q3566" s="13">
        <v>-57.8289</v>
      </c>
      <c r="R3566" s="36" t="s">
        <v>2082</v>
      </c>
      <c r="S3566" s="7">
        <f t="shared" si="303"/>
        <v>0</v>
      </c>
      <c r="T3566" s="15" t="str">
        <f>VLOOKUP(R3566,产品分类!$C$2:$D$1278,2,0)</f>
        <v>家具产品</v>
      </c>
    </row>
    <row r="3567" spans="1:20">
      <c r="A3567" s="8">
        <f>DATE(2012,12,31)-1316</f>
        <v>39958</v>
      </c>
      <c r="B3567" s="8">
        <f>DATE(2012,12,31)-1316</f>
        <v>39958</v>
      </c>
      <c r="C3567" s="9" t="s">
        <v>1491</v>
      </c>
      <c r="D3567">
        <v>10021292382</v>
      </c>
      <c r="E3567" t="s">
        <v>47</v>
      </c>
      <c r="F3567" t="s">
        <v>171</v>
      </c>
      <c r="G3567" t="s">
        <v>172</v>
      </c>
      <c r="H3567" t="s">
        <v>2073</v>
      </c>
      <c r="I3567" t="s">
        <v>2074</v>
      </c>
      <c r="J3567" t="s">
        <v>141</v>
      </c>
      <c r="K3567" s="3">
        <v>100932792161</v>
      </c>
      <c r="L3567" s="10">
        <v>39960</v>
      </c>
      <c r="M3567">
        <v>1444</v>
      </c>
      <c r="N3567" s="11">
        <v>48</v>
      </c>
      <c r="O3567" s="12">
        <v>30.56</v>
      </c>
      <c r="P3567" s="12">
        <v>2.99</v>
      </c>
      <c r="Q3567" s="13">
        <v>617.0575</v>
      </c>
      <c r="R3567" s="36" t="s">
        <v>1457</v>
      </c>
      <c r="S3567" s="7">
        <f t="shared" si="303"/>
        <v>2</v>
      </c>
      <c r="T3567" s="15" t="str">
        <f>VLOOKUP(R3567,产品分类!$C$2:$D$1278,2,0)</f>
        <v>办公用品</v>
      </c>
    </row>
    <row r="3568" spans="1:20">
      <c r="A3568" s="8">
        <f>DATE(2012,12,31)-222</f>
        <v>41052</v>
      </c>
      <c r="B3568" s="8">
        <f>DATE(2012,12,31)-222</f>
        <v>41052</v>
      </c>
      <c r="C3568" s="9" t="s">
        <v>1118</v>
      </c>
      <c r="D3568">
        <v>10021277250</v>
      </c>
      <c r="E3568" t="s">
        <v>47</v>
      </c>
      <c r="F3568" t="s">
        <v>114</v>
      </c>
      <c r="G3568" t="s">
        <v>115</v>
      </c>
      <c r="H3568" t="s">
        <v>2204</v>
      </c>
      <c r="I3568" t="s">
        <v>2205</v>
      </c>
      <c r="J3568" t="s">
        <v>141</v>
      </c>
      <c r="K3568" s="3">
        <v>100832776852</v>
      </c>
      <c r="L3568" s="10">
        <v>41053</v>
      </c>
      <c r="M3568">
        <v>536.21</v>
      </c>
      <c r="N3568" s="11">
        <v>25</v>
      </c>
      <c r="O3568" s="12">
        <v>22.72</v>
      </c>
      <c r="P3568" s="12">
        <v>8.99</v>
      </c>
      <c r="Q3568" s="13">
        <v>106.98</v>
      </c>
      <c r="R3568" s="36" t="s">
        <v>972</v>
      </c>
      <c r="S3568" s="7">
        <f t="shared" si="303"/>
        <v>1</v>
      </c>
      <c r="T3568" s="15" t="str">
        <f>VLOOKUP(R3568,产品分类!$C$2:$D$1278,2,0)</f>
        <v>办公用品</v>
      </c>
    </row>
    <row r="3569" spans="1:20">
      <c r="A3569" s="8">
        <f>DATE(2012,12,31)-222</f>
        <v>41052</v>
      </c>
      <c r="B3569" s="8">
        <f>DATE(2012,12,31)-222</f>
        <v>41052</v>
      </c>
      <c r="C3569" s="9" t="s">
        <v>1118</v>
      </c>
      <c r="D3569">
        <v>10021493064</v>
      </c>
      <c r="E3569" t="s">
        <v>47</v>
      </c>
      <c r="F3569" t="s">
        <v>66</v>
      </c>
      <c r="G3569" t="s">
        <v>67</v>
      </c>
      <c r="H3569" t="s">
        <v>2169</v>
      </c>
      <c r="I3569" t="s">
        <v>2170</v>
      </c>
      <c r="J3569" t="s">
        <v>141</v>
      </c>
      <c r="K3569" s="3">
        <v>100833056832</v>
      </c>
      <c r="L3569" s="10">
        <v>41055</v>
      </c>
      <c r="M3569">
        <v>4428.56</v>
      </c>
      <c r="N3569" s="11">
        <v>18</v>
      </c>
      <c r="O3569" s="12">
        <v>296.18</v>
      </c>
      <c r="P3569" s="12">
        <v>54.12</v>
      </c>
      <c r="Q3569" s="13">
        <v>213.62</v>
      </c>
      <c r="R3569" s="36" t="s">
        <v>372</v>
      </c>
      <c r="S3569" s="7">
        <f t="shared" si="303"/>
        <v>3</v>
      </c>
      <c r="T3569" s="15" t="str">
        <f>VLOOKUP(R3569,产品分类!$C$2:$D$1278,2,0)</f>
        <v>办公用品</v>
      </c>
    </row>
    <row r="3570" spans="1:20">
      <c r="A3570" s="16">
        <f>DATE(2012,12,31)-1320</f>
        <v>39954</v>
      </c>
      <c r="B3570" s="16">
        <f>DATE(2012,12,31)-1320</f>
        <v>39954</v>
      </c>
      <c r="C3570" s="9" t="s">
        <v>721</v>
      </c>
      <c r="D3570">
        <v>10021438996</v>
      </c>
      <c r="E3570" t="s">
        <v>47</v>
      </c>
      <c r="F3570" t="s">
        <v>66</v>
      </c>
      <c r="G3570" t="s">
        <v>67</v>
      </c>
      <c r="H3570" t="s">
        <v>2169</v>
      </c>
      <c r="I3570" t="s">
        <v>2170</v>
      </c>
      <c r="J3570" t="s">
        <v>141</v>
      </c>
      <c r="K3570" s="3">
        <v>100732975275</v>
      </c>
      <c r="L3570" s="10">
        <v>39955</v>
      </c>
      <c r="M3570">
        <v>194.02</v>
      </c>
      <c r="N3570" s="17">
        <v>40</v>
      </c>
      <c r="O3570" s="5">
        <v>4.98</v>
      </c>
      <c r="P3570" s="5">
        <v>0.8</v>
      </c>
      <c r="Q3570" s="6">
        <v>80.35</v>
      </c>
      <c r="R3570" s="37" t="s">
        <v>521</v>
      </c>
      <c r="S3570" s="7">
        <f t="shared" si="303"/>
        <v>1</v>
      </c>
      <c r="T3570" s="15" t="str">
        <f>VLOOKUP(R3570,产品分类!$C$2:$D$1278,2,0)</f>
        <v>家具产品</v>
      </c>
    </row>
    <row r="3571" spans="1:20">
      <c r="A3571" s="8">
        <f>DATE(2012,12,31)-78</f>
        <v>41196</v>
      </c>
      <c r="B3571" s="8">
        <f>DATE(2012,12,31)-78</f>
        <v>41196</v>
      </c>
      <c r="C3571" s="9" t="s">
        <v>1306</v>
      </c>
      <c r="D3571">
        <v>10021391768</v>
      </c>
      <c r="E3571" t="s">
        <v>47</v>
      </c>
      <c r="F3571" t="s">
        <v>72</v>
      </c>
      <c r="G3571" t="s">
        <v>73</v>
      </c>
      <c r="H3571" t="s">
        <v>2008</v>
      </c>
      <c r="I3571" t="s">
        <v>2009</v>
      </c>
      <c r="J3571" t="s">
        <v>141</v>
      </c>
      <c r="K3571" s="3">
        <v>100732914425</v>
      </c>
      <c r="L3571" s="10">
        <v>41198</v>
      </c>
      <c r="M3571">
        <v>17304.85</v>
      </c>
      <c r="N3571" s="11">
        <v>36</v>
      </c>
      <c r="O3571" s="12">
        <v>500.98</v>
      </c>
      <c r="P3571" s="12">
        <v>28.14</v>
      </c>
      <c r="Q3571" s="13">
        <v>7434.48</v>
      </c>
      <c r="R3571" s="36" t="s">
        <v>248</v>
      </c>
      <c r="S3571" s="7">
        <f t="shared" si="303"/>
        <v>2</v>
      </c>
      <c r="T3571" s="15" t="str">
        <f>VLOOKUP(R3571,产品分类!$C$2:$D$1278,2,0)</f>
        <v>家具产品</v>
      </c>
    </row>
    <row r="3572" spans="1:20">
      <c r="A3572" s="8">
        <f>DATE(2012,12,31)-78</f>
        <v>41196</v>
      </c>
      <c r="B3572" s="8">
        <f>DATE(2012,12,31)-78</f>
        <v>41196</v>
      </c>
      <c r="C3572" s="9" t="s">
        <v>1306</v>
      </c>
      <c r="D3572">
        <v>10021321229</v>
      </c>
      <c r="E3572" t="s">
        <v>47</v>
      </c>
      <c r="F3572" t="s">
        <v>55</v>
      </c>
      <c r="G3572" t="s">
        <v>56</v>
      </c>
      <c r="H3572" t="s">
        <v>2197</v>
      </c>
      <c r="I3572" t="s">
        <v>2198</v>
      </c>
      <c r="J3572" t="s">
        <v>141</v>
      </c>
      <c r="K3572" s="3">
        <v>100432830554</v>
      </c>
      <c r="L3572" s="10">
        <v>41199</v>
      </c>
      <c r="M3572">
        <v>794.32</v>
      </c>
      <c r="N3572" s="11">
        <v>20</v>
      </c>
      <c r="O3572" s="12">
        <v>40.99</v>
      </c>
      <c r="P3572" s="12">
        <v>17.48</v>
      </c>
      <c r="Q3572" s="13">
        <v>67.61</v>
      </c>
      <c r="R3572" s="36" t="s">
        <v>620</v>
      </c>
      <c r="S3572" s="7">
        <f t="shared" si="303"/>
        <v>3</v>
      </c>
      <c r="T3572" s="15" t="str">
        <f>VLOOKUP(R3572,产品分类!$C$2:$D$1278,2,0)</f>
        <v>数码电子</v>
      </c>
    </row>
    <row r="3573" spans="1:20">
      <c r="A3573" s="8">
        <f>DATE(2012,12,31)-1367</f>
        <v>39907</v>
      </c>
      <c r="B3573" s="8">
        <f>DATE(2012,12,31)-1367</f>
        <v>39907</v>
      </c>
      <c r="C3573" s="9" t="s">
        <v>882</v>
      </c>
      <c r="D3573">
        <v>10021484976</v>
      </c>
      <c r="E3573" t="s">
        <v>47</v>
      </c>
      <c r="F3573" t="s">
        <v>97</v>
      </c>
      <c r="G3573" t="s">
        <v>98</v>
      </c>
      <c r="H3573" t="s">
        <v>99</v>
      </c>
      <c r="I3573" t="s">
        <v>98</v>
      </c>
      <c r="J3573" t="s">
        <v>141</v>
      </c>
      <c r="K3573" s="3">
        <v>100733033035</v>
      </c>
      <c r="L3573" s="10">
        <v>39907</v>
      </c>
      <c r="M3573">
        <v>305.96</v>
      </c>
      <c r="N3573" s="11">
        <v>49</v>
      </c>
      <c r="O3573" s="12">
        <v>6.48</v>
      </c>
      <c r="P3573" s="12">
        <v>7.49</v>
      </c>
      <c r="Q3573" s="13">
        <v>-191.49</v>
      </c>
      <c r="R3573" s="36" t="s">
        <v>1030</v>
      </c>
      <c r="S3573" s="7">
        <f t="shared" si="303"/>
        <v>0</v>
      </c>
      <c r="T3573" s="15" t="str">
        <f>VLOOKUP(R3573,产品分类!$C$2:$D$1278,2,0)</f>
        <v>办公用品</v>
      </c>
    </row>
    <row r="3574" spans="1:20">
      <c r="A3574" s="8">
        <f>DATE(2012,12,31)-90</f>
        <v>41184</v>
      </c>
      <c r="B3574" s="8">
        <f>DATE(2012,12,31)-90</f>
        <v>41184</v>
      </c>
      <c r="C3574" s="9" t="s">
        <v>1490</v>
      </c>
      <c r="D3574">
        <v>10021393910</v>
      </c>
      <c r="E3574" t="s">
        <v>47</v>
      </c>
      <c r="F3574" t="s">
        <v>304</v>
      </c>
      <c r="G3574" t="s">
        <v>305</v>
      </c>
      <c r="H3574" t="s">
        <v>2015</v>
      </c>
      <c r="I3574" t="s">
        <v>2016</v>
      </c>
      <c r="J3574" t="s">
        <v>141</v>
      </c>
      <c r="K3574" s="3">
        <v>100432918133</v>
      </c>
      <c r="L3574" s="10">
        <v>41186</v>
      </c>
      <c r="M3574">
        <v>676.69</v>
      </c>
      <c r="N3574" s="11">
        <v>21</v>
      </c>
      <c r="O3574" s="12">
        <v>35.41</v>
      </c>
      <c r="P3574" s="12">
        <v>1.99</v>
      </c>
      <c r="Q3574" s="13">
        <v>138.1</v>
      </c>
      <c r="R3574" s="36" t="s">
        <v>1051</v>
      </c>
      <c r="S3574" s="7">
        <f t="shared" si="303"/>
        <v>2</v>
      </c>
      <c r="T3574" s="15" t="str">
        <f>VLOOKUP(R3574,产品分类!$C$2:$D$1278,2,0)</f>
        <v>家具产品</v>
      </c>
    </row>
    <row r="3575" spans="1:20">
      <c r="A3575" s="8">
        <f>DATE(2012,12,31)-90</f>
        <v>41184</v>
      </c>
      <c r="B3575" s="8">
        <f>DATE(2012,12,31)-90</f>
        <v>41184</v>
      </c>
      <c r="C3575" s="9" t="s">
        <v>1490</v>
      </c>
      <c r="D3575">
        <v>10021538219</v>
      </c>
      <c r="E3575" t="s">
        <v>47</v>
      </c>
      <c r="F3575" t="s">
        <v>171</v>
      </c>
      <c r="G3575" t="s">
        <v>172</v>
      </c>
      <c r="H3575" t="s">
        <v>2073</v>
      </c>
      <c r="I3575" t="s">
        <v>2074</v>
      </c>
      <c r="J3575" t="s">
        <v>141</v>
      </c>
      <c r="K3575" s="3">
        <v>100733097675</v>
      </c>
      <c r="L3575" s="10">
        <v>41185</v>
      </c>
      <c r="M3575">
        <v>13698.96</v>
      </c>
      <c r="N3575" s="11">
        <v>4</v>
      </c>
      <c r="O3575" s="12">
        <v>3499.99</v>
      </c>
      <c r="P3575" s="12">
        <v>24.49</v>
      </c>
      <c r="Q3575" s="13">
        <v>-9078.94</v>
      </c>
      <c r="R3575" s="36" t="s">
        <v>1863</v>
      </c>
      <c r="S3575" s="7">
        <f t="shared" si="303"/>
        <v>1</v>
      </c>
      <c r="T3575" s="15" t="str">
        <f>VLOOKUP(R3575,产品分类!$C$2:$D$1278,2,0)</f>
        <v>办公用品</v>
      </c>
    </row>
    <row r="3576" spans="1:20">
      <c r="A3576" s="8">
        <f>DATE(2012,12,31)-251</f>
        <v>41023</v>
      </c>
      <c r="B3576" s="8">
        <f>DATE(2012,12,31)-251</f>
        <v>41023</v>
      </c>
      <c r="C3576" s="9" t="s">
        <v>386</v>
      </c>
      <c r="D3576">
        <v>10021374051</v>
      </c>
      <c r="E3576" t="s">
        <v>47</v>
      </c>
      <c r="F3576" t="s">
        <v>342</v>
      </c>
      <c r="G3576" t="s">
        <v>343</v>
      </c>
      <c r="H3576" t="s">
        <v>2090</v>
      </c>
      <c r="I3576" t="s">
        <v>2091</v>
      </c>
      <c r="J3576" t="s">
        <v>141</v>
      </c>
      <c r="K3576" s="3">
        <v>100432894914</v>
      </c>
      <c r="L3576" s="10">
        <v>41023</v>
      </c>
      <c r="M3576">
        <v>4725.0905</v>
      </c>
      <c r="N3576" s="11">
        <v>47</v>
      </c>
      <c r="O3576" s="12">
        <v>115.99</v>
      </c>
      <c r="P3576" s="12">
        <v>2.5</v>
      </c>
      <c r="Q3576" s="13">
        <v>1578.699</v>
      </c>
      <c r="R3576" s="36" t="s">
        <v>2221</v>
      </c>
      <c r="S3576" s="7">
        <f t="shared" si="303"/>
        <v>0</v>
      </c>
      <c r="T3576" s="15" t="str">
        <f>VLOOKUP(R3576,产品分类!$C$2:$D$1278,2,0)</f>
        <v>家具产品</v>
      </c>
    </row>
    <row r="3577" spans="1:20">
      <c r="A3577" s="16">
        <f>DATE(2012,12,31)-251</f>
        <v>41023</v>
      </c>
      <c r="B3577" s="16">
        <f>DATE(2012,12,31)-251</f>
        <v>41023</v>
      </c>
      <c r="C3577" s="9" t="s">
        <v>386</v>
      </c>
      <c r="D3577">
        <v>10021472509</v>
      </c>
      <c r="E3577" t="s">
        <v>47</v>
      </c>
      <c r="F3577" t="s">
        <v>66</v>
      </c>
      <c r="G3577" t="s">
        <v>67</v>
      </c>
      <c r="H3577" t="s">
        <v>2169</v>
      </c>
      <c r="I3577" t="s">
        <v>2170</v>
      </c>
      <c r="J3577" t="s">
        <v>141</v>
      </c>
      <c r="K3577" s="3">
        <v>100132851407</v>
      </c>
      <c r="L3577" s="10">
        <v>41025</v>
      </c>
      <c r="M3577">
        <v>286.76</v>
      </c>
      <c r="N3577" s="17">
        <v>50</v>
      </c>
      <c r="O3577" s="5">
        <v>6.08</v>
      </c>
      <c r="P3577" s="5">
        <v>1.82</v>
      </c>
      <c r="Q3577" s="6">
        <v>77.2</v>
      </c>
      <c r="R3577" s="37" t="s">
        <v>263</v>
      </c>
      <c r="S3577" s="7">
        <f t="shared" si="303"/>
        <v>2</v>
      </c>
      <c r="T3577" s="15" t="str">
        <f>VLOOKUP(R3577,产品分类!$C$2:$D$1278,2,0)</f>
        <v>家具产品</v>
      </c>
    </row>
    <row r="3578" spans="1:20">
      <c r="A3578" s="8">
        <f>DATE(2012,12,31)-613</f>
        <v>40661</v>
      </c>
      <c r="B3578" s="8">
        <f>DATE(2012,12,31)-613</f>
        <v>40661</v>
      </c>
      <c r="C3578" s="9" t="s">
        <v>309</v>
      </c>
      <c r="D3578">
        <v>10021318547</v>
      </c>
      <c r="E3578" t="s">
        <v>47</v>
      </c>
      <c r="F3578" t="s">
        <v>230</v>
      </c>
      <c r="G3578" t="s">
        <v>231</v>
      </c>
      <c r="H3578" t="s">
        <v>2174</v>
      </c>
      <c r="I3578" t="s">
        <v>2175</v>
      </c>
      <c r="J3578" t="s">
        <v>141</v>
      </c>
      <c r="K3578" s="3">
        <v>10012289586</v>
      </c>
      <c r="L3578" s="10">
        <v>40661</v>
      </c>
      <c r="M3578">
        <v>210.5025</v>
      </c>
      <c r="N3578" s="11">
        <v>3</v>
      </c>
      <c r="O3578" s="12">
        <v>85.99</v>
      </c>
      <c r="P3578" s="12">
        <v>1.25</v>
      </c>
      <c r="Q3578" s="13">
        <v>-315.326</v>
      </c>
      <c r="R3578" s="36" t="s">
        <v>723</v>
      </c>
      <c r="S3578" s="7">
        <f t="shared" si="303"/>
        <v>0</v>
      </c>
      <c r="T3578" s="15" t="str">
        <f>VLOOKUP(R3578,产品分类!$C$2:$D$1278,2,0)</f>
        <v>办公用品</v>
      </c>
    </row>
    <row r="3579" spans="1:20">
      <c r="A3579" s="8">
        <f>DATE(2012,12,31)-1244</f>
        <v>40030</v>
      </c>
      <c r="B3579" s="8">
        <f>DATE(2012,12,31)-1244</f>
        <v>40030</v>
      </c>
      <c r="C3579" s="9" t="s">
        <v>421</v>
      </c>
      <c r="D3579">
        <v>10021348633</v>
      </c>
      <c r="E3579" t="s">
        <v>47</v>
      </c>
      <c r="F3579" t="s">
        <v>83</v>
      </c>
      <c r="G3579" t="s">
        <v>84</v>
      </c>
      <c r="H3579" t="s">
        <v>2144</v>
      </c>
      <c r="I3579" t="s">
        <v>2145</v>
      </c>
      <c r="J3579" t="s">
        <v>141</v>
      </c>
      <c r="K3579" s="3">
        <v>100131594198</v>
      </c>
      <c r="L3579" s="10">
        <v>40031</v>
      </c>
      <c r="M3579">
        <v>555.2</v>
      </c>
      <c r="N3579" s="11">
        <v>8</v>
      </c>
      <c r="O3579" s="12">
        <v>64.65</v>
      </c>
      <c r="P3579" s="12">
        <v>35</v>
      </c>
      <c r="Q3579" s="13">
        <v>-267.86</v>
      </c>
      <c r="R3579" s="36" t="s">
        <v>1310</v>
      </c>
      <c r="S3579" s="7">
        <f t="shared" si="303"/>
        <v>1</v>
      </c>
      <c r="T3579" s="15" t="str">
        <f>VLOOKUP(R3579,产品分类!$C$2:$D$1278,2,0)</f>
        <v>办公用品</v>
      </c>
    </row>
    <row r="3580" spans="1:20">
      <c r="A3580" s="8">
        <f>DATE(2012,12,31)-1319</f>
        <v>39955</v>
      </c>
      <c r="B3580" s="8">
        <f>DATE(2012,12,31)-1319</f>
        <v>39955</v>
      </c>
      <c r="C3580" s="9" t="s">
        <v>686</v>
      </c>
      <c r="D3580">
        <v>10021433136</v>
      </c>
      <c r="E3580" t="s">
        <v>47</v>
      </c>
      <c r="F3580" t="s">
        <v>91</v>
      </c>
      <c r="G3580" t="s">
        <v>92</v>
      </c>
      <c r="H3580" t="s">
        <v>2053</v>
      </c>
      <c r="I3580" t="s">
        <v>2054</v>
      </c>
      <c r="J3580" t="s">
        <v>141</v>
      </c>
      <c r="K3580" s="3">
        <v>100132599688</v>
      </c>
      <c r="L3580" s="10">
        <v>39957</v>
      </c>
      <c r="M3580">
        <v>212.28</v>
      </c>
      <c r="N3580" s="11">
        <v>43</v>
      </c>
      <c r="O3580" s="12">
        <v>4.98</v>
      </c>
      <c r="P3580" s="12">
        <v>4.95</v>
      </c>
      <c r="Q3580" s="13">
        <v>-103.224</v>
      </c>
      <c r="R3580" s="36" t="s">
        <v>1656</v>
      </c>
      <c r="S3580" s="7">
        <f t="shared" si="303"/>
        <v>2</v>
      </c>
      <c r="T3580" s="15" t="str">
        <f>VLOOKUP(R3580,产品分类!$C$2:$D$1278,2,0)</f>
        <v>家具产品</v>
      </c>
    </row>
    <row r="3581" spans="1:20">
      <c r="A3581" s="8">
        <f>DATE(2012,12,31)-528</f>
        <v>40746</v>
      </c>
      <c r="B3581" s="8">
        <f>DATE(2012,12,31)-528</f>
        <v>40746</v>
      </c>
      <c r="C3581" s="9" t="s">
        <v>2045</v>
      </c>
      <c r="D3581">
        <v>10021260985</v>
      </c>
      <c r="E3581" t="s">
        <v>47</v>
      </c>
      <c r="F3581" t="s">
        <v>97</v>
      </c>
      <c r="G3581" t="s">
        <v>98</v>
      </c>
      <c r="H3581" t="s">
        <v>99</v>
      </c>
      <c r="I3581" t="s">
        <v>98</v>
      </c>
      <c r="J3581" t="s">
        <v>141</v>
      </c>
      <c r="K3581" s="3">
        <v>100129093647</v>
      </c>
      <c r="L3581" s="10">
        <v>40746</v>
      </c>
      <c r="M3581">
        <v>193.25</v>
      </c>
      <c r="N3581" s="11">
        <v>19</v>
      </c>
      <c r="O3581" s="12">
        <v>9.93</v>
      </c>
      <c r="P3581" s="12">
        <v>1.09</v>
      </c>
      <c r="Q3581" s="13">
        <v>71.55</v>
      </c>
      <c r="R3581" s="36" t="s">
        <v>393</v>
      </c>
      <c r="S3581" s="7">
        <f t="shared" si="303"/>
        <v>0</v>
      </c>
      <c r="T3581" s="15" t="str">
        <f>VLOOKUP(R3581,产品分类!$C$2:$D$1278,2,0)</f>
        <v>数码电子</v>
      </c>
    </row>
    <row r="3582" spans="1:20">
      <c r="A3582" s="8">
        <f>DATE(2012,12,31)-1448</f>
        <v>39826</v>
      </c>
      <c r="B3582" s="8">
        <f>DATE(2012,12,31)-1448</f>
        <v>39826</v>
      </c>
      <c r="C3582" s="9" t="s">
        <v>1700</v>
      </c>
      <c r="D3582">
        <v>10021282090</v>
      </c>
      <c r="E3582" t="s">
        <v>47</v>
      </c>
      <c r="F3582" t="s">
        <v>102</v>
      </c>
      <c r="G3582" t="s">
        <v>103</v>
      </c>
      <c r="H3582" t="s">
        <v>2119</v>
      </c>
      <c r="I3582" t="s">
        <v>2120</v>
      </c>
      <c r="J3582" t="s">
        <v>141</v>
      </c>
      <c r="K3582" s="3">
        <v>100924413601</v>
      </c>
      <c r="L3582" s="10">
        <v>39828</v>
      </c>
      <c r="M3582">
        <v>297.76</v>
      </c>
      <c r="N3582" s="11">
        <v>50</v>
      </c>
      <c r="O3582" s="12">
        <v>5.98</v>
      </c>
      <c r="P3582" s="12">
        <v>5.79</v>
      </c>
      <c r="Q3582" s="13">
        <v>-111.34</v>
      </c>
      <c r="R3582" s="36" t="s">
        <v>915</v>
      </c>
      <c r="S3582" s="7">
        <f t="shared" si="303"/>
        <v>2</v>
      </c>
      <c r="T3582" s="15" t="str">
        <f>VLOOKUP(R3582,产品分类!$C$2:$D$1278,2,0)</f>
        <v>家具产品</v>
      </c>
    </row>
    <row r="3583" spans="1:20">
      <c r="A3583" s="8">
        <f>DATE(2012,12,31)-1</f>
        <v>41273</v>
      </c>
      <c r="B3583" s="8">
        <f>DATE(2012,12,31)-1</f>
        <v>41273</v>
      </c>
      <c r="C3583" s="9" t="s">
        <v>2096</v>
      </c>
      <c r="D3583">
        <v>10021585147</v>
      </c>
      <c r="E3583" t="s">
        <v>47</v>
      </c>
      <c r="F3583" t="s">
        <v>61</v>
      </c>
      <c r="G3583" t="s">
        <v>62</v>
      </c>
      <c r="H3583" t="s">
        <v>2216</v>
      </c>
      <c r="I3583" t="s">
        <v>2217</v>
      </c>
      <c r="J3583" t="s">
        <v>141</v>
      </c>
      <c r="K3583" s="3">
        <v>100727411195</v>
      </c>
      <c r="L3583" s="10">
        <v>41273</v>
      </c>
      <c r="M3583">
        <v>257.46</v>
      </c>
      <c r="N3583" s="11">
        <v>37</v>
      </c>
      <c r="O3583" s="12">
        <v>7.28</v>
      </c>
      <c r="P3583" s="12">
        <v>4.23</v>
      </c>
      <c r="Q3583" s="13">
        <v>-18.66</v>
      </c>
      <c r="R3583" s="36" t="s">
        <v>2103</v>
      </c>
      <c r="S3583" s="7">
        <f t="shared" si="303"/>
        <v>0</v>
      </c>
      <c r="T3583" s="15" t="str">
        <f>VLOOKUP(R3583,产品分类!$C$2:$D$1278,2,0)</f>
        <v>家具产品</v>
      </c>
    </row>
    <row r="3584" spans="1:20">
      <c r="A3584" s="8">
        <f>DATE(2012,12,31)-175</f>
        <v>41099</v>
      </c>
      <c r="B3584" s="8">
        <f>DATE(2012,12,31)-175</f>
        <v>41099</v>
      </c>
      <c r="C3584" s="9" t="s">
        <v>1100</v>
      </c>
      <c r="D3584">
        <v>10021334428</v>
      </c>
      <c r="E3584" t="s">
        <v>47</v>
      </c>
      <c r="F3584" t="s">
        <v>61</v>
      </c>
      <c r="G3584" t="s">
        <v>62</v>
      </c>
      <c r="H3584" t="s">
        <v>2216</v>
      </c>
      <c r="I3584" t="s">
        <v>2217</v>
      </c>
      <c r="J3584" t="s">
        <v>141</v>
      </c>
      <c r="K3584" s="3">
        <v>100911291141</v>
      </c>
      <c r="L3584" s="10">
        <v>41101</v>
      </c>
      <c r="M3584">
        <v>311.21</v>
      </c>
      <c r="N3584" s="11">
        <v>27</v>
      </c>
      <c r="O3584" s="12">
        <v>12.28</v>
      </c>
      <c r="P3584" s="12">
        <v>6.47</v>
      </c>
      <c r="Q3584" s="13">
        <v>-14.03</v>
      </c>
      <c r="R3584" s="36" t="s">
        <v>874</v>
      </c>
      <c r="S3584" s="7">
        <f t="shared" si="303"/>
        <v>2</v>
      </c>
      <c r="T3584" s="15" t="str">
        <f>VLOOKUP(R3584,产品分类!$C$2:$D$1278,2,0)</f>
        <v>办公用品</v>
      </c>
    </row>
    <row r="3585" spans="1:20">
      <c r="A3585" s="8">
        <f>DATE(2012,12,31)-135</f>
        <v>41139</v>
      </c>
      <c r="B3585" s="8">
        <f>DATE(2012,12,31)-135</f>
        <v>41139</v>
      </c>
      <c r="C3585" s="9" t="s">
        <v>840</v>
      </c>
      <c r="D3585">
        <v>10021474242</v>
      </c>
      <c r="E3585" t="s">
        <v>47</v>
      </c>
      <c r="F3585" t="s">
        <v>152</v>
      </c>
      <c r="G3585" t="s">
        <v>153</v>
      </c>
      <c r="H3585" t="s">
        <v>2200</v>
      </c>
      <c r="I3585" t="s">
        <v>2201</v>
      </c>
      <c r="J3585" t="s">
        <v>141</v>
      </c>
      <c r="K3585" s="3">
        <v>100415692953</v>
      </c>
      <c r="L3585" s="10">
        <v>41141</v>
      </c>
      <c r="M3585">
        <v>3749</v>
      </c>
      <c r="N3585" s="11">
        <v>42</v>
      </c>
      <c r="O3585" s="12">
        <v>89.83</v>
      </c>
      <c r="P3585" s="12">
        <v>35</v>
      </c>
      <c r="Q3585" s="13">
        <v>-1032.13</v>
      </c>
      <c r="R3585" s="36" t="s">
        <v>1871</v>
      </c>
      <c r="S3585" s="7">
        <f t="shared" si="303"/>
        <v>2</v>
      </c>
      <c r="T3585" s="15" t="str">
        <f>VLOOKUP(R3585,产品分类!$C$2:$D$1278,2,0)</f>
        <v>办公用品</v>
      </c>
    </row>
    <row r="3586" spans="1:20">
      <c r="A3586" s="8">
        <f>DATE(2012,12,31)-1390</f>
        <v>39884</v>
      </c>
      <c r="B3586" s="8">
        <f>DATE(2012,12,31)-1390</f>
        <v>39884</v>
      </c>
      <c r="C3586" s="9" t="s">
        <v>2222</v>
      </c>
      <c r="D3586">
        <v>10021359251</v>
      </c>
      <c r="E3586" t="s">
        <v>47</v>
      </c>
      <c r="F3586" t="s">
        <v>72</v>
      </c>
      <c r="G3586" t="s">
        <v>73</v>
      </c>
      <c r="H3586" t="s">
        <v>2008</v>
      </c>
      <c r="I3586" t="s">
        <v>2009</v>
      </c>
      <c r="J3586" t="s">
        <v>141</v>
      </c>
      <c r="K3586" s="3">
        <v>100420929044</v>
      </c>
      <c r="L3586" s="10">
        <v>39884</v>
      </c>
      <c r="M3586">
        <v>5074.07</v>
      </c>
      <c r="N3586" s="11">
        <v>46</v>
      </c>
      <c r="O3586" s="12">
        <v>100.98</v>
      </c>
      <c r="P3586" s="12">
        <v>57.38</v>
      </c>
      <c r="Q3586" s="13">
        <v>-1390.53</v>
      </c>
      <c r="R3586" s="36" t="s">
        <v>661</v>
      </c>
      <c r="S3586" s="7">
        <f t="shared" si="303"/>
        <v>0</v>
      </c>
      <c r="T3586" s="15" t="str">
        <f>VLOOKUP(R3586,产品分类!$C$2:$D$1278,2,0)</f>
        <v>办公用品</v>
      </c>
    </row>
    <row r="3587" spans="1:20">
      <c r="A3587" s="8">
        <f>DATE(2012,12,31)-1390</f>
        <v>39884</v>
      </c>
      <c r="B3587" s="8">
        <f>DATE(2012,12,31)-1390</f>
        <v>39884</v>
      </c>
      <c r="C3587" s="9" t="s">
        <v>2222</v>
      </c>
      <c r="D3587">
        <v>10021323381</v>
      </c>
      <c r="E3587" t="s">
        <v>47</v>
      </c>
      <c r="F3587" t="s">
        <v>122</v>
      </c>
      <c r="G3587" t="s">
        <v>123</v>
      </c>
      <c r="H3587" t="s">
        <v>2159</v>
      </c>
      <c r="I3587" t="s">
        <v>2160</v>
      </c>
      <c r="J3587" t="s">
        <v>141</v>
      </c>
      <c r="K3587" s="3">
        <v>100927997781</v>
      </c>
      <c r="L3587" s="10">
        <v>39885</v>
      </c>
      <c r="M3587">
        <v>1526.67</v>
      </c>
      <c r="N3587" s="11">
        <v>31</v>
      </c>
      <c r="O3587" s="12">
        <v>47.98</v>
      </c>
      <c r="P3587" s="12">
        <v>3.61</v>
      </c>
      <c r="Q3587" s="13">
        <v>118.82</v>
      </c>
      <c r="R3587" s="36" t="s">
        <v>364</v>
      </c>
      <c r="S3587" s="7">
        <f t="shared" ref="S3587:S3650" si="308">+L3587-B3587</f>
        <v>1</v>
      </c>
      <c r="T3587" s="15" t="str">
        <f>VLOOKUP(R3587,产品分类!$C$2:$D$1278,2,0)</f>
        <v>数码电子</v>
      </c>
    </row>
    <row r="3588" spans="1:20">
      <c r="A3588" s="8">
        <f>DATE(2012,12,31)-1456</f>
        <v>39818</v>
      </c>
      <c r="B3588" s="8">
        <f>DATE(2012,12,31)-1456</f>
        <v>39818</v>
      </c>
      <c r="C3588" s="9" t="s">
        <v>268</v>
      </c>
      <c r="D3588">
        <v>10021604738</v>
      </c>
      <c r="E3588" t="s">
        <v>47</v>
      </c>
      <c r="F3588" t="s">
        <v>83</v>
      </c>
      <c r="G3588" t="s">
        <v>84</v>
      </c>
      <c r="H3588" t="s">
        <v>2144</v>
      </c>
      <c r="I3588" t="s">
        <v>2145</v>
      </c>
      <c r="J3588" t="s">
        <v>141</v>
      </c>
      <c r="K3588" s="3">
        <v>100932278251</v>
      </c>
      <c r="L3588" s="10">
        <v>39819</v>
      </c>
      <c r="M3588">
        <v>257.41</v>
      </c>
      <c r="N3588" s="11">
        <v>43</v>
      </c>
      <c r="O3588" s="12">
        <v>5.98</v>
      </c>
      <c r="P3588" s="12">
        <v>4.69</v>
      </c>
      <c r="Q3588" s="13">
        <v>-131.08</v>
      </c>
      <c r="R3588" s="36" t="s">
        <v>854</v>
      </c>
      <c r="S3588" s="7">
        <f t="shared" si="308"/>
        <v>1</v>
      </c>
      <c r="T3588" s="15" t="str">
        <f>VLOOKUP(R3588,产品分类!$C$2:$D$1278,2,0)</f>
        <v>办公用品</v>
      </c>
    </row>
    <row r="3589" spans="1:20">
      <c r="A3589" s="8">
        <f>DATE(2012,12,31)-667</f>
        <v>40607</v>
      </c>
      <c r="B3589" s="8">
        <f>DATE(2012,12,31)-667</f>
        <v>40607</v>
      </c>
      <c r="C3589" s="9" t="s">
        <v>2001</v>
      </c>
      <c r="D3589">
        <v>10021554228</v>
      </c>
      <c r="E3589" t="s">
        <v>47</v>
      </c>
      <c r="F3589" t="s">
        <v>132</v>
      </c>
      <c r="G3589" t="s">
        <v>133</v>
      </c>
      <c r="H3589" t="s">
        <v>134</v>
      </c>
      <c r="I3589" t="s">
        <v>133</v>
      </c>
      <c r="J3589" t="s">
        <v>141</v>
      </c>
      <c r="K3589" s="3">
        <v>100333024549</v>
      </c>
      <c r="L3589" s="10">
        <v>40609</v>
      </c>
      <c r="M3589">
        <v>862.64</v>
      </c>
      <c r="N3589" s="11">
        <v>23</v>
      </c>
      <c r="O3589" s="12">
        <v>35.89</v>
      </c>
      <c r="P3589" s="12">
        <v>14.72</v>
      </c>
      <c r="Q3589" s="13">
        <v>122.11</v>
      </c>
      <c r="R3589" s="36" t="s">
        <v>1770</v>
      </c>
      <c r="S3589" s="7">
        <f t="shared" si="308"/>
        <v>2</v>
      </c>
      <c r="T3589" s="15" t="str">
        <f>VLOOKUP(R3589,产品分类!$C$2:$D$1278,2,0)</f>
        <v>数码电子</v>
      </c>
    </row>
    <row r="3590" spans="1:20">
      <c r="A3590" s="8">
        <f>DATE(2012,12,31)-518</f>
        <v>40756</v>
      </c>
      <c r="B3590" s="8">
        <f>DATE(2012,12,31)-518</f>
        <v>40756</v>
      </c>
      <c r="C3590" s="9" t="s">
        <v>943</v>
      </c>
      <c r="D3590">
        <v>10021534157</v>
      </c>
      <c r="E3590" t="s">
        <v>47</v>
      </c>
      <c r="F3590" t="s">
        <v>97</v>
      </c>
      <c r="G3590" t="s">
        <v>98</v>
      </c>
      <c r="H3590" t="s">
        <v>99</v>
      </c>
      <c r="I3590" t="s">
        <v>98</v>
      </c>
      <c r="J3590" t="s">
        <v>141</v>
      </c>
      <c r="K3590" s="3">
        <v>100428802163</v>
      </c>
      <c r="L3590" s="10">
        <v>40761</v>
      </c>
      <c r="M3590">
        <v>5140.08</v>
      </c>
      <c r="N3590" s="11">
        <v>36</v>
      </c>
      <c r="O3590" s="12">
        <v>145.98</v>
      </c>
      <c r="P3590" s="12">
        <v>51.92</v>
      </c>
      <c r="Q3590" s="13">
        <v>-582.426</v>
      </c>
      <c r="R3590" s="36" t="s">
        <v>955</v>
      </c>
      <c r="S3590" s="7">
        <f t="shared" si="308"/>
        <v>5</v>
      </c>
      <c r="T3590" s="15" t="str">
        <f>VLOOKUP(R3590,产品分类!$C$2:$D$1278,2,0)</f>
        <v>办公用品</v>
      </c>
    </row>
    <row r="3591" spans="1:20">
      <c r="A3591" s="8">
        <f>DATE(2012,12,31)-886</f>
        <v>40388</v>
      </c>
      <c r="B3591" s="8">
        <f>DATE(2012,12,31)-886</f>
        <v>40388</v>
      </c>
      <c r="C3591" s="9" t="s">
        <v>2223</v>
      </c>
      <c r="D3591">
        <v>10021407727</v>
      </c>
      <c r="E3591" t="s">
        <v>47</v>
      </c>
      <c r="F3591" t="s">
        <v>208</v>
      </c>
      <c r="G3591" t="s">
        <v>209</v>
      </c>
      <c r="H3591" t="s">
        <v>2177</v>
      </c>
      <c r="I3591" t="s">
        <v>2178</v>
      </c>
      <c r="J3591" t="s">
        <v>141</v>
      </c>
      <c r="K3591" s="3">
        <v>10016023577</v>
      </c>
      <c r="L3591" s="10">
        <v>40391</v>
      </c>
      <c r="M3591">
        <v>593.32</v>
      </c>
      <c r="N3591" s="11">
        <v>29</v>
      </c>
      <c r="O3591" s="12">
        <v>20.95</v>
      </c>
      <c r="P3591" s="12">
        <v>4</v>
      </c>
      <c r="Q3591" s="13">
        <v>28.99</v>
      </c>
      <c r="R3591" s="36" t="s">
        <v>1324</v>
      </c>
      <c r="S3591" s="7">
        <f t="shared" si="308"/>
        <v>3</v>
      </c>
      <c r="T3591" s="15" t="str">
        <f>VLOOKUP(R3591,产品分类!$C$2:$D$1278,2,0)</f>
        <v>家具产品</v>
      </c>
    </row>
    <row r="3592" spans="1:20">
      <c r="A3592" s="8">
        <f>DATE(2012,12,31)-886</f>
        <v>40388</v>
      </c>
      <c r="B3592" s="8">
        <f>DATE(2012,12,31)-886</f>
        <v>40388</v>
      </c>
      <c r="C3592" s="9" t="s">
        <v>2223</v>
      </c>
      <c r="D3592">
        <v>10021412817</v>
      </c>
      <c r="E3592" t="s">
        <v>47</v>
      </c>
      <c r="F3592" t="s">
        <v>102</v>
      </c>
      <c r="G3592" t="s">
        <v>103</v>
      </c>
      <c r="H3592" t="s">
        <v>2119</v>
      </c>
      <c r="I3592" t="s">
        <v>2120</v>
      </c>
      <c r="J3592" t="s">
        <v>141</v>
      </c>
      <c r="K3592" s="3">
        <v>100429599114</v>
      </c>
      <c r="L3592" s="10">
        <v>40389</v>
      </c>
      <c r="M3592">
        <v>626.07</v>
      </c>
      <c r="N3592" s="11">
        <v>26</v>
      </c>
      <c r="O3592" s="12">
        <v>23.99</v>
      </c>
      <c r="P3592" s="12">
        <v>6.71</v>
      </c>
      <c r="Q3592" s="13">
        <v>185.32</v>
      </c>
      <c r="R3592" s="36" t="s">
        <v>1639</v>
      </c>
      <c r="S3592" s="7">
        <f t="shared" si="308"/>
        <v>1</v>
      </c>
      <c r="T3592" s="15" t="str">
        <f>VLOOKUP(R3592,产品分类!$C$2:$D$1278,2,0)</f>
        <v>办公用品</v>
      </c>
    </row>
    <row r="3593" spans="1:20">
      <c r="A3593" s="8">
        <f>DATE(2012,12,31)-216</f>
        <v>41058</v>
      </c>
      <c r="B3593" s="8">
        <f>DATE(2012,12,31)-216</f>
        <v>41058</v>
      </c>
      <c r="C3593" s="9" t="s">
        <v>1537</v>
      </c>
      <c r="D3593">
        <v>10021573304</v>
      </c>
      <c r="E3593" t="s">
        <v>47</v>
      </c>
      <c r="F3593" t="s">
        <v>527</v>
      </c>
      <c r="G3593" t="s">
        <v>528</v>
      </c>
      <c r="H3593" t="s">
        <v>2191</v>
      </c>
      <c r="I3593" t="s">
        <v>2192</v>
      </c>
      <c r="J3593" t="s">
        <v>141</v>
      </c>
      <c r="K3593" s="3">
        <v>100932874231</v>
      </c>
      <c r="L3593" s="10">
        <v>41059</v>
      </c>
      <c r="M3593">
        <v>633.08</v>
      </c>
      <c r="N3593" s="11">
        <v>14</v>
      </c>
      <c r="O3593" s="12">
        <v>42.98</v>
      </c>
      <c r="P3593" s="12">
        <v>4.62</v>
      </c>
      <c r="Q3593" s="13">
        <v>145.48</v>
      </c>
      <c r="R3593" s="36" t="s">
        <v>1763</v>
      </c>
      <c r="S3593" s="7">
        <f t="shared" si="308"/>
        <v>1</v>
      </c>
      <c r="T3593" s="15" t="str">
        <f>VLOOKUP(R3593,产品分类!$C$2:$D$1278,2,0)</f>
        <v>数码电子</v>
      </c>
    </row>
    <row r="3594" spans="1:20">
      <c r="A3594" s="8">
        <f>DATE(2012,12,31)-216</f>
        <v>41058</v>
      </c>
      <c r="B3594" s="8">
        <f>DATE(2012,12,31)-216</f>
        <v>41058</v>
      </c>
      <c r="C3594" s="9" t="s">
        <v>1537</v>
      </c>
      <c r="D3594">
        <v>10021517468</v>
      </c>
      <c r="E3594" t="s">
        <v>47</v>
      </c>
      <c r="F3594" t="s">
        <v>171</v>
      </c>
      <c r="G3594" t="s">
        <v>172</v>
      </c>
      <c r="H3594" t="s">
        <v>2073</v>
      </c>
      <c r="I3594" t="s">
        <v>2074</v>
      </c>
      <c r="J3594" t="s">
        <v>141</v>
      </c>
      <c r="K3594" s="3">
        <v>10013803178</v>
      </c>
      <c r="L3594" s="10">
        <v>41059</v>
      </c>
      <c r="M3594">
        <v>110.42</v>
      </c>
      <c r="N3594" s="11">
        <v>22</v>
      </c>
      <c r="O3594" s="12">
        <v>5.08</v>
      </c>
      <c r="P3594" s="12">
        <v>3.63</v>
      </c>
      <c r="Q3594" s="13">
        <v>-36.6</v>
      </c>
      <c r="R3594" s="36" t="s">
        <v>1395</v>
      </c>
      <c r="S3594" s="7">
        <f t="shared" si="308"/>
        <v>1</v>
      </c>
      <c r="T3594" s="15" t="str">
        <f>VLOOKUP(R3594,产品分类!$C$2:$D$1278,2,0)</f>
        <v>办公用品</v>
      </c>
    </row>
    <row r="3595" spans="1:20">
      <c r="A3595" s="8">
        <f>DATE(2012,12,31)-310</f>
        <v>40964</v>
      </c>
      <c r="B3595" s="8">
        <f>DATE(2012,12,31)-310</f>
        <v>40964</v>
      </c>
      <c r="C3595" s="9" t="s">
        <v>1930</v>
      </c>
      <c r="D3595">
        <v>10021362709</v>
      </c>
      <c r="E3595" t="s">
        <v>47</v>
      </c>
      <c r="F3595" t="s">
        <v>167</v>
      </c>
      <c r="G3595" t="s">
        <v>168</v>
      </c>
      <c r="H3595" t="s">
        <v>169</v>
      </c>
      <c r="I3595" t="s">
        <v>168</v>
      </c>
      <c r="J3595" t="s">
        <v>141</v>
      </c>
      <c r="K3595" s="3">
        <v>100730115</v>
      </c>
      <c r="L3595" s="10">
        <v>40966</v>
      </c>
      <c r="M3595">
        <v>2409.424</v>
      </c>
      <c r="N3595" s="11">
        <v>12</v>
      </c>
      <c r="O3595" s="12">
        <v>259.71</v>
      </c>
      <c r="P3595" s="12">
        <v>66.67</v>
      </c>
      <c r="Q3595" s="13">
        <v>50.95</v>
      </c>
      <c r="R3595" s="36" t="s">
        <v>1360</v>
      </c>
      <c r="S3595" s="7">
        <f t="shared" si="308"/>
        <v>2</v>
      </c>
      <c r="T3595" s="15" t="str">
        <f>VLOOKUP(R3595,产品分类!$C$2:$D$1278,2,0)</f>
        <v>办公用品</v>
      </c>
    </row>
    <row r="3596" spans="1:20">
      <c r="A3596" s="8">
        <f>DATE(2012,12,31)-1243</f>
        <v>40031</v>
      </c>
      <c r="B3596" s="8">
        <f>DATE(2012,12,31)-1243</f>
        <v>40031</v>
      </c>
      <c r="C3596" s="9" t="s">
        <v>2224</v>
      </c>
      <c r="D3596">
        <v>10021485065</v>
      </c>
      <c r="E3596" t="s">
        <v>47</v>
      </c>
      <c r="F3596" t="s">
        <v>342</v>
      </c>
      <c r="G3596" t="s">
        <v>343</v>
      </c>
      <c r="H3596" t="s">
        <v>2090</v>
      </c>
      <c r="I3596" t="s">
        <v>2091</v>
      </c>
      <c r="J3596" t="s">
        <v>141</v>
      </c>
      <c r="K3596" s="3">
        <v>100132373327</v>
      </c>
      <c r="L3596" s="10">
        <v>40032</v>
      </c>
      <c r="M3596">
        <v>163.89</v>
      </c>
      <c r="N3596" s="11">
        <v>31</v>
      </c>
      <c r="O3596" s="12">
        <v>4.89</v>
      </c>
      <c r="P3596" s="12">
        <v>4.93</v>
      </c>
      <c r="Q3596" s="13">
        <v>-108.55</v>
      </c>
      <c r="R3596" s="36" t="s">
        <v>512</v>
      </c>
      <c r="S3596" s="7">
        <f t="shared" si="308"/>
        <v>1</v>
      </c>
      <c r="T3596" s="15" t="str">
        <f>VLOOKUP(R3596,产品分类!$C$2:$D$1278,2,0)</f>
        <v>办公用品</v>
      </c>
    </row>
    <row r="3597" spans="1:20">
      <c r="A3597" s="8">
        <f>DATE(2012,12,31)-1243</f>
        <v>40031</v>
      </c>
      <c r="B3597" s="8">
        <f>DATE(2012,12,31)-1243</f>
        <v>40031</v>
      </c>
      <c r="C3597" s="9" t="s">
        <v>2224</v>
      </c>
      <c r="D3597">
        <v>10021560392</v>
      </c>
      <c r="E3597" t="s">
        <v>47</v>
      </c>
      <c r="F3597" t="s">
        <v>253</v>
      </c>
      <c r="G3597" t="s">
        <v>254</v>
      </c>
      <c r="H3597" t="s">
        <v>2193</v>
      </c>
      <c r="I3597" t="s">
        <v>2194</v>
      </c>
      <c r="J3597" t="s">
        <v>141</v>
      </c>
      <c r="K3597" s="3">
        <v>100732306475</v>
      </c>
      <c r="L3597" s="10">
        <v>40032</v>
      </c>
      <c r="M3597">
        <v>115.45</v>
      </c>
      <c r="N3597" s="11">
        <v>12</v>
      </c>
      <c r="O3597" s="12">
        <v>10.06</v>
      </c>
      <c r="P3597" s="12">
        <v>2.06</v>
      </c>
      <c r="Q3597" s="13">
        <v>23.53</v>
      </c>
      <c r="R3597" s="36" t="s">
        <v>880</v>
      </c>
      <c r="S3597" s="7">
        <f t="shared" si="308"/>
        <v>1</v>
      </c>
      <c r="T3597" s="15" t="str">
        <f>VLOOKUP(R3597,产品分类!$C$2:$D$1278,2,0)</f>
        <v>办公用品</v>
      </c>
    </row>
    <row r="3598" spans="1:20">
      <c r="A3598" s="8">
        <f>DATE(2012,12,31)-120</f>
        <v>41154</v>
      </c>
      <c r="B3598" s="8">
        <f>DATE(2012,12,31)-120</f>
        <v>41154</v>
      </c>
      <c r="C3598" s="9" t="s">
        <v>1518</v>
      </c>
      <c r="D3598">
        <v>10021330692</v>
      </c>
      <c r="E3598" t="s">
        <v>47</v>
      </c>
      <c r="F3598" t="s">
        <v>61</v>
      </c>
      <c r="G3598" t="s">
        <v>62</v>
      </c>
      <c r="H3598" t="s">
        <v>2216</v>
      </c>
      <c r="I3598" t="s">
        <v>2217</v>
      </c>
      <c r="J3598" t="s">
        <v>141</v>
      </c>
      <c r="K3598" s="3">
        <v>100114571868</v>
      </c>
      <c r="L3598" s="10">
        <v>41154</v>
      </c>
      <c r="M3598">
        <v>260.08</v>
      </c>
      <c r="N3598" s="11">
        <v>23</v>
      </c>
      <c r="O3598" s="12">
        <v>12.21</v>
      </c>
      <c r="P3598" s="12">
        <v>4.81</v>
      </c>
      <c r="Q3598" s="13">
        <v>-37.85</v>
      </c>
      <c r="R3598" s="36" t="s">
        <v>1767</v>
      </c>
      <c r="S3598" s="7">
        <f t="shared" si="308"/>
        <v>0</v>
      </c>
      <c r="T3598" s="15" t="str">
        <f>VLOOKUP(R3598,产品分类!$C$2:$D$1278,2,0)</f>
        <v>数码电子</v>
      </c>
    </row>
    <row r="3599" spans="1:20">
      <c r="A3599" s="8">
        <f>DATE(2012,12,31)-120</f>
        <v>41154</v>
      </c>
      <c r="B3599" s="8">
        <f>DATE(2012,12,31)-120</f>
        <v>41154</v>
      </c>
      <c r="C3599" s="9" t="s">
        <v>1518</v>
      </c>
      <c r="D3599">
        <v>10021490129</v>
      </c>
      <c r="E3599" t="s">
        <v>47</v>
      </c>
      <c r="F3599" t="s">
        <v>48</v>
      </c>
      <c r="G3599" t="s">
        <v>49</v>
      </c>
      <c r="H3599" t="s">
        <v>2183</v>
      </c>
      <c r="I3599" t="s">
        <v>2184</v>
      </c>
      <c r="J3599" t="s">
        <v>141</v>
      </c>
      <c r="K3599" s="3">
        <v>100432951613</v>
      </c>
      <c r="L3599" s="10">
        <v>41155</v>
      </c>
      <c r="M3599">
        <v>5072.34</v>
      </c>
      <c r="N3599" s="11">
        <v>36</v>
      </c>
      <c r="O3599" s="12">
        <v>140.85</v>
      </c>
      <c r="P3599" s="12">
        <v>19.99</v>
      </c>
      <c r="Q3599" s="13">
        <v>369.46</v>
      </c>
      <c r="R3599" s="36" t="s">
        <v>672</v>
      </c>
      <c r="S3599" s="7">
        <f t="shared" si="308"/>
        <v>1</v>
      </c>
      <c r="T3599" s="15" t="str">
        <f>VLOOKUP(R3599,产品分类!$C$2:$D$1278,2,0)</f>
        <v>办公用品</v>
      </c>
    </row>
    <row r="3600" spans="1:20">
      <c r="A3600" s="8">
        <f>DATE(2012,12,31)-715</f>
        <v>40559</v>
      </c>
      <c r="B3600" s="8">
        <f>DATE(2012,12,31)-715</f>
        <v>40559</v>
      </c>
      <c r="C3600" s="9" t="s">
        <v>879</v>
      </c>
      <c r="D3600">
        <v>10021489024</v>
      </c>
      <c r="E3600" t="s">
        <v>47</v>
      </c>
      <c r="F3600" t="s">
        <v>277</v>
      </c>
      <c r="G3600" t="s">
        <v>278</v>
      </c>
      <c r="H3600" t="s">
        <v>279</v>
      </c>
      <c r="I3600" t="s">
        <v>280</v>
      </c>
      <c r="J3600" t="s">
        <v>141</v>
      </c>
      <c r="K3600" s="3">
        <v>10017980547</v>
      </c>
      <c r="L3600" s="10">
        <v>40559</v>
      </c>
      <c r="M3600">
        <v>45.63</v>
      </c>
      <c r="N3600" s="11">
        <v>12</v>
      </c>
      <c r="O3600" s="12">
        <v>3.69</v>
      </c>
      <c r="P3600" s="12">
        <v>0.5</v>
      </c>
      <c r="Q3600" s="13">
        <v>15.42</v>
      </c>
      <c r="R3600" s="36" t="s">
        <v>1224</v>
      </c>
      <c r="S3600" s="7">
        <f t="shared" si="308"/>
        <v>0</v>
      </c>
      <c r="T3600" s="15" t="str">
        <f>VLOOKUP(R3600,产品分类!$C$2:$D$1278,2,0)</f>
        <v>办公用品</v>
      </c>
    </row>
    <row r="3601" spans="1:20">
      <c r="A3601" s="8">
        <f>DATE(2012,12,31)-615</f>
        <v>40659</v>
      </c>
      <c r="B3601" s="8">
        <f>DATE(2012,12,31)-615</f>
        <v>40659</v>
      </c>
      <c r="C3601" s="9" t="s">
        <v>551</v>
      </c>
      <c r="D3601">
        <v>10021276075</v>
      </c>
      <c r="E3601" t="s">
        <v>47</v>
      </c>
      <c r="F3601" t="s">
        <v>122</v>
      </c>
      <c r="G3601" t="s">
        <v>123</v>
      </c>
      <c r="H3601" t="s">
        <v>2159</v>
      </c>
      <c r="I3601" t="s">
        <v>2160</v>
      </c>
      <c r="J3601" t="s">
        <v>141</v>
      </c>
      <c r="K3601" s="3">
        <v>100430600993</v>
      </c>
      <c r="L3601" s="10">
        <v>40659</v>
      </c>
      <c r="M3601">
        <v>400.25</v>
      </c>
      <c r="N3601" s="11">
        <v>46</v>
      </c>
      <c r="O3601" s="12">
        <v>8.46</v>
      </c>
      <c r="P3601" s="12">
        <v>3.62</v>
      </c>
      <c r="Q3601" s="13">
        <v>-37.5</v>
      </c>
      <c r="R3601" s="36" t="s">
        <v>412</v>
      </c>
      <c r="S3601" s="7">
        <f t="shared" si="308"/>
        <v>0</v>
      </c>
      <c r="T3601" s="15" t="str">
        <f>VLOOKUP(R3601,产品分类!$C$2:$D$1278,2,0)</f>
        <v>数码电子</v>
      </c>
    </row>
    <row r="3602" spans="1:20">
      <c r="A3602" s="8">
        <f>DATE(2012,12,31)-233</f>
        <v>41041</v>
      </c>
      <c r="B3602" s="8">
        <f>DATE(2012,12,31)-233</f>
        <v>41041</v>
      </c>
      <c r="C3602" s="9" t="s">
        <v>748</v>
      </c>
      <c r="D3602">
        <v>10021362256</v>
      </c>
      <c r="E3602" t="s">
        <v>47</v>
      </c>
      <c r="F3602" t="s">
        <v>91</v>
      </c>
      <c r="G3602" t="s">
        <v>92</v>
      </c>
      <c r="H3602" t="s">
        <v>2053</v>
      </c>
      <c r="I3602" t="s">
        <v>2054</v>
      </c>
      <c r="J3602" t="s">
        <v>141</v>
      </c>
      <c r="K3602" s="3">
        <v>10081452792</v>
      </c>
      <c r="L3602" s="10">
        <v>41046</v>
      </c>
      <c r="M3602">
        <v>557.23</v>
      </c>
      <c r="N3602" s="11">
        <v>24</v>
      </c>
      <c r="O3602" s="12">
        <v>24.92</v>
      </c>
      <c r="P3602" s="12">
        <v>12.98</v>
      </c>
      <c r="Q3602" s="13">
        <v>-42.987</v>
      </c>
      <c r="R3602" s="36" t="s">
        <v>187</v>
      </c>
      <c r="S3602" s="7">
        <f t="shared" si="308"/>
        <v>5</v>
      </c>
      <c r="T3602" s="15" t="str">
        <f>VLOOKUP(R3602,产品分类!$C$2:$D$1278,2,0)</f>
        <v>数码电子</v>
      </c>
    </row>
    <row r="3603" spans="1:20">
      <c r="A3603" s="8">
        <f>DATE(2012,12,31)-732</f>
        <v>40542</v>
      </c>
      <c r="B3603" s="8">
        <f>DATE(2012,12,31)-732</f>
        <v>40542</v>
      </c>
      <c r="C3603" s="9" t="s">
        <v>849</v>
      </c>
      <c r="D3603">
        <v>10021564170</v>
      </c>
      <c r="E3603" t="s">
        <v>47</v>
      </c>
      <c r="F3603" t="s">
        <v>91</v>
      </c>
      <c r="G3603" t="s">
        <v>92</v>
      </c>
      <c r="H3603" t="s">
        <v>2053</v>
      </c>
      <c r="I3603" t="s">
        <v>2054</v>
      </c>
      <c r="J3603" t="s">
        <v>141</v>
      </c>
      <c r="K3603" s="3">
        <v>1009934121</v>
      </c>
      <c r="L3603" s="10">
        <v>40556</v>
      </c>
      <c r="M3603">
        <v>260.37</v>
      </c>
      <c r="N3603" s="11">
        <v>45</v>
      </c>
      <c r="O3603" s="12">
        <v>5.58</v>
      </c>
      <c r="P3603" s="12">
        <v>1.99</v>
      </c>
      <c r="Q3603" s="13">
        <v>44.15</v>
      </c>
      <c r="R3603" s="36" t="s">
        <v>572</v>
      </c>
      <c r="S3603" s="7">
        <f t="shared" si="308"/>
        <v>14</v>
      </c>
      <c r="T3603" s="15" t="str">
        <f>VLOOKUP(R3603,产品分类!$C$2:$D$1278,2,0)</f>
        <v>数码电子</v>
      </c>
    </row>
    <row r="3604" spans="1:20">
      <c r="A3604" s="8">
        <f>DATE(2012,12,31)-303</f>
        <v>40971</v>
      </c>
      <c r="B3604" s="8">
        <f>DATE(2012,12,31)-303</f>
        <v>40971</v>
      </c>
      <c r="C3604" s="9" t="s">
        <v>1156</v>
      </c>
      <c r="D3604">
        <v>10021490313</v>
      </c>
      <c r="E3604" t="s">
        <v>47</v>
      </c>
      <c r="F3604" t="s">
        <v>97</v>
      </c>
      <c r="G3604" t="s">
        <v>98</v>
      </c>
      <c r="H3604" t="s">
        <v>99</v>
      </c>
      <c r="I3604" t="s">
        <v>98</v>
      </c>
      <c r="J3604" t="s">
        <v>141</v>
      </c>
      <c r="K3604" s="3">
        <v>100131012788</v>
      </c>
      <c r="L3604" s="10">
        <v>40971</v>
      </c>
      <c r="M3604">
        <v>261.88</v>
      </c>
      <c r="N3604" s="11">
        <v>7</v>
      </c>
      <c r="O3604" s="12">
        <v>39.48</v>
      </c>
      <c r="P3604" s="12">
        <v>1.99</v>
      </c>
      <c r="Q3604" s="13">
        <v>-59.2</v>
      </c>
      <c r="R3604" s="36" t="s">
        <v>235</v>
      </c>
      <c r="S3604" s="7">
        <f t="shared" si="308"/>
        <v>0</v>
      </c>
      <c r="T3604" s="15" t="str">
        <f>VLOOKUP(R3604,产品分类!$C$2:$D$1278,2,0)</f>
        <v>办公用品</v>
      </c>
    </row>
    <row r="3605" spans="1:20">
      <c r="A3605" s="8">
        <f>DATE(2012,12,31)-303</f>
        <v>40971</v>
      </c>
      <c r="B3605" s="8">
        <f>DATE(2012,12,31)-303</f>
        <v>40971</v>
      </c>
      <c r="C3605" s="9" t="s">
        <v>1156</v>
      </c>
      <c r="D3605">
        <v>10021481321</v>
      </c>
      <c r="E3605" t="s">
        <v>47</v>
      </c>
      <c r="F3605" t="s">
        <v>152</v>
      </c>
      <c r="G3605" t="s">
        <v>153</v>
      </c>
      <c r="H3605" t="s">
        <v>2200</v>
      </c>
      <c r="I3605" t="s">
        <v>2201</v>
      </c>
      <c r="J3605" t="s">
        <v>141</v>
      </c>
      <c r="K3605" s="3">
        <v>10091533261</v>
      </c>
      <c r="L3605" s="10">
        <v>40972</v>
      </c>
      <c r="M3605">
        <v>593.73</v>
      </c>
      <c r="N3605" s="11">
        <v>15</v>
      </c>
      <c r="O3605" s="12">
        <v>38.76</v>
      </c>
      <c r="P3605" s="12">
        <v>13.26</v>
      </c>
      <c r="Q3605" s="13">
        <v>108.01</v>
      </c>
      <c r="R3605" s="36" t="s">
        <v>758</v>
      </c>
      <c r="S3605" s="7">
        <f t="shared" si="308"/>
        <v>1</v>
      </c>
      <c r="T3605" s="15" t="str">
        <f>VLOOKUP(R3605,产品分类!$C$2:$D$1278,2,0)</f>
        <v>家具产品</v>
      </c>
    </row>
    <row r="3606" spans="1:20">
      <c r="A3606" s="8">
        <f>DATE(2012,12,31)-268</f>
        <v>41006</v>
      </c>
      <c r="B3606" s="8">
        <f>DATE(2012,12,31)-268</f>
        <v>41006</v>
      </c>
      <c r="C3606" s="9" t="s">
        <v>609</v>
      </c>
      <c r="D3606">
        <v>10021454807</v>
      </c>
      <c r="E3606" t="s">
        <v>47</v>
      </c>
      <c r="F3606" t="s">
        <v>97</v>
      </c>
      <c r="G3606" t="s">
        <v>98</v>
      </c>
      <c r="H3606" t="s">
        <v>99</v>
      </c>
      <c r="I3606" t="s">
        <v>98</v>
      </c>
      <c r="J3606" t="s">
        <v>141</v>
      </c>
      <c r="K3606" s="3">
        <v>100128736068</v>
      </c>
      <c r="L3606" s="10">
        <v>41008</v>
      </c>
      <c r="M3606">
        <v>3436.771</v>
      </c>
      <c r="N3606" s="11">
        <v>27</v>
      </c>
      <c r="O3606" s="12">
        <v>155.99</v>
      </c>
      <c r="P3606" s="12">
        <v>8.99</v>
      </c>
      <c r="Q3606" s="13">
        <v>520.002</v>
      </c>
      <c r="R3606" s="36" t="s">
        <v>469</v>
      </c>
      <c r="S3606" s="7">
        <f t="shared" si="308"/>
        <v>2</v>
      </c>
      <c r="T3606" s="15" t="str">
        <f>VLOOKUP(R3606,产品分类!$C$2:$D$1278,2,0)</f>
        <v>办公用品</v>
      </c>
    </row>
    <row r="3607" spans="1:20">
      <c r="A3607" s="8">
        <f>DATE(2012,12,31)-121</f>
        <v>41153</v>
      </c>
      <c r="B3607" s="8">
        <f>DATE(2012,12,31)-121</f>
        <v>41153</v>
      </c>
      <c r="C3607" s="9" t="s">
        <v>695</v>
      </c>
      <c r="D3607">
        <v>10021329324</v>
      </c>
      <c r="E3607" t="s">
        <v>47</v>
      </c>
      <c r="F3607" t="s">
        <v>304</v>
      </c>
      <c r="G3607" t="s">
        <v>305</v>
      </c>
      <c r="H3607" t="s">
        <v>2015</v>
      </c>
      <c r="I3607" t="s">
        <v>2016</v>
      </c>
      <c r="J3607" t="s">
        <v>141</v>
      </c>
      <c r="K3607" s="3">
        <v>100923854711</v>
      </c>
      <c r="L3607" s="10">
        <v>41155</v>
      </c>
      <c r="M3607">
        <v>925.43</v>
      </c>
      <c r="N3607" s="11">
        <v>28</v>
      </c>
      <c r="O3607" s="12">
        <v>31.78</v>
      </c>
      <c r="P3607" s="12">
        <v>1.99</v>
      </c>
      <c r="Q3607" s="13">
        <v>368.86</v>
      </c>
      <c r="R3607" s="36" t="s">
        <v>451</v>
      </c>
      <c r="S3607" s="7">
        <f t="shared" si="308"/>
        <v>2</v>
      </c>
      <c r="T3607" s="15" t="str">
        <f>VLOOKUP(R3607,产品分类!$C$2:$D$1278,2,0)</f>
        <v>家具产品</v>
      </c>
    </row>
    <row r="3608" spans="1:20">
      <c r="A3608" s="8">
        <f>DATE(2012,12,31)-676</f>
        <v>40598</v>
      </c>
      <c r="B3608" s="8">
        <f>DATE(2012,12,31)-676</f>
        <v>40598</v>
      </c>
      <c r="C3608" s="9" t="s">
        <v>1616</v>
      </c>
      <c r="D3608">
        <v>10021490326</v>
      </c>
      <c r="E3608" t="s">
        <v>47</v>
      </c>
      <c r="F3608" t="s">
        <v>208</v>
      </c>
      <c r="G3608" t="s">
        <v>209</v>
      </c>
      <c r="H3608" t="s">
        <v>2177</v>
      </c>
      <c r="I3608" t="s">
        <v>2178</v>
      </c>
      <c r="J3608" t="s">
        <v>141</v>
      </c>
      <c r="K3608" s="3">
        <v>100410316603</v>
      </c>
      <c r="L3608" s="10">
        <v>40601</v>
      </c>
      <c r="M3608">
        <v>136.5</v>
      </c>
      <c r="N3608" s="11">
        <v>38</v>
      </c>
      <c r="O3608" s="12">
        <v>3.34</v>
      </c>
      <c r="P3608" s="12">
        <v>7.49</v>
      </c>
      <c r="Q3608" s="13">
        <v>-216.66</v>
      </c>
      <c r="R3608" s="36" t="s">
        <v>1943</v>
      </c>
      <c r="S3608" s="7">
        <f t="shared" si="308"/>
        <v>3</v>
      </c>
      <c r="T3608" s="15" t="str">
        <f>VLOOKUP(R3608,产品分类!$C$2:$D$1278,2,0)</f>
        <v>家具产品</v>
      </c>
    </row>
    <row r="3609" spans="1:20">
      <c r="A3609" s="8">
        <f t="shared" ref="A3609:B3612" si="309">DATE(2012,12,31)-1214</f>
        <v>40060</v>
      </c>
      <c r="B3609" s="8">
        <f t="shared" si="309"/>
        <v>40060</v>
      </c>
      <c r="C3609" s="9" t="s">
        <v>1094</v>
      </c>
      <c r="D3609">
        <v>10021398171</v>
      </c>
      <c r="E3609" t="s">
        <v>47</v>
      </c>
      <c r="F3609" t="s">
        <v>304</v>
      </c>
      <c r="G3609" t="s">
        <v>305</v>
      </c>
      <c r="H3609" t="s">
        <v>2015</v>
      </c>
      <c r="I3609" t="s">
        <v>2016</v>
      </c>
      <c r="J3609" t="s">
        <v>141</v>
      </c>
      <c r="K3609" s="3">
        <v>100428541893</v>
      </c>
      <c r="L3609" s="10">
        <v>40061</v>
      </c>
      <c r="M3609">
        <v>25.27</v>
      </c>
      <c r="N3609" s="11">
        <v>5</v>
      </c>
      <c r="O3609" s="12">
        <v>3.95</v>
      </c>
      <c r="P3609" s="12">
        <v>5.13</v>
      </c>
      <c r="Q3609" s="13">
        <v>-19.93</v>
      </c>
      <c r="R3609" s="36" t="s">
        <v>599</v>
      </c>
      <c r="S3609" s="7">
        <f t="shared" si="308"/>
        <v>1</v>
      </c>
      <c r="T3609" s="15" t="str">
        <f>VLOOKUP(R3609,产品分类!$C$2:$D$1278,2,0)</f>
        <v>办公用品</v>
      </c>
    </row>
    <row r="3610" spans="1:20">
      <c r="A3610" s="8">
        <f t="shared" si="309"/>
        <v>40060</v>
      </c>
      <c r="B3610" s="8">
        <f t="shared" si="309"/>
        <v>40060</v>
      </c>
      <c r="C3610" s="9" t="s">
        <v>1094</v>
      </c>
      <c r="D3610">
        <v>10021497697</v>
      </c>
      <c r="E3610" t="s">
        <v>47</v>
      </c>
      <c r="F3610" t="s">
        <v>97</v>
      </c>
      <c r="G3610" t="s">
        <v>98</v>
      </c>
      <c r="H3610" t="s">
        <v>99</v>
      </c>
      <c r="I3610" t="s">
        <v>98</v>
      </c>
      <c r="J3610" t="s">
        <v>141</v>
      </c>
      <c r="K3610" s="3">
        <v>100818970032</v>
      </c>
      <c r="L3610" s="10">
        <v>40061</v>
      </c>
      <c r="M3610">
        <v>14410.78</v>
      </c>
      <c r="N3610" s="11">
        <v>37</v>
      </c>
      <c r="O3610" s="12">
        <v>367.99</v>
      </c>
      <c r="P3610" s="12">
        <v>19.99</v>
      </c>
      <c r="Q3610" s="13">
        <v>6365.582</v>
      </c>
      <c r="R3610" s="36" t="s">
        <v>2165</v>
      </c>
      <c r="S3610" s="7">
        <f t="shared" si="308"/>
        <v>1</v>
      </c>
      <c r="T3610" s="15" t="str">
        <f>VLOOKUP(R3610,产品分类!$C$2:$D$1278,2,0)</f>
        <v>办公用品</v>
      </c>
    </row>
    <row r="3611" spans="1:20">
      <c r="A3611" s="8">
        <f t="shared" si="309"/>
        <v>40060</v>
      </c>
      <c r="B3611" s="8">
        <f t="shared" si="309"/>
        <v>40060</v>
      </c>
      <c r="C3611" s="9" t="s">
        <v>1094</v>
      </c>
      <c r="D3611">
        <v>10021415287</v>
      </c>
      <c r="E3611" t="s">
        <v>47</v>
      </c>
      <c r="F3611" t="s">
        <v>66</v>
      </c>
      <c r="G3611" t="s">
        <v>67</v>
      </c>
      <c r="H3611" t="s">
        <v>2169</v>
      </c>
      <c r="I3611" t="s">
        <v>2170</v>
      </c>
      <c r="J3611" t="s">
        <v>141</v>
      </c>
      <c r="K3611" s="3">
        <v>100310688539</v>
      </c>
      <c r="L3611" s="10">
        <v>40061</v>
      </c>
      <c r="M3611">
        <v>15341.46</v>
      </c>
      <c r="N3611" s="11">
        <v>39</v>
      </c>
      <c r="O3611" s="12">
        <v>376.13</v>
      </c>
      <c r="P3611" s="12">
        <v>85.63</v>
      </c>
      <c r="Q3611" s="13">
        <v>394.52</v>
      </c>
      <c r="R3611" s="36" t="s">
        <v>1213</v>
      </c>
      <c r="S3611" s="7">
        <f t="shared" si="308"/>
        <v>1</v>
      </c>
      <c r="T3611" s="15" t="str">
        <f>VLOOKUP(R3611,产品分类!$C$2:$D$1278,2,0)</f>
        <v>办公用品</v>
      </c>
    </row>
    <row r="3612" spans="1:20">
      <c r="A3612" s="8">
        <f t="shared" si="309"/>
        <v>40060</v>
      </c>
      <c r="B3612" s="8">
        <f t="shared" si="309"/>
        <v>40060</v>
      </c>
      <c r="C3612" s="9" t="s">
        <v>1094</v>
      </c>
      <c r="D3612">
        <v>10021417508</v>
      </c>
      <c r="E3612" t="s">
        <v>47</v>
      </c>
      <c r="F3612" t="s">
        <v>152</v>
      </c>
      <c r="G3612" t="s">
        <v>153</v>
      </c>
      <c r="H3612" t="s">
        <v>2200</v>
      </c>
      <c r="I3612" t="s">
        <v>2201</v>
      </c>
      <c r="J3612" t="s">
        <v>141</v>
      </c>
      <c r="K3612" s="3">
        <v>100410826364</v>
      </c>
      <c r="L3612" s="10">
        <v>40062</v>
      </c>
      <c r="M3612">
        <v>507.5605</v>
      </c>
      <c r="N3612" s="11">
        <v>6</v>
      </c>
      <c r="O3612" s="12">
        <v>95.99</v>
      </c>
      <c r="P3612" s="12">
        <v>4.9</v>
      </c>
      <c r="Q3612" s="13">
        <v>-258.225</v>
      </c>
      <c r="R3612" s="36" t="s">
        <v>509</v>
      </c>
      <c r="S3612" s="7">
        <f t="shared" si="308"/>
        <v>2</v>
      </c>
      <c r="T3612" s="15" t="str">
        <f>VLOOKUP(R3612,产品分类!$C$2:$D$1278,2,0)</f>
        <v>数码电子</v>
      </c>
    </row>
    <row r="3613" spans="1:20">
      <c r="A3613" s="8">
        <f>DATE(2012,12,31)-165</f>
        <v>41109</v>
      </c>
      <c r="B3613" s="8">
        <f>DATE(2012,12,31)-165</f>
        <v>41109</v>
      </c>
      <c r="C3613" s="9" t="s">
        <v>832</v>
      </c>
      <c r="D3613">
        <v>10021580711</v>
      </c>
      <c r="E3613" t="s">
        <v>47</v>
      </c>
      <c r="F3613" t="s">
        <v>152</v>
      </c>
      <c r="G3613" t="s">
        <v>153</v>
      </c>
      <c r="H3613" t="s">
        <v>2200</v>
      </c>
      <c r="I3613" t="s">
        <v>2201</v>
      </c>
      <c r="J3613" t="s">
        <v>141</v>
      </c>
      <c r="K3613" s="3">
        <v>100123369188</v>
      </c>
      <c r="L3613" s="10">
        <v>41112</v>
      </c>
      <c r="M3613">
        <v>483.74</v>
      </c>
      <c r="N3613" s="11">
        <v>45</v>
      </c>
      <c r="O3613" s="12">
        <v>10.31</v>
      </c>
      <c r="P3613" s="12">
        <v>1.79</v>
      </c>
      <c r="Q3613" s="13">
        <v>206.27</v>
      </c>
      <c r="R3613" s="36" t="s">
        <v>1059</v>
      </c>
      <c r="S3613" s="7">
        <f t="shared" si="308"/>
        <v>3</v>
      </c>
      <c r="T3613" s="15" t="str">
        <f>VLOOKUP(R3613,产品分类!$C$2:$D$1278,2,0)</f>
        <v>办公用品</v>
      </c>
    </row>
    <row r="3614" spans="1:20">
      <c r="A3614" s="8">
        <f>DATE(2012,12,31)-165</f>
        <v>41109</v>
      </c>
      <c r="B3614" s="8">
        <f>DATE(2012,12,31)-165</f>
        <v>41109</v>
      </c>
      <c r="C3614" s="9" t="s">
        <v>832</v>
      </c>
      <c r="D3614">
        <v>10021337993</v>
      </c>
      <c r="E3614" t="s">
        <v>47</v>
      </c>
      <c r="F3614" t="s">
        <v>152</v>
      </c>
      <c r="G3614" t="s">
        <v>153</v>
      </c>
      <c r="H3614" t="s">
        <v>2200</v>
      </c>
      <c r="I3614" t="s">
        <v>2201</v>
      </c>
      <c r="J3614" t="s">
        <v>141</v>
      </c>
      <c r="K3614" s="3">
        <v>10091674561</v>
      </c>
      <c r="L3614" s="10">
        <v>41109</v>
      </c>
      <c r="M3614">
        <v>159.65</v>
      </c>
      <c r="N3614" s="11">
        <v>27</v>
      </c>
      <c r="O3614" s="12">
        <v>5.85</v>
      </c>
      <c r="P3614" s="12">
        <v>2.27</v>
      </c>
      <c r="Q3614" s="13">
        <v>-1.79</v>
      </c>
      <c r="R3614" s="36" t="s">
        <v>834</v>
      </c>
      <c r="S3614" s="7">
        <f t="shared" si="308"/>
        <v>0</v>
      </c>
      <c r="T3614" s="15" t="str">
        <f>VLOOKUP(R3614,产品分类!$C$2:$D$1278,2,0)</f>
        <v>家具产品</v>
      </c>
    </row>
    <row r="3615" spans="1:20">
      <c r="A3615" s="8">
        <f t="shared" ref="A3615:B3617" si="310">DATE(2012,12,31)-769</f>
        <v>40505</v>
      </c>
      <c r="B3615" s="8">
        <f t="shared" si="310"/>
        <v>40505</v>
      </c>
      <c r="C3615" s="9" t="s">
        <v>1773</v>
      </c>
      <c r="D3615">
        <v>10021583065</v>
      </c>
      <c r="E3615" t="s">
        <v>47</v>
      </c>
      <c r="F3615" t="s">
        <v>152</v>
      </c>
      <c r="G3615" t="s">
        <v>153</v>
      </c>
      <c r="H3615" t="s">
        <v>2200</v>
      </c>
      <c r="I3615" t="s">
        <v>2201</v>
      </c>
      <c r="J3615" t="s">
        <v>141</v>
      </c>
      <c r="K3615" s="3">
        <v>100110137008</v>
      </c>
      <c r="L3615" s="10">
        <v>40507</v>
      </c>
      <c r="M3615">
        <v>241.43</v>
      </c>
      <c r="N3615" s="11">
        <v>35</v>
      </c>
      <c r="O3615" s="12">
        <v>6.84</v>
      </c>
      <c r="P3615" s="12">
        <v>4.42</v>
      </c>
      <c r="Q3615" s="13">
        <v>-65.8</v>
      </c>
      <c r="R3615" s="36" t="s">
        <v>2225</v>
      </c>
      <c r="S3615" s="7">
        <f t="shared" si="308"/>
        <v>2</v>
      </c>
      <c r="T3615" s="15" t="str">
        <f>VLOOKUP(R3615,产品分类!$C$2:$D$1278,2,0)</f>
        <v>办公用品</v>
      </c>
    </row>
    <row r="3616" spans="1:20">
      <c r="A3616" s="8">
        <f t="shared" si="310"/>
        <v>40505</v>
      </c>
      <c r="B3616" s="8">
        <f t="shared" si="310"/>
        <v>40505</v>
      </c>
      <c r="C3616" s="9" t="s">
        <v>1773</v>
      </c>
      <c r="D3616">
        <v>10021386517</v>
      </c>
      <c r="E3616" t="s">
        <v>47</v>
      </c>
      <c r="F3616" t="s">
        <v>66</v>
      </c>
      <c r="G3616" t="s">
        <v>67</v>
      </c>
      <c r="H3616" t="s">
        <v>2169</v>
      </c>
      <c r="I3616" t="s">
        <v>2170</v>
      </c>
      <c r="J3616" t="s">
        <v>141</v>
      </c>
      <c r="K3616" s="3">
        <v>100410400203</v>
      </c>
      <c r="L3616" s="10">
        <v>40506</v>
      </c>
      <c r="M3616">
        <v>163.04</v>
      </c>
      <c r="N3616" s="11">
        <v>29</v>
      </c>
      <c r="O3616" s="12">
        <v>5.84</v>
      </c>
      <c r="P3616" s="12">
        <v>1</v>
      </c>
      <c r="Q3616" s="13">
        <v>58</v>
      </c>
      <c r="R3616" s="36" t="s">
        <v>1202</v>
      </c>
      <c r="S3616" s="7">
        <f t="shared" si="308"/>
        <v>1</v>
      </c>
      <c r="T3616" s="15" t="str">
        <f>VLOOKUP(R3616,产品分类!$C$2:$D$1278,2,0)</f>
        <v>办公用品</v>
      </c>
    </row>
    <row r="3617" spans="1:20">
      <c r="A3617" s="8">
        <f t="shared" si="310"/>
        <v>40505</v>
      </c>
      <c r="B3617" s="8">
        <f t="shared" si="310"/>
        <v>40505</v>
      </c>
      <c r="C3617" s="9" t="s">
        <v>1773</v>
      </c>
      <c r="D3617">
        <v>10021369452</v>
      </c>
      <c r="E3617" t="s">
        <v>47</v>
      </c>
      <c r="F3617" t="s">
        <v>48</v>
      </c>
      <c r="G3617" t="s">
        <v>49</v>
      </c>
      <c r="H3617" t="s">
        <v>2183</v>
      </c>
      <c r="I3617" t="s">
        <v>2184</v>
      </c>
      <c r="J3617" t="s">
        <v>141</v>
      </c>
      <c r="K3617" s="3">
        <v>10094215991</v>
      </c>
      <c r="L3617" s="10">
        <v>40505</v>
      </c>
      <c r="M3617">
        <v>9041.26</v>
      </c>
      <c r="N3617" s="11">
        <v>31</v>
      </c>
      <c r="O3617" s="12">
        <v>286.85</v>
      </c>
      <c r="P3617" s="12">
        <v>61.76</v>
      </c>
      <c r="Q3617" s="13">
        <v>-383.03</v>
      </c>
      <c r="R3617" s="36" t="s">
        <v>1252</v>
      </c>
      <c r="S3617" s="7">
        <f t="shared" si="308"/>
        <v>0</v>
      </c>
      <c r="T3617" s="15" t="str">
        <f>VLOOKUP(R3617,产品分类!$C$2:$D$1278,2,0)</f>
        <v>办公用品</v>
      </c>
    </row>
    <row r="3618" spans="1:20">
      <c r="A3618" s="8">
        <f>DATE(2012,12,31)-970</f>
        <v>40304</v>
      </c>
      <c r="B3618" s="8">
        <f>DATE(2012,12,31)-970</f>
        <v>40304</v>
      </c>
      <c r="C3618" s="9" t="s">
        <v>149</v>
      </c>
      <c r="D3618">
        <v>10021460372</v>
      </c>
      <c r="E3618" t="s">
        <v>47</v>
      </c>
      <c r="F3618" t="s">
        <v>66</v>
      </c>
      <c r="G3618" t="s">
        <v>67</v>
      </c>
      <c r="H3618" t="s">
        <v>2169</v>
      </c>
      <c r="I3618" t="s">
        <v>2170</v>
      </c>
      <c r="J3618" t="s">
        <v>141</v>
      </c>
      <c r="K3618" s="3">
        <v>100910159681</v>
      </c>
      <c r="L3618" s="10">
        <v>40304</v>
      </c>
      <c r="M3618">
        <v>25.34</v>
      </c>
      <c r="N3618" s="11">
        <v>5</v>
      </c>
      <c r="O3618" s="12">
        <v>4.06</v>
      </c>
      <c r="P3618" s="12">
        <v>6.89</v>
      </c>
      <c r="Q3618" s="13">
        <v>-21.29</v>
      </c>
      <c r="R3618" s="36" t="s">
        <v>1285</v>
      </c>
      <c r="S3618" s="7">
        <f t="shared" si="308"/>
        <v>0</v>
      </c>
      <c r="T3618" s="15" t="str">
        <f>VLOOKUP(R3618,产品分类!$C$2:$D$1278,2,0)</f>
        <v>办公用品</v>
      </c>
    </row>
    <row r="3619" spans="1:20">
      <c r="A3619" s="8">
        <f>DATE(2012,12,31)-970</f>
        <v>40304</v>
      </c>
      <c r="B3619" s="8">
        <f>DATE(2012,12,31)-970</f>
        <v>40304</v>
      </c>
      <c r="C3619" s="9" t="s">
        <v>149</v>
      </c>
      <c r="D3619">
        <v>10021431198</v>
      </c>
      <c r="E3619" t="s">
        <v>47</v>
      </c>
      <c r="F3619" t="s">
        <v>152</v>
      </c>
      <c r="G3619" t="s">
        <v>153</v>
      </c>
      <c r="H3619" t="s">
        <v>2200</v>
      </c>
      <c r="I3619" t="s">
        <v>2201</v>
      </c>
      <c r="J3619" t="s">
        <v>141</v>
      </c>
      <c r="K3619" s="3">
        <v>100432218824</v>
      </c>
      <c r="L3619" s="10">
        <v>40309</v>
      </c>
      <c r="M3619">
        <v>178.57</v>
      </c>
      <c r="N3619" s="11">
        <v>11</v>
      </c>
      <c r="O3619" s="12">
        <v>15.28</v>
      </c>
      <c r="P3619" s="12">
        <v>10.91</v>
      </c>
      <c r="Q3619" s="13">
        <v>-37.3865</v>
      </c>
      <c r="R3619" s="36" t="s">
        <v>1624</v>
      </c>
      <c r="S3619" s="7">
        <f t="shared" si="308"/>
        <v>5</v>
      </c>
      <c r="T3619" s="15" t="str">
        <f>VLOOKUP(R3619,产品分类!$C$2:$D$1278,2,0)</f>
        <v>办公用品</v>
      </c>
    </row>
    <row r="3620" spans="1:20">
      <c r="A3620" s="8">
        <f>DATE(2012,12,31)-1204</f>
        <v>40070</v>
      </c>
      <c r="B3620" s="8">
        <f>DATE(2012,12,31)-1204</f>
        <v>40070</v>
      </c>
      <c r="C3620" s="9" t="s">
        <v>1868</v>
      </c>
      <c r="D3620">
        <v>10021251206</v>
      </c>
      <c r="E3620" t="s">
        <v>47</v>
      </c>
      <c r="F3620" t="s">
        <v>152</v>
      </c>
      <c r="G3620" t="s">
        <v>153</v>
      </c>
      <c r="H3620" t="s">
        <v>2200</v>
      </c>
      <c r="I3620" t="s">
        <v>2201</v>
      </c>
      <c r="J3620" t="s">
        <v>141</v>
      </c>
      <c r="K3620" s="3">
        <v>10086520502</v>
      </c>
      <c r="L3620" s="10">
        <v>40072</v>
      </c>
      <c r="M3620">
        <v>250.376</v>
      </c>
      <c r="N3620" s="11">
        <v>6</v>
      </c>
      <c r="O3620" s="12">
        <v>45.99</v>
      </c>
      <c r="P3620" s="12">
        <v>4.99</v>
      </c>
      <c r="Q3620" s="13">
        <v>-131.846</v>
      </c>
      <c r="R3620" s="36" t="s">
        <v>1108</v>
      </c>
      <c r="S3620" s="7">
        <f t="shared" si="308"/>
        <v>2</v>
      </c>
      <c r="T3620" s="15" t="str">
        <f>VLOOKUP(R3620,产品分类!$C$2:$D$1278,2,0)</f>
        <v>办公用品</v>
      </c>
    </row>
    <row r="3621" spans="1:20">
      <c r="A3621" s="8">
        <f>DATE(2012,12,31)-1094</f>
        <v>40180</v>
      </c>
      <c r="B3621" s="8">
        <f>DATE(2012,12,31)-1094</f>
        <v>40180</v>
      </c>
      <c r="C3621" s="9" t="s">
        <v>647</v>
      </c>
      <c r="D3621">
        <v>10021347657</v>
      </c>
      <c r="E3621" t="s">
        <v>47</v>
      </c>
      <c r="F3621" t="s">
        <v>78</v>
      </c>
      <c r="G3621" t="s">
        <v>79</v>
      </c>
      <c r="H3621" t="s">
        <v>2105</v>
      </c>
      <c r="I3621" t="s">
        <v>2106</v>
      </c>
      <c r="J3621" t="s">
        <v>141</v>
      </c>
      <c r="K3621" s="3">
        <v>100331286479</v>
      </c>
      <c r="L3621" s="10">
        <v>40182</v>
      </c>
      <c r="M3621">
        <v>740.2</v>
      </c>
      <c r="N3621" s="11">
        <v>9</v>
      </c>
      <c r="O3621" s="12">
        <v>83.98</v>
      </c>
      <c r="P3621" s="12">
        <v>5.01</v>
      </c>
      <c r="Q3621" s="13">
        <v>239.94</v>
      </c>
      <c r="R3621" s="36" t="s">
        <v>2226</v>
      </c>
      <c r="S3621" s="7">
        <f t="shared" si="308"/>
        <v>2</v>
      </c>
      <c r="T3621" s="15" t="str">
        <f>VLOOKUP(R3621,产品分类!$C$2:$D$1278,2,0)</f>
        <v>办公用品</v>
      </c>
    </row>
    <row r="3622" spans="1:20">
      <c r="A3622" s="8">
        <f>DATE(2012,12,31)-1094</f>
        <v>40180</v>
      </c>
      <c r="B3622" s="8">
        <f>DATE(2012,12,31)-1094</f>
        <v>40180</v>
      </c>
      <c r="C3622" s="9" t="s">
        <v>647</v>
      </c>
      <c r="D3622">
        <v>10021592079</v>
      </c>
      <c r="E3622" t="s">
        <v>47</v>
      </c>
      <c r="F3622" t="s">
        <v>72</v>
      </c>
      <c r="G3622" t="s">
        <v>73</v>
      </c>
      <c r="H3622" t="s">
        <v>2008</v>
      </c>
      <c r="I3622" t="s">
        <v>2009</v>
      </c>
      <c r="J3622" t="s">
        <v>141</v>
      </c>
      <c r="K3622" s="3">
        <v>100932086741</v>
      </c>
      <c r="L3622" s="10">
        <v>40189</v>
      </c>
      <c r="M3622">
        <v>1288.7785</v>
      </c>
      <c r="N3622" s="11">
        <v>23</v>
      </c>
      <c r="O3622" s="12">
        <v>65.99</v>
      </c>
      <c r="P3622" s="12">
        <v>19.99</v>
      </c>
      <c r="Q3622" s="13">
        <v>-185.889</v>
      </c>
      <c r="R3622" s="36" t="s">
        <v>1719</v>
      </c>
      <c r="S3622" s="7">
        <f t="shared" si="308"/>
        <v>9</v>
      </c>
      <c r="T3622" s="15" t="str">
        <f>VLOOKUP(R3622,产品分类!$C$2:$D$1278,2,0)</f>
        <v>办公用品</v>
      </c>
    </row>
    <row r="3623" spans="1:20">
      <c r="A3623" s="8">
        <f>DATE(2012,12,31)-146</f>
        <v>41128</v>
      </c>
      <c r="B3623" s="8">
        <f>DATE(2012,12,31)-146</f>
        <v>41128</v>
      </c>
      <c r="C3623" s="9" t="s">
        <v>1251</v>
      </c>
      <c r="D3623">
        <v>10021350594</v>
      </c>
      <c r="E3623" t="s">
        <v>47</v>
      </c>
      <c r="F3623" t="s">
        <v>72</v>
      </c>
      <c r="G3623" t="s">
        <v>73</v>
      </c>
      <c r="H3623" t="s">
        <v>2008</v>
      </c>
      <c r="I3623" t="s">
        <v>2009</v>
      </c>
      <c r="J3623" t="s">
        <v>141</v>
      </c>
      <c r="K3623" s="3">
        <v>100132164707</v>
      </c>
      <c r="L3623" s="10">
        <v>41129</v>
      </c>
      <c r="M3623">
        <v>23775.56</v>
      </c>
      <c r="N3623" s="11">
        <v>44</v>
      </c>
      <c r="O3623" s="12">
        <v>535.64</v>
      </c>
      <c r="P3623" s="12">
        <v>14.7</v>
      </c>
      <c r="Q3623" s="13">
        <v>7080.99</v>
      </c>
      <c r="R3623" s="36" t="s">
        <v>590</v>
      </c>
      <c r="S3623" s="7">
        <f t="shared" si="308"/>
        <v>1</v>
      </c>
      <c r="T3623" s="15" t="str">
        <f>VLOOKUP(R3623,产品分类!$C$2:$D$1278,2,0)</f>
        <v>办公用品</v>
      </c>
    </row>
    <row r="3624" spans="1:20">
      <c r="A3624" s="8">
        <f>DATE(2012,12,31)-619</f>
        <v>40655</v>
      </c>
      <c r="B3624" s="8">
        <f>DATE(2012,12,31)-619</f>
        <v>40655</v>
      </c>
      <c r="C3624" s="9" t="s">
        <v>2227</v>
      </c>
      <c r="D3624">
        <v>10021588260</v>
      </c>
      <c r="E3624" t="s">
        <v>47</v>
      </c>
      <c r="F3624" t="s">
        <v>72</v>
      </c>
      <c r="G3624" t="s">
        <v>73</v>
      </c>
      <c r="H3624" t="s">
        <v>2008</v>
      </c>
      <c r="I3624" t="s">
        <v>2009</v>
      </c>
      <c r="J3624" t="s">
        <v>141</v>
      </c>
      <c r="K3624" s="3">
        <v>100730431315</v>
      </c>
      <c r="L3624" s="10">
        <v>40657</v>
      </c>
      <c r="M3624">
        <v>340.6885</v>
      </c>
      <c r="N3624" s="11">
        <v>18</v>
      </c>
      <c r="O3624" s="12">
        <v>20.99</v>
      </c>
      <c r="P3624" s="12">
        <v>4.81</v>
      </c>
      <c r="Q3624" s="13">
        <v>-10.846</v>
      </c>
      <c r="R3624" s="36" t="s">
        <v>692</v>
      </c>
      <c r="S3624" s="7">
        <f t="shared" si="308"/>
        <v>2</v>
      </c>
      <c r="T3624" s="15" t="str">
        <f>VLOOKUP(R3624,产品分类!$C$2:$D$1278,2,0)</f>
        <v>办公用品</v>
      </c>
    </row>
    <row r="3625" spans="1:20">
      <c r="A3625" s="8">
        <f>DATE(2012,12,31)-937</f>
        <v>40337</v>
      </c>
      <c r="B3625" s="8">
        <f>DATE(2012,12,31)-937</f>
        <v>40337</v>
      </c>
      <c r="C3625" s="9" t="s">
        <v>2228</v>
      </c>
      <c r="D3625">
        <v>10021390257</v>
      </c>
      <c r="E3625" t="s">
        <v>47</v>
      </c>
      <c r="F3625" t="s">
        <v>72</v>
      </c>
      <c r="G3625" t="s">
        <v>73</v>
      </c>
      <c r="H3625" t="s">
        <v>2008</v>
      </c>
      <c r="I3625" t="s">
        <v>2009</v>
      </c>
      <c r="J3625" t="s">
        <v>141</v>
      </c>
      <c r="K3625" s="3">
        <v>100827004782</v>
      </c>
      <c r="L3625" s="10">
        <v>40339</v>
      </c>
      <c r="M3625">
        <v>321.63</v>
      </c>
      <c r="N3625" s="11">
        <v>23</v>
      </c>
      <c r="O3625" s="12">
        <v>14.34</v>
      </c>
      <c r="P3625" s="12">
        <v>5</v>
      </c>
      <c r="Q3625" s="13">
        <v>73.7</v>
      </c>
      <c r="R3625" s="36" t="s">
        <v>298</v>
      </c>
      <c r="S3625" s="7">
        <f t="shared" si="308"/>
        <v>2</v>
      </c>
      <c r="T3625" s="15" t="str">
        <f>VLOOKUP(R3625,产品分类!$C$2:$D$1278,2,0)</f>
        <v>办公用品</v>
      </c>
    </row>
    <row r="3626" spans="1:20">
      <c r="A3626" s="8">
        <f>DATE(2012,12,31)-258</f>
        <v>41016</v>
      </c>
      <c r="B3626" s="8">
        <f>DATE(2012,12,31)-258</f>
        <v>41016</v>
      </c>
      <c r="C3626" s="9" t="s">
        <v>258</v>
      </c>
      <c r="D3626">
        <v>10021343471</v>
      </c>
      <c r="E3626" t="s">
        <v>47</v>
      </c>
      <c r="F3626" t="s">
        <v>72</v>
      </c>
      <c r="G3626" t="s">
        <v>73</v>
      </c>
      <c r="H3626" t="s">
        <v>2008</v>
      </c>
      <c r="I3626" t="s">
        <v>2009</v>
      </c>
      <c r="J3626" t="s">
        <v>141</v>
      </c>
      <c r="K3626" s="3">
        <v>100928781581</v>
      </c>
      <c r="L3626" s="10">
        <v>41019</v>
      </c>
      <c r="M3626">
        <v>709.91</v>
      </c>
      <c r="N3626" s="11">
        <v>37</v>
      </c>
      <c r="O3626" s="12">
        <v>19.35</v>
      </c>
      <c r="P3626" s="12">
        <v>12.79</v>
      </c>
      <c r="Q3626" s="13">
        <v>-93.426</v>
      </c>
      <c r="R3626" s="36" t="s">
        <v>2128</v>
      </c>
      <c r="S3626" s="7">
        <f t="shared" si="308"/>
        <v>3</v>
      </c>
      <c r="T3626" s="15" t="str">
        <f>VLOOKUP(R3626,产品分类!$C$2:$D$1278,2,0)</f>
        <v>数码电子</v>
      </c>
    </row>
    <row r="3627" spans="1:20">
      <c r="A3627" s="8">
        <f>DATE(2012,12,31)-1137</f>
        <v>40137</v>
      </c>
      <c r="B3627" s="8">
        <f>DATE(2012,12,31)-1137</f>
        <v>40137</v>
      </c>
      <c r="C3627" s="9" t="s">
        <v>1342</v>
      </c>
      <c r="D3627">
        <v>10021503359</v>
      </c>
      <c r="E3627" t="s">
        <v>47</v>
      </c>
      <c r="F3627" t="s">
        <v>78</v>
      </c>
      <c r="G3627" t="s">
        <v>79</v>
      </c>
      <c r="H3627" t="s">
        <v>2105</v>
      </c>
      <c r="I3627" t="s">
        <v>2106</v>
      </c>
      <c r="J3627" t="s">
        <v>141</v>
      </c>
      <c r="K3627" s="3">
        <v>100129492356</v>
      </c>
      <c r="L3627" s="10">
        <v>40138</v>
      </c>
      <c r="M3627">
        <v>3300.216</v>
      </c>
      <c r="N3627" s="11">
        <v>20</v>
      </c>
      <c r="O3627" s="12">
        <v>218.75</v>
      </c>
      <c r="P3627" s="12">
        <v>69.64</v>
      </c>
      <c r="Q3627" s="13">
        <v>-855.03</v>
      </c>
      <c r="R3627" s="36" t="s">
        <v>456</v>
      </c>
      <c r="S3627" s="7">
        <f t="shared" si="308"/>
        <v>1</v>
      </c>
      <c r="T3627" s="15" t="str">
        <f>VLOOKUP(R3627,产品分类!$C$2:$D$1278,2,0)</f>
        <v>办公用品</v>
      </c>
    </row>
    <row r="3628" spans="1:20">
      <c r="A3628" s="8">
        <f>DATE(2012,12,31)-1137</f>
        <v>40137</v>
      </c>
      <c r="B3628" s="8">
        <f>DATE(2012,12,31)-1137</f>
        <v>40137</v>
      </c>
      <c r="C3628" s="9" t="s">
        <v>1342</v>
      </c>
      <c r="D3628">
        <v>10021583259</v>
      </c>
      <c r="E3628" t="s">
        <v>47</v>
      </c>
      <c r="F3628" t="s">
        <v>72</v>
      </c>
      <c r="G3628" t="s">
        <v>73</v>
      </c>
      <c r="H3628" t="s">
        <v>2008</v>
      </c>
      <c r="I3628" t="s">
        <v>2009</v>
      </c>
      <c r="J3628" t="s">
        <v>141</v>
      </c>
      <c r="K3628" s="3">
        <v>100326508649</v>
      </c>
      <c r="L3628" s="10">
        <v>40139</v>
      </c>
      <c r="M3628">
        <v>331.54</v>
      </c>
      <c r="N3628" s="11">
        <v>23</v>
      </c>
      <c r="O3628" s="12">
        <v>14.27</v>
      </c>
      <c r="P3628" s="12">
        <v>7.27</v>
      </c>
      <c r="Q3628" s="13">
        <v>9.4095</v>
      </c>
      <c r="R3628" s="36" t="s">
        <v>1287</v>
      </c>
      <c r="S3628" s="7">
        <f t="shared" si="308"/>
        <v>2</v>
      </c>
      <c r="T3628" s="15" t="str">
        <f>VLOOKUP(R3628,产品分类!$C$2:$D$1278,2,0)</f>
        <v>家具产品</v>
      </c>
    </row>
    <row r="3629" spans="1:20">
      <c r="A3629" s="16">
        <f>DATE(2012,12,31)-1349</f>
        <v>39925</v>
      </c>
      <c r="B3629" s="16">
        <f>DATE(2012,12,31)-1349</f>
        <v>39925</v>
      </c>
      <c r="C3629" s="9" t="s">
        <v>1857</v>
      </c>
      <c r="D3629">
        <v>10021253935</v>
      </c>
      <c r="E3629" t="s">
        <v>47</v>
      </c>
      <c r="F3629" t="s">
        <v>72</v>
      </c>
      <c r="G3629" t="s">
        <v>73</v>
      </c>
      <c r="H3629" t="s">
        <v>2008</v>
      </c>
      <c r="I3629" t="s">
        <v>2009</v>
      </c>
      <c r="J3629" t="s">
        <v>141</v>
      </c>
      <c r="K3629" s="3">
        <v>100820906652</v>
      </c>
      <c r="L3629" s="10">
        <v>39925</v>
      </c>
      <c r="M3629">
        <v>422.83</v>
      </c>
      <c r="N3629" s="17">
        <v>14</v>
      </c>
      <c r="O3629" s="5">
        <v>29.74</v>
      </c>
      <c r="P3629" s="5">
        <v>6.64</v>
      </c>
      <c r="Q3629" s="6">
        <v>-21.06</v>
      </c>
      <c r="R3629" s="37" t="s">
        <v>1447</v>
      </c>
      <c r="S3629" s="7">
        <f t="shared" si="308"/>
        <v>0</v>
      </c>
      <c r="T3629" s="15" t="str">
        <f>VLOOKUP(R3629,产品分类!$C$2:$D$1278,2,0)</f>
        <v>数码电子</v>
      </c>
    </row>
    <row r="3630" spans="1:20">
      <c r="A3630" s="16">
        <f>DATE(2012,12,31)-1349</f>
        <v>39925</v>
      </c>
      <c r="B3630" s="16">
        <f>DATE(2012,12,31)-1349</f>
        <v>39925</v>
      </c>
      <c r="C3630" s="9" t="s">
        <v>1857</v>
      </c>
      <c r="D3630">
        <v>10021415400</v>
      </c>
      <c r="E3630" t="s">
        <v>47</v>
      </c>
      <c r="F3630" t="s">
        <v>230</v>
      </c>
      <c r="G3630" t="s">
        <v>231</v>
      </c>
      <c r="H3630" t="s">
        <v>2174</v>
      </c>
      <c r="I3630" t="s">
        <v>2175</v>
      </c>
      <c r="J3630" t="s">
        <v>141</v>
      </c>
      <c r="K3630" s="3">
        <v>100113067788</v>
      </c>
      <c r="L3630" s="10">
        <v>39927</v>
      </c>
      <c r="M3630">
        <v>945.9</v>
      </c>
      <c r="N3630" s="17">
        <v>43</v>
      </c>
      <c r="O3630" s="5">
        <v>22.01</v>
      </c>
      <c r="P3630" s="5">
        <v>5.53</v>
      </c>
      <c r="Q3630" s="6">
        <v>105.7</v>
      </c>
      <c r="R3630" s="37" t="s">
        <v>747</v>
      </c>
      <c r="S3630" s="7">
        <f t="shared" si="308"/>
        <v>2</v>
      </c>
      <c r="T3630" s="15" t="str">
        <f>VLOOKUP(R3630,产品分类!$C$2:$D$1278,2,0)</f>
        <v>数码电子</v>
      </c>
    </row>
    <row r="3631" spans="1:20">
      <c r="A3631" s="8">
        <f>DATE(2012,12,31)-849</f>
        <v>40425</v>
      </c>
      <c r="B3631" s="8">
        <f>DATE(2012,12,31)-849</f>
        <v>40425</v>
      </c>
      <c r="C3631" s="9" t="s">
        <v>421</v>
      </c>
      <c r="D3631">
        <v>10021524179</v>
      </c>
      <c r="E3631" t="s">
        <v>47</v>
      </c>
      <c r="F3631" t="s">
        <v>78</v>
      </c>
      <c r="G3631" t="s">
        <v>79</v>
      </c>
      <c r="H3631" t="s">
        <v>2105</v>
      </c>
      <c r="I3631" t="s">
        <v>2106</v>
      </c>
      <c r="J3631" t="s">
        <v>141</v>
      </c>
      <c r="K3631" s="3">
        <v>100416481974</v>
      </c>
      <c r="L3631" s="10">
        <v>40426</v>
      </c>
      <c r="M3631">
        <v>2864.1005</v>
      </c>
      <c r="N3631" s="11">
        <v>50</v>
      </c>
      <c r="O3631" s="12">
        <v>65.99</v>
      </c>
      <c r="P3631" s="12">
        <v>8.99</v>
      </c>
      <c r="Q3631" s="13">
        <v>697.824</v>
      </c>
      <c r="R3631" s="36" t="s">
        <v>148</v>
      </c>
      <c r="S3631" s="7">
        <f t="shared" si="308"/>
        <v>1</v>
      </c>
      <c r="T3631" s="15" t="str">
        <f>VLOOKUP(R3631,产品分类!$C$2:$D$1278,2,0)</f>
        <v>数码电子</v>
      </c>
    </row>
    <row r="3632" spans="1:20">
      <c r="A3632" s="8">
        <f>DATE(2012,12,31)-1191</f>
        <v>40083</v>
      </c>
      <c r="B3632" s="8">
        <f>DATE(2012,12,31)-1191</f>
        <v>40083</v>
      </c>
      <c r="C3632" s="9" t="s">
        <v>808</v>
      </c>
      <c r="D3632">
        <v>10021387838</v>
      </c>
      <c r="E3632" t="s">
        <v>47</v>
      </c>
      <c r="F3632" t="s">
        <v>114</v>
      </c>
      <c r="G3632" t="s">
        <v>115</v>
      </c>
      <c r="H3632" t="s">
        <v>2204</v>
      </c>
      <c r="I3632" t="s">
        <v>2205</v>
      </c>
      <c r="J3632" t="s">
        <v>141</v>
      </c>
      <c r="K3632" s="3">
        <v>10079857795</v>
      </c>
      <c r="L3632" s="10">
        <v>40084</v>
      </c>
      <c r="M3632">
        <v>258.54</v>
      </c>
      <c r="N3632" s="11">
        <v>27</v>
      </c>
      <c r="O3632" s="12">
        <v>9.85</v>
      </c>
      <c r="P3632" s="12">
        <v>4.82</v>
      </c>
      <c r="Q3632" s="13">
        <v>-16.3</v>
      </c>
      <c r="R3632" s="36" t="s">
        <v>2229</v>
      </c>
      <c r="S3632" s="7">
        <f t="shared" si="308"/>
        <v>1</v>
      </c>
      <c r="T3632" s="15" t="str">
        <f>VLOOKUP(R3632,产品分类!$C$2:$D$1278,2,0)</f>
        <v>办公用品</v>
      </c>
    </row>
    <row r="3633" spans="1:20">
      <c r="A3633" s="8">
        <f>DATE(2012,12,31)-1191</f>
        <v>40083</v>
      </c>
      <c r="B3633" s="8">
        <f>DATE(2012,12,31)-1191</f>
        <v>40083</v>
      </c>
      <c r="C3633" s="9" t="s">
        <v>808</v>
      </c>
      <c r="D3633">
        <v>10021292672</v>
      </c>
      <c r="E3633" t="s">
        <v>47</v>
      </c>
      <c r="F3633" t="s">
        <v>114</v>
      </c>
      <c r="G3633" t="s">
        <v>115</v>
      </c>
      <c r="H3633" t="s">
        <v>2204</v>
      </c>
      <c r="I3633" t="s">
        <v>2205</v>
      </c>
      <c r="J3633" t="s">
        <v>141</v>
      </c>
      <c r="K3633" s="3">
        <v>1009625701</v>
      </c>
      <c r="L3633" s="10">
        <v>40084</v>
      </c>
      <c r="M3633">
        <v>1972.884</v>
      </c>
      <c r="N3633" s="11">
        <v>19</v>
      </c>
      <c r="O3633" s="12">
        <v>125.99</v>
      </c>
      <c r="P3633" s="12">
        <v>7.69</v>
      </c>
      <c r="Q3633" s="13">
        <v>140.913</v>
      </c>
      <c r="R3633" s="36" t="s">
        <v>903</v>
      </c>
      <c r="S3633" s="7">
        <f t="shared" si="308"/>
        <v>1</v>
      </c>
      <c r="T3633" s="15" t="str">
        <f>VLOOKUP(R3633,产品分类!$C$2:$D$1278,2,0)</f>
        <v>家具产品</v>
      </c>
    </row>
    <row r="3634" spans="1:20">
      <c r="A3634" s="16">
        <f>DATE(2012,12,31)-607</f>
        <v>40667</v>
      </c>
      <c r="B3634" s="16">
        <f>DATE(2012,12,31)-607</f>
        <v>40667</v>
      </c>
      <c r="C3634" s="9" t="s">
        <v>1964</v>
      </c>
      <c r="D3634">
        <v>10021250873</v>
      </c>
      <c r="E3634" t="s">
        <v>47</v>
      </c>
      <c r="F3634" t="s">
        <v>434</v>
      </c>
      <c r="G3634" t="s">
        <v>435</v>
      </c>
      <c r="H3634" t="s">
        <v>436</v>
      </c>
      <c r="I3634" t="s">
        <v>437</v>
      </c>
      <c r="J3634" t="s">
        <v>141</v>
      </c>
      <c r="K3634" s="3">
        <v>100916125411</v>
      </c>
      <c r="L3634" s="10">
        <v>40669</v>
      </c>
      <c r="M3634">
        <v>170.35</v>
      </c>
      <c r="N3634" s="17">
        <v>10</v>
      </c>
      <c r="O3634" s="5">
        <v>16.06</v>
      </c>
      <c r="P3634" s="5">
        <v>8.34</v>
      </c>
      <c r="Q3634" s="6">
        <v>-39.92</v>
      </c>
      <c r="R3634" s="37" t="s">
        <v>1769</v>
      </c>
      <c r="S3634" s="7">
        <f t="shared" si="308"/>
        <v>2</v>
      </c>
      <c r="T3634" s="15" t="str">
        <f>VLOOKUP(R3634,产品分类!$C$2:$D$1278,2,0)</f>
        <v>数码电子</v>
      </c>
    </row>
    <row r="3635" spans="1:20">
      <c r="A3635" s="8">
        <f>DATE(2012,12,31)-120</f>
        <v>41154</v>
      </c>
      <c r="B3635" s="8">
        <f>DATE(2012,12,31)-120</f>
        <v>41154</v>
      </c>
      <c r="C3635" s="9" t="s">
        <v>250</v>
      </c>
      <c r="D3635">
        <v>10021302070</v>
      </c>
      <c r="E3635" t="s">
        <v>47</v>
      </c>
      <c r="F3635" t="s">
        <v>55</v>
      </c>
      <c r="G3635" t="s">
        <v>56</v>
      </c>
      <c r="H3635" t="s">
        <v>2197</v>
      </c>
      <c r="I3635" t="s">
        <v>2198</v>
      </c>
      <c r="J3635" t="s">
        <v>141</v>
      </c>
      <c r="K3635" s="3">
        <v>100930823591</v>
      </c>
      <c r="L3635" s="10">
        <v>41156</v>
      </c>
      <c r="M3635">
        <v>230.63</v>
      </c>
      <c r="N3635" s="11">
        <v>50</v>
      </c>
      <c r="O3635" s="12">
        <v>4.91</v>
      </c>
      <c r="P3635" s="12">
        <v>3.05</v>
      </c>
      <c r="Q3635" s="13">
        <v>-39.71</v>
      </c>
      <c r="R3635" s="36" t="s">
        <v>2230</v>
      </c>
      <c r="S3635" s="7">
        <f t="shared" si="308"/>
        <v>2</v>
      </c>
      <c r="T3635" s="15" t="str">
        <f>VLOOKUP(R3635,产品分类!$C$2:$D$1278,2,0)</f>
        <v>办公用品</v>
      </c>
    </row>
    <row r="3636" spans="1:20">
      <c r="A3636" s="8">
        <f>DATE(2012,12,31)-120</f>
        <v>41154</v>
      </c>
      <c r="B3636" s="8">
        <f>DATE(2012,12,31)-120</f>
        <v>41154</v>
      </c>
      <c r="C3636" s="9" t="s">
        <v>250</v>
      </c>
      <c r="D3636">
        <v>10021424649</v>
      </c>
      <c r="E3636" t="s">
        <v>47</v>
      </c>
      <c r="F3636" t="s">
        <v>122</v>
      </c>
      <c r="G3636" t="s">
        <v>123</v>
      </c>
      <c r="H3636" t="s">
        <v>2159</v>
      </c>
      <c r="I3636" t="s">
        <v>2160</v>
      </c>
      <c r="J3636" t="s">
        <v>141</v>
      </c>
      <c r="K3636" s="3">
        <v>100328870979</v>
      </c>
      <c r="L3636" s="10">
        <v>41158</v>
      </c>
      <c r="M3636">
        <v>80.79</v>
      </c>
      <c r="N3636" s="11">
        <v>22</v>
      </c>
      <c r="O3636" s="12">
        <v>3.78</v>
      </c>
      <c r="P3636" s="12">
        <v>0.71</v>
      </c>
      <c r="Q3636" s="13">
        <v>25.18</v>
      </c>
      <c r="R3636" s="36" t="s">
        <v>731</v>
      </c>
      <c r="S3636" s="7">
        <f t="shared" si="308"/>
        <v>4</v>
      </c>
      <c r="T3636" s="15" t="str">
        <f>VLOOKUP(R3636,产品分类!$C$2:$D$1278,2,0)</f>
        <v>家具产品</v>
      </c>
    </row>
    <row r="3637" spans="1:20">
      <c r="A3637" s="8">
        <f>DATE(2012,12,31)-192</f>
        <v>41082</v>
      </c>
      <c r="B3637" s="8">
        <f>DATE(2012,12,31)-192</f>
        <v>41082</v>
      </c>
      <c r="C3637" s="9" t="s">
        <v>1462</v>
      </c>
      <c r="D3637">
        <v>10021591082</v>
      </c>
      <c r="E3637" t="s">
        <v>47</v>
      </c>
      <c r="F3637" t="s">
        <v>122</v>
      </c>
      <c r="G3637" t="s">
        <v>123</v>
      </c>
      <c r="H3637" t="s">
        <v>2159</v>
      </c>
      <c r="I3637" t="s">
        <v>2160</v>
      </c>
      <c r="J3637" t="s">
        <v>141</v>
      </c>
      <c r="K3637" s="3">
        <v>100723868715</v>
      </c>
      <c r="L3637" s="10">
        <v>41083</v>
      </c>
      <c r="M3637">
        <v>278.07</v>
      </c>
      <c r="N3637" s="11">
        <v>48</v>
      </c>
      <c r="O3637" s="12">
        <v>5.78</v>
      </c>
      <c r="P3637" s="12">
        <v>4.96</v>
      </c>
      <c r="Q3637" s="13">
        <v>-71.45</v>
      </c>
      <c r="R3637" s="36" t="s">
        <v>674</v>
      </c>
      <c r="S3637" s="7">
        <f t="shared" si="308"/>
        <v>1</v>
      </c>
      <c r="T3637" s="15" t="str">
        <f>VLOOKUP(R3637,产品分类!$C$2:$D$1278,2,0)</f>
        <v>家具产品</v>
      </c>
    </row>
    <row r="3638" spans="1:20">
      <c r="A3638" s="8">
        <f>DATE(2012,12,31)-1181</f>
        <v>40093</v>
      </c>
      <c r="B3638" s="8">
        <f>DATE(2012,12,31)-1181</f>
        <v>40093</v>
      </c>
      <c r="C3638" s="9" t="s">
        <v>613</v>
      </c>
      <c r="D3638">
        <v>10021339005</v>
      </c>
      <c r="E3638" t="s">
        <v>47</v>
      </c>
      <c r="F3638" t="s">
        <v>122</v>
      </c>
      <c r="G3638" t="s">
        <v>123</v>
      </c>
      <c r="H3638" t="s">
        <v>2159</v>
      </c>
      <c r="I3638" t="s">
        <v>2160</v>
      </c>
      <c r="J3638" t="s">
        <v>141</v>
      </c>
      <c r="K3638" s="3">
        <v>10016405177</v>
      </c>
      <c r="L3638" s="10">
        <v>40095</v>
      </c>
      <c r="M3638">
        <v>154.94</v>
      </c>
      <c r="N3638" s="11">
        <v>2</v>
      </c>
      <c r="O3638" s="12">
        <v>77.51</v>
      </c>
      <c r="P3638" s="12">
        <v>4</v>
      </c>
      <c r="Q3638" s="13">
        <v>-358.43</v>
      </c>
      <c r="R3638" s="36" t="s">
        <v>2136</v>
      </c>
      <c r="S3638" s="7">
        <f t="shared" si="308"/>
        <v>2</v>
      </c>
      <c r="T3638" s="15" t="str">
        <f>VLOOKUP(R3638,产品分类!$C$2:$D$1278,2,0)</f>
        <v>办公用品</v>
      </c>
    </row>
    <row r="3639" spans="1:20">
      <c r="A3639" s="8">
        <f>DATE(2012,12,31)-1181</f>
        <v>40093</v>
      </c>
      <c r="B3639" s="8">
        <f>DATE(2012,12,31)-1181</f>
        <v>40093</v>
      </c>
      <c r="C3639" s="9" t="s">
        <v>613</v>
      </c>
      <c r="D3639">
        <v>10021579465</v>
      </c>
      <c r="E3639" t="s">
        <v>47</v>
      </c>
      <c r="F3639" t="s">
        <v>83</v>
      </c>
      <c r="G3639" t="s">
        <v>84</v>
      </c>
      <c r="H3639" t="s">
        <v>2231</v>
      </c>
      <c r="I3639" t="s">
        <v>2232</v>
      </c>
      <c r="J3639" t="s">
        <v>141</v>
      </c>
      <c r="K3639" s="3">
        <v>100820341082</v>
      </c>
      <c r="L3639" s="10">
        <v>40095</v>
      </c>
      <c r="M3639">
        <v>1642.642</v>
      </c>
      <c r="N3639" s="11">
        <v>44</v>
      </c>
      <c r="O3639" s="12">
        <v>45.99</v>
      </c>
      <c r="P3639" s="12">
        <v>4.99</v>
      </c>
      <c r="Q3639" s="13">
        <v>314.838</v>
      </c>
      <c r="R3639" s="36" t="s">
        <v>1108</v>
      </c>
      <c r="S3639" s="7">
        <f t="shared" si="308"/>
        <v>2</v>
      </c>
      <c r="T3639" s="15" t="str">
        <f>VLOOKUP(R3639,产品分类!$C$2:$D$1278,2,0)</f>
        <v>办公用品</v>
      </c>
    </row>
    <row r="3640" spans="1:20">
      <c r="A3640" s="8">
        <f>DATE(2012,12,31)-108</f>
        <v>41166</v>
      </c>
      <c r="B3640" s="8">
        <f>DATE(2012,12,31)-108</f>
        <v>41166</v>
      </c>
      <c r="C3640" s="9" t="s">
        <v>446</v>
      </c>
      <c r="D3640">
        <v>10021498692</v>
      </c>
      <c r="E3640" t="s">
        <v>47</v>
      </c>
      <c r="F3640" t="s">
        <v>122</v>
      </c>
      <c r="G3640" t="s">
        <v>123</v>
      </c>
      <c r="H3640" t="s">
        <v>2159</v>
      </c>
      <c r="I3640" t="s">
        <v>2160</v>
      </c>
      <c r="J3640" t="s">
        <v>141</v>
      </c>
      <c r="K3640" s="3">
        <v>100322998929</v>
      </c>
      <c r="L3640" s="10">
        <v>41168</v>
      </c>
      <c r="M3640">
        <v>328.627</v>
      </c>
      <c r="N3640" s="11">
        <v>17</v>
      </c>
      <c r="O3640" s="12">
        <v>20.99</v>
      </c>
      <c r="P3640" s="12">
        <v>4.81</v>
      </c>
      <c r="Q3640" s="13">
        <v>-7.766</v>
      </c>
      <c r="R3640" s="36" t="s">
        <v>692</v>
      </c>
      <c r="S3640" s="7">
        <f t="shared" si="308"/>
        <v>2</v>
      </c>
      <c r="T3640" s="15" t="str">
        <f>VLOOKUP(R3640,产品分类!$C$2:$D$1278,2,0)</f>
        <v>办公用品</v>
      </c>
    </row>
    <row r="3641" spans="1:20">
      <c r="A3641" s="8">
        <f>DATE(2012,12,31)-864</f>
        <v>40410</v>
      </c>
      <c r="B3641" s="8">
        <f>DATE(2012,12,31)-864</f>
        <v>40410</v>
      </c>
      <c r="C3641" s="9" t="s">
        <v>2233</v>
      </c>
      <c r="D3641">
        <v>10021266598</v>
      </c>
      <c r="E3641" t="s">
        <v>47</v>
      </c>
      <c r="F3641" t="s">
        <v>91</v>
      </c>
      <c r="G3641" t="s">
        <v>92</v>
      </c>
      <c r="H3641" t="s">
        <v>2053</v>
      </c>
      <c r="I3641" t="s">
        <v>2054</v>
      </c>
      <c r="J3641" t="s">
        <v>141</v>
      </c>
      <c r="K3641" s="3">
        <v>100331806589</v>
      </c>
      <c r="L3641" s="10">
        <v>40411</v>
      </c>
      <c r="M3641">
        <v>120.77</v>
      </c>
      <c r="N3641" s="11">
        <v>49</v>
      </c>
      <c r="O3641" s="12">
        <v>2.47</v>
      </c>
      <c r="P3641" s="12">
        <v>1.02</v>
      </c>
      <c r="Q3641" s="13">
        <v>19.86</v>
      </c>
      <c r="R3641" s="36" t="s">
        <v>2234</v>
      </c>
      <c r="S3641" s="7">
        <f t="shared" si="308"/>
        <v>1</v>
      </c>
      <c r="T3641" s="15" t="str">
        <f>VLOOKUP(R3641,产品分类!$C$2:$D$1278,2,0)</f>
        <v>数码电子</v>
      </c>
    </row>
    <row r="3642" spans="1:20">
      <c r="A3642" s="8">
        <f>DATE(2012,12,31)-564</f>
        <v>40710</v>
      </c>
      <c r="B3642" s="8">
        <f>DATE(2012,12,31)-564</f>
        <v>40710</v>
      </c>
      <c r="C3642" s="9" t="s">
        <v>369</v>
      </c>
      <c r="D3642">
        <v>10021293971</v>
      </c>
      <c r="E3642" t="s">
        <v>47</v>
      </c>
      <c r="F3642" t="s">
        <v>122</v>
      </c>
      <c r="G3642" t="s">
        <v>123</v>
      </c>
      <c r="H3642" t="s">
        <v>2159</v>
      </c>
      <c r="I3642" t="s">
        <v>2160</v>
      </c>
      <c r="J3642" t="s">
        <v>141</v>
      </c>
      <c r="K3642" s="3">
        <v>100910204301</v>
      </c>
      <c r="L3642" s="10">
        <v>40711</v>
      </c>
      <c r="M3642">
        <v>365.24</v>
      </c>
      <c r="N3642" s="11">
        <v>44</v>
      </c>
      <c r="O3642" s="12">
        <v>8.74</v>
      </c>
      <c r="P3642" s="12">
        <v>8.29</v>
      </c>
      <c r="Q3642" s="13">
        <v>-163.13</v>
      </c>
      <c r="R3642" s="36" t="s">
        <v>618</v>
      </c>
      <c r="S3642" s="7">
        <f t="shared" si="308"/>
        <v>1</v>
      </c>
      <c r="T3642" s="15" t="str">
        <f>VLOOKUP(R3642,产品分类!$C$2:$D$1278,2,0)</f>
        <v>办公用品</v>
      </c>
    </row>
    <row r="3643" spans="1:20">
      <c r="A3643" s="8">
        <f>DATE(2012,12,31)-918</f>
        <v>40356</v>
      </c>
      <c r="B3643" s="8">
        <f>DATE(2012,12,31)-918</f>
        <v>40356</v>
      </c>
      <c r="C3643" s="9" t="s">
        <v>543</v>
      </c>
      <c r="D3643">
        <v>10021593043</v>
      </c>
      <c r="E3643" t="s">
        <v>47</v>
      </c>
      <c r="F3643" t="s">
        <v>55</v>
      </c>
      <c r="G3643" t="s">
        <v>56</v>
      </c>
      <c r="H3643" t="s">
        <v>2197</v>
      </c>
      <c r="I3643" t="s">
        <v>2198</v>
      </c>
      <c r="J3643" t="s">
        <v>141</v>
      </c>
      <c r="K3643" s="3">
        <v>10097677851</v>
      </c>
      <c r="L3643" s="10">
        <v>40358</v>
      </c>
      <c r="M3643">
        <v>795.74</v>
      </c>
      <c r="N3643" s="11">
        <v>22</v>
      </c>
      <c r="O3643" s="12">
        <v>33.94</v>
      </c>
      <c r="P3643" s="12">
        <v>19.19</v>
      </c>
      <c r="Q3643" s="13">
        <v>-127.39</v>
      </c>
      <c r="R3643" s="36" t="s">
        <v>2185</v>
      </c>
      <c r="S3643" s="7">
        <f t="shared" si="308"/>
        <v>2</v>
      </c>
      <c r="T3643" s="15" t="str">
        <f>VLOOKUP(R3643,产品分类!$C$2:$D$1278,2,0)</f>
        <v>办公用品</v>
      </c>
    </row>
    <row r="3644" spans="1:20">
      <c r="A3644" s="8">
        <f>DATE(2012,12,31)-918</f>
        <v>40356</v>
      </c>
      <c r="B3644" s="8">
        <f>DATE(2012,12,31)-918</f>
        <v>40356</v>
      </c>
      <c r="C3644" s="9" t="s">
        <v>543</v>
      </c>
      <c r="D3644">
        <v>10021371223</v>
      </c>
      <c r="E3644" t="s">
        <v>47</v>
      </c>
      <c r="F3644" t="s">
        <v>91</v>
      </c>
      <c r="G3644" t="s">
        <v>92</v>
      </c>
      <c r="H3644" t="s">
        <v>2053</v>
      </c>
      <c r="I3644" t="s">
        <v>2054</v>
      </c>
      <c r="J3644" t="s">
        <v>141</v>
      </c>
      <c r="K3644" s="3">
        <v>100831837422</v>
      </c>
      <c r="L3644" s="10">
        <v>40357</v>
      </c>
      <c r="M3644">
        <v>251.75</v>
      </c>
      <c r="N3644" s="11">
        <v>31</v>
      </c>
      <c r="O3644" s="12">
        <v>8.33</v>
      </c>
      <c r="P3644" s="12">
        <v>1.99</v>
      </c>
      <c r="Q3644" s="13">
        <v>22.46</v>
      </c>
      <c r="R3644" s="36" t="s">
        <v>1011</v>
      </c>
      <c r="S3644" s="7">
        <f t="shared" si="308"/>
        <v>1</v>
      </c>
      <c r="T3644" s="15" t="str">
        <f>VLOOKUP(R3644,产品分类!$C$2:$D$1278,2,0)</f>
        <v>家具产品</v>
      </c>
    </row>
    <row r="3645" spans="1:20">
      <c r="A3645" s="8">
        <f>DATE(2012,12,31)-342</f>
        <v>40932</v>
      </c>
      <c r="B3645" s="8">
        <f>DATE(2012,12,31)-342</f>
        <v>40932</v>
      </c>
      <c r="C3645" s="9" t="s">
        <v>1643</v>
      </c>
      <c r="D3645">
        <v>10021256613</v>
      </c>
      <c r="E3645" t="s">
        <v>47</v>
      </c>
      <c r="F3645" t="s">
        <v>55</v>
      </c>
      <c r="G3645" t="s">
        <v>56</v>
      </c>
      <c r="H3645" t="s">
        <v>2197</v>
      </c>
      <c r="I3645" t="s">
        <v>2198</v>
      </c>
      <c r="J3645" t="s">
        <v>141</v>
      </c>
      <c r="K3645" s="3">
        <v>100925433571</v>
      </c>
      <c r="L3645" s="10">
        <v>40932</v>
      </c>
      <c r="M3645">
        <v>878.75</v>
      </c>
      <c r="N3645" s="11">
        <v>48</v>
      </c>
      <c r="O3645" s="12">
        <v>18.97</v>
      </c>
      <c r="P3645" s="12">
        <v>9.03</v>
      </c>
      <c r="Q3645" s="13">
        <v>70.46</v>
      </c>
      <c r="R3645" s="36" t="s">
        <v>131</v>
      </c>
      <c r="S3645" s="7">
        <f t="shared" si="308"/>
        <v>0</v>
      </c>
      <c r="T3645" s="15" t="str">
        <f>VLOOKUP(R3645,产品分类!$C$2:$D$1278,2,0)</f>
        <v>家具产品</v>
      </c>
    </row>
    <row r="3646" spans="1:20">
      <c r="A3646" s="8">
        <f>DATE(2012,12,31)-1053</f>
        <v>40221</v>
      </c>
      <c r="B3646" s="8">
        <f>DATE(2012,12,31)-1053</f>
        <v>40221</v>
      </c>
      <c r="C3646" s="9" t="s">
        <v>1334</v>
      </c>
      <c r="D3646">
        <v>10021446787</v>
      </c>
      <c r="E3646" t="s">
        <v>47</v>
      </c>
      <c r="F3646" t="s">
        <v>127</v>
      </c>
      <c r="G3646" t="s">
        <v>128</v>
      </c>
      <c r="H3646" t="s">
        <v>2189</v>
      </c>
      <c r="I3646" t="s">
        <v>2190</v>
      </c>
      <c r="J3646" t="s">
        <v>141</v>
      </c>
      <c r="K3646" s="3">
        <v>100921008721</v>
      </c>
      <c r="L3646" s="10">
        <v>40223</v>
      </c>
      <c r="M3646">
        <v>396.78</v>
      </c>
      <c r="N3646" s="11">
        <v>47</v>
      </c>
      <c r="O3646" s="12">
        <v>8.37</v>
      </c>
      <c r="P3646" s="12">
        <v>10.16</v>
      </c>
      <c r="Q3646" s="13">
        <v>-321.21</v>
      </c>
      <c r="R3646" s="36" t="s">
        <v>1599</v>
      </c>
      <c r="S3646" s="7">
        <f t="shared" si="308"/>
        <v>2</v>
      </c>
      <c r="T3646" s="15" t="str">
        <f>VLOOKUP(R3646,产品分类!$C$2:$D$1278,2,0)</f>
        <v>家具产品</v>
      </c>
    </row>
    <row r="3647" spans="1:20">
      <c r="A3647" s="8">
        <f>DATE(2012,12,31)-36</f>
        <v>41238</v>
      </c>
      <c r="B3647" s="8">
        <f>DATE(2012,12,31)-36</f>
        <v>41238</v>
      </c>
      <c r="C3647" s="9" t="s">
        <v>1480</v>
      </c>
      <c r="D3647">
        <v>10021444230</v>
      </c>
      <c r="E3647" t="s">
        <v>47</v>
      </c>
      <c r="F3647" t="s">
        <v>97</v>
      </c>
      <c r="G3647" t="s">
        <v>98</v>
      </c>
      <c r="H3647" t="s">
        <v>99</v>
      </c>
      <c r="I3647" t="s">
        <v>98</v>
      </c>
      <c r="J3647" t="s">
        <v>141</v>
      </c>
      <c r="K3647" s="3">
        <v>10046137733</v>
      </c>
      <c r="L3647" s="10">
        <v>41239</v>
      </c>
      <c r="M3647">
        <v>6733.52</v>
      </c>
      <c r="N3647" s="11">
        <v>46</v>
      </c>
      <c r="O3647" s="12">
        <v>152.48</v>
      </c>
      <c r="P3647" s="12">
        <v>4</v>
      </c>
      <c r="Q3647" s="13">
        <v>246</v>
      </c>
      <c r="R3647" s="36" t="s">
        <v>505</v>
      </c>
      <c r="S3647" s="7">
        <f t="shared" si="308"/>
        <v>1</v>
      </c>
      <c r="T3647" s="15" t="str">
        <f>VLOOKUP(R3647,产品分类!$C$2:$D$1278,2,0)</f>
        <v>家具产品</v>
      </c>
    </row>
    <row r="3648" spans="1:20">
      <c r="A3648" s="8">
        <f>DATE(2012,12,31)-76</f>
        <v>41198</v>
      </c>
      <c r="B3648" s="8">
        <f>DATE(2012,12,31)-76</f>
        <v>41198</v>
      </c>
      <c r="C3648" s="9" t="s">
        <v>712</v>
      </c>
      <c r="D3648">
        <v>10021502878</v>
      </c>
      <c r="E3648" t="s">
        <v>47</v>
      </c>
      <c r="F3648" t="s">
        <v>97</v>
      </c>
      <c r="G3648" t="s">
        <v>98</v>
      </c>
      <c r="H3648" t="s">
        <v>99</v>
      </c>
      <c r="I3648" t="s">
        <v>98</v>
      </c>
      <c r="J3648" t="s">
        <v>141</v>
      </c>
      <c r="K3648" s="3">
        <v>100129016246</v>
      </c>
      <c r="L3648" s="10">
        <v>41203</v>
      </c>
      <c r="M3648">
        <v>228.82</v>
      </c>
      <c r="N3648" s="11">
        <v>33</v>
      </c>
      <c r="O3648" s="12">
        <v>6.68</v>
      </c>
      <c r="P3648" s="12">
        <v>7.3</v>
      </c>
      <c r="Q3648" s="13">
        <v>-107</v>
      </c>
      <c r="R3648" s="36" t="s">
        <v>1972</v>
      </c>
      <c r="S3648" s="7">
        <f t="shared" si="308"/>
        <v>5</v>
      </c>
      <c r="T3648" s="15" t="str">
        <f>VLOOKUP(R3648,产品分类!$C$2:$D$1278,2,0)</f>
        <v>办公用品</v>
      </c>
    </row>
    <row r="3649" spans="1:20">
      <c r="A3649" s="8">
        <f>DATE(2012,12,31)-63</f>
        <v>41211</v>
      </c>
      <c r="B3649" s="8">
        <f>DATE(2012,12,31)-63</f>
        <v>41211</v>
      </c>
      <c r="C3649" s="9" t="s">
        <v>275</v>
      </c>
      <c r="D3649">
        <v>10021509690</v>
      </c>
      <c r="E3649" t="s">
        <v>47</v>
      </c>
      <c r="F3649" t="s">
        <v>97</v>
      </c>
      <c r="G3649" t="s">
        <v>98</v>
      </c>
      <c r="H3649" t="s">
        <v>99</v>
      </c>
      <c r="I3649" t="s">
        <v>98</v>
      </c>
      <c r="J3649" t="s">
        <v>141</v>
      </c>
      <c r="K3649" s="3">
        <v>100732385315</v>
      </c>
      <c r="L3649" s="10">
        <v>41212</v>
      </c>
      <c r="M3649">
        <v>697.41</v>
      </c>
      <c r="N3649" s="11">
        <v>36</v>
      </c>
      <c r="O3649" s="12">
        <v>18.97</v>
      </c>
      <c r="P3649" s="12">
        <v>9.03</v>
      </c>
      <c r="Q3649" s="13">
        <v>81.71</v>
      </c>
      <c r="R3649" s="36" t="s">
        <v>131</v>
      </c>
      <c r="S3649" s="7">
        <f t="shared" si="308"/>
        <v>1</v>
      </c>
      <c r="T3649" s="15" t="str">
        <f>VLOOKUP(R3649,产品分类!$C$2:$D$1278,2,0)</f>
        <v>家具产品</v>
      </c>
    </row>
    <row r="3650" spans="1:20">
      <c r="A3650" s="8">
        <f>DATE(2012,12,31)-432</f>
        <v>40842</v>
      </c>
      <c r="B3650" s="8">
        <f>DATE(2012,12,31)-432</f>
        <v>40842</v>
      </c>
      <c r="C3650" s="9" t="s">
        <v>1254</v>
      </c>
      <c r="D3650">
        <v>10021388265</v>
      </c>
      <c r="E3650" t="s">
        <v>47</v>
      </c>
      <c r="F3650" t="s">
        <v>97</v>
      </c>
      <c r="G3650" t="s">
        <v>98</v>
      </c>
      <c r="H3650" t="s">
        <v>99</v>
      </c>
      <c r="I3650" t="s">
        <v>98</v>
      </c>
      <c r="J3650" t="s">
        <v>141</v>
      </c>
      <c r="K3650" s="3">
        <v>100427008553</v>
      </c>
      <c r="L3650" s="10">
        <v>40843</v>
      </c>
      <c r="M3650">
        <v>75.74</v>
      </c>
      <c r="N3650" s="11">
        <v>28</v>
      </c>
      <c r="O3650" s="12">
        <v>2.88</v>
      </c>
      <c r="P3650" s="12">
        <v>0.99</v>
      </c>
      <c r="Q3650" s="13">
        <v>13.23</v>
      </c>
      <c r="R3650" s="36" t="s">
        <v>1207</v>
      </c>
      <c r="S3650" s="7">
        <f t="shared" si="308"/>
        <v>1</v>
      </c>
      <c r="T3650" s="15" t="str">
        <f>VLOOKUP(R3650,产品分类!$C$2:$D$1278,2,0)</f>
        <v>数码电子</v>
      </c>
    </row>
    <row r="3651" spans="1:20">
      <c r="A3651" s="8">
        <f t="shared" ref="A3651:B3653" si="311">DATE(2012,12,31)-546</f>
        <v>40728</v>
      </c>
      <c r="B3651" s="8">
        <f t="shared" si="311"/>
        <v>40728</v>
      </c>
      <c r="C3651" s="9" t="s">
        <v>2227</v>
      </c>
      <c r="D3651">
        <v>10021594715</v>
      </c>
      <c r="E3651" t="s">
        <v>47</v>
      </c>
      <c r="F3651" t="s">
        <v>132</v>
      </c>
      <c r="G3651" t="s">
        <v>133</v>
      </c>
      <c r="H3651" t="s">
        <v>134</v>
      </c>
      <c r="I3651" t="s">
        <v>133</v>
      </c>
      <c r="J3651" t="s">
        <v>141</v>
      </c>
      <c r="K3651" s="3">
        <v>100332766529</v>
      </c>
      <c r="L3651" s="10">
        <v>40732</v>
      </c>
      <c r="M3651">
        <v>99.36</v>
      </c>
      <c r="N3651" s="11">
        <v>18</v>
      </c>
      <c r="O3651" s="12">
        <v>4.91</v>
      </c>
      <c r="P3651" s="12">
        <v>5.68</v>
      </c>
      <c r="Q3651" s="13">
        <v>-51.198</v>
      </c>
      <c r="R3651" s="36" t="s">
        <v>1350</v>
      </c>
      <c r="S3651" s="7">
        <f t="shared" ref="S3651:S3714" si="312">+L3651-B3651</f>
        <v>4</v>
      </c>
      <c r="T3651" s="15" t="str">
        <f>VLOOKUP(R3651,产品分类!$C$2:$D$1278,2,0)</f>
        <v>办公用品</v>
      </c>
    </row>
    <row r="3652" spans="1:20">
      <c r="A3652" s="8">
        <f t="shared" si="311"/>
        <v>40728</v>
      </c>
      <c r="B3652" s="8">
        <f t="shared" si="311"/>
        <v>40728</v>
      </c>
      <c r="C3652" s="9" t="s">
        <v>2227</v>
      </c>
      <c r="D3652">
        <v>10021253971</v>
      </c>
      <c r="E3652" t="s">
        <v>47</v>
      </c>
      <c r="F3652" t="s">
        <v>132</v>
      </c>
      <c r="G3652" t="s">
        <v>133</v>
      </c>
      <c r="H3652" t="s">
        <v>134</v>
      </c>
      <c r="I3652" t="s">
        <v>133</v>
      </c>
      <c r="J3652" t="s">
        <v>141</v>
      </c>
      <c r="K3652" s="3">
        <v>100121172476</v>
      </c>
      <c r="L3652" s="10">
        <v>40728</v>
      </c>
      <c r="M3652">
        <v>510.15</v>
      </c>
      <c r="N3652" s="11">
        <v>49</v>
      </c>
      <c r="O3652" s="12">
        <v>9.98</v>
      </c>
      <c r="P3652" s="12">
        <v>12.52</v>
      </c>
      <c r="Q3652" s="13">
        <v>-362.11</v>
      </c>
      <c r="R3652" s="36" t="s">
        <v>2129</v>
      </c>
      <c r="S3652" s="7">
        <f t="shared" si="312"/>
        <v>0</v>
      </c>
      <c r="T3652" s="15" t="str">
        <f>VLOOKUP(R3652,产品分类!$C$2:$D$1278,2,0)</f>
        <v>家具产品</v>
      </c>
    </row>
    <row r="3653" spans="1:20">
      <c r="A3653" s="8">
        <f t="shared" si="311"/>
        <v>40728</v>
      </c>
      <c r="B3653" s="8">
        <f t="shared" si="311"/>
        <v>40728</v>
      </c>
      <c r="C3653" s="9" t="s">
        <v>2227</v>
      </c>
      <c r="D3653">
        <v>10021450560</v>
      </c>
      <c r="E3653" t="s">
        <v>47</v>
      </c>
      <c r="F3653" t="s">
        <v>132</v>
      </c>
      <c r="G3653" t="s">
        <v>133</v>
      </c>
      <c r="H3653" t="s">
        <v>134</v>
      </c>
      <c r="I3653" t="s">
        <v>133</v>
      </c>
      <c r="J3653" t="s">
        <v>141</v>
      </c>
      <c r="K3653" s="3">
        <v>100829494552</v>
      </c>
      <c r="L3653" s="10">
        <v>40730</v>
      </c>
      <c r="M3653">
        <v>735.09</v>
      </c>
      <c r="N3653" s="11">
        <v>27</v>
      </c>
      <c r="O3653" s="12">
        <v>29.34</v>
      </c>
      <c r="P3653" s="12">
        <v>7.87</v>
      </c>
      <c r="Q3653" s="13">
        <v>153.5</v>
      </c>
      <c r="R3653" s="36" t="s">
        <v>1731</v>
      </c>
      <c r="S3653" s="7">
        <f t="shared" si="312"/>
        <v>2</v>
      </c>
      <c r="T3653" s="15" t="str">
        <f>VLOOKUP(R3653,产品分类!$C$2:$D$1278,2,0)</f>
        <v>数码电子</v>
      </c>
    </row>
    <row r="3654" spans="1:20">
      <c r="A3654" s="8">
        <f>DATE(2012,12,31)-1177</f>
        <v>40097</v>
      </c>
      <c r="B3654" s="8">
        <f>DATE(2012,12,31)-1177</f>
        <v>40097</v>
      </c>
      <c r="C3654" s="9" t="s">
        <v>703</v>
      </c>
      <c r="D3654">
        <v>10021346816</v>
      </c>
      <c r="E3654" t="s">
        <v>47</v>
      </c>
      <c r="F3654" t="s">
        <v>97</v>
      </c>
      <c r="G3654" t="s">
        <v>98</v>
      </c>
      <c r="H3654" t="s">
        <v>99</v>
      </c>
      <c r="I3654" t="s">
        <v>98</v>
      </c>
      <c r="J3654" t="s">
        <v>141</v>
      </c>
      <c r="K3654" s="3">
        <v>100130943957</v>
      </c>
      <c r="L3654" s="10">
        <v>40104</v>
      </c>
      <c r="M3654">
        <v>1351.76</v>
      </c>
      <c r="N3654" s="11">
        <v>13</v>
      </c>
      <c r="O3654" s="12">
        <v>104.65</v>
      </c>
      <c r="P3654" s="12">
        <v>18.93</v>
      </c>
      <c r="Q3654" s="13">
        <v>107.31</v>
      </c>
      <c r="R3654" s="36" t="s">
        <v>2235</v>
      </c>
      <c r="S3654" s="7">
        <f t="shared" si="312"/>
        <v>7</v>
      </c>
      <c r="T3654" s="15" t="str">
        <f>VLOOKUP(R3654,产品分类!$C$2:$D$1278,2,0)</f>
        <v>家具产品</v>
      </c>
    </row>
    <row r="3655" spans="1:20">
      <c r="A3655" s="8">
        <f>DATE(2012,12,31)-1177</f>
        <v>40097</v>
      </c>
      <c r="B3655" s="8">
        <f>DATE(2012,12,31)-1177</f>
        <v>40097</v>
      </c>
      <c r="C3655" s="9" t="s">
        <v>703</v>
      </c>
      <c r="D3655">
        <v>10021386798</v>
      </c>
      <c r="E3655" t="s">
        <v>47</v>
      </c>
      <c r="F3655" t="s">
        <v>97</v>
      </c>
      <c r="G3655" t="s">
        <v>98</v>
      </c>
      <c r="H3655" t="s">
        <v>99</v>
      </c>
      <c r="I3655" t="s">
        <v>98</v>
      </c>
      <c r="J3655" t="s">
        <v>141</v>
      </c>
      <c r="K3655" s="3">
        <v>10074566595</v>
      </c>
      <c r="L3655" s="10">
        <v>40106</v>
      </c>
      <c r="M3655">
        <v>595.4</v>
      </c>
      <c r="N3655" s="11">
        <v>49</v>
      </c>
      <c r="O3655" s="12">
        <v>11.66</v>
      </c>
      <c r="P3655" s="12">
        <v>7.95</v>
      </c>
      <c r="Q3655" s="13">
        <v>-148.85</v>
      </c>
      <c r="R3655" s="36" t="s">
        <v>1583</v>
      </c>
      <c r="S3655" s="7">
        <f t="shared" si="312"/>
        <v>9</v>
      </c>
      <c r="T3655" s="15" t="str">
        <f>VLOOKUP(R3655,产品分类!$C$2:$D$1278,2,0)</f>
        <v>办公用品</v>
      </c>
    </row>
    <row r="3656" spans="1:20">
      <c r="A3656" s="8">
        <f>DATE(2012,12,31)-408</f>
        <v>40866</v>
      </c>
      <c r="B3656" s="8">
        <f>DATE(2012,12,31)-408</f>
        <v>40866</v>
      </c>
      <c r="C3656" s="9" t="s">
        <v>851</v>
      </c>
      <c r="D3656">
        <v>10021339228</v>
      </c>
      <c r="E3656" t="s">
        <v>47</v>
      </c>
      <c r="F3656" t="s">
        <v>97</v>
      </c>
      <c r="G3656" t="s">
        <v>98</v>
      </c>
      <c r="H3656" t="s">
        <v>99</v>
      </c>
      <c r="I3656" t="s">
        <v>98</v>
      </c>
      <c r="J3656" t="s">
        <v>141</v>
      </c>
      <c r="K3656" s="3">
        <v>100124937348</v>
      </c>
      <c r="L3656" s="10">
        <v>40868</v>
      </c>
      <c r="M3656">
        <v>94.32</v>
      </c>
      <c r="N3656" s="11">
        <v>14</v>
      </c>
      <c r="O3656" s="12">
        <v>6.48</v>
      </c>
      <c r="P3656" s="12">
        <v>8.19</v>
      </c>
      <c r="Q3656" s="13">
        <v>-66.87</v>
      </c>
      <c r="R3656" s="36" t="s">
        <v>120</v>
      </c>
      <c r="S3656" s="7">
        <f t="shared" si="312"/>
        <v>2</v>
      </c>
      <c r="T3656" s="15" t="str">
        <f>VLOOKUP(R3656,产品分类!$C$2:$D$1278,2,0)</f>
        <v>家具产品</v>
      </c>
    </row>
    <row r="3657" spans="1:20">
      <c r="A3657" s="8">
        <f>DATE(2012,12,31)-408</f>
        <v>40866</v>
      </c>
      <c r="B3657" s="8">
        <f>DATE(2012,12,31)-408</f>
        <v>40866</v>
      </c>
      <c r="C3657" s="9" t="s">
        <v>851</v>
      </c>
      <c r="D3657">
        <v>10021332741</v>
      </c>
      <c r="E3657" t="s">
        <v>47</v>
      </c>
      <c r="F3657" t="s">
        <v>603</v>
      </c>
      <c r="G3657" t="s">
        <v>604</v>
      </c>
      <c r="H3657" t="s">
        <v>605</v>
      </c>
      <c r="I3657" t="s">
        <v>606</v>
      </c>
      <c r="J3657" t="s">
        <v>141</v>
      </c>
      <c r="K3657" s="3">
        <v>100912260441</v>
      </c>
      <c r="L3657" s="10">
        <v>40867</v>
      </c>
      <c r="M3657">
        <v>554.4295</v>
      </c>
      <c r="N3657" s="11">
        <v>30</v>
      </c>
      <c r="O3657" s="12">
        <v>20.99</v>
      </c>
      <c r="P3657" s="12">
        <v>4.81</v>
      </c>
      <c r="Q3657" s="13">
        <v>34.011</v>
      </c>
      <c r="R3657" s="36" t="s">
        <v>692</v>
      </c>
      <c r="S3657" s="7">
        <f t="shared" si="312"/>
        <v>1</v>
      </c>
      <c r="T3657" s="15" t="str">
        <f>VLOOKUP(R3657,产品分类!$C$2:$D$1278,2,0)</f>
        <v>办公用品</v>
      </c>
    </row>
    <row r="3658" spans="1:20">
      <c r="A3658" s="8">
        <f>DATE(2012,12,31)-1080</f>
        <v>40194</v>
      </c>
      <c r="B3658" s="8">
        <f>DATE(2012,12,31)-1080</f>
        <v>40194</v>
      </c>
      <c r="C3658" s="9" t="s">
        <v>1592</v>
      </c>
      <c r="D3658">
        <v>10021263875</v>
      </c>
      <c r="E3658" t="s">
        <v>47</v>
      </c>
      <c r="F3658" t="s">
        <v>102</v>
      </c>
      <c r="G3658" t="s">
        <v>103</v>
      </c>
      <c r="H3658" t="s">
        <v>2119</v>
      </c>
      <c r="I3658" t="s">
        <v>2120</v>
      </c>
      <c r="J3658" t="s">
        <v>141</v>
      </c>
      <c r="K3658" s="3">
        <v>100730849385</v>
      </c>
      <c r="L3658" s="10">
        <v>40197</v>
      </c>
      <c r="M3658">
        <v>4684.9</v>
      </c>
      <c r="N3658" s="11">
        <v>30</v>
      </c>
      <c r="O3658" s="12">
        <v>150.98</v>
      </c>
      <c r="P3658" s="12">
        <v>66.27</v>
      </c>
      <c r="Q3658" s="13">
        <v>-549.27</v>
      </c>
      <c r="R3658" s="36" t="s">
        <v>1166</v>
      </c>
      <c r="S3658" s="7">
        <f t="shared" si="312"/>
        <v>3</v>
      </c>
      <c r="T3658" s="15" t="str">
        <f>VLOOKUP(R3658,产品分类!$C$2:$D$1278,2,0)</f>
        <v>办公用品</v>
      </c>
    </row>
    <row r="3659" spans="1:20">
      <c r="A3659" s="8">
        <f>DATE(2012,12,31)-1080</f>
        <v>40194</v>
      </c>
      <c r="B3659" s="8">
        <f>DATE(2012,12,31)-1080</f>
        <v>40194</v>
      </c>
      <c r="C3659" s="9" t="s">
        <v>1592</v>
      </c>
      <c r="D3659">
        <v>10021266478</v>
      </c>
      <c r="E3659" t="s">
        <v>47</v>
      </c>
      <c r="F3659" t="s">
        <v>102</v>
      </c>
      <c r="G3659" t="s">
        <v>103</v>
      </c>
      <c r="H3659" t="s">
        <v>2119</v>
      </c>
      <c r="I3659" t="s">
        <v>2120</v>
      </c>
      <c r="J3659" t="s">
        <v>141</v>
      </c>
      <c r="K3659" s="3">
        <v>100431786294</v>
      </c>
      <c r="L3659" s="10">
        <v>40194</v>
      </c>
      <c r="M3659">
        <v>770.76</v>
      </c>
      <c r="N3659" s="11">
        <v>4</v>
      </c>
      <c r="O3659" s="12">
        <v>200.98</v>
      </c>
      <c r="P3659" s="12">
        <v>23.76</v>
      </c>
      <c r="Q3659" s="13">
        <v>-192.51</v>
      </c>
      <c r="R3659" s="36" t="s">
        <v>1343</v>
      </c>
      <c r="S3659" s="7">
        <f t="shared" si="312"/>
        <v>0</v>
      </c>
      <c r="T3659" s="15" t="str">
        <f>VLOOKUP(R3659,产品分类!$C$2:$D$1278,2,0)</f>
        <v>办公用品</v>
      </c>
    </row>
    <row r="3660" spans="1:20">
      <c r="A3660" s="8">
        <f>DATE(2012,12,31)-407</f>
        <v>40867</v>
      </c>
      <c r="B3660" s="8">
        <f>DATE(2012,12,31)-407</f>
        <v>40867</v>
      </c>
      <c r="C3660" s="9" t="s">
        <v>1944</v>
      </c>
      <c r="D3660">
        <v>10021339817</v>
      </c>
      <c r="E3660" t="s">
        <v>47</v>
      </c>
      <c r="F3660" t="s">
        <v>102</v>
      </c>
      <c r="G3660" t="s">
        <v>103</v>
      </c>
      <c r="H3660" t="s">
        <v>2119</v>
      </c>
      <c r="I3660" t="s">
        <v>2120</v>
      </c>
      <c r="J3660" t="s">
        <v>141</v>
      </c>
      <c r="K3660" s="3">
        <v>100425590333</v>
      </c>
      <c r="L3660" s="10">
        <v>40868</v>
      </c>
      <c r="M3660">
        <v>305.68</v>
      </c>
      <c r="N3660" s="11">
        <v>19</v>
      </c>
      <c r="O3660" s="12">
        <v>15.74</v>
      </c>
      <c r="P3660" s="12">
        <v>1.39</v>
      </c>
      <c r="Q3660" s="13">
        <v>128.17</v>
      </c>
      <c r="R3660" s="36" t="s">
        <v>404</v>
      </c>
      <c r="S3660" s="7">
        <f t="shared" si="312"/>
        <v>1</v>
      </c>
      <c r="T3660" s="15" t="str">
        <f>VLOOKUP(R3660,产品分类!$C$2:$D$1278,2,0)</f>
        <v>办公用品</v>
      </c>
    </row>
    <row r="3661" spans="1:20">
      <c r="A3661" s="8">
        <f>DATE(2012,12,31)-407</f>
        <v>40867</v>
      </c>
      <c r="B3661" s="8">
        <f>DATE(2012,12,31)-407</f>
        <v>40867</v>
      </c>
      <c r="C3661" s="9" t="s">
        <v>1944</v>
      </c>
      <c r="D3661">
        <v>10021434539</v>
      </c>
      <c r="E3661" t="s">
        <v>47</v>
      </c>
      <c r="F3661" t="s">
        <v>102</v>
      </c>
      <c r="G3661" t="s">
        <v>103</v>
      </c>
      <c r="H3661" t="s">
        <v>2119</v>
      </c>
      <c r="I3661" t="s">
        <v>2120</v>
      </c>
      <c r="J3661" t="s">
        <v>141</v>
      </c>
      <c r="K3661" s="3">
        <v>100131340036</v>
      </c>
      <c r="L3661" s="10">
        <v>40868</v>
      </c>
      <c r="M3661">
        <v>1901.29</v>
      </c>
      <c r="N3661" s="11">
        <v>41</v>
      </c>
      <c r="O3661" s="12">
        <v>46.94</v>
      </c>
      <c r="P3661" s="12">
        <v>6.77</v>
      </c>
      <c r="Q3661" s="13">
        <v>870.8</v>
      </c>
      <c r="R3661" s="36" t="s">
        <v>1507</v>
      </c>
      <c r="S3661" s="7">
        <f t="shared" si="312"/>
        <v>1</v>
      </c>
      <c r="T3661" s="15" t="str">
        <f>VLOOKUP(R3661,产品分类!$C$2:$D$1278,2,0)</f>
        <v>办公用品</v>
      </c>
    </row>
    <row r="3662" spans="1:20">
      <c r="A3662" s="8">
        <f>DATE(2012,12,31)-1108</f>
        <v>40166</v>
      </c>
      <c r="B3662" s="8">
        <f>DATE(2012,12,31)-1108</f>
        <v>40166</v>
      </c>
      <c r="C3662" s="9" t="s">
        <v>275</v>
      </c>
      <c r="D3662">
        <v>10021592517</v>
      </c>
      <c r="E3662" t="s">
        <v>47</v>
      </c>
      <c r="F3662" t="s">
        <v>102</v>
      </c>
      <c r="G3662" t="s">
        <v>103</v>
      </c>
      <c r="H3662" t="s">
        <v>2236</v>
      </c>
      <c r="I3662" t="s">
        <v>2237</v>
      </c>
      <c r="J3662" t="s">
        <v>141</v>
      </c>
      <c r="K3662" s="3">
        <v>100432120093</v>
      </c>
      <c r="L3662" s="10">
        <v>40169</v>
      </c>
      <c r="M3662">
        <v>1483.44</v>
      </c>
      <c r="N3662" s="11">
        <v>38</v>
      </c>
      <c r="O3662" s="12">
        <v>39.48</v>
      </c>
      <c r="P3662" s="12">
        <v>1.99</v>
      </c>
      <c r="Q3662" s="13">
        <v>439.77</v>
      </c>
      <c r="R3662" s="36" t="s">
        <v>235</v>
      </c>
      <c r="S3662" s="7">
        <f t="shared" si="312"/>
        <v>3</v>
      </c>
      <c r="T3662" s="15" t="str">
        <f>VLOOKUP(R3662,产品分类!$C$2:$D$1278,2,0)</f>
        <v>办公用品</v>
      </c>
    </row>
    <row r="3663" spans="1:20">
      <c r="A3663" s="8">
        <f>DATE(2012,12,31)-1108</f>
        <v>40166</v>
      </c>
      <c r="B3663" s="8">
        <f>DATE(2012,12,31)-1108</f>
        <v>40166</v>
      </c>
      <c r="C3663" s="9" t="s">
        <v>275</v>
      </c>
      <c r="D3663">
        <v>10021461043</v>
      </c>
      <c r="E3663" t="s">
        <v>47</v>
      </c>
      <c r="F3663" t="s">
        <v>171</v>
      </c>
      <c r="G3663" t="s">
        <v>172</v>
      </c>
      <c r="H3663" t="s">
        <v>2073</v>
      </c>
      <c r="I3663" t="s">
        <v>2074</v>
      </c>
      <c r="J3663" t="s">
        <v>141</v>
      </c>
      <c r="K3663" s="3">
        <v>100813000222</v>
      </c>
      <c r="L3663" s="10">
        <v>40167</v>
      </c>
      <c r="M3663">
        <v>145.68</v>
      </c>
      <c r="N3663" s="11">
        <v>39</v>
      </c>
      <c r="O3663" s="12">
        <v>3.7</v>
      </c>
      <c r="P3663" s="12">
        <v>1.61</v>
      </c>
      <c r="Q3663" s="13">
        <v>12</v>
      </c>
      <c r="R3663" s="36" t="s">
        <v>1918</v>
      </c>
      <c r="S3663" s="7">
        <f t="shared" si="312"/>
        <v>1</v>
      </c>
      <c r="T3663" s="15" t="str">
        <f>VLOOKUP(R3663,产品分类!$C$2:$D$1278,2,0)</f>
        <v>办公用品</v>
      </c>
    </row>
    <row r="3664" spans="1:20">
      <c r="A3664" s="16">
        <f>DATE(2012,12,31)-534</f>
        <v>40740</v>
      </c>
      <c r="B3664" s="16">
        <f>DATE(2012,12,31)-534</f>
        <v>40740</v>
      </c>
      <c r="C3664" s="9" t="s">
        <v>2238</v>
      </c>
      <c r="D3664">
        <v>10021428687</v>
      </c>
      <c r="E3664" t="s">
        <v>47</v>
      </c>
      <c r="F3664" t="s">
        <v>171</v>
      </c>
      <c r="G3664" t="s">
        <v>172</v>
      </c>
      <c r="H3664" t="s">
        <v>2073</v>
      </c>
      <c r="I3664" t="s">
        <v>2074</v>
      </c>
      <c r="J3664" t="s">
        <v>141</v>
      </c>
      <c r="K3664" s="3">
        <v>100931087741</v>
      </c>
      <c r="L3664" s="10">
        <v>40744</v>
      </c>
      <c r="M3664">
        <v>71.32</v>
      </c>
      <c r="N3664" s="17">
        <v>42</v>
      </c>
      <c r="O3664" s="5">
        <v>1.82</v>
      </c>
      <c r="P3664" s="5">
        <v>1</v>
      </c>
      <c r="Q3664" s="6">
        <v>-4.9</v>
      </c>
      <c r="R3664" s="37" t="s">
        <v>797</v>
      </c>
      <c r="S3664" s="7">
        <f t="shared" si="312"/>
        <v>4</v>
      </c>
      <c r="T3664" s="15" t="str">
        <f>VLOOKUP(R3664,产品分类!$C$2:$D$1278,2,0)</f>
        <v>家具产品</v>
      </c>
    </row>
    <row r="3665" spans="1:20">
      <c r="A3665" s="8">
        <f>DATE(2012,12,31)-881</f>
        <v>40393</v>
      </c>
      <c r="B3665" s="8">
        <f>DATE(2012,12,31)-881</f>
        <v>40393</v>
      </c>
      <c r="C3665" s="9" t="s">
        <v>143</v>
      </c>
      <c r="D3665">
        <v>10021331194</v>
      </c>
      <c r="E3665" t="s">
        <v>47</v>
      </c>
      <c r="F3665" t="s">
        <v>527</v>
      </c>
      <c r="G3665" t="s">
        <v>528</v>
      </c>
      <c r="H3665" t="s">
        <v>2191</v>
      </c>
      <c r="I3665" t="s">
        <v>2192</v>
      </c>
      <c r="J3665" t="s">
        <v>141</v>
      </c>
      <c r="K3665" s="3">
        <v>10011504677</v>
      </c>
      <c r="L3665" s="10">
        <v>40395</v>
      </c>
      <c r="M3665">
        <v>131.72</v>
      </c>
      <c r="N3665" s="11">
        <v>16</v>
      </c>
      <c r="O3665" s="12">
        <v>8.46</v>
      </c>
      <c r="P3665" s="12">
        <v>3.62</v>
      </c>
      <c r="Q3665" s="13">
        <v>-42.61</v>
      </c>
      <c r="R3665" s="36" t="s">
        <v>412</v>
      </c>
      <c r="S3665" s="7">
        <f t="shared" si="312"/>
        <v>2</v>
      </c>
      <c r="T3665" s="15" t="str">
        <f>VLOOKUP(R3665,产品分类!$C$2:$D$1278,2,0)</f>
        <v>数码电子</v>
      </c>
    </row>
    <row r="3666" spans="1:20">
      <c r="A3666" s="8">
        <f>DATE(2012,12,31)-185</f>
        <v>41089</v>
      </c>
      <c r="B3666" s="8">
        <f>DATE(2012,12,31)-185</f>
        <v>41089</v>
      </c>
      <c r="C3666" s="9" t="s">
        <v>361</v>
      </c>
      <c r="D3666">
        <v>10021346528</v>
      </c>
      <c r="E3666" t="s">
        <v>47</v>
      </c>
      <c r="F3666" t="s">
        <v>171</v>
      </c>
      <c r="G3666" t="s">
        <v>172</v>
      </c>
      <c r="H3666" t="s">
        <v>2073</v>
      </c>
      <c r="I3666" t="s">
        <v>2074</v>
      </c>
      <c r="J3666" t="s">
        <v>141</v>
      </c>
      <c r="K3666" s="3">
        <v>100330781399</v>
      </c>
      <c r="L3666" s="10">
        <v>41098</v>
      </c>
      <c r="M3666">
        <v>905.94</v>
      </c>
      <c r="N3666" s="11">
        <v>6</v>
      </c>
      <c r="O3666" s="12">
        <v>140.81</v>
      </c>
      <c r="P3666" s="12">
        <v>24.49</v>
      </c>
      <c r="Q3666" s="13">
        <v>-4.19</v>
      </c>
      <c r="R3666" s="36" t="s">
        <v>1469</v>
      </c>
      <c r="S3666" s="7">
        <f t="shared" si="312"/>
        <v>9</v>
      </c>
      <c r="T3666" s="15" t="str">
        <f>VLOOKUP(R3666,产品分类!$C$2:$D$1278,2,0)</f>
        <v>办公用品</v>
      </c>
    </row>
    <row r="3667" spans="1:20">
      <c r="A3667" s="8">
        <f>DATE(2012,12,31)-202</f>
        <v>41072</v>
      </c>
      <c r="B3667" s="8">
        <f>DATE(2012,12,31)-202</f>
        <v>41072</v>
      </c>
      <c r="C3667" s="9" t="s">
        <v>776</v>
      </c>
      <c r="D3667">
        <v>10021352878</v>
      </c>
      <c r="E3667" t="s">
        <v>47</v>
      </c>
      <c r="F3667" t="s">
        <v>177</v>
      </c>
      <c r="G3667" t="s">
        <v>178</v>
      </c>
      <c r="H3667" t="s">
        <v>2195</v>
      </c>
      <c r="I3667" t="s">
        <v>2196</v>
      </c>
      <c r="J3667" t="s">
        <v>141</v>
      </c>
      <c r="K3667" s="3">
        <v>100432546334</v>
      </c>
      <c r="L3667" s="10">
        <v>41073</v>
      </c>
      <c r="M3667">
        <v>377.83</v>
      </c>
      <c r="N3667" s="11">
        <v>41</v>
      </c>
      <c r="O3667" s="12">
        <v>9.11</v>
      </c>
      <c r="P3667" s="12">
        <v>2.15</v>
      </c>
      <c r="Q3667" s="13">
        <v>122.06</v>
      </c>
      <c r="R3667" s="36" t="s">
        <v>1449</v>
      </c>
      <c r="S3667" s="7">
        <f t="shared" si="312"/>
        <v>1</v>
      </c>
      <c r="T3667" s="15" t="str">
        <f>VLOOKUP(R3667,产品分类!$C$2:$D$1278,2,0)</f>
        <v>家具产品</v>
      </c>
    </row>
    <row r="3668" spans="1:20">
      <c r="A3668" s="8">
        <f>DATE(2012,12,31)-841</f>
        <v>40433</v>
      </c>
      <c r="B3668" s="8">
        <f>DATE(2012,12,31)-841</f>
        <v>40433</v>
      </c>
      <c r="C3668" s="9" t="s">
        <v>1964</v>
      </c>
      <c r="D3668">
        <v>10021444394</v>
      </c>
      <c r="E3668" t="s">
        <v>47</v>
      </c>
      <c r="F3668" t="s">
        <v>177</v>
      </c>
      <c r="G3668" t="s">
        <v>178</v>
      </c>
      <c r="H3668" t="s">
        <v>2195</v>
      </c>
      <c r="I3668" t="s">
        <v>2196</v>
      </c>
      <c r="J3668" t="s">
        <v>141</v>
      </c>
      <c r="K3668" s="3">
        <v>10019541236</v>
      </c>
      <c r="L3668" s="10">
        <v>40437</v>
      </c>
      <c r="M3668">
        <v>20329.8</v>
      </c>
      <c r="N3668" s="11">
        <v>19</v>
      </c>
      <c r="O3668" s="12">
        <v>999.99</v>
      </c>
      <c r="P3668" s="12">
        <v>13.99</v>
      </c>
      <c r="Q3668" s="13">
        <v>9224.1</v>
      </c>
      <c r="R3668" s="36" t="s">
        <v>1576</v>
      </c>
      <c r="S3668" s="7">
        <f t="shared" si="312"/>
        <v>4</v>
      </c>
      <c r="T3668" s="15" t="str">
        <f>VLOOKUP(R3668,产品分类!$C$2:$D$1278,2,0)</f>
        <v>办公用品</v>
      </c>
    </row>
    <row r="3669" spans="1:20">
      <c r="A3669" s="8">
        <f>DATE(2012,12,31)-841</f>
        <v>40433</v>
      </c>
      <c r="B3669" s="8">
        <f>DATE(2012,12,31)-841</f>
        <v>40433</v>
      </c>
      <c r="C3669" s="9" t="s">
        <v>1964</v>
      </c>
      <c r="D3669">
        <v>10021296782</v>
      </c>
      <c r="E3669" t="s">
        <v>47</v>
      </c>
      <c r="F3669" t="s">
        <v>167</v>
      </c>
      <c r="G3669" t="s">
        <v>168</v>
      </c>
      <c r="H3669" t="s">
        <v>169</v>
      </c>
      <c r="I3669" t="s">
        <v>168</v>
      </c>
      <c r="J3669" t="s">
        <v>141</v>
      </c>
      <c r="K3669" s="3">
        <v>100822749952</v>
      </c>
      <c r="L3669" s="10">
        <v>40440</v>
      </c>
      <c r="M3669">
        <v>3685.38</v>
      </c>
      <c r="N3669" s="11">
        <v>21</v>
      </c>
      <c r="O3669" s="12">
        <v>170.98</v>
      </c>
      <c r="P3669" s="12">
        <v>13.99</v>
      </c>
      <c r="Q3669" s="13">
        <v>1040.62</v>
      </c>
      <c r="R3669" s="36" t="s">
        <v>2239</v>
      </c>
      <c r="S3669" s="7">
        <f t="shared" si="312"/>
        <v>7</v>
      </c>
      <c r="T3669" s="15" t="str">
        <f>VLOOKUP(R3669,产品分类!$C$2:$D$1278,2,0)</f>
        <v>办公用品</v>
      </c>
    </row>
    <row r="3670" spans="1:20">
      <c r="A3670" s="8">
        <f>DATE(2012,12,31)-553</f>
        <v>40721</v>
      </c>
      <c r="B3670" s="8">
        <f>DATE(2012,12,31)-553</f>
        <v>40721</v>
      </c>
      <c r="C3670" s="9" t="s">
        <v>705</v>
      </c>
      <c r="D3670">
        <v>10021575036</v>
      </c>
      <c r="E3670" t="s">
        <v>47</v>
      </c>
      <c r="F3670" t="s">
        <v>177</v>
      </c>
      <c r="G3670" t="s">
        <v>178</v>
      </c>
      <c r="H3670" t="s">
        <v>2195</v>
      </c>
      <c r="I3670" t="s">
        <v>2196</v>
      </c>
      <c r="J3670" t="s">
        <v>141</v>
      </c>
      <c r="K3670" s="3">
        <v>10081372412</v>
      </c>
      <c r="L3670" s="10">
        <v>40722</v>
      </c>
      <c r="M3670">
        <v>877.81</v>
      </c>
      <c r="N3670" s="11">
        <v>17</v>
      </c>
      <c r="O3670" s="12">
        <v>49.99</v>
      </c>
      <c r="P3670" s="12">
        <v>19.99</v>
      </c>
      <c r="Q3670" s="13">
        <v>-44.4</v>
      </c>
      <c r="R3670" s="36" t="s">
        <v>1328</v>
      </c>
      <c r="S3670" s="7">
        <f t="shared" si="312"/>
        <v>1</v>
      </c>
      <c r="T3670" s="15" t="str">
        <f>VLOOKUP(R3670,产品分类!$C$2:$D$1278,2,0)</f>
        <v>家具产品</v>
      </c>
    </row>
    <row r="3671" spans="1:20">
      <c r="A3671" s="8">
        <f>DATE(2012,12,31)-1250</f>
        <v>40024</v>
      </c>
      <c r="B3671" s="8">
        <f>DATE(2012,12,31)-1250</f>
        <v>40024</v>
      </c>
      <c r="C3671" s="9" t="s">
        <v>369</v>
      </c>
      <c r="D3671">
        <v>10021495556</v>
      </c>
      <c r="E3671" t="s">
        <v>47</v>
      </c>
      <c r="F3671" t="s">
        <v>171</v>
      </c>
      <c r="G3671" t="s">
        <v>172</v>
      </c>
      <c r="H3671" t="s">
        <v>2073</v>
      </c>
      <c r="I3671" t="s">
        <v>2074</v>
      </c>
      <c r="J3671" t="s">
        <v>141</v>
      </c>
      <c r="K3671" s="3">
        <v>100110201556</v>
      </c>
      <c r="L3671" s="10">
        <v>40026</v>
      </c>
      <c r="M3671">
        <v>211.7435</v>
      </c>
      <c r="N3671" s="11">
        <v>7</v>
      </c>
      <c r="O3671" s="12">
        <v>35.99</v>
      </c>
      <c r="P3671" s="12">
        <v>1.25</v>
      </c>
      <c r="Q3671" s="13">
        <v>-33.308</v>
      </c>
      <c r="R3671" s="36" t="s">
        <v>1822</v>
      </c>
      <c r="S3671" s="7">
        <f t="shared" si="312"/>
        <v>2</v>
      </c>
      <c r="T3671" s="15" t="str">
        <f>VLOOKUP(R3671,产品分类!$C$2:$D$1278,2,0)</f>
        <v>家具产品</v>
      </c>
    </row>
    <row r="3672" spans="1:20">
      <c r="A3672" s="8">
        <f>DATE(2012,12,31)-653</f>
        <v>40621</v>
      </c>
      <c r="B3672" s="8">
        <f>DATE(2012,12,31)-653</f>
        <v>40621</v>
      </c>
      <c r="C3672" s="9" t="s">
        <v>1112</v>
      </c>
      <c r="D3672">
        <v>10021578182</v>
      </c>
      <c r="E3672" t="s">
        <v>47</v>
      </c>
      <c r="F3672" t="s">
        <v>342</v>
      </c>
      <c r="G3672" t="s">
        <v>343</v>
      </c>
      <c r="H3672" t="s">
        <v>2090</v>
      </c>
      <c r="I3672" t="s">
        <v>2091</v>
      </c>
      <c r="J3672" t="s">
        <v>141</v>
      </c>
      <c r="K3672" s="3">
        <v>10048490694</v>
      </c>
      <c r="L3672" s="10">
        <v>40622</v>
      </c>
      <c r="M3672">
        <v>7452.137</v>
      </c>
      <c r="N3672" s="11">
        <v>43</v>
      </c>
      <c r="O3672" s="12">
        <v>205.99</v>
      </c>
      <c r="P3672" s="12">
        <v>5.99</v>
      </c>
      <c r="Q3672" s="13">
        <v>2028.357</v>
      </c>
      <c r="R3672" s="36" t="s">
        <v>110</v>
      </c>
      <c r="S3672" s="7">
        <f t="shared" si="312"/>
        <v>1</v>
      </c>
      <c r="T3672" s="15" t="str">
        <f>VLOOKUP(R3672,产品分类!$C$2:$D$1278,2,0)</f>
        <v>数码电子</v>
      </c>
    </row>
    <row r="3673" spans="1:20">
      <c r="A3673" s="16">
        <f>DATE(2012,12,31)-760</f>
        <v>40514</v>
      </c>
      <c r="B3673" s="16">
        <f>DATE(2012,12,31)-760</f>
        <v>40514</v>
      </c>
      <c r="C3673" s="9" t="s">
        <v>405</v>
      </c>
      <c r="D3673">
        <v>10021461226</v>
      </c>
      <c r="E3673" t="s">
        <v>47</v>
      </c>
      <c r="F3673" t="s">
        <v>61</v>
      </c>
      <c r="G3673" t="s">
        <v>62</v>
      </c>
      <c r="H3673" t="s">
        <v>2216</v>
      </c>
      <c r="I3673" t="s">
        <v>2217</v>
      </c>
      <c r="J3673" t="s">
        <v>141</v>
      </c>
      <c r="K3673" s="3">
        <v>100414357893</v>
      </c>
      <c r="L3673" s="10">
        <v>40516</v>
      </c>
      <c r="M3673">
        <v>1118.21</v>
      </c>
      <c r="N3673" s="17">
        <v>50</v>
      </c>
      <c r="O3673" s="5">
        <v>22.38</v>
      </c>
      <c r="P3673" s="5">
        <v>15.1</v>
      </c>
      <c r="Q3673" s="6">
        <v>-122.7855</v>
      </c>
      <c r="R3673" s="37" t="s">
        <v>938</v>
      </c>
      <c r="S3673" s="7">
        <f t="shared" si="312"/>
        <v>2</v>
      </c>
      <c r="T3673" s="15" t="str">
        <f>VLOOKUP(R3673,产品分类!$C$2:$D$1278,2,0)</f>
        <v>办公用品</v>
      </c>
    </row>
    <row r="3674" spans="1:20">
      <c r="A3674" s="8">
        <f>DATE(2012,12,31)-760</f>
        <v>40514</v>
      </c>
      <c r="B3674" s="8">
        <f>DATE(2012,12,31)-760</f>
        <v>40514</v>
      </c>
      <c r="C3674" s="9" t="s">
        <v>405</v>
      </c>
      <c r="D3674">
        <v>10021595457</v>
      </c>
      <c r="E3674" t="s">
        <v>47</v>
      </c>
      <c r="F3674" t="s">
        <v>61</v>
      </c>
      <c r="G3674" t="s">
        <v>62</v>
      </c>
      <c r="H3674" t="s">
        <v>2216</v>
      </c>
      <c r="I3674" t="s">
        <v>2217</v>
      </c>
      <c r="J3674" t="s">
        <v>141</v>
      </c>
      <c r="K3674" s="3">
        <v>100432798803</v>
      </c>
      <c r="L3674" s="10">
        <v>40515</v>
      </c>
      <c r="M3674">
        <v>3503.56</v>
      </c>
      <c r="N3674" s="11">
        <v>13</v>
      </c>
      <c r="O3674" s="12">
        <v>262.11</v>
      </c>
      <c r="P3674" s="12">
        <v>62.74</v>
      </c>
      <c r="Q3674" s="13">
        <v>-633.441237</v>
      </c>
      <c r="R3674" s="36" t="s">
        <v>1593</v>
      </c>
      <c r="S3674" s="7">
        <f t="shared" si="312"/>
        <v>1</v>
      </c>
      <c r="T3674" s="15" t="str">
        <f>VLOOKUP(R3674,产品分类!$C$2:$D$1278,2,0)</f>
        <v>数码电子</v>
      </c>
    </row>
    <row r="3675" spans="1:20">
      <c r="A3675" s="8">
        <f>DATE(2012,12,31)-62</f>
        <v>41212</v>
      </c>
      <c r="B3675" s="8">
        <f>DATE(2012,12,31)-62</f>
        <v>41212</v>
      </c>
      <c r="C3675" s="9" t="s">
        <v>2034</v>
      </c>
      <c r="D3675">
        <v>10021370766</v>
      </c>
      <c r="E3675" t="s">
        <v>47</v>
      </c>
      <c r="F3675" t="s">
        <v>61</v>
      </c>
      <c r="G3675" t="s">
        <v>62</v>
      </c>
      <c r="H3675" t="s">
        <v>2216</v>
      </c>
      <c r="I3675" t="s">
        <v>2217</v>
      </c>
      <c r="J3675" t="s">
        <v>141</v>
      </c>
      <c r="K3675" s="3">
        <v>100331311579</v>
      </c>
      <c r="L3675" s="10">
        <v>41216</v>
      </c>
      <c r="M3675">
        <v>7725.66</v>
      </c>
      <c r="N3675" s="11">
        <v>39</v>
      </c>
      <c r="O3675" s="12">
        <v>200.98</v>
      </c>
      <c r="P3675" s="12">
        <v>55.96</v>
      </c>
      <c r="Q3675" s="13">
        <v>-737.41</v>
      </c>
      <c r="R3675" s="36" t="s">
        <v>2182</v>
      </c>
      <c r="S3675" s="7">
        <f t="shared" si="312"/>
        <v>4</v>
      </c>
      <c r="T3675" s="15" t="str">
        <f>VLOOKUP(R3675,产品分类!$C$2:$D$1278,2,0)</f>
        <v>家具产品</v>
      </c>
    </row>
    <row r="3676" spans="1:20">
      <c r="A3676" s="8">
        <f>DATE(2012,12,31)-62</f>
        <v>41212</v>
      </c>
      <c r="B3676" s="8">
        <f>DATE(2012,12,31)-62</f>
        <v>41212</v>
      </c>
      <c r="C3676" s="9" t="s">
        <v>2034</v>
      </c>
      <c r="D3676">
        <v>10021254931</v>
      </c>
      <c r="E3676" t="s">
        <v>47</v>
      </c>
      <c r="F3676" t="s">
        <v>61</v>
      </c>
      <c r="G3676" t="s">
        <v>62</v>
      </c>
      <c r="H3676" t="s">
        <v>2216</v>
      </c>
      <c r="I3676" t="s">
        <v>2217</v>
      </c>
      <c r="J3676" t="s">
        <v>141</v>
      </c>
      <c r="K3676" s="3">
        <v>100923182861</v>
      </c>
      <c r="L3676" s="10">
        <v>41217</v>
      </c>
      <c r="M3676">
        <v>2567.64</v>
      </c>
      <c r="N3676" s="11">
        <v>15</v>
      </c>
      <c r="O3676" s="12">
        <v>209.37</v>
      </c>
      <c r="P3676" s="12">
        <v>69</v>
      </c>
      <c r="Q3676" s="13">
        <v>-505.984479</v>
      </c>
      <c r="R3676" s="36" t="s">
        <v>1184</v>
      </c>
      <c r="S3676" s="7">
        <f t="shared" si="312"/>
        <v>5</v>
      </c>
      <c r="T3676" s="15" t="str">
        <f>VLOOKUP(R3676,产品分类!$C$2:$D$1278,2,0)</f>
        <v>数码电子</v>
      </c>
    </row>
    <row r="3677" spans="1:20">
      <c r="A3677" s="8">
        <f>DATE(2012,12,31)-316</f>
        <v>40958</v>
      </c>
      <c r="B3677" s="8">
        <f>DATE(2012,12,31)-316</f>
        <v>40958</v>
      </c>
      <c r="C3677" s="9" t="s">
        <v>913</v>
      </c>
      <c r="D3677">
        <v>10021292786</v>
      </c>
      <c r="E3677" t="s">
        <v>47</v>
      </c>
      <c r="F3677" t="s">
        <v>61</v>
      </c>
      <c r="G3677" t="s">
        <v>62</v>
      </c>
      <c r="H3677" t="s">
        <v>2216</v>
      </c>
      <c r="I3677" t="s">
        <v>2217</v>
      </c>
      <c r="J3677" t="s">
        <v>141</v>
      </c>
      <c r="K3677" s="3">
        <v>10091811711</v>
      </c>
      <c r="L3677" s="10">
        <v>40960</v>
      </c>
      <c r="M3677">
        <v>128.13</v>
      </c>
      <c r="N3677" s="11">
        <v>42</v>
      </c>
      <c r="O3677" s="12">
        <v>3.08</v>
      </c>
      <c r="P3677" s="12">
        <v>0.99</v>
      </c>
      <c r="Q3677" s="13">
        <v>32.53</v>
      </c>
      <c r="R3677" s="36" t="s">
        <v>283</v>
      </c>
      <c r="S3677" s="7">
        <f t="shared" si="312"/>
        <v>2</v>
      </c>
      <c r="T3677" s="15" t="str">
        <f>VLOOKUP(R3677,产品分类!$C$2:$D$1278,2,0)</f>
        <v>办公用品</v>
      </c>
    </row>
    <row r="3678" spans="1:20">
      <c r="A3678" s="16">
        <f>DATE(2012,12,31)-155</f>
        <v>41119</v>
      </c>
      <c r="B3678" s="16">
        <f>DATE(2012,12,31)-155</f>
        <v>41119</v>
      </c>
      <c r="C3678" s="9" t="s">
        <v>1049</v>
      </c>
      <c r="D3678">
        <v>10021351995</v>
      </c>
      <c r="E3678" t="s">
        <v>47</v>
      </c>
      <c r="F3678" t="s">
        <v>61</v>
      </c>
      <c r="G3678" t="s">
        <v>62</v>
      </c>
      <c r="H3678" t="s">
        <v>2216</v>
      </c>
      <c r="I3678" t="s">
        <v>2217</v>
      </c>
      <c r="J3678" t="s">
        <v>141</v>
      </c>
      <c r="K3678" s="3">
        <v>10032611929</v>
      </c>
      <c r="L3678" s="10">
        <v>41121</v>
      </c>
      <c r="M3678">
        <v>77.41</v>
      </c>
      <c r="N3678" s="17">
        <v>5</v>
      </c>
      <c r="O3678" s="5">
        <v>15.67</v>
      </c>
      <c r="P3678" s="5">
        <v>1.39</v>
      </c>
      <c r="Q3678" s="6">
        <v>9.35</v>
      </c>
      <c r="R3678" s="37" t="s">
        <v>1012</v>
      </c>
      <c r="S3678" s="7">
        <f t="shared" si="312"/>
        <v>2</v>
      </c>
      <c r="T3678" s="15" t="str">
        <f>VLOOKUP(R3678,产品分类!$C$2:$D$1278,2,0)</f>
        <v>家具产品</v>
      </c>
    </row>
    <row r="3679" spans="1:20">
      <c r="A3679" s="16">
        <f>DATE(2012,12,31)-155</f>
        <v>41119</v>
      </c>
      <c r="B3679" s="16">
        <f>DATE(2012,12,31)-155</f>
        <v>41119</v>
      </c>
      <c r="C3679" s="9" t="s">
        <v>1049</v>
      </c>
      <c r="D3679">
        <v>10021347388</v>
      </c>
      <c r="E3679" t="s">
        <v>47</v>
      </c>
      <c r="F3679" t="s">
        <v>61</v>
      </c>
      <c r="G3679" t="s">
        <v>62</v>
      </c>
      <c r="H3679" t="s">
        <v>2216</v>
      </c>
      <c r="I3679" t="s">
        <v>2217</v>
      </c>
      <c r="J3679" t="s">
        <v>141</v>
      </c>
      <c r="K3679" s="3">
        <v>100931003391</v>
      </c>
      <c r="L3679" s="10">
        <v>41120</v>
      </c>
      <c r="M3679">
        <v>112.67</v>
      </c>
      <c r="N3679" s="17">
        <v>19</v>
      </c>
      <c r="O3679" s="5">
        <v>5.98</v>
      </c>
      <c r="P3679" s="5">
        <v>5.14</v>
      </c>
      <c r="Q3679" s="6">
        <v>-37.85</v>
      </c>
      <c r="R3679" s="37" t="s">
        <v>2240</v>
      </c>
      <c r="S3679" s="7">
        <f t="shared" si="312"/>
        <v>1</v>
      </c>
      <c r="T3679" s="15" t="str">
        <f>VLOOKUP(R3679,产品分类!$C$2:$D$1278,2,0)</f>
        <v>办公用品</v>
      </c>
    </row>
    <row r="3680" spans="1:20">
      <c r="A3680" s="8">
        <f>DATE(2012,12,31)-219</f>
        <v>41055</v>
      </c>
      <c r="B3680" s="8">
        <f>DATE(2012,12,31)-219</f>
        <v>41055</v>
      </c>
      <c r="C3680" s="9" t="s">
        <v>1391</v>
      </c>
      <c r="D3680">
        <v>10021425799</v>
      </c>
      <c r="E3680" t="s">
        <v>47</v>
      </c>
      <c r="F3680" t="s">
        <v>61</v>
      </c>
      <c r="G3680" t="s">
        <v>62</v>
      </c>
      <c r="H3680" t="s">
        <v>2216</v>
      </c>
      <c r="I3680" t="s">
        <v>2217</v>
      </c>
      <c r="J3680" t="s">
        <v>141</v>
      </c>
      <c r="K3680" s="3">
        <v>100829629002</v>
      </c>
      <c r="L3680" s="10">
        <v>41057</v>
      </c>
      <c r="M3680">
        <v>1516.82</v>
      </c>
      <c r="N3680" s="11">
        <v>39</v>
      </c>
      <c r="O3680" s="12">
        <v>40.98</v>
      </c>
      <c r="P3680" s="12">
        <v>6.5</v>
      </c>
      <c r="Q3680" s="13">
        <v>-83.28</v>
      </c>
      <c r="R3680" s="36" t="s">
        <v>1444</v>
      </c>
      <c r="S3680" s="7">
        <f t="shared" si="312"/>
        <v>2</v>
      </c>
      <c r="T3680" s="15" t="str">
        <f>VLOOKUP(R3680,产品分类!$C$2:$D$1278,2,0)</f>
        <v>数码电子</v>
      </c>
    </row>
    <row r="3681" spans="1:20">
      <c r="A3681" s="8">
        <f>DATE(2012,12,31)-219</f>
        <v>41055</v>
      </c>
      <c r="B3681" s="8">
        <f>DATE(2012,12,31)-219</f>
        <v>41055</v>
      </c>
      <c r="C3681" s="9" t="s">
        <v>1391</v>
      </c>
      <c r="D3681">
        <v>10021252739</v>
      </c>
      <c r="E3681" t="s">
        <v>47</v>
      </c>
      <c r="F3681" t="s">
        <v>61</v>
      </c>
      <c r="G3681" t="s">
        <v>62</v>
      </c>
      <c r="H3681" t="s">
        <v>2216</v>
      </c>
      <c r="I3681" t="s">
        <v>2217</v>
      </c>
      <c r="J3681" t="s">
        <v>141</v>
      </c>
      <c r="K3681" s="3">
        <v>100412735543</v>
      </c>
      <c r="L3681" s="10">
        <v>41056</v>
      </c>
      <c r="M3681">
        <v>2752.68</v>
      </c>
      <c r="N3681" s="11">
        <v>45</v>
      </c>
      <c r="O3681" s="12">
        <v>62.18</v>
      </c>
      <c r="P3681" s="12">
        <v>12.78</v>
      </c>
      <c r="Q3681" s="13">
        <v>430.32</v>
      </c>
      <c r="R3681" s="36" t="s">
        <v>2241</v>
      </c>
      <c r="S3681" s="7">
        <f t="shared" si="312"/>
        <v>1</v>
      </c>
      <c r="T3681" s="15" t="str">
        <f>VLOOKUP(R3681,产品分类!$C$2:$D$1278,2,0)</f>
        <v>办公用品</v>
      </c>
    </row>
    <row r="3682" spans="1:20">
      <c r="A3682" s="8">
        <f>DATE(2012,12,31)-1150</f>
        <v>40124</v>
      </c>
      <c r="B3682" s="8">
        <f>DATE(2012,12,31)-1150</f>
        <v>40124</v>
      </c>
      <c r="C3682" s="9" t="s">
        <v>1201</v>
      </c>
      <c r="D3682">
        <v>10021269565</v>
      </c>
      <c r="E3682" t="s">
        <v>47</v>
      </c>
      <c r="F3682" t="s">
        <v>61</v>
      </c>
      <c r="G3682" t="s">
        <v>62</v>
      </c>
      <c r="H3682" t="s">
        <v>2216</v>
      </c>
      <c r="I3682" t="s">
        <v>2217</v>
      </c>
      <c r="J3682" t="s">
        <v>141</v>
      </c>
      <c r="K3682" s="3">
        <v>100932449891</v>
      </c>
      <c r="L3682" s="10">
        <v>40127</v>
      </c>
      <c r="M3682">
        <v>153.27</v>
      </c>
      <c r="N3682" s="11">
        <v>45</v>
      </c>
      <c r="O3682" s="12">
        <v>3.69</v>
      </c>
      <c r="P3682" s="12">
        <v>0.5</v>
      </c>
      <c r="Q3682" s="13">
        <v>60.29</v>
      </c>
      <c r="R3682" s="36" t="s">
        <v>1224</v>
      </c>
      <c r="S3682" s="7">
        <f t="shared" si="312"/>
        <v>3</v>
      </c>
      <c r="T3682" s="15" t="str">
        <f>VLOOKUP(R3682,产品分类!$C$2:$D$1278,2,0)</f>
        <v>办公用品</v>
      </c>
    </row>
    <row r="3683" spans="1:20">
      <c r="A3683" s="8">
        <f>DATE(2012,12,31)-887</f>
        <v>40387</v>
      </c>
      <c r="B3683" s="8">
        <f>DATE(2012,12,31)-887</f>
        <v>40387</v>
      </c>
      <c r="C3683" s="9" t="s">
        <v>1028</v>
      </c>
      <c r="D3683">
        <v>10021334808</v>
      </c>
      <c r="E3683" t="s">
        <v>47</v>
      </c>
      <c r="F3683" t="s">
        <v>61</v>
      </c>
      <c r="G3683" t="s">
        <v>62</v>
      </c>
      <c r="H3683" t="s">
        <v>2216</v>
      </c>
      <c r="I3683" t="s">
        <v>2217</v>
      </c>
      <c r="J3683" t="s">
        <v>141</v>
      </c>
      <c r="K3683" s="3">
        <v>100416696804</v>
      </c>
      <c r="L3683" s="10">
        <v>40389</v>
      </c>
      <c r="M3683">
        <v>1095.27</v>
      </c>
      <c r="N3683" s="11">
        <v>8</v>
      </c>
      <c r="O3683" s="12">
        <v>124.49</v>
      </c>
      <c r="P3683" s="12">
        <v>51.94</v>
      </c>
      <c r="Q3683" s="13">
        <v>-281.2238</v>
      </c>
      <c r="R3683" s="36" t="s">
        <v>237</v>
      </c>
      <c r="S3683" s="7">
        <f t="shared" si="312"/>
        <v>2</v>
      </c>
      <c r="T3683" s="15" t="str">
        <f>VLOOKUP(R3683,产品分类!$C$2:$D$1278,2,0)</f>
        <v>数码电子</v>
      </c>
    </row>
    <row r="3684" spans="1:20">
      <c r="A3684" s="8">
        <f t="shared" ref="A3684:B3686" si="313">DATE(2012,12,31)-1170</f>
        <v>40104</v>
      </c>
      <c r="B3684" s="8">
        <f t="shared" si="313"/>
        <v>40104</v>
      </c>
      <c r="C3684" s="9" t="s">
        <v>1088</v>
      </c>
      <c r="D3684">
        <v>10021583721</v>
      </c>
      <c r="E3684" t="s">
        <v>47</v>
      </c>
      <c r="F3684" t="s">
        <v>61</v>
      </c>
      <c r="G3684" t="s">
        <v>62</v>
      </c>
      <c r="H3684" t="s">
        <v>2216</v>
      </c>
      <c r="I3684" t="s">
        <v>2217</v>
      </c>
      <c r="J3684" t="s">
        <v>141</v>
      </c>
      <c r="K3684" s="3">
        <v>100126942016</v>
      </c>
      <c r="L3684" s="10">
        <v>40113</v>
      </c>
      <c r="M3684">
        <v>265.35</v>
      </c>
      <c r="N3684" s="11">
        <v>24</v>
      </c>
      <c r="O3684" s="12">
        <v>9.99</v>
      </c>
      <c r="P3684" s="12">
        <v>11.59</v>
      </c>
      <c r="Q3684" s="13">
        <v>-128.69</v>
      </c>
      <c r="R3684" s="36" t="s">
        <v>1467</v>
      </c>
      <c r="S3684" s="7">
        <f t="shared" si="312"/>
        <v>9</v>
      </c>
      <c r="T3684" s="15" t="str">
        <f>VLOOKUP(R3684,产品分类!$C$2:$D$1278,2,0)</f>
        <v>数码电子</v>
      </c>
    </row>
    <row r="3685" spans="1:20">
      <c r="A3685" s="8">
        <f t="shared" si="313"/>
        <v>40104</v>
      </c>
      <c r="B3685" s="8">
        <f t="shared" si="313"/>
        <v>40104</v>
      </c>
      <c r="C3685" s="9" t="s">
        <v>1088</v>
      </c>
      <c r="D3685">
        <v>10021252059</v>
      </c>
      <c r="E3685" t="s">
        <v>47</v>
      </c>
      <c r="F3685" t="s">
        <v>61</v>
      </c>
      <c r="G3685" t="s">
        <v>62</v>
      </c>
      <c r="H3685" t="s">
        <v>2216</v>
      </c>
      <c r="I3685" t="s">
        <v>2217</v>
      </c>
      <c r="J3685" t="s">
        <v>141</v>
      </c>
      <c r="K3685" s="3">
        <v>100417325174</v>
      </c>
      <c r="L3685" s="10">
        <v>40109</v>
      </c>
      <c r="M3685">
        <v>1993.94</v>
      </c>
      <c r="N3685" s="11">
        <v>41</v>
      </c>
      <c r="O3685" s="12">
        <v>48.04</v>
      </c>
      <c r="P3685" s="12">
        <v>5.79</v>
      </c>
      <c r="Q3685" s="13">
        <v>931.7</v>
      </c>
      <c r="R3685" s="36" t="s">
        <v>2111</v>
      </c>
      <c r="S3685" s="7">
        <f t="shared" si="312"/>
        <v>5</v>
      </c>
      <c r="T3685" s="15" t="str">
        <f>VLOOKUP(R3685,产品分类!$C$2:$D$1278,2,0)</f>
        <v>数码电子</v>
      </c>
    </row>
    <row r="3686" spans="1:20">
      <c r="A3686" s="8">
        <f t="shared" si="313"/>
        <v>40104</v>
      </c>
      <c r="B3686" s="8">
        <f t="shared" si="313"/>
        <v>40104</v>
      </c>
      <c r="C3686" s="9" t="s">
        <v>1088</v>
      </c>
      <c r="D3686">
        <v>10021445712</v>
      </c>
      <c r="E3686" t="s">
        <v>47</v>
      </c>
      <c r="F3686" t="s">
        <v>83</v>
      </c>
      <c r="G3686" t="s">
        <v>84</v>
      </c>
      <c r="H3686" t="s">
        <v>2231</v>
      </c>
      <c r="I3686" t="s">
        <v>2232</v>
      </c>
      <c r="J3686" t="s">
        <v>141</v>
      </c>
      <c r="K3686" s="3">
        <v>100712364185</v>
      </c>
      <c r="L3686" s="10">
        <v>40111</v>
      </c>
      <c r="M3686">
        <v>24.73</v>
      </c>
      <c r="N3686" s="11">
        <v>3</v>
      </c>
      <c r="O3686" s="12">
        <v>6.68</v>
      </c>
      <c r="P3686" s="12">
        <v>4.91</v>
      </c>
      <c r="Q3686" s="13">
        <v>-10.77</v>
      </c>
      <c r="R3686" s="36" t="s">
        <v>2242</v>
      </c>
      <c r="S3686" s="7">
        <f t="shared" si="312"/>
        <v>7</v>
      </c>
      <c r="T3686" s="15" t="str">
        <f>VLOOKUP(R3686,产品分类!$C$2:$D$1278,2,0)</f>
        <v>数码电子</v>
      </c>
    </row>
    <row r="3687" spans="1:20">
      <c r="A3687" s="8">
        <f>DATE(2012,12,31)-900</f>
        <v>40374</v>
      </c>
      <c r="B3687" s="8">
        <f>DATE(2012,12,31)-900</f>
        <v>40374</v>
      </c>
      <c r="C3687" s="9" t="s">
        <v>497</v>
      </c>
      <c r="D3687">
        <v>10021497868</v>
      </c>
      <c r="E3687" t="s">
        <v>47</v>
      </c>
      <c r="F3687" t="s">
        <v>61</v>
      </c>
      <c r="G3687" t="s">
        <v>62</v>
      </c>
      <c r="H3687" t="s">
        <v>2216</v>
      </c>
      <c r="I3687" t="s">
        <v>2217</v>
      </c>
      <c r="J3687" t="s">
        <v>141</v>
      </c>
      <c r="K3687" s="3">
        <v>100120094267</v>
      </c>
      <c r="L3687" s="10">
        <v>40376</v>
      </c>
      <c r="M3687">
        <v>1809.0125</v>
      </c>
      <c r="N3687" s="11">
        <v>25</v>
      </c>
      <c r="O3687" s="12">
        <v>85.99</v>
      </c>
      <c r="P3687" s="12">
        <v>2.5</v>
      </c>
      <c r="Q3687" s="13">
        <v>795.051</v>
      </c>
      <c r="R3687" s="36" t="s">
        <v>2214</v>
      </c>
      <c r="S3687" s="7">
        <f t="shared" si="312"/>
        <v>2</v>
      </c>
      <c r="T3687" s="15" t="str">
        <f>VLOOKUP(R3687,产品分类!$C$2:$D$1278,2,0)</f>
        <v>办公用品</v>
      </c>
    </row>
    <row r="3688" spans="1:20">
      <c r="A3688" s="8">
        <f>DATE(2012,12,31)-511</f>
        <v>40763</v>
      </c>
      <c r="B3688" s="8">
        <f>DATE(2012,12,31)-511</f>
        <v>40763</v>
      </c>
      <c r="C3688" s="9" t="s">
        <v>2123</v>
      </c>
      <c r="D3688">
        <v>10021529358</v>
      </c>
      <c r="E3688" t="s">
        <v>47</v>
      </c>
      <c r="F3688" t="s">
        <v>83</v>
      </c>
      <c r="G3688" t="s">
        <v>84</v>
      </c>
      <c r="H3688" t="s">
        <v>2231</v>
      </c>
      <c r="I3688" t="s">
        <v>2232</v>
      </c>
      <c r="J3688" t="s">
        <v>141</v>
      </c>
      <c r="K3688" s="3">
        <v>100122310606</v>
      </c>
      <c r="L3688" s="10">
        <v>40765</v>
      </c>
      <c r="M3688">
        <v>270.23</v>
      </c>
      <c r="N3688" s="11">
        <v>12</v>
      </c>
      <c r="O3688" s="12">
        <v>22.84</v>
      </c>
      <c r="P3688" s="12">
        <v>5.47</v>
      </c>
      <c r="Q3688" s="13">
        <v>52.02</v>
      </c>
      <c r="R3688" s="36" t="s">
        <v>682</v>
      </c>
      <c r="S3688" s="7">
        <f t="shared" si="312"/>
        <v>2</v>
      </c>
      <c r="T3688" s="15" t="str">
        <f>VLOOKUP(R3688,产品分类!$C$2:$D$1278,2,0)</f>
        <v>家具产品</v>
      </c>
    </row>
    <row r="3689" spans="1:20">
      <c r="A3689" s="8">
        <f>DATE(2012,12,31)-511</f>
        <v>40763</v>
      </c>
      <c r="B3689" s="8">
        <f>DATE(2012,12,31)-511</f>
        <v>40763</v>
      </c>
      <c r="C3689" s="9" t="s">
        <v>2123</v>
      </c>
      <c r="D3689">
        <v>10021446943</v>
      </c>
      <c r="E3689" t="s">
        <v>47</v>
      </c>
      <c r="F3689" t="s">
        <v>61</v>
      </c>
      <c r="G3689" t="s">
        <v>62</v>
      </c>
      <c r="H3689" t="s">
        <v>2216</v>
      </c>
      <c r="I3689" t="s">
        <v>2217</v>
      </c>
      <c r="J3689" t="s">
        <v>141</v>
      </c>
      <c r="K3689" s="3">
        <v>100121696367</v>
      </c>
      <c r="L3689" s="10">
        <v>40765</v>
      </c>
      <c r="M3689">
        <v>660.27</v>
      </c>
      <c r="N3689" s="11">
        <v>20</v>
      </c>
      <c r="O3689" s="12">
        <v>34.76</v>
      </c>
      <c r="P3689" s="12">
        <v>5.49</v>
      </c>
      <c r="Q3689" s="13">
        <v>63.83</v>
      </c>
      <c r="R3689" s="36" t="s">
        <v>951</v>
      </c>
      <c r="S3689" s="7">
        <f t="shared" si="312"/>
        <v>2</v>
      </c>
      <c r="T3689" s="15" t="str">
        <f>VLOOKUP(R3689,产品分类!$C$2:$D$1278,2,0)</f>
        <v>数码电子</v>
      </c>
    </row>
    <row r="3690" spans="1:20">
      <c r="A3690" s="8">
        <f>DATE(2012,12,31)-1268</f>
        <v>40006</v>
      </c>
      <c r="B3690" s="8">
        <f>DATE(2012,12,31)-1268</f>
        <v>40006</v>
      </c>
      <c r="C3690" s="9" t="s">
        <v>1047</v>
      </c>
      <c r="D3690">
        <v>10021279804</v>
      </c>
      <c r="E3690" t="s">
        <v>47</v>
      </c>
      <c r="F3690" t="s">
        <v>61</v>
      </c>
      <c r="G3690" t="s">
        <v>62</v>
      </c>
      <c r="H3690" t="s">
        <v>2216</v>
      </c>
      <c r="I3690" t="s">
        <v>2217</v>
      </c>
      <c r="J3690" t="s">
        <v>141</v>
      </c>
      <c r="K3690" s="3">
        <v>10087266432</v>
      </c>
      <c r="L3690" s="10">
        <v>40010</v>
      </c>
      <c r="M3690">
        <v>31.96</v>
      </c>
      <c r="N3690" s="11">
        <v>1</v>
      </c>
      <c r="O3690" s="12">
        <v>29.89</v>
      </c>
      <c r="P3690" s="12">
        <v>1.99</v>
      </c>
      <c r="Q3690" s="13">
        <v>-74.64</v>
      </c>
      <c r="R3690" s="36" t="s">
        <v>866</v>
      </c>
      <c r="S3690" s="7">
        <f t="shared" si="312"/>
        <v>4</v>
      </c>
      <c r="T3690" s="15" t="str">
        <f>VLOOKUP(R3690,产品分类!$C$2:$D$1278,2,0)</f>
        <v>办公用品</v>
      </c>
    </row>
    <row r="3691" spans="1:20">
      <c r="A3691" s="8">
        <f>DATE(2012,12,31)-893</f>
        <v>40381</v>
      </c>
      <c r="B3691" s="8">
        <f>DATE(2012,12,31)-893</f>
        <v>40381</v>
      </c>
      <c r="C3691" s="9" t="s">
        <v>1106</v>
      </c>
      <c r="D3691">
        <v>10021255081</v>
      </c>
      <c r="E3691" t="s">
        <v>47</v>
      </c>
      <c r="F3691" t="s">
        <v>83</v>
      </c>
      <c r="G3691" t="s">
        <v>84</v>
      </c>
      <c r="H3691" t="s">
        <v>2231</v>
      </c>
      <c r="I3691" t="s">
        <v>2232</v>
      </c>
      <c r="J3691" t="s">
        <v>141</v>
      </c>
      <c r="K3691" s="3">
        <v>100423701773</v>
      </c>
      <c r="L3691" s="10">
        <v>40384</v>
      </c>
      <c r="M3691">
        <v>285.08</v>
      </c>
      <c r="N3691" s="11">
        <v>7</v>
      </c>
      <c r="O3691" s="12">
        <v>40.98</v>
      </c>
      <c r="P3691" s="12">
        <v>5.33</v>
      </c>
      <c r="Q3691" s="13">
        <v>2.30000000000001</v>
      </c>
      <c r="R3691" s="36" t="s">
        <v>625</v>
      </c>
      <c r="S3691" s="7">
        <f t="shared" si="312"/>
        <v>3</v>
      </c>
      <c r="T3691" s="15" t="str">
        <f>VLOOKUP(R3691,产品分类!$C$2:$D$1278,2,0)</f>
        <v>办公用品</v>
      </c>
    </row>
    <row r="3692" spans="1:20">
      <c r="A3692" s="8">
        <f>DATE(2012,12,31)-1152</f>
        <v>40122</v>
      </c>
      <c r="B3692" s="8">
        <f>DATE(2012,12,31)-1152</f>
        <v>40122</v>
      </c>
      <c r="C3692" s="9" t="s">
        <v>705</v>
      </c>
      <c r="D3692">
        <v>10021269709</v>
      </c>
      <c r="E3692" t="s">
        <v>47</v>
      </c>
      <c r="F3692" t="s">
        <v>66</v>
      </c>
      <c r="G3692" t="s">
        <v>67</v>
      </c>
      <c r="H3692" t="s">
        <v>2169</v>
      </c>
      <c r="I3692" t="s">
        <v>2170</v>
      </c>
      <c r="J3692" t="s">
        <v>141</v>
      </c>
      <c r="K3692" s="3">
        <v>100832458242</v>
      </c>
      <c r="L3692" s="10">
        <v>40123</v>
      </c>
      <c r="M3692">
        <v>90.9415</v>
      </c>
      <c r="N3692" s="11">
        <v>5</v>
      </c>
      <c r="O3692" s="12">
        <v>20.99</v>
      </c>
      <c r="P3692" s="12">
        <v>3.3</v>
      </c>
      <c r="Q3692" s="13">
        <v>-109.417</v>
      </c>
      <c r="R3692" s="36" t="s">
        <v>810</v>
      </c>
      <c r="S3692" s="7">
        <f t="shared" si="312"/>
        <v>1</v>
      </c>
      <c r="T3692" s="15" t="str">
        <f>VLOOKUP(R3692,产品分类!$C$2:$D$1278,2,0)</f>
        <v>家具产品</v>
      </c>
    </row>
    <row r="3693" spans="1:20">
      <c r="A3693" s="8">
        <f>DATE(2012,12,31)-810</f>
        <v>40464</v>
      </c>
      <c r="B3693" s="8">
        <f>DATE(2012,12,31)-810</f>
        <v>40464</v>
      </c>
      <c r="C3693" s="9" t="s">
        <v>520</v>
      </c>
      <c r="D3693">
        <v>10021505763</v>
      </c>
      <c r="E3693" t="s">
        <v>47</v>
      </c>
      <c r="F3693" t="s">
        <v>66</v>
      </c>
      <c r="G3693" t="s">
        <v>67</v>
      </c>
      <c r="H3693" t="s">
        <v>2169</v>
      </c>
      <c r="I3693" t="s">
        <v>2170</v>
      </c>
      <c r="J3693" t="s">
        <v>141</v>
      </c>
      <c r="K3693" s="3">
        <v>100131130147</v>
      </c>
      <c r="L3693" s="10">
        <v>40466</v>
      </c>
      <c r="M3693">
        <v>415</v>
      </c>
      <c r="N3693" s="11">
        <v>1</v>
      </c>
      <c r="O3693" s="12">
        <v>420.98</v>
      </c>
      <c r="P3693" s="12">
        <v>19.99</v>
      </c>
      <c r="Q3693" s="13">
        <v>-199.3065</v>
      </c>
      <c r="R3693" s="36" t="s">
        <v>498</v>
      </c>
      <c r="S3693" s="7">
        <f t="shared" si="312"/>
        <v>2</v>
      </c>
      <c r="T3693" s="15" t="str">
        <f>VLOOKUP(R3693,产品分类!$C$2:$D$1278,2,0)</f>
        <v>家具产品</v>
      </c>
    </row>
    <row r="3694" spans="1:20">
      <c r="A3694" s="8">
        <f>DATE(2012,12,31)-629</f>
        <v>40645</v>
      </c>
      <c r="B3694" s="8">
        <f>DATE(2012,12,31)-629</f>
        <v>40645</v>
      </c>
      <c r="C3694" s="9" t="s">
        <v>820</v>
      </c>
      <c r="D3694">
        <v>10021596338</v>
      </c>
      <c r="E3694" t="s">
        <v>47</v>
      </c>
      <c r="F3694" t="s">
        <v>122</v>
      </c>
      <c r="G3694" t="s">
        <v>123</v>
      </c>
      <c r="H3694" t="s">
        <v>2159</v>
      </c>
      <c r="I3694" t="s">
        <v>2160</v>
      </c>
      <c r="J3694" t="s">
        <v>141</v>
      </c>
      <c r="K3694" s="3">
        <v>100732845125</v>
      </c>
      <c r="L3694" s="10">
        <v>40648</v>
      </c>
      <c r="M3694">
        <v>167.46</v>
      </c>
      <c r="N3694" s="11">
        <v>40</v>
      </c>
      <c r="O3694" s="12">
        <v>4.24</v>
      </c>
      <c r="P3694" s="12">
        <v>5.41</v>
      </c>
      <c r="Q3694" s="13">
        <v>-134.297</v>
      </c>
      <c r="R3694" s="36" t="s">
        <v>445</v>
      </c>
      <c r="S3694" s="7">
        <f t="shared" si="312"/>
        <v>3</v>
      </c>
      <c r="T3694" s="15" t="str">
        <f>VLOOKUP(R3694,产品分类!$C$2:$D$1278,2,0)</f>
        <v>数码电子</v>
      </c>
    </row>
    <row r="3695" spans="1:20">
      <c r="A3695" s="8">
        <f>DATE(2012,12,31)-195</f>
        <v>41079</v>
      </c>
      <c r="B3695" s="8">
        <f>DATE(2012,12,31)-195</f>
        <v>41079</v>
      </c>
      <c r="C3695" s="9" t="s">
        <v>166</v>
      </c>
      <c r="D3695">
        <v>10021510865</v>
      </c>
      <c r="E3695" t="s">
        <v>47</v>
      </c>
      <c r="F3695" t="s">
        <v>91</v>
      </c>
      <c r="G3695" t="s">
        <v>92</v>
      </c>
      <c r="H3695" t="s">
        <v>2053</v>
      </c>
      <c r="I3695" t="s">
        <v>2054</v>
      </c>
      <c r="J3695" t="s">
        <v>141</v>
      </c>
      <c r="K3695" s="3">
        <v>100932700441</v>
      </c>
      <c r="L3695" s="10">
        <v>41081</v>
      </c>
      <c r="M3695">
        <v>9522.12</v>
      </c>
      <c r="N3695" s="11">
        <v>34</v>
      </c>
      <c r="O3695" s="12">
        <v>279.48</v>
      </c>
      <c r="P3695" s="12">
        <v>35</v>
      </c>
      <c r="Q3695" s="13">
        <v>171.3</v>
      </c>
      <c r="R3695" s="36" t="s">
        <v>950</v>
      </c>
      <c r="S3695" s="7">
        <f t="shared" si="312"/>
        <v>2</v>
      </c>
      <c r="T3695" s="15" t="str">
        <f>VLOOKUP(R3695,产品分类!$C$2:$D$1278,2,0)</f>
        <v>数码电子</v>
      </c>
    </row>
    <row r="3696" spans="1:20">
      <c r="A3696" s="8">
        <f>DATE(2012,12,31)-195</f>
        <v>41079</v>
      </c>
      <c r="B3696" s="8">
        <f>DATE(2012,12,31)-195</f>
        <v>41079</v>
      </c>
      <c r="C3696" s="9" t="s">
        <v>166</v>
      </c>
      <c r="D3696">
        <v>10021363160</v>
      </c>
      <c r="E3696" t="s">
        <v>47</v>
      </c>
      <c r="F3696" t="s">
        <v>66</v>
      </c>
      <c r="G3696" t="s">
        <v>67</v>
      </c>
      <c r="H3696" t="s">
        <v>2169</v>
      </c>
      <c r="I3696" t="s">
        <v>2170</v>
      </c>
      <c r="J3696" t="s">
        <v>141</v>
      </c>
      <c r="K3696" s="3">
        <v>100832861082</v>
      </c>
      <c r="L3696" s="10">
        <v>41080</v>
      </c>
      <c r="M3696">
        <v>1985.6935</v>
      </c>
      <c r="N3696" s="11">
        <v>16</v>
      </c>
      <c r="O3696" s="12">
        <v>155.99</v>
      </c>
      <c r="P3696" s="12">
        <v>8.99</v>
      </c>
      <c r="Q3696" s="13">
        <v>35.649</v>
      </c>
      <c r="R3696" s="36" t="s">
        <v>2243</v>
      </c>
      <c r="S3696" s="7">
        <f t="shared" si="312"/>
        <v>1</v>
      </c>
      <c r="T3696" s="15" t="str">
        <f>VLOOKUP(R3696,产品分类!$C$2:$D$1278,2,0)</f>
        <v>数码电子</v>
      </c>
    </row>
    <row r="3697" spans="1:20">
      <c r="A3697" s="8">
        <f t="shared" ref="A3697:B3699" si="314">DATE(2012,12,31)-1097</f>
        <v>40177</v>
      </c>
      <c r="B3697" s="8">
        <f t="shared" si="314"/>
        <v>40177</v>
      </c>
      <c r="C3697" s="9" t="s">
        <v>877</v>
      </c>
      <c r="D3697">
        <v>10021357333</v>
      </c>
      <c r="E3697" t="s">
        <v>47</v>
      </c>
      <c r="F3697" t="s">
        <v>66</v>
      </c>
      <c r="G3697" t="s">
        <v>67</v>
      </c>
      <c r="H3697" t="s">
        <v>2244</v>
      </c>
      <c r="I3697" t="s">
        <v>2245</v>
      </c>
      <c r="J3697" t="s">
        <v>141</v>
      </c>
      <c r="K3697" s="3">
        <v>100110289226</v>
      </c>
      <c r="L3697" s="10">
        <v>40184</v>
      </c>
      <c r="M3697">
        <v>1420.89</v>
      </c>
      <c r="N3697" s="11">
        <v>37</v>
      </c>
      <c r="O3697" s="12">
        <v>38.06</v>
      </c>
      <c r="P3697" s="12">
        <v>4.5</v>
      </c>
      <c r="Q3697" s="13">
        <v>389.67</v>
      </c>
      <c r="R3697" s="36" t="s">
        <v>2246</v>
      </c>
      <c r="S3697" s="7">
        <f t="shared" si="312"/>
        <v>7</v>
      </c>
      <c r="T3697" s="15" t="str">
        <f>VLOOKUP(R3697,产品分类!$C$2:$D$1278,2,0)</f>
        <v>数码电子</v>
      </c>
    </row>
    <row r="3698" spans="1:20">
      <c r="A3698" s="8">
        <f t="shared" si="314"/>
        <v>40177</v>
      </c>
      <c r="B3698" s="8">
        <f t="shared" si="314"/>
        <v>40177</v>
      </c>
      <c r="C3698" s="9" t="s">
        <v>877</v>
      </c>
      <c r="D3698">
        <v>10021272538</v>
      </c>
      <c r="E3698" t="s">
        <v>47</v>
      </c>
      <c r="F3698" t="s">
        <v>152</v>
      </c>
      <c r="G3698" t="s">
        <v>153</v>
      </c>
      <c r="H3698" t="s">
        <v>2200</v>
      </c>
      <c r="I3698" t="s">
        <v>2201</v>
      </c>
      <c r="J3698" t="s">
        <v>141</v>
      </c>
      <c r="K3698" s="3">
        <v>10016245797</v>
      </c>
      <c r="L3698" s="10">
        <v>40186</v>
      </c>
      <c r="M3698">
        <v>27820.34</v>
      </c>
      <c r="N3698" s="11">
        <v>48</v>
      </c>
      <c r="O3698" s="12">
        <v>599.99</v>
      </c>
      <c r="P3698" s="12">
        <v>24.49</v>
      </c>
      <c r="Q3698" s="13">
        <v>11630.146</v>
      </c>
      <c r="R3698" s="36" t="s">
        <v>634</v>
      </c>
      <c r="S3698" s="7">
        <f t="shared" si="312"/>
        <v>9</v>
      </c>
      <c r="T3698" s="15" t="str">
        <f>VLOOKUP(R3698,产品分类!$C$2:$D$1278,2,0)</f>
        <v>办公用品</v>
      </c>
    </row>
    <row r="3699" spans="1:20">
      <c r="A3699" s="8">
        <f t="shared" si="314"/>
        <v>40177</v>
      </c>
      <c r="B3699" s="8">
        <f t="shared" si="314"/>
        <v>40177</v>
      </c>
      <c r="C3699" s="9" t="s">
        <v>877</v>
      </c>
      <c r="D3699">
        <v>10021479745</v>
      </c>
      <c r="E3699" t="s">
        <v>47</v>
      </c>
      <c r="F3699" t="s">
        <v>78</v>
      </c>
      <c r="G3699" t="s">
        <v>79</v>
      </c>
      <c r="H3699" t="s">
        <v>2105</v>
      </c>
      <c r="I3699" t="s">
        <v>2106</v>
      </c>
      <c r="J3699" t="s">
        <v>141</v>
      </c>
      <c r="K3699" s="3">
        <v>100129690437</v>
      </c>
      <c r="L3699" s="10">
        <v>40182</v>
      </c>
      <c r="M3699">
        <v>45.18</v>
      </c>
      <c r="N3699" s="11">
        <v>11</v>
      </c>
      <c r="O3699" s="12">
        <v>3.98</v>
      </c>
      <c r="P3699" s="12">
        <v>2.97</v>
      </c>
      <c r="Q3699" s="13">
        <v>-10.77</v>
      </c>
      <c r="R3699" s="36" t="s">
        <v>1098</v>
      </c>
      <c r="S3699" s="7">
        <f t="shared" si="312"/>
        <v>5</v>
      </c>
      <c r="T3699" s="15" t="str">
        <f>VLOOKUP(R3699,产品分类!$C$2:$D$1278,2,0)</f>
        <v>办公用品</v>
      </c>
    </row>
    <row r="3700" spans="1:20">
      <c r="A3700" s="8">
        <f>DATE(2012,12,31)-399</f>
        <v>40875</v>
      </c>
      <c r="B3700" s="8">
        <f>DATE(2012,12,31)-399</f>
        <v>40875</v>
      </c>
      <c r="C3700" s="9" t="s">
        <v>673</v>
      </c>
      <c r="D3700">
        <v>10021459275</v>
      </c>
      <c r="E3700" t="s">
        <v>47</v>
      </c>
      <c r="F3700" t="s">
        <v>78</v>
      </c>
      <c r="G3700" t="s">
        <v>79</v>
      </c>
      <c r="H3700" t="s">
        <v>2105</v>
      </c>
      <c r="I3700" t="s">
        <v>2106</v>
      </c>
      <c r="J3700" t="s">
        <v>52</v>
      </c>
      <c r="K3700" s="3">
        <v>10014455507</v>
      </c>
      <c r="L3700" s="10">
        <v>40876</v>
      </c>
      <c r="M3700">
        <v>52.43</v>
      </c>
      <c r="N3700" s="11">
        <v>4</v>
      </c>
      <c r="O3700" s="12">
        <v>9.65</v>
      </c>
      <c r="P3700" s="12">
        <v>6.22</v>
      </c>
      <c r="Q3700" s="13">
        <v>-12.98</v>
      </c>
      <c r="R3700" s="36" t="s">
        <v>524</v>
      </c>
      <c r="S3700" s="7">
        <f t="shared" si="312"/>
        <v>1</v>
      </c>
      <c r="T3700" s="15" t="str">
        <f>VLOOKUP(R3700,产品分类!$C$2:$D$1278,2,0)</f>
        <v>数码电子</v>
      </c>
    </row>
    <row r="3701" spans="1:20">
      <c r="A3701" s="8">
        <f>DATE(2012,12,31)-399</f>
        <v>40875</v>
      </c>
      <c r="B3701" s="8">
        <f>DATE(2012,12,31)-399</f>
        <v>40875</v>
      </c>
      <c r="C3701" s="9" t="s">
        <v>673</v>
      </c>
      <c r="D3701">
        <v>10021354993</v>
      </c>
      <c r="E3701" t="s">
        <v>47</v>
      </c>
      <c r="F3701" t="s">
        <v>434</v>
      </c>
      <c r="G3701" t="s">
        <v>435</v>
      </c>
      <c r="H3701" t="s">
        <v>436</v>
      </c>
      <c r="I3701" t="s">
        <v>437</v>
      </c>
      <c r="J3701" t="s">
        <v>52</v>
      </c>
      <c r="K3701" s="3">
        <v>100832864962</v>
      </c>
      <c r="L3701" s="10">
        <v>40877</v>
      </c>
      <c r="M3701">
        <v>254.51</v>
      </c>
      <c r="N3701" s="11">
        <v>48</v>
      </c>
      <c r="O3701" s="12">
        <v>5.58</v>
      </c>
      <c r="P3701" s="12">
        <v>0.7</v>
      </c>
      <c r="Q3701" s="13">
        <v>49.05</v>
      </c>
      <c r="R3701" s="36" t="s">
        <v>170</v>
      </c>
      <c r="S3701" s="7">
        <f t="shared" si="312"/>
        <v>2</v>
      </c>
      <c r="T3701" s="15" t="str">
        <f>VLOOKUP(R3701,产品分类!$C$2:$D$1278,2,0)</f>
        <v>数码电子</v>
      </c>
    </row>
    <row r="3702" spans="1:20">
      <c r="A3702" s="8">
        <f t="shared" ref="A3702:B3704" si="315">DATE(2012,12,31)-473</f>
        <v>40801</v>
      </c>
      <c r="B3702" s="8">
        <f t="shared" si="315"/>
        <v>40801</v>
      </c>
      <c r="C3702" s="9" t="s">
        <v>2247</v>
      </c>
      <c r="D3702">
        <v>10021372561</v>
      </c>
      <c r="E3702" t="s">
        <v>47</v>
      </c>
      <c r="F3702" t="s">
        <v>114</v>
      </c>
      <c r="G3702" t="s">
        <v>115</v>
      </c>
      <c r="H3702" t="s">
        <v>2204</v>
      </c>
      <c r="I3702" t="s">
        <v>2205</v>
      </c>
      <c r="J3702" t="s">
        <v>52</v>
      </c>
      <c r="K3702" s="3">
        <v>100927409701</v>
      </c>
      <c r="L3702" s="10">
        <v>40802</v>
      </c>
      <c r="M3702">
        <v>1230.83</v>
      </c>
      <c r="N3702" s="11">
        <v>38</v>
      </c>
      <c r="O3702" s="12">
        <v>30.98</v>
      </c>
      <c r="P3702" s="12">
        <v>6.5</v>
      </c>
      <c r="Q3702" s="13">
        <v>75.5</v>
      </c>
      <c r="R3702" s="36" t="s">
        <v>744</v>
      </c>
      <c r="S3702" s="7">
        <f t="shared" si="312"/>
        <v>1</v>
      </c>
      <c r="T3702" s="15" t="str">
        <f>VLOOKUP(R3702,产品分类!$C$2:$D$1278,2,0)</f>
        <v>家具产品</v>
      </c>
    </row>
    <row r="3703" spans="1:20">
      <c r="A3703" s="8">
        <f t="shared" si="315"/>
        <v>40801</v>
      </c>
      <c r="B3703" s="8">
        <f t="shared" si="315"/>
        <v>40801</v>
      </c>
      <c r="C3703" s="9" t="s">
        <v>2247</v>
      </c>
      <c r="D3703">
        <v>10021614913</v>
      </c>
      <c r="E3703" t="s">
        <v>47</v>
      </c>
      <c r="F3703" t="s">
        <v>122</v>
      </c>
      <c r="G3703" t="s">
        <v>123</v>
      </c>
      <c r="H3703" t="s">
        <v>2159</v>
      </c>
      <c r="I3703" t="s">
        <v>2160</v>
      </c>
      <c r="J3703" t="s">
        <v>52</v>
      </c>
      <c r="K3703" s="3">
        <v>100133187936</v>
      </c>
      <c r="L3703" s="10">
        <v>40801</v>
      </c>
      <c r="M3703">
        <v>169.93</v>
      </c>
      <c r="N3703" s="11">
        <v>37</v>
      </c>
      <c r="O3703" s="12">
        <v>4.28</v>
      </c>
      <c r="P3703" s="12">
        <v>5.74</v>
      </c>
      <c r="Q3703" s="13">
        <v>-114.35</v>
      </c>
      <c r="R3703" s="36" t="s">
        <v>1845</v>
      </c>
      <c r="S3703" s="7">
        <f t="shared" si="312"/>
        <v>0</v>
      </c>
      <c r="T3703" s="15" t="str">
        <f>VLOOKUP(R3703,产品分类!$C$2:$D$1278,2,0)</f>
        <v>办公用品</v>
      </c>
    </row>
    <row r="3704" spans="1:20">
      <c r="A3704" s="8">
        <f t="shared" si="315"/>
        <v>40801</v>
      </c>
      <c r="B3704" s="8">
        <f t="shared" si="315"/>
        <v>40801</v>
      </c>
      <c r="C3704" s="9" t="s">
        <v>2247</v>
      </c>
      <c r="D3704">
        <v>10021393024</v>
      </c>
      <c r="E3704" t="s">
        <v>47</v>
      </c>
      <c r="F3704" t="s">
        <v>122</v>
      </c>
      <c r="G3704" t="s">
        <v>123</v>
      </c>
      <c r="H3704" t="s">
        <v>2159</v>
      </c>
      <c r="I3704" t="s">
        <v>2160</v>
      </c>
      <c r="J3704" t="s">
        <v>52</v>
      </c>
      <c r="K3704" s="3">
        <v>100332761209</v>
      </c>
      <c r="L3704" s="10">
        <v>40803</v>
      </c>
      <c r="M3704">
        <v>1176.944</v>
      </c>
      <c r="N3704" s="11">
        <v>23</v>
      </c>
      <c r="O3704" s="12">
        <v>65.99</v>
      </c>
      <c r="P3704" s="12">
        <v>4.99</v>
      </c>
      <c r="Q3704" s="13">
        <v>53.649</v>
      </c>
      <c r="R3704" s="36" t="s">
        <v>2248</v>
      </c>
      <c r="S3704" s="7">
        <f t="shared" si="312"/>
        <v>2</v>
      </c>
      <c r="T3704" s="15" t="str">
        <f>VLOOKUP(R3704,产品分类!$C$2:$D$1278,2,0)</f>
        <v>办公用品</v>
      </c>
    </row>
    <row r="3705" spans="1:20">
      <c r="A3705" s="8">
        <f>DATE(2012,12,31)-386</f>
        <v>40888</v>
      </c>
      <c r="B3705" s="8">
        <f>DATE(2012,12,31)-386</f>
        <v>40888</v>
      </c>
      <c r="C3705" s="9" t="s">
        <v>976</v>
      </c>
      <c r="D3705">
        <v>10021313866</v>
      </c>
      <c r="E3705" t="s">
        <v>47</v>
      </c>
      <c r="F3705" t="s">
        <v>122</v>
      </c>
      <c r="G3705" t="s">
        <v>123</v>
      </c>
      <c r="H3705" t="s">
        <v>2159</v>
      </c>
      <c r="I3705" t="s">
        <v>2160</v>
      </c>
      <c r="J3705" t="s">
        <v>52</v>
      </c>
      <c r="K3705" s="3">
        <v>100132480256</v>
      </c>
      <c r="L3705" s="10">
        <v>40888</v>
      </c>
      <c r="M3705">
        <v>268.58</v>
      </c>
      <c r="N3705" s="11">
        <v>25</v>
      </c>
      <c r="O3705" s="12">
        <v>10.89</v>
      </c>
      <c r="P3705" s="12">
        <v>4.5</v>
      </c>
      <c r="Q3705" s="13">
        <v>-26.33</v>
      </c>
      <c r="R3705" s="36" t="s">
        <v>269</v>
      </c>
      <c r="S3705" s="7">
        <f t="shared" si="312"/>
        <v>0</v>
      </c>
      <c r="T3705" s="15" t="str">
        <f>VLOOKUP(R3705,产品分类!$C$2:$D$1278,2,0)</f>
        <v>办公用品</v>
      </c>
    </row>
    <row r="3706" spans="1:20">
      <c r="A3706" s="8">
        <f>DATE(2012,12,31)-386</f>
        <v>40888</v>
      </c>
      <c r="B3706" s="8">
        <f>DATE(2012,12,31)-386</f>
        <v>40888</v>
      </c>
      <c r="C3706" s="9" t="s">
        <v>976</v>
      </c>
      <c r="D3706">
        <v>10021599919</v>
      </c>
      <c r="E3706" t="s">
        <v>47</v>
      </c>
      <c r="F3706" t="s">
        <v>91</v>
      </c>
      <c r="G3706" t="s">
        <v>92</v>
      </c>
      <c r="H3706" t="s">
        <v>2053</v>
      </c>
      <c r="I3706" t="s">
        <v>2054</v>
      </c>
      <c r="J3706" t="s">
        <v>52</v>
      </c>
      <c r="K3706" s="3">
        <v>100428599683</v>
      </c>
      <c r="L3706" s="10">
        <v>40889</v>
      </c>
      <c r="M3706">
        <v>1280.65</v>
      </c>
      <c r="N3706" s="11">
        <v>26</v>
      </c>
      <c r="O3706" s="12">
        <v>50.98</v>
      </c>
      <c r="P3706" s="12">
        <v>22.24</v>
      </c>
      <c r="Q3706" s="13">
        <v>75.36</v>
      </c>
      <c r="R3706" s="36" t="s">
        <v>1630</v>
      </c>
      <c r="S3706" s="7">
        <f t="shared" si="312"/>
        <v>1</v>
      </c>
      <c r="T3706" s="15" t="str">
        <f>VLOOKUP(R3706,产品分类!$C$2:$D$1278,2,0)</f>
        <v>办公用品</v>
      </c>
    </row>
    <row r="3707" spans="1:20">
      <c r="A3707" s="8">
        <f>DATE(2012,12,31)-1299</f>
        <v>39975</v>
      </c>
      <c r="B3707" s="8">
        <f>DATE(2012,12,31)-1299</f>
        <v>39975</v>
      </c>
      <c r="C3707" s="9" t="s">
        <v>525</v>
      </c>
      <c r="D3707">
        <v>10021560590</v>
      </c>
      <c r="E3707" t="s">
        <v>47</v>
      </c>
      <c r="F3707" t="s">
        <v>91</v>
      </c>
      <c r="G3707" t="s">
        <v>92</v>
      </c>
      <c r="H3707" t="s">
        <v>2053</v>
      </c>
      <c r="I3707" t="s">
        <v>2054</v>
      </c>
      <c r="J3707" t="s">
        <v>52</v>
      </c>
      <c r="K3707" s="3">
        <v>100829390872</v>
      </c>
      <c r="L3707" s="10">
        <v>39976</v>
      </c>
      <c r="M3707">
        <v>909.721</v>
      </c>
      <c r="N3707" s="11">
        <v>29</v>
      </c>
      <c r="O3707" s="12">
        <v>35.99</v>
      </c>
      <c r="P3707" s="12">
        <v>5.99</v>
      </c>
      <c r="Q3707" s="13">
        <v>287.991</v>
      </c>
      <c r="R3707" s="36" t="s">
        <v>1664</v>
      </c>
      <c r="S3707" s="7">
        <f t="shared" si="312"/>
        <v>1</v>
      </c>
      <c r="T3707" s="15" t="str">
        <f>VLOOKUP(R3707,产品分类!$C$2:$D$1278,2,0)</f>
        <v>数码电子</v>
      </c>
    </row>
    <row r="3708" spans="1:20">
      <c r="A3708" s="16">
        <f>DATE(2012,12,31)-154</f>
        <v>41120</v>
      </c>
      <c r="B3708" s="16">
        <f>DATE(2012,12,31)-154</f>
        <v>41120</v>
      </c>
      <c r="C3708" s="9" t="s">
        <v>273</v>
      </c>
      <c r="D3708">
        <v>10021572800</v>
      </c>
      <c r="E3708" t="s">
        <v>47</v>
      </c>
      <c r="F3708" t="s">
        <v>122</v>
      </c>
      <c r="G3708" t="s">
        <v>123</v>
      </c>
      <c r="H3708" t="s">
        <v>2159</v>
      </c>
      <c r="I3708" t="s">
        <v>2160</v>
      </c>
      <c r="J3708" t="s">
        <v>52</v>
      </c>
      <c r="K3708" s="3">
        <v>10017404618</v>
      </c>
      <c r="L3708" s="10">
        <v>41122</v>
      </c>
      <c r="M3708">
        <v>7406.49</v>
      </c>
      <c r="N3708" s="17">
        <v>4</v>
      </c>
      <c r="O3708" s="5">
        <v>1889.99</v>
      </c>
      <c r="P3708" s="5">
        <v>19.99</v>
      </c>
      <c r="Q3708" s="6">
        <v>701.216</v>
      </c>
      <c r="R3708" s="37" t="s">
        <v>2249</v>
      </c>
      <c r="S3708" s="7">
        <f t="shared" si="312"/>
        <v>2</v>
      </c>
      <c r="T3708" s="15" t="str">
        <f>VLOOKUP(R3708,产品分类!$C$2:$D$1278,2,0)</f>
        <v>数码电子</v>
      </c>
    </row>
    <row r="3709" spans="1:20">
      <c r="A3709" s="16">
        <f>DATE(2012,12,31)-154</f>
        <v>41120</v>
      </c>
      <c r="B3709" s="16">
        <f>DATE(2012,12,31)-154</f>
        <v>41120</v>
      </c>
      <c r="C3709" s="9" t="s">
        <v>273</v>
      </c>
      <c r="D3709">
        <v>10021487964</v>
      </c>
      <c r="E3709" t="s">
        <v>47</v>
      </c>
      <c r="F3709" t="s">
        <v>127</v>
      </c>
      <c r="G3709" t="s">
        <v>128</v>
      </c>
      <c r="H3709" t="s">
        <v>2189</v>
      </c>
      <c r="I3709" t="s">
        <v>2190</v>
      </c>
      <c r="J3709" t="s">
        <v>52</v>
      </c>
      <c r="K3709" s="3">
        <v>100730038385</v>
      </c>
      <c r="L3709" s="10">
        <v>41121</v>
      </c>
      <c r="M3709">
        <v>350.01</v>
      </c>
      <c r="N3709" s="17">
        <v>50</v>
      </c>
      <c r="O3709" s="5">
        <v>6.68</v>
      </c>
      <c r="P3709" s="5">
        <v>6.93</v>
      </c>
      <c r="Q3709" s="6">
        <v>-133.43</v>
      </c>
      <c r="R3709" s="37" t="s">
        <v>1002</v>
      </c>
      <c r="S3709" s="7">
        <f t="shared" si="312"/>
        <v>1</v>
      </c>
      <c r="T3709" s="15" t="str">
        <f>VLOOKUP(R3709,产品分类!$C$2:$D$1278,2,0)</f>
        <v>办公用品</v>
      </c>
    </row>
    <row r="3710" spans="1:20">
      <c r="A3710" s="16">
        <f>DATE(2012,12,31)-1381</f>
        <v>39893</v>
      </c>
      <c r="B3710" s="16">
        <f>DATE(2012,12,31)-1381</f>
        <v>39893</v>
      </c>
      <c r="C3710" s="9" t="s">
        <v>504</v>
      </c>
      <c r="D3710">
        <v>10021378460</v>
      </c>
      <c r="E3710" t="s">
        <v>47</v>
      </c>
      <c r="F3710" t="s">
        <v>97</v>
      </c>
      <c r="G3710" t="s">
        <v>98</v>
      </c>
      <c r="H3710" t="s">
        <v>99</v>
      </c>
      <c r="I3710" t="s">
        <v>98</v>
      </c>
      <c r="J3710" t="s">
        <v>52</v>
      </c>
      <c r="K3710" s="3">
        <v>10013454617</v>
      </c>
      <c r="L3710" s="10">
        <v>39894</v>
      </c>
      <c r="M3710">
        <v>18081.76</v>
      </c>
      <c r="N3710" s="17">
        <v>41</v>
      </c>
      <c r="O3710" s="5">
        <v>420.98</v>
      </c>
      <c r="P3710" s="5">
        <v>19.99</v>
      </c>
      <c r="Q3710" s="6">
        <v>8822.2775</v>
      </c>
      <c r="R3710" s="37" t="s">
        <v>498</v>
      </c>
      <c r="S3710" s="7">
        <f t="shared" si="312"/>
        <v>1</v>
      </c>
      <c r="T3710" s="15" t="str">
        <f>VLOOKUP(R3710,产品分类!$C$2:$D$1278,2,0)</f>
        <v>家具产品</v>
      </c>
    </row>
    <row r="3711" spans="1:20">
      <c r="A3711" s="8">
        <f>DATE(2012,12,31)-1044</f>
        <v>40230</v>
      </c>
      <c r="B3711" s="8">
        <f>DATE(2012,12,31)-1044</f>
        <v>40230</v>
      </c>
      <c r="C3711" s="9" t="s">
        <v>425</v>
      </c>
      <c r="D3711">
        <v>10021603353</v>
      </c>
      <c r="E3711" t="s">
        <v>47</v>
      </c>
      <c r="F3711" t="s">
        <v>97</v>
      </c>
      <c r="G3711" t="s">
        <v>98</v>
      </c>
      <c r="H3711" t="s">
        <v>99</v>
      </c>
      <c r="I3711" t="s">
        <v>98</v>
      </c>
      <c r="J3711" t="s">
        <v>52</v>
      </c>
      <c r="K3711" s="3">
        <v>100131323936</v>
      </c>
      <c r="L3711" s="10">
        <v>40231</v>
      </c>
      <c r="M3711">
        <v>32.4</v>
      </c>
      <c r="N3711" s="11">
        <v>11</v>
      </c>
      <c r="O3711" s="12">
        <v>2.88</v>
      </c>
      <c r="P3711" s="12">
        <v>0.5</v>
      </c>
      <c r="Q3711" s="13">
        <v>8.78</v>
      </c>
      <c r="R3711" s="36" t="s">
        <v>2250</v>
      </c>
      <c r="S3711" s="7">
        <f t="shared" si="312"/>
        <v>1</v>
      </c>
      <c r="T3711" s="15" t="str">
        <f>VLOOKUP(R3711,产品分类!$C$2:$D$1278,2,0)</f>
        <v>数码电子</v>
      </c>
    </row>
    <row r="3712" spans="1:20">
      <c r="A3712" s="8">
        <f>DATE(2012,12,31)-620</f>
        <v>40654</v>
      </c>
      <c r="B3712" s="8">
        <f>DATE(2012,12,31)-620</f>
        <v>40654</v>
      </c>
      <c r="C3712" s="9" t="s">
        <v>341</v>
      </c>
      <c r="D3712">
        <v>10021571147</v>
      </c>
      <c r="E3712" t="s">
        <v>47</v>
      </c>
      <c r="F3712" t="s">
        <v>102</v>
      </c>
      <c r="G3712" t="s">
        <v>103</v>
      </c>
      <c r="H3712" t="s">
        <v>2236</v>
      </c>
      <c r="I3712" t="s">
        <v>2237</v>
      </c>
      <c r="J3712" t="s">
        <v>52</v>
      </c>
      <c r="K3712" s="3">
        <v>100433153384</v>
      </c>
      <c r="L3712" s="10">
        <v>40656</v>
      </c>
      <c r="M3712">
        <v>671.78</v>
      </c>
      <c r="N3712" s="11">
        <v>47</v>
      </c>
      <c r="O3712" s="12">
        <v>15.57</v>
      </c>
      <c r="P3712" s="12">
        <v>1.39</v>
      </c>
      <c r="Q3712" s="13">
        <v>297.23</v>
      </c>
      <c r="R3712" s="36" t="s">
        <v>843</v>
      </c>
      <c r="S3712" s="7">
        <f t="shared" si="312"/>
        <v>2</v>
      </c>
      <c r="T3712" s="15" t="str">
        <f>VLOOKUP(R3712,产品分类!$C$2:$D$1278,2,0)</f>
        <v>办公用品</v>
      </c>
    </row>
    <row r="3713" spans="1:20">
      <c r="A3713" s="8">
        <f>DATE(2012,12,31)-620</f>
        <v>40654</v>
      </c>
      <c r="B3713" s="8">
        <f>DATE(2012,12,31)-620</f>
        <v>40654</v>
      </c>
      <c r="C3713" s="9" t="s">
        <v>341</v>
      </c>
      <c r="D3713">
        <v>10021377175</v>
      </c>
      <c r="E3713" t="s">
        <v>47</v>
      </c>
      <c r="F3713" t="s">
        <v>102</v>
      </c>
      <c r="G3713" t="s">
        <v>103</v>
      </c>
      <c r="H3713" t="s">
        <v>2236</v>
      </c>
      <c r="I3713" t="s">
        <v>2237</v>
      </c>
      <c r="J3713" t="s">
        <v>52</v>
      </c>
      <c r="K3713" s="3">
        <v>100832799082</v>
      </c>
      <c r="L3713" s="10">
        <v>40655</v>
      </c>
      <c r="M3713">
        <v>262.09</v>
      </c>
      <c r="N3713" s="11">
        <v>12</v>
      </c>
      <c r="O3713" s="12">
        <v>19.98</v>
      </c>
      <c r="P3713" s="12">
        <v>10.49</v>
      </c>
      <c r="Q3713" s="13">
        <v>58.69</v>
      </c>
      <c r="R3713" s="36" t="s">
        <v>932</v>
      </c>
      <c r="S3713" s="7">
        <f t="shared" si="312"/>
        <v>1</v>
      </c>
      <c r="T3713" s="15" t="str">
        <f>VLOOKUP(R3713,产品分类!$C$2:$D$1278,2,0)</f>
        <v>数码电子</v>
      </c>
    </row>
    <row r="3714" spans="1:20">
      <c r="A3714" s="8">
        <f>DATE(2012,12,31)-703</f>
        <v>40571</v>
      </c>
      <c r="B3714" s="8">
        <f>DATE(2012,12,31)-703</f>
        <v>40571</v>
      </c>
      <c r="C3714" s="9" t="s">
        <v>1976</v>
      </c>
      <c r="D3714">
        <v>10021410776</v>
      </c>
      <c r="E3714" t="s">
        <v>47</v>
      </c>
      <c r="F3714" t="s">
        <v>171</v>
      </c>
      <c r="G3714" t="s">
        <v>172</v>
      </c>
      <c r="H3714" t="s">
        <v>2073</v>
      </c>
      <c r="I3714" t="s">
        <v>2074</v>
      </c>
      <c r="J3714" t="s">
        <v>52</v>
      </c>
      <c r="K3714" s="3">
        <v>10011815357</v>
      </c>
      <c r="L3714" s="10">
        <v>40575</v>
      </c>
      <c r="M3714">
        <v>201.72</v>
      </c>
      <c r="N3714" s="11">
        <v>17</v>
      </c>
      <c r="O3714" s="12">
        <v>11.34</v>
      </c>
      <c r="P3714" s="12">
        <v>11.25</v>
      </c>
      <c r="Q3714" s="13">
        <v>-81.61</v>
      </c>
      <c r="R3714" s="36" t="s">
        <v>699</v>
      </c>
      <c r="S3714" s="7">
        <f t="shared" si="312"/>
        <v>4</v>
      </c>
      <c r="T3714" s="15" t="str">
        <f>VLOOKUP(R3714,产品分类!$C$2:$D$1278,2,0)</f>
        <v>办公用品</v>
      </c>
    </row>
    <row r="3715" spans="1:20">
      <c r="A3715" s="8">
        <f>DATE(2012,12,31)-703</f>
        <v>40571</v>
      </c>
      <c r="B3715" s="8">
        <f>DATE(2012,12,31)-703</f>
        <v>40571</v>
      </c>
      <c r="C3715" s="9" t="s">
        <v>1976</v>
      </c>
      <c r="D3715">
        <v>10021405019</v>
      </c>
      <c r="E3715" t="s">
        <v>47</v>
      </c>
      <c r="F3715" t="s">
        <v>171</v>
      </c>
      <c r="G3715" t="s">
        <v>172</v>
      </c>
      <c r="H3715" t="s">
        <v>2073</v>
      </c>
      <c r="I3715" t="s">
        <v>2074</v>
      </c>
      <c r="J3715" t="s">
        <v>52</v>
      </c>
      <c r="K3715" s="3">
        <v>100132878606</v>
      </c>
      <c r="L3715" s="10">
        <v>40575</v>
      </c>
      <c r="M3715">
        <v>12125.14</v>
      </c>
      <c r="N3715" s="11">
        <v>41</v>
      </c>
      <c r="O3715" s="12">
        <v>297.64</v>
      </c>
      <c r="P3715" s="12">
        <v>14.7</v>
      </c>
      <c r="Q3715" s="13">
        <v>3376.03</v>
      </c>
      <c r="R3715" s="36" t="s">
        <v>2064</v>
      </c>
      <c r="S3715" s="7">
        <f t="shared" ref="S3715:S3778" si="316">+L3715-B3715</f>
        <v>4</v>
      </c>
      <c r="T3715" s="15" t="str">
        <f>VLOOKUP(R3715,产品分类!$C$2:$D$1278,2,0)</f>
        <v>家具产品</v>
      </c>
    </row>
    <row r="3716" spans="1:20">
      <c r="A3716" s="8">
        <f>DATE(2012,12,31)-560</f>
        <v>40714</v>
      </c>
      <c r="B3716" s="8">
        <f>DATE(2012,12,31)-560</f>
        <v>40714</v>
      </c>
      <c r="C3716" s="9" t="s">
        <v>1126</v>
      </c>
      <c r="D3716">
        <v>10021553697</v>
      </c>
      <c r="E3716" t="s">
        <v>47</v>
      </c>
      <c r="F3716" t="s">
        <v>167</v>
      </c>
      <c r="G3716" t="s">
        <v>168</v>
      </c>
      <c r="H3716" t="s">
        <v>169</v>
      </c>
      <c r="I3716" t="s">
        <v>168</v>
      </c>
      <c r="J3716" t="s">
        <v>52</v>
      </c>
      <c r="K3716" s="3">
        <v>100128903026</v>
      </c>
      <c r="L3716" s="10">
        <v>40716</v>
      </c>
      <c r="M3716">
        <v>4688.9485</v>
      </c>
      <c r="N3716" s="11">
        <v>26</v>
      </c>
      <c r="O3716" s="12">
        <v>205.99</v>
      </c>
      <c r="P3716" s="12">
        <v>5.26</v>
      </c>
      <c r="Q3716" s="13">
        <v>1215.441</v>
      </c>
      <c r="R3716" s="36" t="s">
        <v>688</v>
      </c>
      <c r="S3716" s="7">
        <f t="shared" si="316"/>
        <v>2</v>
      </c>
      <c r="T3716" s="15" t="str">
        <f>VLOOKUP(R3716,产品分类!$C$2:$D$1278,2,0)</f>
        <v>办公用品</v>
      </c>
    </row>
    <row r="3717" spans="1:20">
      <c r="A3717" s="8">
        <f>DATE(2012,12,31)-286</f>
        <v>40988</v>
      </c>
      <c r="B3717" s="8">
        <f>DATE(2012,12,31)-286</f>
        <v>40988</v>
      </c>
      <c r="C3717" s="9" t="s">
        <v>258</v>
      </c>
      <c r="D3717">
        <v>10021400466</v>
      </c>
      <c r="E3717" t="s">
        <v>47</v>
      </c>
      <c r="F3717" t="s">
        <v>61</v>
      </c>
      <c r="G3717" t="s">
        <v>62</v>
      </c>
      <c r="H3717" t="s">
        <v>2216</v>
      </c>
      <c r="I3717" t="s">
        <v>2217</v>
      </c>
      <c r="J3717" t="s">
        <v>52</v>
      </c>
      <c r="K3717" s="3">
        <v>10041259364</v>
      </c>
      <c r="L3717" s="10">
        <v>40990</v>
      </c>
      <c r="M3717">
        <v>141.7</v>
      </c>
      <c r="N3717" s="11">
        <v>33</v>
      </c>
      <c r="O3717" s="12">
        <v>3.98</v>
      </c>
      <c r="P3717" s="12">
        <v>5.26</v>
      </c>
      <c r="Q3717" s="13">
        <v>-103.2125</v>
      </c>
      <c r="R3717" s="36" t="s">
        <v>479</v>
      </c>
      <c r="S3717" s="7">
        <f t="shared" si="316"/>
        <v>2</v>
      </c>
      <c r="T3717" s="15" t="str">
        <f>VLOOKUP(R3717,产品分类!$C$2:$D$1278,2,0)</f>
        <v>办公用品</v>
      </c>
    </row>
    <row r="3718" spans="1:20">
      <c r="A3718" s="16">
        <f>DATE(2012,12,31)-1167</f>
        <v>40107</v>
      </c>
      <c r="B3718" s="16">
        <f>DATE(2012,12,31)-1167</f>
        <v>40107</v>
      </c>
      <c r="C3718" s="9" t="s">
        <v>1736</v>
      </c>
      <c r="D3718">
        <v>10021315144</v>
      </c>
      <c r="E3718" t="s">
        <v>47</v>
      </c>
      <c r="F3718" t="s">
        <v>97</v>
      </c>
      <c r="G3718" t="s">
        <v>98</v>
      </c>
      <c r="H3718" t="s">
        <v>99</v>
      </c>
      <c r="I3718" t="s">
        <v>98</v>
      </c>
      <c r="J3718" t="s">
        <v>52</v>
      </c>
      <c r="K3718" s="3">
        <v>100727483385</v>
      </c>
      <c r="L3718" s="10">
        <v>40108</v>
      </c>
      <c r="M3718">
        <v>21337.27</v>
      </c>
      <c r="N3718" s="17">
        <v>49</v>
      </c>
      <c r="O3718" s="5">
        <v>419.19</v>
      </c>
      <c r="P3718" s="5">
        <v>19.99</v>
      </c>
      <c r="Q3718" s="6">
        <v>7606</v>
      </c>
      <c r="R3718" s="37" t="s">
        <v>1223</v>
      </c>
      <c r="S3718" s="7">
        <f t="shared" si="316"/>
        <v>1</v>
      </c>
      <c r="T3718" s="15" t="str">
        <f>VLOOKUP(R3718,产品分类!$C$2:$D$1278,2,0)</f>
        <v>办公用品</v>
      </c>
    </row>
    <row r="3719" spans="1:20">
      <c r="A3719" s="8">
        <f t="shared" ref="A3719:B3722" si="317">DATE(2012,12,31)-1214</f>
        <v>40060</v>
      </c>
      <c r="B3719" s="8">
        <f t="shared" si="317"/>
        <v>40060</v>
      </c>
      <c r="C3719" s="9" t="s">
        <v>425</v>
      </c>
      <c r="D3719">
        <v>10021309403</v>
      </c>
      <c r="E3719" t="s">
        <v>47</v>
      </c>
      <c r="F3719" t="s">
        <v>91</v>
      </c>
      <c r="G3719" t="s">
        <v>92</v>
      </c>
      <c r="H3719" t="s">
        <v>2053</v>
      </c>
      <c r="I3719" t="s">
        <v>2054</v>
      </c>
      <c r="J3719" t="s">
        <v>52</v>
      </c>
      <c r="K3719" s="3">
        <v>100732117745</v>
      </c>
      <c r="L3719" s="10">
        <v>40060</v>
      </c>
      <c r="M3719">
        <v>50.7</v>
      </c>
      <c r="N3719" s="11">
        <v>8</v>
      </c>
      <c r="O3719" s="12">
        <v>5.4</v>
      </c>
      <c r="P3719" s="12">
        <v>7.78</v>
      </c>
      <c r="Q3719" s="13">
        <v>-44.068</v>
      </c>
      <c r="R3719" s="36" t="s">
        <v>200</v>
      </c>
      <c r="S3719" s="7">
        <f t="shared" si="316"/>
        <v>0</v>
      </c>
      <c r="T3719" s="15" t="str">
        <f>VLOOKUP(R3719,产品分类!$C$2:$D$1278,2,0)</f>
        <v>数码电子</v>
      </c>
    </row>
    <row r="3720" spans="1:20">
      <c r="A3720" s="8">
        <f t="shared" si="317"/>
        <v>40060</v>
      </c>
      <c r="B3720" s="8">
        <f t="shared" si="317"/>
        <v>40060</v>
      </c>
      <c r="C3720" s="9" t="s">
        <v>425</v>
      </c>
      <c r="D3720">
        <v>10021361984</v>
      </c>
      <c r="E3720" t="s">
        <v>47</v>
      </c>
      <c r="F3720" t="s">
        <v>167</v>
      </c>
      <c r="G3720" t="s">
        <v>168</v>
      </c>
      <c r="H3720" t="s">
        <v>169</v>
      </c>
      <c r="I3720" t="s">
        <v>168</v>
      </c>
      <c r="J3720" t="s">
        <v>52</v>
      </c>
      <c r="K3720" s="3">
        <v>100128950916</v>
      </c>
      <c r="L3720" s="10">
        <v>40063</v>
      </c>
      <c r="M3720">
        <v>90.06</v>
      </c>
      <c r="N3720" s="11">
        <v>10</v>
      </c>
      <c r="O3720" s="12">
        <v>8.46</v>
      </c>
      <c r="P3720" s="12">
        <v>8.99</v>
      </c>
      <c r="Q3720" s="13">
        <v>-100.51</v>
      </c>
      <c r="R3720" s="36" t="s">
        <v>76</v>
      </c>
      <c r="S3720" s="7">
        <f t="shared" si="316"/>
        <v>3</v>
      </c>
      <c r="T3720" s="15" t="str">
        <f>VLOOKUP(R3720,产品分类!$C$2:$D$1278,2,0)</f>
        <v>数码电子</v>
      </c>
    </row>
    <row r="3721" spans="1:20">
      <c r="A3721" s="8">
        <f t="shared" si="317"/>
        <v>40060</v>
      </c>
      <c r="B3721" s="8">
        <f t="shared" si="317"/>
        <v>40060</v>
      </c>
      <c r="C3721" s="9" t="s">
        <v>425</v>
      </c>
      <c r="D3721">
        <v>10021552196</v>
      </c>
      <c r="E3721" t="s">
        <v>47</v>
      </c>
      <c r="F3721" t="s">
        <v>342</v>
      </c>
      <c r="G3721" t="s">
        <v>343</v>
      </c>
      <c r="H3721" t="s">
        <v>2251</v>
      </c>
      <c r="I3721" t="s">
        <v>2252</v>
      </c>
      <c r="J3721" t="s">
        <v>52</v>
      </c>
      <c r="K3721" s="3">
        <v>100128749956</v>
      </c>
      <c r="L3721" s="10">
        <v>40061</v>
      </c>
      <c r="M3721">
        <v>338.52</v>
      </c>
      <c r="N3721" s="11">
        <v>22</v>
      </c>
      <c r="O3721" s="12">
        <v>14.98</v>
      </c>
      <c r="P3721" s="12">
        <v>8.99</v>
      </c>
      <c r="Q3721" s="13">
        <v>-17.75</v>
      </c>
      <c r="R3721" s="36" t="s">
        <v>757</v>
      </c>
      <c r="S3721" s="7">
        <f t="shared" si="316"/>
        <v>1</v>
      </c>
      <c r="T3721" s="15" t="str">
        <f>VLOOKUP(R3721,产品分类!$C$2:$D$1278,2,0)</f>
        <v>办公用品</v>
      </c>
    </row>
    <row r="3722" spans="1:20">
      <c r="A3722" s="8">
        <f t="shared" si="317"/>
        <v>40060</v>
      </c>
      <c r="B3722" s="8">
        <f t="shared" si="317"/>
        <v>40060</v>
      </c>
      <c r="C3722" s="9" t="s">
        <v>425</v>
      </c>
      <c r="D3722">
        <v>10021467728</v>
      </c>
      <c r="E3722" t="s">
        <v>47</v>
      </c>
      <c r="F3722" t="s">
        <v>66</v>
      </c>
      <c r="G3722" t="s">
        <v>67</v>
      </c>
      <c r="H3722" t="s">
        <v>2244</v>
      </c>
      <c r="I3722" t="s">
        <v>2245</v>
      </c>
      <c r="J3722" t="s">
        <v>52</v>
      </c>
      <c r="K3722" s="3">
        <v>100430625824</v>
      </c>
      <c r="L3722" s="10">
        <v>40061</v>
      </c>
      <c r="M3722">
        <v>6109.817</v>
      </c>
      <c r="N3722" s="11">
        <v>48</v>
      </c>
      <c r="O3722" s="12">
        <v>155.99</v>
      </c>
      <c r="P3722" s="12">
        <v>8.08</v>
      </c>
      <c r="Q3722" s="13">
        <v>1374.948</v>
      </c>
      <c r="R3722" s="36" t="s">
        <v>2055</v>
      </c>
      <c r="S3722" s="7">
        <f t="shared" si="316"/>
        <v>1</v>
      </c>
      <c r="T3722" s="15" t="str">
        <f>VLOOKUP(R3722,产品分类!$C$2:$D$1278,2,0)</f>
        <v>数码电子</v>
      </c>
    </row>
    <row r="3723" spans="1:20">
      <c r="A3723" s="8">
        <f>DATE(2012,12,31)-1158</f>
        <v>40116</v>
      </c>
      <c r="B3723" s="8">
        <f>DATE(2012,12,31)-1158</f>
        <v>40116</v>
      </c>
      <c r="C3723" s="9" t="s">
        <v>1535</v>
      </c>
      <c r="D3723">
        <v>10021496980</v>
      </c>
      <c r="E3723" t="s">
        <v>47</v>
      </c>
      <c r="F3723" t="s">
        <v>66</v>
      </c>
      <c r="G3723" t="s">
        <v>67</v>
      </c>
      <c r="H3723" t="s">
        <v>2244</v>
      </c>
      <c r="I3723" t="s">
        <v>2245</v>
      </c>
      <c r="J3723" t="s">
        <v>52</v>
      </c>
      <c r="K3723" s="3">
        <v>100415990844</v>
      </c>
      <c r="L3723" s="10">
        <v>40116</v>
      </c>
      <c r="M3723">
        <v>38.37</v>
      </c>
      <c r="N3723" s="11">
        <v>25</v>
      </c>
      <c r="O3723" s="12">
        <v>1.6</v>
      </c>
      <c r="P3723" s="12">
        <v>1.29</v>
      </c>
      <c r="Q3723" s="13">
        <v>-13.88</v>
      </c>
      <c r="R3723" s="36" t="s">
        <v>2253</v>
      </c>
      <c r="S3723" s="7">
        <f t="shared" si="316"/>
        <v>0</v>
      </c>
      <c r="T3723" s="15" t="str">
        <f>VLOOKUP(R3723,产品分类!$C$2:$D$1278,2,0)</f>
        <v>办公用品</v>
      </c>
    </row>
    <row r="3724" spans="1:20">
      <c r="A3724" s="8">
        <f>DATE(2012,12,31)-1270</f>
        <v>40004</v>
      </c>
      <c r="B3724" s="8">
        <f>DATE(2012,12,31)-1270</f>
        <v>40004</v>
      </c>
      <c r="C3724" s="9" t="s">
        <v>419</v>
      </c>
      <c r="D3724">
        <v>10021256956</v>
      </c>
      <c r="E3724" t="s">
        <v>47</v>
      </c>
      <c r="F3724" t="s">
        <v>152</v>
      </c>
      <c r="G3724" t="s">
        <v>153</v>
      </c>
      <c r="H3724" t="s">
        <v>2200</v>
      </c>
      <c r="I3724" t="s">
        <v>2201</v>
      </c>
      <c r="J3724" t="s">
        <v>52</v>
      </c>
      <c r="K3724" s="3">
        <v>100425942774</v>
      </c>
      <c r="L3724" s="10">
        <v>40005</v>
      </c>
      <c r="M3724">
        <v>21956.03</v>
      </c>
      <c r="N3724" s="11">
        <v>38</v>
      </c>
      <c r="O3724" s="12">
        <v>599.99</v>
      </c>
      <c r="P3724" s="12">
        <v>24.49</v>
      </c>
      <c r="Q3724" s="13">
        <v>5903.086</v>
      </c>
      <c r="R3724" s="36" t="s">
        <v>1785</v>
      </c>
      <c r="S3724" s="7">
        <f t="shared" si="316"/>
        <v>1</v>
      </c>
      <c r="T3724" s="15" t="str">
        <f>VLOOKUP(R3724,产品分类!$C$2:$D$1278,2,0)</f>
        <v>数码电子</v>
      </c>
    </row>
    <row r="3725" spans="1:20">
      <c r="A3725" s="16">
        <f>DATE(2012,12,31)-1270</f>
        <v>40004</v>
      </c>
      <c r="B3725" s="16">
        <f>DATE(2012,12,31)-1270</f>
        <v>40004</v>
      </c>
      <c r="C3725" s="9" t="s">
        <v>419</v>
      </c>
      <c r="D3725">
        <v>10021445523</v>
      </c>
      <c r="E3725" t="s">
        <v>47</v>
      </c>
      <c r="F3725" t="s">
        <v>152</v>
      </c>
      <c r="G3725" t="s">
        <v>153</v>
      </c>
      <c r="H3725" t="s">
        <v>2200</v>
      </c>
      <c r="I3725" t="s">
        <v>2201</v>
      </c>
      <c r="J3725" t="s">
        <v>52</v>
      </c>
      <c r="K3725" s="3">
        <v>100113974448</v>
      </c>
      <c r="L3725" s="10">
        <v>40006</v>
      </c>
      <c r="M3725">
        <v>89.89</v>
      </c>
      <c r="N3725" s="17">
        <v>32</v>
      </c>
      <c r="O3725" s="5">
        <v>2.78</v>
      </c>
      <c r="P3725" s="5">
        <v>1.25</v>
      </c>
      <c r="Q3725" s="6">
        <v>-8.16</v>
      </c>
      <c r="R3725" s="37" t="s">
        <v>863</v>
      </c>
      <c r="S3725" s="7">
        <f t="shared" si="316"/>
        <v>2</v>
      </c>
      <c r="T3725" s="15" t="str">
        <f>VLOOKUP(R3725,产品分类!$C$2:$D$1278,2,0)</f>
        <v>办公用品</v>
      </c>
    </row>
    <row r="3726" spans="1:20">
      <c r="A3726" s="8">
        <f>DATE(2012,12,31)-765</f>
        <v>40509</v>
      </c>
      <c r="B3726" s="8">
        <f>DATE(2012,12,31)-765</f>
        <v>40509</v>
      </c>
      <c r="C3726" s="9" t="s">
        <v>877</v>
      </c>
      <c r="D3726">
        <v>10021511656</v>
      </c>
      <c r="E3726" t="s">
        <v>47</v>
      </c>
      <c r="F3726" t="s">
        <v>152</v>
      </c>
      <c r="G3726" t="s">
        <v>153</v>
      </c>
      <c r="H3726" t="s">
        <v>2200</v>
      </c>
      <c r="I3726" t="s">
        <v>2201</v>
      </c>
      <c r="J3726" t="s">
        <v>52</v>
      </c>
      <c r="K3726" s="3">
        <v>100132732058</v>
      </c>
      <c r="L3726" s="10">
        <v>40511</v>
      </c>
      <c r="M3726">
        <v>65.67</v>
      </c>
      <c r="N3726" s="11">
        <v>9</v>
      </c>
      <c r="O3726" s="12">
        <v>6.48</v>
      </c>
      <c r="P3726" s="12">
        <v>7.37</v>
      </c>
      <c r="Q3726" s="13">
        <v>-35.2</v>
      </c>
      <c r="R3726" s="36" t="s">
        <v>1045</v>
      </c>
      <c r="S3726" s="7">
        <f t="shared" si="316"/>
        <v>2</v>
      </c>
      <c r="T3726" s="15" t="str">
        <f>VLOOKUP(R3726,产品分类!$C$2:$D$1278,2,0)</f>
        <v>数码电子</v>
      </c>
    </row>
    <row r="3727" spans="1:20">
      <c r="A3727" s="8">
        <f>DATE(2012,12,31)-791</f>
        <v>40483</v>
      </c>
      <c r="B3727" s="8">
        <f>DATE(2012,12,31)-791</f>
        <v>40483</v>
      </c>
      <c r="C3727" s="9" t="s">
        <v>1488</v>
      </c>
      <c r="D3727">
        <v>10021417680</v>
      </c>
      <c r="E3727" t="s">
        <v>47</v>
      </c>
      <c r="F3727" t="s">
        <v>66</v>
      </c>
      <c r="G3727" t="s">
        <v>67</v>
      </c>
      <c r="H3727" t="s">
        <v>2244</v>
      </c>
      <c r="I3727" t="s">
        <v>2245</v>
      </c>
      <c r="J3727" t="s">
        <v>52</v>
      </c>
      <c r="K3727" s="3">
        <v>100117211738</v>
      </c>
      <c r="L3727" s="10">
        <v>40483</v>
      </c>
      <c r="M3727">
        <v>231.65</v>
      </c>
      <c r="N3727" s="11">
        <v>37</v>
      </c>
      <c r="O3727" s="12">
        <v>5.98</v>
      </c>
      <c r="P3727" s="12">
        <v>10.39</v>
      </c>
      <c r="Q3727" s="13">
        <v>-241.28</v>
      </c>
      <c r="R3727" s="36" t="s">
        <v>1123</v>
      </c>
      <c r="S3727" s="7">
        <f t="shared" si="316"/>
        <v>0</v>
      </c>
      <c r="T3727" s="15" t="str">
        <f>VLOOKUP(R3727,产品分类!$C$2:$D$1278,2,0)</f>
        <v>数码电子</v>
      </c>
    </row>
    <row r="3728" spans="1:20">
      <c r="A3728" s="8">
        <f>DATE(2012,12,31)-93</f>
        <v>41181</v>
      </c>
      <c r="B3728" s="8">
        <f>DATE(2012,12,31)-93</f>
        <v>41181</v>
      </c>
      <c r="C3728" s="9" t="s">
        <v>719</v>
      </c>
      <c r="D3728">
        <v>10021523742</v>
      </c>
      <c r="E3728" t="s">
        <v>47</v>
      </c>
      <c r="F3728" t="s">
        <v>78</v>
      </c>
      <c r="G3728" t="s">
        <v>79</v>
      </c>
      <c r="H3728" t="s">
        <v>2105</v>
      </c>
      <c r="I3728" t="s">
        <v>2106</v>
      </c>
      <c r="J3728" t="s">
        <v>52</v>
      </c>
      <c r="K3728" s="3">
        <v>100112542646</v>
      </c>
      <c r="L3728" s="10">
        <v>41183</v>
      </c>
      <c r="M3728">
        <v>1107.64</v>
      </c>
      <c r="N3728" s="11">
        <v>28</v>
      </c>
      <c r="O3728" s="12">
        <v>40.98</v>
      </c>
      <c r="P3728" s="12">
        <v>7.47</v>
      </c>
      <c r="Q3728" s="13">
        <v>333.1745</v>
      </c>
      <c r="R3728" s="36" t="s">
        <v>416</v>
      </c>
      <c r="S3728" s="7">
        <f t="shared" si="316"/>
        <v>2</v>
      </c>
      <c r="T3728" s="15" t="str">
        <f>VLOOKUP(R3728,产品分类!$C$2:$D$1278,2,0)</f>
        <v>家具产品</v>
      </c>
    </row>
    <row r="3729" spans="1:20">
      <c r="A3729" s="8">
        <f>DATE(2012,12,31)-375</f>
        <v>40899</v>
      </c>
      <c r="B3729" s="8">
        <f>DATE(2012,12,31)-375</f>
        <v>40899</v>
      </c>
      <c r="C3729" s="9" t="s">
        <v>868</v>
      </c>
      <c r="D3729">
        <v>10021270353</v>
      </c>
      <c r="E3729" t="s">
        <v>47</v>
      </c>
      <c r="F3729" t="s">
        <v>72</v>
      </c>
      <c r="G3729" t="s">
        <v>73</v>
      </c>
      <c r="H3729" t="s">
        <v>2008</v>
      </c>
      <c r="I3729" t="s">
        <v>2009</v>
      </c>
      <c r="J3729" t="s">
        <v>52</v>
      </c>
      <c r="K3729" s="3">
        <v>100932476261</v>
      </c>
      <c r="L3729" s="10">
        <v>40899</v>
      </c>
      <c r="M3729">
        <v>72.75</v>
      </c>
      <c r="N3729" s="11">
        <v>17</v>
      </c>
      <c r="O3729" s="12">
        <v>3.98</v>
      </c>
      <c r="P3729" s="12">
        <v>5.26</v>
      </c>
      <c r="Q3729" s="13">
        <v>-57.891</v>
      </c>
      <c r="R3729" s="36" t="s">
        <v>479</v>
      </c>
      <c r="S3729" s="7">
        <f t="shared" si="316"/>
        <v>0</v>
      </c>
      <c r="T3729" s="15" t="str">
        <f>VLOOKUP(R3729,产品分类!$C$2:$D$1278,2,0)</f>
        <v>办公用品</v>
      </c>
    </row>
    <row r="3730" spans="1:20">
      <c r="A3730" s="8">
        <f>DATE(2012,12,31)-288</f>
        <v>40986</v>
      </c>
      <c r="B3730" s="8">
        <f>DATE(2012,12,31)-288</f>
        <v>40986</v>
      </c>
      <c r="C3730" s="9" t="s">
        <v>2066</v>
      </c>
      <c r="D3730">
        <v>10021578717</v>
      </c>
      <c r="E3730" t="s">
        <v>47</v>
      </c>
      <c r="F3730" t="s">
        <v>72</v>
      </c>
      <c r="G3730" t="s">
        <v>73</v>
      </c>
      <c r="H3730" t="s">
        <v>2008</v>
      </c>
      <c r="I3730" t="s">
        <v>2009</v>
      </c>
      <c r="J3730" t="s">
        <v>52</v>
      </c>
      <c r="K3730" s="3">
        <v>100915500541</v>
      </c>
      <c r="L3730" s="10">
        <v>40986</v>
      </c>
      <c r="M3730">
        <v>10.23</v>
      </c>
      <c r="N3730" s="11">
        <v>1</v>
      </c>
      <c r="O3730" s="12">
        <v>8.95</v>
      </c>
      <c r="P3730" s="12">
        <v>2.01</v>
      </c>
      <c r="Q3730" s="13">
        <v>-4.22</v>
      </c>
      <c r="R3730" s="36" t="s">
        <v>2078</v>
      </c>
      <c r="S3730" s="7">
        <f t="shared" si="316"/>
        <v>0</v>
      </c>
      <c r="T3730" s="15" t="str">
        <f>VLOOKUP(R3730,产品分类!$C$2:$D$1278,2,0)</f>
        <v>数码电子</v>
      </c>
    </row>
    <row r="3731" spans="1:20">
      <c r="A3731" s="8">
        <f>DATE(2012,12,31)-12</f>
        <v>41262</v>
      </c>
      <c r="B3731" s="8">
        <f>DATE(2012,12,31)-12</f>
        <v>41262</v>
      </c>
      <c r="C3731" s="9" t="s">
        <v>1925</v>
      </c>
      <c r="D3731">
        <v>10021565547</v>
      </c>
      <c r="E3731" t="s">
        <v>47</v>
      </c>
      <c r="F3731" t="s">
        <v>72</v>
      </c>
      <c r="G3731" t="s">
        <v>73</v>
      </c>
      <c r="H3731" t="s">
        <v>2008</v>
      </c>
      <c r="I3731" t="s">
        <v>2009</v>
      </c>
      <c r="J3731" t="s">
        <v>52</v>
      </c>
      <c r="K3731" s="3">
        <v>100132106837</v>
      </c>
      <c r="L3731" s="10">
        <v>41263</v>
      </c>
      <c r="M3731">
        <v>1772.2245</v>
      </c>
      <c r="N3731" s="11">
        <v>31</v>
      </c>
      <c r="O3731" s="12">
        <v>65.99</v>
      </c>
      <c r="P3731" s="12">
        <v>4.99</v>
      </c>
      <c r="Q3731" s="13">
        <v>390.861</v>
      </c>
      <c r="R3731" s="36" t="s">
        <v>1800</v>
      </c>
      <c r="S3731" s="7">
        <f t="shared" si="316"/>
        <v>1</v>
      </c>
      <c r="T3731" s="15" t="str">
        <f>VLOOKUP(R3731,产品分类!$C$2:$D$1278,2,0)</f>
        <v>办公用品</v>
      </c>
    </row>
    <row r="3732" spans="1:20">
      <c r="A3732" s="8">
        <f>DATE(2012,12,31)-866</f>
        <v>40408</v>
      </c>
      <c r="B3732" s="8">
        <f>DATE(2012,12,31)-866</f>
        <v>40408</v>
      </c>
      <c r="C3732" s="9" t="s">
        <v>2152</v>
      </c>
      <c r="D3732">
        <v>10021586116</v>
      </c>
      <c r="E3732" t="s">
        <v>47</v>
      </c>
      <c r="F3732" t="s">
        <v>78</v>
      </c>
      <c r="G3732" t="s">
        <v>79</v>
      </c>
      <c r="H3732" t="s">
        <v>2105</v>
      </c>
      <c r="I3732" t="s">
        <v>2106</v>
      </c>
      <c r="J3732" t="s">
        <v>52</v>
      </c>
      <c r="K3732" s="3">
        <v>100928792291</v>
      </c>
      <c r="L3732" s="10">
        <v>40410</v>
      </c>
      <c r="M3732">
        <v>424.13</v>
      </c>
      <c r="N3732" s="11">
        <v>21</v>
      </c>
      <c r="O3732" s="12">
        <v>20.27</v>
      </c>
      <c r="P3732" s="12">
        <v>3.99</v>
      </c>
      <c r="Q3732" s="13">
        <v>57.17</v>
      </c>
      <c r="R3732" s="36" t="s">
        <v>2254</v>
      </c>
      <c r="S3732" s="7">
        <f t="shared" si="316"/>
        <v>2</v>
      </c>
      <c r="T3732" s="15" t="str">
        <f>VLOOKUP(R3732,产品分类!$C$2:$D$1278,2,0)</f>
        <v>办公用品</v>
      </c>
    </row>
    <row r="3733" spans="1:20">
      <c r="A3733" s="8">
        <f>DATE(2012,12,31)-866</f>
        <v>40408</v>
      </c>
      <c r="B3733" s="8">
        <f>DATE(2012,12,31)-866</f>
        <v>40408</v>
      </c>
      <c r="C3733" s="9" t="s">
        <v>2152</v>
      </c>
      <c r="D3733">
        <v>10021262736</v>
      </c>
      <c r="E3733" t="s">
        <v>47</v>
      </c>
      <c r="F3733" t="s">
        <v>78</v>
      </c>
      <c r="G3733" t="s">
        <v>79</v>
      </c>
      <c r="H3733" t="s">
        <v>2105</v>
      </c>
      <c r="I3733" t="s">
        <v>2106</v>
      </c>
      <c r="J3733" t="s">
        <v>52</v>
      </c>
      <c r="K3733" s="3">
        <v>100130130508</v>
      </c>
      <c r="L3733" s="10">
        <v>40409</v>
      </c>
      <c r="M3733">
        <v>69.4</v>
      </c>
      <c r="N3733" s="11">
        <v>7</v>
      </c>
      <c r="O3733" s="12">
        <v>9.93</v>
      </c>
      <c r="P3733" s="12">
        <v>1.09</v>
      </c>
      <c r="Q3733" s="13">
        <v>12.02</v>
      </c>
      <c r="R3733" s="36" t="s">
        <v>393</v>
      </c>
      <c r="S3733" s="7">
        <f t="shared" si="316"/>
        <v>1</v>
      </c>
      <c r="T3733" s="15" t="str">
        <f>VLOOKUP(R3733,产品分类!$C$2:$D$1278,2,0)</f>
        <v>数码电子</v>
      </c>
    </row>
    <row r="3734" spans="1:20">
      <c r="A3734" s="8">
        <f>DATE(2012,12,31)-1189</f>
        <v>40085</v>
      </c>
      <c r="B3734" s="8">
        <f>DATE(2012,12,31)-1189</f>
        <v>40085</v>
      </c>
      <c r="C3734" s="9" t="s">
        <v>976</v>
      </c>
      <c r="D3734">
        <v>10021340820</v>
      </c>
      <c r="E3734" t="s">
        <v>47</v>
      </c>
      <c r="F3734" t="s">
        <v>230</v>
      </c>
      <c r="G3734" t="s">
        <v>231</v>
      </c>
      <c r="H3734" t="s">
        <v>2174</v>
      </c>
      <c r="I3734" t="s">
        <v>2175</v>
      </c>
      <c r="J3734" t="s">
        <v>52</v>
      </c>
      <c r="K3734" s="3">
        <v>100126745286</v>
      </c>
      <c r="L3734" s="10">
        <v>40088</v>
      </c>
      <c r="M3734">
        <v>198.44</v>
      </c>
      <c r="N3734" s="11">
        <v>2</v>
      </c>
      <c r="O3734" s="12">
        <v>99.23</v>
      </c>
      <c r="P3734" s="12">
        <v>8.99</v>
      </c>
      <c r="Q3734" s="13">
        <v>-87.46</v>
      </c>
      <c r="R3734" s="36" t="s">
        <v>1484</v>
      </c>
      <c r="S3734" s="7">
        <f t="shared" si="316"/>
        <v>3</v>
      </c>
      <c r="T3734" s="15" t="str">
        <f>VLOOKUP(R3734,产品分类!$C$2:$D$1278,2,0)</f>
        <v>数码电子</v>
      </c>
    </row>
    <row r="3735" spans="1:20">
      <c r="A3735" s="8">
        <f>DATE(2012,12,31)-150</f>
        <v>41124</v>
      </c>
      <c r="B3735" s="8">
        <f>DATE(2012,12,31)-150</f>
        <v>41124</v>
      </c>
      <c r="C3735" s="9" t="s">
        <v>664</v>
      </c>
      <c r="D3735">
        <v>10021250072</v>
      </c>
      <c r="E3735" t="s">
        <v>47</v>
      </c>
      <c r="F3735" t="s">
        <v>230</v>
      </c>
      <c r="G3735" t="s">
        <v>231</v>
      </c>
      <c r="H3735" t="s">
        <v>2174</v>
      </c>
      <c r="I3735" t="s">
        <v>2175</v>
      </c>
      <c r="J3735" t="s">
        <v>52</v>
      </c>
      <c r="K3735" s="3">
        <v>100313483119</v>
      </c>
      <c r="L3735" s="10">
        <v>41125</v>
      </c>
      <c r="M3735">
        <v>270.43</v>
      </c>
      <c r="N3735" s="11">
        <v>37</v>
      </c>
      <c r="O3735" s="12">
        <v>7.68</v>
      </c>
      <c r="P3735" s="12">
        <v>6.16</v>
      </c>
      <c r="Q3735" s="13">
        <v>-83.1565</v>
      </c>
      <c r="R3735" s="36" t="s">
        <v>1262</v>
      </c>
      <c r="S3735" s="7">
        <f t="shared" si="316"/>
        <v>1</v>
      </c>
      <c r="T3735" s="15" t="str">
        <f>VLOOKUP(R3735,产品分类!$C$2:$D$1278,2,0)</f>
        <v>办公用品</v>
      </c>
    </row>
    <row r="3736" spans="1:20">
      <c r="A3736" s="8">
        <f>DATE(2012,12,31)-863</f>
        <v>40411</v>
      </c>
      <c r="B3736" s="8">
        <f>DATE(2012,12,31)-863</f>
        <v>40411</v>
      </c>
      <c r="C3736" s="9" t="s">
        <v>1083</v>
      </c>
      <c r="D3736">
        <v>10021548016</v>
      </c>
      <c r="E3736" t="s">
        <v>47</v>
      </c>
      <c r="F3736" t="s">
        <v>230</v>
      </c>
      <c r="G3736" t="s">
        <v>231</v>
      </c>
      <c r="H3736" t="s">
        <v>2174</v>
      </c>
      <c r="I3736" t="s">
        <v>2175</v>
      </c>
      <c r="J3736" t="s">
        <v>52</v>
      </c>
      <c r="K3736" s="3">
        <v>100132262438</v>
      </c>
      <c r="L3736" s="10">
        <v>40413</v>
      </c>
      <c r="M3736">
        <v>2094.978</v>
      </c>
      <c r="N3736" s="11">
        <v>44</v>
      </c>
      <c r="O3736" s="12">
        <v>55.99</v>
      </c>
      <c r="P3736" s="12">
        <v>1.25</v>
      </c>
      <c r="Q3736" s="13">
        <v>697.293</v>
      </c>
      <c r="R3736" s="36" t="s">
        <v>1075</v>
      </c>
      <c r="S3736" s="7">
        <f t="shared" si="316"/>
        <v>2</v>
      </c>
      <c r="T3736" s="15" t="str">
        <f>VLOOKUP(R3736,产品分类!$C$2:$D$1278,2,0)</f>
        <v>数码电子</v>
      </c>
    </row>
    <row r="3737" spans="1:20">
      <c r="A3737" s="16">
        <f>DATE(2012,12,31)-939</f>
        <v>40335</v>
      </c>
      <c r="B3737" s="16">
        <f>DATE(2012,12,31)-939</f>
        <v>40335</v>
      </c>
      <c r="C3737" s="9" t="s">
        <v>2247</v>
      </c>
      <c r="D3737">
        <v>10021464155</v>
      </c>
      <c r="E3737" t="s">
        <v>47</v>
      </c>
      <c r="F3737" t="s">
        <v>230</v>
      </c>
      <c r="G3737" t="s">
        <v>231</v>
      </c>
      <c r="H3737" t="s">
        <v>2174</v>
      </c>
      <c r="I3737" t="s">
        <v>2175</v>
      </c>
      <c r="J3737" t="s">
        <v>52</v>
      </c>
      <c r="K3737" s="3">
        <v>100926165911</v>
      </c>
      <c r="L3737" s="10">
        <v>40337</v>
      </c>
      <c r="M3737">
        <v>367.11</v>
      </c>
      <c r="N3737" s="17">
        <v>43</v>
      </c>
      <c r="O3737" s="5">
        <v>8.34</v>
      </c>
      <c r="P3737" s="5">
        <v>1.43</v>
      </c>
      <c r="Q3737" s="6">
        <v>163.42</v>
      </c>
      <c r="R3737" s="37" t="s">
        <v>822</v>
      </c>
      <c r="S3737" s="7">
        <f t="shared" si="316"/>
        <v>2</v>
      </c>
      <c r="T3737" s="15" t="str">
        <f>VLOOKUP(R3737,产品分类!$C$2:$D$1278,2,0)</f>
        <v>家具产品</v>
      </c>
    </row>
    <row r="3738" spans="1:20">
      <c r="A3738" s="8">
        <f>DATE(2012,12,31)-669</f>
        <v>40605</v>
      </c>
      <c r="B3738" s="8">
        <f>DATE(2012,12,31)-669</f>
        <v>40605</v>
      </c>
      <c r="C3738" s="9" t="s">
        <v>571</v>
      </c>
      <c r="D3738">
        <v>10021577257</v>
      </c>
      <c r="E3738" t="s">
        <v>47</v>
      </c>
      <c r="F3738" t="s">
        <v>230</v>
      </c>
      <c r="G3738" t="s">
        <v>231</v>
      </c>
      <c r="H3738" t="s">
        <v>2174</v>
      </c>
      <c r="I3738" t="s">
        <v>2175</v>
      </c>
      <c r="J3738" t="s">
        <v>52</v>
      </c>
      <c r="K3738" s="3">
        <v>10097514931</v>
      </c>
      <c r="L3738" s="10">
        <v>40610</v>
      </c>
      <c r="M3738">
        <v>441.8045</v>
      </c>
      <c r="N3738" s="11">
        <v>8</v>
      </c>
      <c r="O3738" s="12">
        <v>65.99</v>
      </c>
      <c r="P3738" s="12">
        <v>7.69</v>
      </c>
      <c r="Q3738" s="13">
        <v>-201.487</v>
      </c>
      <c r="R3738" s="36" t="s">
        <v>246</v>
      </c>
      <c r="S3738" s="7">
        <f t="shared" si="316"/>
        <v>5</v>
      </c>
      <c r="T3738" s="15" t="str">
        <f>VLOOKUP(R3738,产品分类!$C$2:$D$1278,2,0)</f>
        <v>办公用品</v>
      </c>
    </row>
    <row r="3739" spans="1:20">
      <c r="A3739" s="8">
        <f>DATE(2012,12,31)-1424</f>
        <v>39850</v>
      </c>
      <c r="B3739" s="8">
        <f>DATE(2012,12,31)-1424</f>
        <v>39850</v>
      </c>
      <c r="C3739" s="9" t="s">
        <v>689</v>
      </c>
      <c r="D3739">
        <v>10021388259</v>
      </c>
      <c r="E3739" t="s">
        <v>47</v>
      </c>
      <c r="F3739" t="s">
        <v>91</v>
      </c>
      <c r="G3739" t="s">
        <v>92</v>
      </c>
      <c r="H3739" t="s">
        <v>2053</v>
      </c>
      <c r="I3739" t="s">
        <v>2054</v>
      </c>
      <c r="J3739" t="s">
        <v>52</v>
      </c>
      <c r="K3739" s="3">
        <v>100126964346</v>
      </c>
      <c r="L3739" s="10">
        <v>39852</v>
      </c>
      <c r="M3739">
        <v>1838.18</v>
      </c>
      <c r="N3739" s="11">
        <v>2</v>
      </c>
      <c r="O3739" s="12">
        <v>999.99</v>
      </c>
      <c r="P3739" s="12">
        <v>13.99</v>
      </c>
      <c r="Q3739" s="13">
        <v>-2531.4825</v>
      </c>
      <c r="R3739" s="36" t="s">
        <v>1576</v>
      </c>
      <c r="S3739" s="7">
        <f t="shared" si="316"/>
        <v>2</v>
      </c>
      <c r="T3739" s="15" t="str">
        <f>VLOOKUP(R3739,产品分类!$C$2:$D$1278,2,0)</f>
        <v>办公用品</v>
      </c>
    </row>
    <row r="3740" spans="1:20">
      <c r="A3740" s="8">
        <f t="shared" ref="A3740:B3742" si="318">DATE(2012,12,31)-4</f>
        <v>41270</v>
      </c>
      <c r="B3740" s="8">
        <f t="shared" si="318"/>
        <v>41270</v>
      </c>
      <c r="C3740" s="9" t="s">
        <v>2012</v>
      </c>
      <c r="D3740">
        <v>10021460414</v>
      </c>
      <c r="E3740" t="s">
        <v>47</v>
      </c>
      <c r="F3740" t="s">
        <v>253</v>
      </c>
      <c r="G3740" t="s">
        <v>254</v>
      </c>
      <c r="H3740" t="s">
        <v>2193</v>
      </c>
      <c r="I3740" t="s">
        <v>2194</v>
      </c>
      <c r="J3740" t="s">
        <v>52</v>
      </c>
      <c r="K3740" s="3">
        <v>10093832581</v>
      </c>
      <c r="L3740" s="10">
        <v>41270</v>
      </c>
      <c r="M3740">
        <v>173.11</v>
      </c>
      <c r="N3740" s="11">
        <v>37</v>
      </c>
      <c r="O3740" s="12">
        <v>4.37</v>
      </c>
      <c r="P3740" s="12">
        <v>5.15</v>
      </c>
      <c r="Q3740" s="13">
        <v>-121.58</v>
      </c>
      <c r="R3740" s="36" t="s">
        <v>1235</v>
      </c>
      <c r="S3740" s="7">
        <f t="shared" si="316"/>
        <v>0</v>
      </c>
      <c r="T3740" s="15" t="str">
        <f>VLOOKUP(R3740,产品分类!$C$2:$D$1278,2,0)</f>
        <v>办公用品</v>
      </c>
    </row>
    <row r="3741" spans="1:20">
      <c r="A3741" s="8">
        <f t="shared" si="318"/>
        <v>41270</v>
      </c>
      <c r="B3741" s="8">
        <f t="shared" si="318"/>
        <v>41270</v>
      </c>
      <c r="C3741" s="9" t="s">
        <v>2012</v>
      </c>
      <c r="D3741">
        <v>10021497332</v>
      </c>
      <c r="E3741" t="s">
        <v>47</v>
      </c>
      <c r="F3741" t="s">
        <v>83</v>
      </c>
      <c r="G3741" t="s">
        <v>84</v>
      </c>
      <c r="H3741" t="s">
        <v>2231</v>
      </c>
      <c r="I3741" t="s">
        <v>2232</v>
      </c>
      <c r="J3741" t="s">
        <v>52</v>
      </c>
      <c r="K3741" s="3">
        <v>100417257224</v>
      </c>
      <c r="L3741" s="10">
        <v>41272</v>
      </c>
      <c r="M3741">
        <v>86.68</v>
      </c>
      <c r="N3741" s="11">
        <v>11</v>
      </c>
      <c r="O3741" s="12">
        <v>3.48</v>
      </c>
      <c r="P3741" s="12">
        <v>49</v>
      </c>
      <c r="Q3741" s="13">
        <v>-474.91</v>
      </c>
      <c r="R3741" s="36" t="s">
        <v>2255</v>
      </c>
      <c r="S3741" s="7">
        <f t="shared" si="316"/>
        <v>2</v>
      </c>
      <c r="T3741" s="15" t="str">
        <f>VLOOKUP(R3741,产品分类!$C$2:$D$1278,2,0)</f>
        <v>办公用品</v>
      </c>
    </row>
    <row r="3742" spans="1:20">
      <c r="A3742" s="8">
        <f t="shared" si="318"/>
        <v>41270</v>
      </c>
      <c r="B3742" s="8">
        <f t="shared" si="318"/>
        <v>41270</v>
      </c>
      <c r="C3742" s="9" t="s">
        <v>2012</v>
      </c>
      <c r="D3742">
        <v>10021349590</v>
      </c>
      <c r="E3742" t="s">
        <v>47</v>
      </c>
      <c r="F3742" t="s">
        <v>91</v>
      </c>
      <c r="G3742" t="s">
        <v>92</v>
      </c>
      <c r="H3742" t="s">
        <v>2053</v>
      </c>
      <c r="I3742" t="s">
        <v>2054</v>
      </c>
      <c r="J3742" t="s">
        <v>52</v>
      </c>
      <c r="K3742" s="3">
        <v>100131880307</v>
      </c>
      <c r="L3742" s="10">
        <v>41271</v>
      </c>
      <c r="M3742">
        <v>833.51</v>
      </c>
      <c r="N3742" s="11">
        <v>41</v>
      </c>
      <c r="O3742" s="12">
        <v>20.98</v>
      </c>
      <c r="P3742" s="12">
        <v>1.49</v>
      </c>
      <c r="Q3742" s="13">
        <v>364.99</v>
      </c>
      <c r="R3742" s="36" t="s">
        <v>1155</v>
      </c>
      <c r="S3742" s="7">
        <f t="shared" si="316"/>
        <v>1</v>
      </c>
      <c r="T3742" s="15" t="str">
        <f>VLOOKUP(R3742,产品分类!$C$2:$D$1278,2,0)</f>
        <v>家具产品</v>
      </c>
    </row>
    <row r="3743" spans="1:20">
      <c r="A3743" s="8">
        <f t="shared" ref="A3743:B3745" si="319">DATE(2012,12,31)-235</f>
        <v>41039</v>
      </c>
      <c r="B3743" s="8">
        <f t="shared" si="319"/>
        <v>41039</v>
      </c>
      <c r="C3743" s="9" t="s">
        <v>213</v>
      </c>
      <c r="D3743">
        <v>10021389525</v>
      </c>
      <c r="E3743" t="s">
        <v>47</v>
      </c>
      <c r="F3743" t="s">
        <v>122</v>
      </c>
      <c r="G3743" t="s">
        <v>123</v>
      </c>
      <c r="H3743" t="s">
        <v>2159</v>
      </c>
      <c r="I3743" t="s">
        <v>2160</v>
      </c>
      <c r="J3743" t="s">
        <v>52</v>
      </c>
      <c r="K3743" s="3">
        <v>100131632528</v>
      </c>
      <c r="L3743" s="10">
        <v>41039</v>
      </c>
      <c r="M3743">
        <v>767.26</v>
      </c>
      <c r="N3743" s="11">
        <v>25</v>
      </c>
      <c r="O3743" s="12">
        <v>30.97</v>
      </c>
      <c r="P3743" s="12">
        <v>4</v>
      </c>
      <c r="Q3743" s="13">
        <v>-29.56</v>
      </c>
      <c r="R3743" s="36" t="s">
        <v>969</v>
      </c>
      <c r="S3743" s="7">
        <f t="shared" si="316"/>
        <v>0</v>
      </c>
      <c r="T3743" s="15" t="str">
        <f>VLOOKUP(R3743,产品分类!$C$2:$D$1278,2,0)</f>
        <v>家具产品</v>
      </c>
    </row>
    <row r="3744" spans="1:20">
      <c r="A3744" s="8">
        <f t="shared" si="319"/>
        <v>41039</v>
      </c>
      <c r="B3744" s="8">
        <f t="shared" si="319"/>
        <v>41039</v>
      </c>
      <c r="C3744" s="9" t="s">
        <v>213</v>
      </c>
      <c r="D3744">
        <v>10021499347</v>
      </c>
      <c r="E3744" t="s">
        <v>47</v>
      </c>
      <c r="F3744" t="s">
        <v>55</v>
      </c>
      <c r="G3744" t="s">
        <v>56</v>
      </c>
      <c r="H3744" t="s">
        <v>2197</v>
      </c>
      <c r="I3744" t="s">
        <v>2198</v>
      </c>
      <c r="J3744" t="s">
        <v>52</v>
      </c>
      <c r="K3744" s="3">
        <v>100324248389</v>
      </c>
      <c r="L3744" s="10">
        <v>41041</v>
      </c>
      <c r="M3744">
        <v>253.89</v>
      </c>
      <c r="N3744" s="11">
        <v>40</v>
      </c>
      <c r="O3744" s="12">
        <v>6.48</v>
      </c>
      <c r="P3744" s="12">
        <v>6.22</v>
      </c>
      <c r="Q3744" s="13">
        <v>-103.77</v>
      </c>
      <c r="R3744" s="36" t="s">
        <v>1393</v>
      </c>
      <c r="S3744" s="7">
        <f t="shared" si="316"/>
        <v>2</v>
      </c>
      <c r="T3744" s="15" t="str">
        <f>VLOOKUP(R3744,产品分类!$C$2:$D$1278,2,0)</f>
        <v>家具产品</v>
      </c>
    </row>
    <row r="3745" spans="1:20">
      <c r="A3745" s="8">
        <f t="shared" si="319"/>
        <v>41039</v>
      </c>
      <c r="B3745" s="8">
        <f t="shared" si="319"/>
        <v>41039</v>
      </c>
      <c r="C3745" s="9" t="s">
        <v>213</v>
      </c>
      <c r="D3745">
        <v>10021249243</v>
      </c>
      <c r="E3745" t="s">
        <v>47</v>
      </c>
      <c r="F3745" t="s">
        <v>122</v>
      </c>
      <c r="G3745" t="s">
        <v>123</v>
      </c>
      <c r="H3745" t="s">
        <v>2159</v>
      </c>
      <c r="I3745" t="s">
        <v>2160</v>
      </c>
      <c r="J3745" t="s">
        <v>52</v>
      </c>
      <c r="K3745" s="3">
        <v>10094504341</v>
      </c>
      <c r="L3745" s="10">
        <v>41041</v>
      </c>
      <c r="M3745">
        <v>127.9</v>
      </c>
      <c r="N3745" s="11">
        <v>20</v>
      </c>
      <c r="O3745" s="12">
        <v>6.48</v>
      </c>
      <c r="P3745" s="12">
        <v>7.37</v>
      </c>
      <c r="Q3745" s="13">
        <v>-80.41</v>
      </c>
      <c r="R3745" s="36" t="s">
        <v>1045</v>
      </c>
      <c r="S3745" s="7">
        <f t="shared" si="316"/>
        <v>2</v>
      </c>
      <c r="T3745" s="15" t="str">
        <f>VLOOKUP(R3745,产品分类!$C$2:$D$1278,2,0)</f>
        <v>数码电子</v>
      </c>
    </row>
    <row r="3746" spans="1:20">
      <c r="A3746" s="8">
        <f>DATE(2012,12,31)-1318</f>
        <v>39956</v>
      </c>
      <c r="B3746" s="8">
        <f>DATE(2012,12,31)-1318</f>
        <v>39956</v>
      </c>
      <c r="C3746" s="9" t="s">
        <v>1757</v>
      </c>
      <c r="D3746">
        <v>10021350906</v>
      </c>
      <c r="E3746" t="s">
        <v>47</v>
      </c>
      <c r="F3746" t="s">
        <v>55</v>
      </c>
      <c r="G3746" t="s">
        <v>56</v>
      </c>
      <c r="H3746" t="s">
        <v>2197</v>
      </c>
      <c r="I3746" t="s">
        <v>2198</v>
      </c>
      <c r="J3746" t="s">
        <v>52</v>
      </c>
      <c r="K3746" s="3">
        <v>100432191383</v>
      </c>
      <c r="L3746" s="10">
        <v>39958</v>
      </c>
      <c r="M3746">
        <v>3519.12</v>
      </c>
      <c r="N3746" s="11">
        <v>46</v>
      </c>
      <c r="O3746" s="12">
        <v>77.51</v>
      </c>
      <c r="P3746" s="12">
        <v>4</v>
      </c>
      <c r="Q3746" s="13">
        <v>315.33</v>
      </c>
      <c r="R3746" s="36" t="s">
        <v>2136</v>
      </c>
      <c r="S3746" s="7">
        <f t="shared" si="316"/>
        <v>2</v>
      </c>
      <c r="T3746" s="15" t="str">
        <f>VLOOKUP(R3746,产品分类!$C$2:$D$1278,2,0)</f>
        <v>办公用品</v>
      </c>
    </row>
    <row r="3747" spans="1:20">
      <c r="A3747" s="8">
        <f>DATE(2012,12,31)-1318</f>
        <v>39956</v>
      </c>
      <c r="B3747" s="8">
        <f>DATE(2012,12,31)-1318</f>
        <v>39956</v>
      </c>
      <c r="C3747" s="9" t="s">
        <v>1757</v>
      </c>
      <c r="D3747">
        <v>10021269055</v>
      </c>
      <c r="E3747" t="s">
        <v>47</v>
      </c>
      <c r="F3747" t="s">
        <v>122</v>
      </c>
      <c r="G3747" t="s">
        <v>123</v>
      </c>
      <c r="H3747" t="s">
        <v>2159</v>
      </c>
      <c r="I3747" t="s">
        <v>2160</v>
      </c>
      <c r="J3747" t="s">
        <v>52</v>
      </c>
      <c r="K3747" s="3">
        <v>100132427877</v>
      </c>
      <c r="L3747" s="10">
        <v>39958</v>
      </c>
      <c r="M3747">
        <v>108.33</v>
      </c>
      <c r="N3747" s="11">
        <v>37</v>
      </c>
      <c r="O3747" s="12">
        <v>2.88</v>
      </c>
      <c r="P3747" s="12">
        <v>0.7</v>
      </c>
      <c r="Q3747" s="13">
        <v>17</v>
      </c>
      <c r="R3747" s="36" t="s">
        <v>100</v>
      </c>
      <c r="S3747" s="7">
        <f t="shared" si="316"/>
        <v>2</v>
      </c>
      <c r="T3747" s="15" t="str">
        <f>VLOOKUP(R3747,产品分类!$C$2:$D$1278,2,0)</f>
        <v>数码电子</v>
      </c>
    </row>
    <row r="3748" spans="1:20">
      <c r="A3748" s="16">
        <f>DATE(2012,12,31)-341</f>
        <v>40933</v>
      </c>
      <c r="B3748" s="16">
        <f>DATE(2012,12,31)-341</f>
        <v>40933</v>
      </c>
      <c r="C3748" s="9" t="s">
        <v>945</v>
      </c>
      <c r="D3748">
        <v>10021303405</v>
      </c>
      <c r="E3748" t="s">
        <v>47</v>
      </c>
      <c r="F3748" t="s">
        <v>55</v>
      </c>
      <c r="G3748" t="s">
        <v>56</v>
      </c>
      <c r="H3748" t="s">
        <v>2197</v>
      </c>
      <c r="I3748" t="s">
        <v>2198</v>
      </c>
      <c r="J3748" t="s">
        <v>52</v>
      </c>
      <c r="K3748" s="3">
        <v>100431912004</v>
      </c>
      <c r="L3748" s="10">
        <v>40935</v>
      </c>
      <c r="M3748">
        <v>251.11</v>
      </c>
      <c r="N3748" s="17">
        <v>30</v>
      </c>
      <c r="O3748" s="5">
        <v>7.84</v>
      </c>
      <c r="P3748" s="5">
        <v>4.71</v>
      </c>
      <c r="Q3748" s="6">
        <v>10.0385</v>
      </c>
      <c r="R3748" s="37" t="s">
        <v>817</v>
      </c>
      <c r="S3748" s="7">
        <f t="shared" si="316"/>
        <v>2</v>
      </c>
      <c r="T3748" s="15" t="str">
        <f>VLOOKUP(R3748,产品分类!$C$2:$D$1278,2,0)</f>
        <v>办公用品</v>
      </c>
    </row>
    <row r="3749" spans="1:20">
      <c r="A3749" s="8">
        <f>DATE(2012,12,31)-892</f>
        <v>40382</v>
      </c>
      <c r="B3749" s="8">
        <f>DATE(2012,12,31)-892</f>
        <v>40382</v>
      </c>
      <c r="C3749" s="9" t="s">
        <v>785</v>
      </c>
      <c r="D3749">
        <v>10021349512</v>
      </c>
      <c r="E3749" t="s">
        <v>47</v>
      </c>
      <c r="F3749" t="s">
        <v>91</v>
      </c>
      <c r="G3749" t="s">
        <v>92</v>
      </c>
      <c r="H3749" t="s">
        <v>2053</v>
      </c>
      <c r="I3749" t="s">
        <v>2054</v>
      </c>
      <c r="J3749" t="s">
        <v>52</v>
      </c>
      <c r="K3749" s="3">
        <v>100131871596</v>
      </c>
      <c r="L3749" s="10">
        <v>40383</v>
      </c>
      <c r="M3749">
        <v>1466.95</v>
      </c>
      <c r="N3749" s="11">
        <v>12</v>
      </c>
      <c r="O3749" s="12">
        <v>120.98</v>
      </c>
      <c r="P3749" s="12">
        <v>30</v>
      </c>
      <c r="Q3749" s="13">
        <v>-64.14</v>
      </c>
      <c r="R3749" s="36" t="s">
        <v>750</v>
      </c>
      <c r="S3749" s="7">
        <f t="shared" si="316"/>
        <v>1</v>
      </c>
      <c r="T3749" s="15" t="str">
        <f>VLOOKUP(R3749,产品分类!$C$2:$D$1278,2,0)</f>
        <v>办公用品</v>
      </c>
    </row>
    <row r="3750" spans="1:20">
      <c r="A3750" s="8">
        <f>DATE(2012,12,31)-892</f>
        <v>40382</v>
      </c>
      <c r="B3750" s="8">
        <f>DATE(2012,12,31)-892</f>
        <v>40382</v>
      </c>
      <c r="C3750" s="9" t="s">
        <v>785</v>
      </c>
      <c r="D3750">
        <v>10021432001</v>
      </c>
      <c r="E3750" t="s">
        <v>47</v>
      </c>
      <c r="F3750" t="s">
        <v>91</v>
      </c>
      <c r="G3750" t="s">
        <v>92</v>
      </c>
      <c r="H3750" t="s">
        <v>2053</v>
      </c>
      <c r="I3750" t="s">
        <v>2054</v>
      </c>
      <c r="J3750" t="s">
        <v>52</v>
      </c>
      <c r="K3750" s="3">
        <v>100332275849</v>
      </c>
      <c r="L3750" s="10">
        <v>40383</v>
      </c>
      <c r="M3750">
        <v>440.23</v>
      </c>
      <c r="N3750" s="11">
        <v>33</v>
      </c>
      <c r="O3750" s="12">
        <v>13.99</v>
      </c>
      <c r="P3750" s="12">
        <v>7.51</v>
      </c>
      <c r="Q3750" s="13">
        <v>-37.9407</v>
      </c>
      <c r="R3750" s="36" t="s">
        <v>397</v>
      </c>
      <c r="S3750" s="7">
        <f t="shared" si="316"/>
        <v>1</v>
      </c>
      <c r="T3750" s="15" t="str">
        <f>VLOOKUP(R3750,产品分类!$C$2:$D$1278,2,0)</f>
        <v>办公用品</v>
      </c>
    </row>
    <row r="3751" spans="1:20">
      <c r="A3751" s="8">
        <f>DATE(2012,12,31)-999</f>
        <v>40275</v>
      </c>
      <c r="B3751" s="8">
        <f>DATE(2012,12,31)-999</f>
        <v>40275</v>
      </c>
      <c r="C3751" s="9" t="s">
        <v>904</v>
      </c>
      <c r="D3751">
        <v>10021384577</v>
      </c>
      <c r="E3751" t="s">
        <v>47</v>
      </c>
      <c r="F3751" t="s">
        <v>91</v>
      </c>
      <c r="G3751" t="s">
        <v>92</v>
      </c>
      <c r="H3751" t="s">
        <v>2053</v>
      </c>
      <c r="I3751" t="s">
        <v>2054</v>
      </c>
      <c r="J3751" t="s">
        <v>52</v>
      </c>
      <c r="K3751" s="3">
        <v>100132548468</v>
      </c>
      <c r="L3751" s="10">
        <v>40276</v>
      </c>
      <c r="M3751">
        <v>296.94</v>
      </c>
      <c r="N3751" s="11">
        <v>29</v>
      </c>
      <c r="O3751" s="12">
        <v>10.98</v>
      </c>
      <c r="P3751" s="12">
        <v>3.99</v>
      </c>
      <c r="Q3751" s="13">
        <v>-25.41</v>
      </c>
      <c r="R3751" s="36" t="s">
        <v>1382</v>
      </c>
      <c r="S3751" s="7">
        <f t="shared" si="316"/>
        <v>1</v>
      </c>
      <c r="T3751" s="15" t="str">
        <f>VLOOKUP(R3751,产品分类!$C$2:$D$1278,2,0)</f>
        <v>办公用品</v>
      </c>
    </row>
    <row r="3752" spans="1:20">
      <c r="A3752" s="8">
        <f>DATE(2012,12,31)-469</f>
        <v>40805</v>
      </c>
      <c r="B3752" s="8">
        <f>DATE(2012,12,31)-469</f>
        <v>40805</v>
      </c>
      <c r="C3752" s="9" t="s">
        <v>2146</v>
      </c>
      <c r="D3752">
        <v>10021459524</v>
      </c>
      <c r="E3752" t="s">
        <v>47</v>
      </c>
      <c r="F3752" t="s">
        <v>91</v>
      </c>
      <c r="G3752" t="s">
        <v>92</v>
      </c>
      <c r="H3752" t="s">
        <v>2053</v>
      </c>
      <c r="I3752" t="s">
        <v>2054</v>
      </c>
      <c r="J3752" t="s">
        <v>52</v>
      </c>
      <c r="K3752" s="3">
        <v>10071861185</v>
      </c>
      <c r="L3752" s="10">
        <v>40807</v>
      </c>
      <c r="M3752">
        <v>1119.91</v>
      </c>
      <c r="N3752" s="11">
        <v>25</v>
      </c>
      <c r="O3752" s="12">
        <v>48.04</v>
      </c>
      <c r="P3752" s="12">
        <v>5.79</v>
      </c>
      <c r="Q3752" s="13">
        <v>434.71</v>
      </c>
      <c r="R3752" s="36" t="s">
        <v>2111</v>
      </c>
      <c r="S3752" s="7">
        <f t="shared" si="316"/>
        <v>2</v>
      </c>
      <c r="T3752" s="15" t="str">
        <f>VLOOKUP(R3752,产品分类!$C$2:$D$1278,2,0)</f>
        <v>数码电子</v>
      </c>
    </row>
    <row r="3753" spans="1:20">
      <c r="A3753" s="16">
        <f>DATE(2012,12,31)-612</f>
        <v>40662</v>
      </c>
      <c r="B3753" s="16">
        <f>DATE(2012,12,31)-612</f>
        <v>40662</v>
      </c>
      <c r="C3753" s="9" t="s">
        <v>311</v>
      </c>
      <c r="D3753">
        <v>10021413495</v>
      </c>
      <c r="E3753" t="s">
        <v>47</v>
      </c>
      <c r="F3753" t="s">
        <v>91</v>
      </c>
      <c r="G3753" t="s">
        <v>92</v>
      </c>
      <c r="H3753" t="s">
        <v>2053</v>
      </c>
      <c r="I3753" t="s">
        <v>2054</v>
      </c>
      <c r="J3753" t="s">
        <v>52</v>
      </c>
      <c r="K3753" s="3">
        <v>1008573302</v>
      </c>
      <c r="L3753" s="10">
        <v>40669</v>
      </c>
      <c r="M3753">
        <v>500.48</v>
      </c>
      <c r="N3753" s="17">
        <v>45</v>
      </c>
      <c r="O3753" s="5">
        <v>11.29</v>
      </c>
      <c r="P3753" s="5">
        <v>5.03</v>
      </c>
      <c r="Q3753" s="6">
        <v>-48.2</v>
      </c>
      <c r="R3753" s="37" t="s">
        <v>1138</v>
      </c>
      <c r="S3753" s="7">
        <f t="shared" si="316"/>
        <v>7</v>
      </c>
      <c r="T3753" s="15" t="str">
        <f>VLOOKUP(R3753,产品分类!$C$2:$D$1278,2,0)</f>
        <v>办公用品</v>
      </c>
    </row>
    <row r="3754" spans="1:20">
      <c r="A3754" s="8">
        <f t="shared" ref="A3754:B3756" si="320">DATE(2012,12,31)-358</f>
        <v>40916</v>
      </c>
      <c r="B3754" s="8">
        <f t="shared" si="320"/>
        <v>40916</v>
      </c>
      <c r="C3754" s="9" t="s">
        <v>2256</v>
      </c>
      <c r="D3754">
        <v>10021395797</v>
      </c>
      <c r="E3754" t="s">
        <v>47</v>
      </c>
      <c r="F3754" t="s">
        <v>91</v>
      </c>
      <c r="G3754" t="s">
        <v>92</v>
      </c>
      <c r="H3754" t="s">
        <v>2053</v>
      </c>
      <c r="I3754" t="s">
        <v>2054</v>
      </c>
      <c r="J3754" t="s">
        <v>52</v>
      </c>
      <c r="K3754" s="3">
        <v>10048515353</v>
      </c>
      <c r="L3754" s="10">
        <v>40917</v>
      </c>
      <c r="M3754">
        <v>202.84</v>
      </c>
      <c r="N3754" s="11">
        <v>23</v>
      </c>
      <c r="O3754" s="12">
        <v>8.85</v>
      </c>
      <c r="P3754" s="12">
        <v>5.6</v>
      </c>
      <c r="Q3754" s="13">
        <v>-19.481</v>
      </c>
      <c r="R3754" s="36" t="s">
        <v>1281</v>
      </c>
      <c r="S3754" s="7">
        <f t="shared" si="316"/>
        <v>1</v>
      </c>
      <c r="T3754" s="15" t="str">
        <f>VLOOKUP(R3754,产品分类!$C$2:$D$1278,2,0)</f>
        <v>办公用品</v>
      </c>
    </row>
    <row r="3755" spans="1:20">
      <c r="A3755" s="8">
        <f t="shared" si="320"/>
        <v>40916</v>
      </c>
      <c r="B3755" s="8">
        <f t="shared" si="320"/>
        <v>40916</v>
      </c>
      <c r="C3755" s="9" t="s">
        <v>2256</v>
      </c>
      <c r="D3755">
        <v>10021264980</v>
      </c>
      <c r="E3755" t="s">
        <v>47</v>
      </c>
      <c r="F3755" t="s">
        <v>91</v>
      </c>
      <c r="G3755" t="s">
        <v>92</v>
      </c>
      <c r="H3755" t="s">
        <v>2053</v>
      </c>
      <c r="I3755" t="s">
        <v>2054</v>
      </c>
      <c r="J3755" t="s">
        <v>52</v>
      </c>
      <c r="K3755" s="3">
        <v>100831247382</v>
      </c>
      <c r="L3755" s="10">
        <v>40918</v>
      </c>
      <c r="M3755">
        <v>78.39</v>
      </c>
      <c r="N3755" s="11">
        <v>5</v>
      </c>
      <c r="O3755" s="12">
        <v>11.97</v>
      </c>
      <c r="P3755" s="12">
        <v>4.98</v>
      </c>
      <c r="Q3755" s="13">
        <v>-5.16</v>
      </c>
      <c r="R3755" s="36" t="s">
        <v>1833</v>
      </c>
      <c r="S3755" s="7">
        <f t="shared" si="316"/>
        <v>2</v>
      </c>
      <c r="T3755" s="15" t="str">
        <f>VLOOKUP(R3755,产品分类!$C$2:$D$1278,2,0)</f>
        <v>办公用品</v>
      </c>
    </row>
    <row r="3756" spans="1:20">
      <c r="A3756" s="8">
        <f t="shared" si="320"/>
        <v>40916</v>
      </c>
      <c r="B3756" s="8">
        <f t="shared" si="320"/>
        <v>40916</v>
      </c>
      <c r="C3756" s="9" t="s">
        <v>2256</v>
      </c>
      <c r="D3756">
        <v>10021581570</v>
      </c>
      <c r="E3756" t="s">
        <v>47</v>
      </c>
      <c r="F3756" t="s">
        <v>91</v>
      </c>
      <c r="G3756" t="s">
        <v>92</v>
      </c>
      <c r="H3756" t="s">
        <v>2053</v>
      </c>
      <c r="I3756" t="s">
        <v>2054</v>
      </c>
      <c r="J3756" t="s">
        <v>52</v>
      </c>
      <c r="K3756" s="3">
        <v>100424589723</v>
      </c>
      <c r="L3756" s="10">
        <v>40917</v>
      </c>
      <c r="M3756">
        <v>251.34</v>
      </c>
      <c r="N3756" s="11">
        <v>36</v>
      </c>
      <c r="O3756" s="12">
        <v>7.3</v>
      </c>
      <c r="P3756" s="12">
        <v>7.72</v>
      </c>
      <c r="Q3756" s="13">
        <v>-162.196</v>
      </c>
      <c r="R3756" s="36" t="s">
        <v>295</v>
      </c>
      <c r="S3756" s="7">
        <f t="shared" si="316"/>
        <v>1</v>
      </c>
      <c r="T3756" s="15" t="str">
        <f>VLOOKUP(R3756,产品分类!$C$2:$D$1278,2,0)</f>
        <v>办公用品</v>
      </c>
    </row>
    <row r="3757" spans="1:20">
      <c r="A3757" s="8">
        <f>DATE(2012,12,31)-526</f>
        <v>40748</v>
      </c>
      <c r="B3757" s="8">
        <f>DATE(2012,12,31)-526</f>
        <v>40748</v>
      </c>
      <c r="C3757" s="9" t="s">
        <v>2257</v>
      </c>
      <c r="D3757">
        <v>10021259761</v>
      </c>
      <c r="E3757" t="s">
        <v>47</v>
      </c>
      <c r="F3757" t="s">
        <v>48</v>
      </c>
      <c r="G3757" t="s">
        <v>49</v>
      </c>
      <c r="H3757" t="s">
        <v>2183</v>
      </c>
      <c r="I3757" t="s">
        <v>2184</v>
      </c>
      <c r="J3757" t="s">
        <v>52</v>
      </c>
      <c r="K3757" s="3">
        <v>100128056388</v>
      </c>
      <c r="L3757" s="10">
        <v>40750</v>
      </c>
      <c r="M3757">
        <v>73.64</v>
      </c>
      <c r="N3757" s="11">
        <v>44</v>
      </c>
      <c r="O3757" s="12">
        <v>1.7</v>
      </c>
      <c r="P3757" s="12">
        <v>1.99</v>
      </c>
      <c r="Q3757" s="13">
        <v>-58.87</v>
      </c>
      <c r="R3757" s="36" t="s">
        <v>1962</v>
      </c>
      <c r="S3757" s="7">
        <f t="shared" si="316"/>
        <v>2</v>
      </c>
      <c r="T3757" s="15" t="str">
        <f>VLOOKUP(R3757,产品分类!$C$2:$D$1278,2,0)</f>
        <v>数码电子</v>
      </c>
    </row>
    <row r="3758" spans="1:20">
      <c r="A3758" s="16">
        <f>DATE(2012,12,31)-1031</f>
        <v>40243</v>
      </c>
      <c r="B3758" s="16">
        <f>DATE(2012,12,31)-1031</f>
        <v>40243</v>
      </c>
      <c r="C3758" s="9" t="s">
        <v>386</v>
      </c>
      <c r="D3758">
        <v>10021447412</v>
      </c>
      <c r="E3758" t="s">
        <v>47</v>
      </c>
      <c r="F3758" t="s">
        <v>132</v>
      </c>
      <c r="G3758" t="s">
        <v>133</v>
      </c>
      <c r="H3758" t="s">
        <v>134</v>
      </c>
      <c r="I3758" t="s">
        <v>133</v>
      </c>
      <c r="J3758" t="s">
        <v>52</v>
      </c>
      <c r="K3758" s="3">
        <v>100723661525</v>
      </c>
      <c r="L3758" s="10">
        <v>40245</v>
      </c>
      <c r="M3758">
        <v>15.81</v>
      </c>
      <c r="N3758" s="17">
        <v>2</v>
      </c>
      <c r="O3758" s="5">
        <v>4.98</v>
      </c>
      <c r="P3758" s="5">
        <v>6.07</v>
      </c>
      <c r="Q3758" s="6">
        <v>-9.88</v>
      </c>
      <c r="R3758" s="37" t="s">
        <v>1586</v>
      </c>
      <c r="S3758" s="7">
        <f t="shared" si="316"/>
        <v>2</v>
      </c>
      <c r="T3758" s="15" t="str">
        <f>VLOOKUP(R3758,产品分类!$C$2:$D$1278,2,0)</f>
        <v>家具产品</v>
      </c>
    </row>
    <row r="3759" spans="1:20">
      <c r="A3759" s="16">
        <f>DATE(2012,12,31)-202</f>
        <v>41072</v>
      </c>
      <c r="B3759" s="16">
        <f>DATE(2012,12,31)-202</f>
        <v>41072</v>
      </c>
      <c r="C3759" s="9" t="s">
        <v>1485</v>
      </c>
      <c r="D3759">
        <v>10021433653</v>
      </c>
      <c r="E3759" t="s">
        <v>47</v>
      </c>
      <c r="F3759" t="s">
        <v>102</v>
      </c>
      <c r="G3759" t="s">
        <v>103</v>
      </c>
      <c r="H3759" t="s">
        <v>2236</v>
      </c>
      <c r="I3759" t="s">
        <v>2237</v>
      </c>
      <c r="J3759" t="s">
        <v>52</v>
      </c>
      <c r="K3759" s="3">
        <v>100932626741</v>
      </c>
      <c r="L3759" s="10">
        <v>41076</v>
      </c>
      <c r="M3759">
        <v>64.44</v>
      </c>
      <c r="N3759" s="17">
        <v>21</v>
      </c>
      <c r="O3759" s="5">
        <v>2.66</v>
      </c>
      <c r="P3759" s="5">
        <v>6.35</v>
      </c>
      <c r="Q3759" s="6">
        <v>-89.02</v>
      </c>
      <c r="R3759" s="37" t="s">
        <v>2258</v>
      </c>
      <c r="S3759" s="7">
        <f t="shared" si="316"/>
        <v>4</v>
      </c>
      <c r="T3759" s="15" t="str">
        <f>VLOOKUP(R3759,产品分类!$C$2:$D$1278,2,0)</f>
        <v>数码电子</v>
      </c>
    </row>
    <row r="3760" spans="1:20">
      <c r="A3760" s="8">
        <f>DATE(2012,12,31)-1289</f>
        <v>39985</v>
      </c>
      <c r="B3760" s="8">
        <f>DATE(2012,12,31)-1289</f>
        <v>39985</v>
      </c>
      <c r="C3760" s="9" t="s">
        <v>2259</v>
      </c>
      <c r="D3760">
        <v>10021540223</v>
      </c>
      <c r="E3760" t="s">
        <v>47</v>
      </c>
      <c r="F3760" t="s">
        <v>137</v>
      </c>
      <c r="G3760" t="s">
        <v>138</v>
      </c>
      <c r="H3760" t="s">
        <v>139</v>
      </c>
      <c r="I3760" t="s">
        <v>140</v>
      </c>
      <c r="J3760" t="s">
        <v>52</v>
      </c>
      <c r="K3760" s="3">
        <v>100814685402</v>
      </c>
      <c r="L3760" s="10">
        <v>39986</v>
      </c>
      <c r="M3760">
        <v>34.11</v>
      </c>
      <c r="N3760" s="11">
        <v>1</v>
      </c>
      <c r="O3760" s="12">
        <v>25.38</v>
      </c>
      <c r="P3760" s="12">
        <v>8.99</v>
      </c>
      <c r="Q3760" s="13">
        <v>-12.95</v>
      </c>
      <c r="R3760" s="36" t="s">
        <v>992</v>
      </c>
      <c r="S3760" s="7">
        <f t="shared" si="316"/>
        <v>1</v>
      </c>
      <c r="T3760" s="15" t="str">
        <f>VLOOKUP(R3760,产品分类!$C$2:$D$1278,2,0)</f>
        <v>数码电子</v>
      </c>
    </row>
    <row r="3761" spans="1:20">
      <c r="A3761" s="8">
        <f>DATE(2012,12,31)-1387</f>
        <v>39887</v>
      </c>
      <c r="B3761" s="8">
        <f>DATE(2012,12,31)-1387</f>
        <v>39887</v>
      </c>
      <c r="C3761" s="9" t="s">
        <v>1922</v>
      </c>
      <c r="D3761">
        <v>10021511722</v>
      </c>
      <c r="E3761" t="s">
        <v>47</v>
      </c>
      <c r="F3761" t="s">
        <v>102</v>
      </c>
      <c r="G3761" t="s">
        <v>103</v>
      </c>
      <c r="H3761" t="s">
        <v>2236</v>
      </c>
      <c r="I3761" t="s">
        <v>2237</v>
      </c>
      <c r="J3761" t="s">
        <v>52</v>
      </c>
      <c r="K3761" s="3">
        <v>100832735442</v>
      </c>
      <c r="L3761" s="10">
        <v>39888</v>
      </c>
      <c r="M3761">
        <v>396.04</v>
      </c>
      <c r="N3761" s="11">
        <v>13</v>
      </c>
      <c r="O3761" s="12">
        <v>30.93</v>
      </c>
      <c r="P3761" s="12">
        <v>3.92</v>
      </c>
      <c r="Q3761" s="13">
        <v>230.02</v>
      </c>
      <c r="R3761" s="36" t="s">
        <v>106</v>
      </c>
      <c r="S3761" s="7">
        <f t="shared" si="316"/>
        <v>1</v>
      </c>
      <c r="T3761" s="15" t="str">
        <f>VLOOKUP(R3761,产品分类!$C$2:$D$1278,2,0)</f>
        <v>数码电子</v>
      </c>
    </row>
    <row r="3762" spans="1:20">
      <c r="A3762" s="8">
        <f>DATE(2012,12,31)-1248</f>
        <v>40026</v>
      </c>
      <c r="B3762" s="8">
        <f>DATE(2012,12,31)-1248</f>
        <v>40026</v>
      </c>
      <c r="C3762" s="9" t="s">
        <v>1703</v>
      </c>
      <c r="D3762">
        <v>10021250875</v>
      </c>
      <c r="E3762" t="s">
        <v>47</v>
      </c>
      <c r="F3762" t="s">
        <v>122</v>
      </c>
      <c r="G3762" t="s">
        <v>123</v>
      </c>
      <c r="H3762" t="s">
        <v>2159</v>
      </c>
      <c r="I3762" t="s">
        <v>2160</v>
      </c>
      <c r="J3762" t="s">
        <v>52</v>
      </c>
      <c r="K3762" s="3">
        <v>100916125771</v>
      </c>
      <c r="L3762" s="10">
        <v>40030</v>
      </c>
      <c r="M3762">
        <v>10692.97</v>
      </c>
      <c r="N3762" s="11">
        <v>26</v>
      </c>
      <c r="O3762" s="12">
        <v>424.21</v>
      </c>
      <c r="P3762" s="12">
        <v>110.2</v>
      </c>
      <c r="Q3762" s="13">
        <v>-410.39</v>
      </c>
      <c r="R3762" s="36" t="s">
        <v>2260</v>
      </c>
      <c r="S3762" s="7">
        <f t="shared" si="316"/>
        <v>4</v>
      </c>
      <c r="T3762" s="15" t="str">
        <f>VLOOKUP(R3762,产品分类!$C$2:$D$1278,2,0)</f>
        <v>家具产品</v>
      </c>
    </row>
    <row r="3763" spans="1:20">
      <c r="A3763" s="8">
        <f>DATE(2012,12,31)-596</f>
        <v>40678</v>
      </c>
      <c r="B3763" s="8">
        <f>DATE(2012,12,31)-596</f>
        <v>40678</v>
      </c>
      <c r="C3763" s="9" t="s">
        <v>1546</v>
      </c>
      <c r="D3763">
        <v>10021434386</v>
      </c>
      <c r="E3763" t="s">
        <v>47</v>
      </c>
      <c r="F3763" t="s">
        <v>171</v>
      </c>
      <c r="G3763" t="s">
        <v>172</v>
      </c>
      <c r="H3763" t="s">
        <v>2073</v>
      </c>
      <c r="I3763" t="s">
        <v>2074</v>
      </c>
      <c r="J3763" t="s">
        <v>52</v>
      </c>
      <c r="K3763" s="3">
        <v>100432660274</v>
      </c>
      <c r="L3763" s="10">
        <v>40679</v>
      </c>
      <c r="M3763">
        <v>1637.78</v>
      </c>
      <c r="N3763" s="11">
        <v>38</v>
      </c>
      <c r="O3763" s="12">
        <v>42.98</v>
      </c>
      <c r="P3763" s="12">
        <v>4.62</v>
      </c>
      <c r="Q3763" s="13">
        <v>461.65</v>
      </c>
      <c r="R3763" s="36" t="s">
        <v>1763</v>
      </c>
      <c r="S3763" s="7">
        <f t="shared" si="316"/>
        <v>1</v>
      </c>
      <c r="T3763" s="15" t="str">
        <f>VLOOKUP(R3763,产品分类!$C$2:$D$1278,2,0)</f>
        <v>数码电子</v>
      </c>
    </row>
    <row r="3764" spans="1:20">
      <c r="A3764" s="8">
        <f>DATE(2012,12,31)-596</f>
        <v>40678</v>
      </c>
      <c r="B3764" s="8">
        <f>DATE(2012,12,31)-596</f>
        <v>40678</v>
      </c>
      <c r="C3764" s="9" t="s">
        <v>1546</v>
      </c>
      <c r="D3764">
        <v>10021580589</v>
      </c>
      <c r="E3764" t="s">
        <v>47</v>
      </c>
      <c r="F3764" t="s">
        <v>171</v>
      </c>
      <c r="G3764" t="s">
        <v>172</v>
      </c>
      <c r="H3764" t="s">
        <v>2073</v>
      </c>
      <c r="I3764" t="s">
        <v>2074</v>
      </c>
      <c r="J3764" t="s">
        <v>52</v>
      </c>
      <c r="K3764" s="3">
        <v>100123106576</v>
      </c>
      <c r="L3764" s="10">
        <v>40678</v>
      </c>
      <c r="M3764">
        <v>193.84</v>
      </c>
      <c r="N3764" s="11">
        <v>23</v>
      </c>
      <c r="O3764" s="12">
        <v>8.04</v>
      </c>
      <c r="P3764" s="12">
        <v>8.94</v>
      </c>
      <c r="Q3764" s="13">
        <v>-117.1045</v>
      </c>
      <c r="R3764" s="36" t="s">
        <v>1042</v>
      </c>
      <c r="S3764" s="7">
        <f t="shared" si="316"/>
        <v>0</v>
      </c>
      <c r="T3764" s="15" t="str">
        <f>VLOOKUP(R3764,产品分类!$C$2:$D$1278,2,0)</f>
        <v>家具产品</v>
      </c>
    </row>
    <row r="3765" spans="1:20">
      <c r="A3765" s="8">
        <f>DATE(2012,12,31)-248</f>
        <v>41026</v>
      </c>
      <c r="B3765" s="8">
        <f>DATE(2012,12,31)-248</f>
        <v>41026</v>
      </c>
      <c r="C3765" s="9" t="s">
        <v>492</v>
      </c>
      <c r="D3765">
        <v>10021319161</v>
      </c>
      <c r="E3765" t="s">
        <v>47</v>
      </c>
      <c r="F3765" t="s">
        <v>171</v>
      </c>
      <c r="G3765" t="s">
        <v>172</v>
      </c>
      <c r="H3765" t="s">
        <v>2073</v>
      </c>
      <c r="I3765" t="s">
        <v>2074</v>
      </c>
      <c r="J3765" t="s">
        <v>52</v>
      </c>
      <c r="K3765" s="3">
        <v>10018255956</v>
      </c>
      <c r="L3765" s="10">
        <v>41030</v>
      </c>
      <c r="M3765">
        <v>3136.2025</v>
      </c>
      <c r="N3765" s="11">
        <v>18</v>
      </c>
      <c r="O3765" s="12">
        <v>205.99</v>
      </c>
      <c r="P3765" s="12">
        <v>5.26</v>
      </c>
      <c r="Q3765" s="13">
        <v>439.776</v>
      </c>
      <c r="R3765" s="36" t="s">
        <v>688</v>
      </c>
      <c r="S3765" s="7">
        <f t="shared" si="316"/>
        <v>4</v>
      </c>
      <c r="T3765" s="15" t="str">
        <f>VLOOKUP(R3765,产品分类!$C$2:$D$1278,2,0)</f>
        <v>办公用品</v>
      </c>
    </row>
    <row r="3766" spans="1:20">
      <c r="A3766" s="8">
        <f>DATE(2012,12,31)-248</f>
        <v>41026</v>
      </c>
      <c r="B3766" s="8">
        <f>DATE(2012,12,31)-248</f>
        <v>41026</v>
      </c>
      <c r="C3766" s="9" t="s">
        <v>492</v>
      </c>
      <c r="D3766">
        <v>10021587390</v>
      </c>
      <c r="E3766" t="s">
        <v>47</v>
      </c>
      <c r="F3766" t="s">
        <v>527</v>
      </c>
      <c r="G3766" t="s">
        <v>528</v>
      </c>
      <c r="H3766" t="s">
        <v>2191</v>
      </c>
      <c r="I3766" t="s">
        <v>2192</v>
      </c>
      <c r="J3766" t="s">
        <v>52</v>
      </c>
      <c r="K3766" s="3">
        <v>100829756362</v>
      </c>
      <c r="L3766" s="10">
        <v>41035</v>
      </c>
      <c r="M3766">
        <v>1090.11</v>
      </c>
      <c r="N3766" s="11">
        <v>21</v>
      </c>
      <c r="O3766" s="12">
        <v>53.98</v>
      </c>
      <c r="P3766" s="12">
        <v>5.5</v>
      </c>
      <c r="Q3766" s="13">
        <v>55.8700000000001</v>
      </c>
      <c r="R3766" s="36" t="s">
        <v>814</v>
      </c>
      <c r="S3766" s="7">
        <f t="shared" si="316"/>
        <v>9</v>
      </c>
      <c r="T3766" s="15" t="str">
        <f>VLOOKUP(R3766,产品分类!$C$2:$D$1278,2,0)</f>
        <v>办公用品</v>
      </c>
    </row>
    <row r="3767" spans="1:20">
      <c r="A3767" s="8">
        <f>DATE(2012,12,31)-1189</f>
        <v>40085</v>
      </c>
      <c r="B3767" s="8">
        <f>DATE(2012,12,31)-1189</f>
        <v>40085</v>
      </c>
      <c r="C3767" s="9" t="s">
        <v>1347</v>
      </c>
      <c r="D3767">
        <v>10021521269</v>
      </c>
      <c r="E3767" t="s">
        <v>47</v>
      </c>
      <c r="F3767" t="s">
        <v>171</v>
      </c>
      <c r="G3767" t="s">
        <v>172</v>
      </c>
      <c r="H3767" t="s">
        <v>2073</v>
      </c>
      <c r="I3767" t="s">
        <v>2074</v>
      </c>
      <c r="J3767" t="s">
        <v>52</v>
      </c>
      <c r="K3767" s="3">
        <v>1004593544</v>
      </c>
      <c r="L3767" s="10">
        <v>40087</v>
      </c>
      <c r="M3767">
        <v>642.9145</v>
      </c>
      <c r="N3767" s="11">
        <v>11</v>
      </c>
      <c r="O3767" s="12">
        <v>65.99</v>
      </c>
      <c r="P3767" s="12">
        <v>8.99</v>
      </c>
      <c r="Q3767" s="13">
        <v>-118.8</v>
      </c>
      <c r="R3767" s="36" t="s">
        <v>2164</v>
      </c>
      <c r="S3767" s="7">
        <f t="shared" si="316"/>
        <v>2</v>
      </c>
      <c r="T3767" s="15" t="str">
        <f>VLOOKUP(R3767,产品分类!$C$2:$D$1278,2,0)</f>
        <v>办公用品</v>
      </c>
    </row>
    <row r="3768" spans="1:20">
      <c r="A3768" s="16">
        <f>DATE(2012,12,31)-1365</f>
        <v>39909</v>
      </c>
      <c r="B3768" s="16">
        <f>DATE(2012,12,31)-1365</f>
        <v>39909</v>
      </c>
      <c r="C3768" s="9" t="s">
        <v>1485</v>
      </c>
      <c r="D3768">
        <v>10021493413</v>
      </c>
      <c r="E3768" t="s">
        <v>47</v>
      </c>
      <c r="F3768" t="s">
        <v>527</v>
      </c>
      <c r="G3768" t="s">
        <v>528</v>
      </c>
      <c r="H3768" t="s">
        <v>2191</v>
      </c>
      <c r="I3768" t="s">
        <v>2192</v>
      </c>
      <c r="J3768" t="s">
        <v>52</v>
      </c>
      <c r="K3768" s="3">
        <v>10041985214</v>
      </c>
      <c r="L3768" s="10">
        <v>39918</v>
      </c>
      <c r="M3768">
        <v>77.96</v>
      </c>
      <c r="N3768" s="17">
        <v>16</v>
      </c>
      <c r="O3768" s="5">
        <v>4.84</v>
      </c>
      <c r="P3768" s="5">
        <v>0.71</v>
      </c>
      <c r="Q3768" s="6">
        <v>16.65</v>
      </c>
      <c r="R3768" s="37" t="s">
        <v>946</v>
      </c>
      <c r="S3768" s="7">
        <f t="shared" si="316"/>
        <v>9</v>
      </c>
      <c r="T3768" s="15" t="str">
        <f>VLOOKUP(R3768,产品分类!$C$2:$D$1278,2,0)</f>
        <v>数码电子</v>
      </c>
    </row>
    <row r="3769" spans="1:20">
      <c r="A3769" s="8">
        <f>DATE(2012,12,31)-21</f>
        <v>41253</v>
      </c>
      <c r="B3769" s="8">
        <f>DATE(2012,12,31)-21</f>
        <v>41253</v>
      </c>
      <c r="C3769" s="9" t="s">
        <v>859</v>
      </c>
      <c r="D3769">
        <v>10021495972</v>
      </c>
      <c r="E3769" t="s">
        <v>47</v>
      </c>
      <c r="F3769" t="s">
        <v>171</v>
      </c>
      <c r="G3769" t="s">
        <v>172</v>
      </c>
      <c r="H3769" t="s">
        <v>2073</v>
      </c>
      <c r="I3769" t="s">
        <v>2074</v>
      </c>
      <c r="J3769" t="s">
        <v>52</v>
      </c>
      <c r="K3769" s="3">
        <v>100914675161</v>
      </c>
      <c r="L3769" s="10">
        <v>41255</v>
      </c>
      <c r="M3769">
        <v>3534.56</v>
      </c>
      <c r="N3769" s="11">
        <v>12</v>
      </c>
      <c r="O3769" s="12">
        <v>300.65</v>
      </c>
      <c r="P3769" s="12">
        <v>24.49</v>
      </c>
      <c r="Q3769" s="13">
        <v>763.32</v>
      </c>
      <c r="R3769" s="36" t="s">
        <v>979</v>
      </c>
      <c r="S3769" s="7">
        <f t="shared" si="316"/>
        <v>2</v>
      </c>
      <c r="T3769" s="15" t="str">
        <f>VLOOKUP(R3769,产品分类!$C$2:$D$1278,2,0)</f>
        <v>办公用品</v>
      </c>
    </row>
    <row r="3770" spans="1:20">
      <c r="A3770" s="8">
        <f>DATE(2012,12,31)-21</f>
        <v>41253</v>
      </c>
      <c r="B3770" s="8">
        <f>DATE(2012,12,31)-21</f>
        <v>41253</v>
      </c>
      <c r="C3770" s="9" t="s">
        <v>859</v>
      </c>
      <c r="D3770">
        <v>10021340954</v>
      </c>
      <c r="E3770" t="s">
        <v>47</v>
      </c>
      <c r="F3770" t="s">
        <v>171</v>
      </c>
      <c r="G3770" t="s">
        <v>172</v>
      </c>
      <c r="H3770" t="s">
        <v>2073</v>
      </c>
      <c r="I3770" t="s">
        <v>2074</v>
      </c>
      <c r="J3770" t="s">
        <v>52</v>
      </c>
      <c r="K3770" s="3">
        <v>100426774734</v>
      </c>
      <c r="L3770" s="10">
        <v>41255</v>
      </c>
      <c r="M3770">
        <v>155.27</v>
      </c>
      <c r="N3770" s="11">
        <v>32</v>
      </c>
      <c r="O3770" s="12">
        <v>4.98</v>
      </c>
      <c r="P3770" s="12">
        <v>7.54</v>
      </c>
      <c r="Q3770" s="13">
        <v>-151.55</v>
      </c>
      <c r="R3770" s="36" t="s">
        <v>2261</v>
      </c>
      <c r="S3770" s="7">
        <f t="shared" si="316"/>
        <v>2</v>
      </c>
      <c r="T3770" s="15" t="str">
        <f>VLOOKUP(R3770,产品分类!$C$2:$D$1278,2,0)</f>
        <v>办公用品</v>
      </c>
    </row>
    <row r="3771" spans="1:20">
      <c r="A3771" s="8">
        <f>DATE(2012,12,31)-1150</f>
        <v>40124</v>
      </c>
      <c r="B3771" s="8">
        <f>DATE(2012,12,31)-1150</f>
        <v>40124</v>
      </c>
      <c r="C3771" s="9" t="s">
        <v>1424</v>
      </c>
      <c r="D3771">
        <v>10021319788</v>
      </c>
      <c r="E3771" t="s">
        <v>47</v>
      </c>
      <c r="F3771" t="s">
        <v>167</v>
      </c>
      <c r="G3771" t="s">
        <v>168</v>
      </c>
      <c r="H3771" t="s">
        <v>169</v>
      </c>
      <c r="I3771" t="s">
        <v>168</v>
      </c>
      <c r="J3771" t="s">
        <v>52</v>
      </c>
      <c r="K3771" s="3">
        <v>100917051411</v>
      </c>
      <c r="L3771" s="10">
        <v>40127</v>
      </c>
      <c r="M3771">
        <v>453.87</v>
      </c>
      <c r="N3771" s="11">
        <v>6</v>
      </c>
      <c r="O3771" s="12">
        <v>73.98</v>
      </c>
      <c r="P3771" s="12">
        <v>14.52</v>
      </c>
      <c r="Q3771" s="13">
        <v>-217.69</v>
      </c>
      <c r="R3771" s="36" t="s">
        <v>885</v>
      </c>
      <c r="S3771" s="7">
        <f t="shared" si="316"/>
        <v>3</v>
      </c>
      <c r="T3771" s="15" t="str">
        <f>VLOOKUP(R3771,产品分类!$C$2:$D$1278,2,0)</f>
        <v>办公用品</v>
      </c>
    </row>
    <row r="3772" spans="1:20">
      <c r="A3772" s="8">
        <f>DATE(2012,12,31)-1425</f>
        <v>39849</v>
      </c>
      <c r="B3772" s="8">
        <f>DATE(2012,12,31)-1425</f>
        <v>39849</v>
      </c>
      <c r="C3772" s="9" t="s">
        <v>859</v>
      </c>
      <c r="D3772">
        <v>10021280809</v>
      </c>
      <c r="E3772" t="s">
        <v>47</v>
      </c>
      <c r="F3772" t="s">
        <v>183</v>
      </c>
      <c r="G3772" t="s">
        <v>184</v>
      </c>
      <c r="H3772" t="s">
        <v>2212</v>
      </c>
      <c r="I3772" t="s">
        <v>2213</v>
      </c>
      <c r="J3772" t="s">
        <v>52</v>
      </c>
      <c r="K3772" s="3">
        <v>100116996766</v>
      </c>
      <c r="L3772" s="10">
        <v>39849</v>
      </c>
      <c r="M3772">
        <v>221.33</v>
      </c>
      <c r="N3772" s="11">
        <v>29</v>
      </c>
      <c r="O3772" s="12">
        <v>7.28</v>
      </c>
      <c r="P3772" s="12">
        <v>1.77</v>
      </c>
      <c r="Q3772" s="13">
        <v>77.33</v>
      </c>
      <c r="R3772" s="36" t="s">
        <v>1693</v>
      </c>
      <c r="S3772" s="7">
        <f t="shared" si="316"/>
        <v>0</v>
      </c>
      <c r="T3772" s="15" t="str">
        <f>VLOOKUP(R3772,产品分类!$C$2:$D$1278,2,0)</f>
        <v>办公用品</v>
      </c>
    </row>
    <row r="3773" spans="1:20">
      <c r="A3773" s="8">
        <f>DATE(2012,12,31)-941</f>
        <v>40333</v>
      </c>
      <c r="B3773" s="8">
        <f>DATE(2012,12,31)-941</f>
        <v>40333</v>
      </c>
      <c r="C3773" s="9" t="s">
        <v>974</v>
      </c>
      <c r="D3773">
        <v>10021506626</v>
      </c>
      <c r="E3773" t="s">
        <v>47</v>
      </c>
      <c r="F3773" t="s">
        <v>342</v>
      </c>
      <c r="G3773" t="s">
        <v>343</v>
      </c>
      <c r="H3773" t="s">
        <v>2251</v>
      </c>
      <c r="I3773" t="s">
        <v>2252</v>
      </c>
      <c r="J3773" t="s">
        <v>52</v>
      </c>
      <c r="K3773" s="3">
        <v>100131474696</v>
      </c>
      <c r="L3773" s="10">
        <v>40336</v>
      </c>
      <c r="M3773">
        <v>467.15</v>
      </c>
      <c r="N3773" s="11">
        <v>4</v>
      </c>
      <c r="O3773" s="12">
        <v>100.8</v>
      </c>
      <c r="P3773" s="12">
        <v>60</v>
      </c>
      <c r="Q3773" s="13">
        <v>-212.34</v>
      </c>
      <c r="R3773" s="36" t="s">
        <v>438</v>
      </c>
      <c r="S3773" s="7">
        <f t="shared" si="316"/>
        <v>3</v>
      </c>
      <c r="T3773" s="15" t="str">
        <f>VLOOKUP(R3773,产品分类!$C$2:$D$1278,2,0)</f>
        <v>办公用品</v>
      </c>
    </row>
    <row r="3774" spans="1:20">
      <c r="A3774" s="8">
        <f>DATE(2012,12,31)-405</f>
        <v>40869</v>
      </c>
      <c r="B3774" s="8">
        <f>DATE(2012,12,31)-405</f>
        <v>40869</v>
      </c>
      <c r="C3774" s="9" t="s">
        <v>805</v>
      </c>
      <c r="D3774">
        <v>10021415210</v>
      </c>
      <c r="E3774" t="s">
        <v>47</v>
      </c>
      <c r="F3774" t="s">
        <v>167</v>
      </c>
      <c r="G3774" t="s">
        <v>168</v>
      </c>
      <c r="H3774" t="s">
        <v>169</v>
      </c>
      <c r="I3774" t="s">
        <v>168</v>
      </c>
      <c r="J3774" t="s">
        <v>52</v>
      </c>
      <c r="K3774" s="3">
        <v>100110532018</v>
      </c>
      <c r="L3774" s="10">
        <v>40870</v>
      </c>
      <c r="M3774">
        <v>203.55</v>
      </c>
      <c r="N3774" s="11">
        <v>21</v>
      </c>
      <c r="O3774" s="12">
        <v>9.11</v>
      </c>
      <c r="P3774" s="12">
        <v>2.25</v>
      </c>
      <c r="Q3774" s="13">
        <v>38.6</v>
      </c>
      <c r="R3774" s="36" t="s">
        <v>82</v>
      </c>
      <c r="S3774" s="7">
        <f t="shared" si="316"/>
        <v>1</v>
      </c>
      <c r="T3774" s="15" t="str">
        <f>VLOOKUP(R3774,产品分类!$C$2:$D$1278,2,0)</f>
        <v>数码电子</v>
      </c>
    </row>
    <row r="3775" spans="1:20">
      <c r="A3775" s="8">
        <f>DATE(2012,12,31)-405</f>
        <v>40869</v>
      </c>
      <c r="B3775" s="8">
        <f>DATE(2012,12,31)-405</f>
        <v>40869</v>
      </c>
      <c r="C3775" s="9" t="s">
        <v>805</v>
      </c>
      <c r="D3775">
        <v>10021502697</v>
      </c>
      <c r="E3775" t="s">
        <v>47</v>
      </c>
      <c r="F3775" t="s">
        <v>61</v>
      </c>
      <c r="G3775" t="s">
        <v>62</v>
      </c>
      <c r="H3775" t="s">
        <v>2216</v>
      </c>
      <c r="I3775" t="s">
        <v>2217</v>
      </c>
      <c r="J3775" t="s">
        <v>52</v>
      </c>
      <c r="K3775" s="3">
        <v>100828937272</v>
      </c>
      <c r="L3775" s="10">
        <v>40870</v>
      </c>
      <c r="M3775">
        <v>273.89</v>
      </c>
      <c r="N3775" s="11">
        <v>38</v>
      </c>
      <c r="O3775" s="12">
        <v>7.3</v>
      </c>
      <c r="P3775" s="12">
        <v>7.72</v>
      </c>
      <c r="Q3775" s="13">
        <v>-160.402</v>
      </c>
      <c r="R3775" s="36" t="s">
        <v>295</v>
      </c>
      <c r="S3775" s="7">
        <f t="shared" si="316"/>
        <v>1</v>
      </c>
      <c r="T3775" s="15" t="str">
        <f>VLOOKUP(R3775,产品分类!$C$2:$D$1278,2,0)</f>
        <v>办公用品</v>
      </c>
    </row>
    <row r="3776" spans="1:20">
      <c r="A3776" s="8">
        <f>DATE(2012,12,31)-1234</f>
        <v>40040</v>
      </c>
      <c r="B3776" s="8">
        <f>DATE(2012,12,31)-1234</f>
        <v>40040</v>
      </c>
      <c r="C3776" s="9" t="s">
        <v>1609</v>
      </c>
      <c r="D3776">
        <v>10021555351</v>
      </c>
      <c r="E3776" t="s">
        <v>47</v>
      </c>
      <c r="F3776" t="s">
        <v>253</v>
      </c>
      <c r="G3776" t="s">
        <v>254</v>
      </c>
      <c r="H3776" t="s">
        <v>2193</v>
      </c>
      <c r="I3776" t="s">
        <v>2194</v>
      </c>
      <c r="J3776" t="s">
        <v>52</v>
      </c>
      <c r="K3776" s="3">
        <v>100114729818</v>
      </c>
      <c r="L3776" s="10">
        <v>40042</v>
      </c>
      <c r="M3776">
        <v>460.69</v>
      </c>
      <c r="N3776" s="11">
        <v>48</v>
      </c>
      <c r="O3776" s="12">
        <v>9.48</v>
      </c>
      <c r="P3776" s="12">
        <v>7.29</v>
      </c>
      <c r="Q3776" s="13">
        <v>-103.48</v>
      </c>
      <c r="R3776" s="36" t="s">
        <v>839</v>
      </c>
      <c r="S3776" s="7">
        <f t="shared" si="316"/>
        <v>2</v>
      </c>
      <c r="T3776" s="15" t="str">
        <f>VLOOKUP(R3776,产品分类!$C$2:$D$1278,2,0)</f>
        <v>办公用品</v>
      </c>
    </row>
    <row r="3777" spans="1:20">
      <c r="A3777" s="8">
        <f>DATE(2012,12,31)-998</f>
        <v>40276</v>
      </c>
      <c r="B3777" s="8">
        <f>DATE(2012,12,31)-998</f>
        <v>40276</v>
      </c>
      <c r="C3777" s="9" t="s">
        <v>2262</v>
      </c>
      <c r="D3777">
        <v>10021332713</v>
      </c>
      <c r="E3777" t="s">
        <v>47</v>
      </c>
      <c r="F3777" t="s">
        <v>61</v>
      </c>
      <c r="G3777" t="s">
        <v>62</v>
      </c>
      <c r="H3777" t="s">
        <v>2216</v>
      </c>
      <c r="I3777" t="s">
        <v>2217</v>
      </c>
      <c r="J3777" t="s">
        <v>52</v>
      </c>
      <c r="K3777" s="3">
        <v>100410652583</v>
      </c>
      <c r="L3777" s="10">
        <v>40277</v>
      </c>
      <c r="M3777">
        <v>451.81</v>
      </c>
      <c r="N3777" s="11">
        <v>3</v>
      </c>
      <c r="O3777" s="12">
        <v>150.98</v>
      </c>
      <c r="P3777" s="12">
        <v>13.99</v>
      </c>
      <c r="Q3777" s="13">
        <v>-318.594</v>
      </c>
      <c r="R3777" s="36" t="s">
        <v>126</v>
      </c>
      <c r="S3777" s="7">
        <f t="shared" si="316"/>
        <v>1</v>
      </c>
      <c r="T3777" s="15" t="str">
        <f>VLOOKUP(R3777,产品分类!$C$2:$D$1278,2,0)</f>
        <v>家具产品</v>
      </c>
    </row>
    <row r="3778" spans="1:20">
      <c r="A3778" s="8">
        <f t="shared" ref="A3778:B3780" si="321">DATE(2012,12,31)-591</f>
        <v>40683</v>
      </c>
      <c r="B3778" s="8">
        <f t="shared" si="321"/>
        <v>40683</v>
      </c>
      <c r="C3778" s="9" t="s">
        <v>423</v>
      </c>
      <c r="D3778">
        <v>10021420324</v>
      </c>
      <c r="E3778" t="s">
        <v>47</v>
      </c>
      <c r="F3778" t="s">
        <v>61</v>
      </c>
      <c r="G3778" t="s">
        <v>62</v>
      </c>
      <c r="H3778" t="s">
        <v>2216</v>
      </c>
      <c r="I3778" t="s">
        <v>2217</v>
      </c>
      <c r="J3778" t="s">
        <v>52</v>
      </c>
      <c r="K3778" s="3">
        <v>100924743821</v>
      </c>
      <c r="L3778" s="10">
        <v>40684</v>
      </c>
      <c r="M3778">
        <v>729.75</v>
      </c>
      <c r="N3778" s="11">
        <v>44</v>
      </c>
      <c r="O3778" s="12">
        <v>15.67</v>
      </c>
      <c r="P3778" s="12">
        <v>1.39</v>
      </c>
      <c r="Q3778" s="13">
        <v>375.25</v>
      </c>
      <c r="R3778" s="36" t="s">
        <v>1012</v>
      </c>
      <c r="S3778" s="7">
        <f t="shared" si="316"/>
        <v>1</v>
      </c>
      <c r="T3778" s="15" t="str">
        <f>VLOOKUP(R3778,产品分类!$C$2:$D$1278,2,0)</f>
        <v>家具产品</v>
      </c>
    </row>
    <row r="3779" spans="1:20">
      <c r="A3779" s="8">
        <f t="shared" si="321"/>
        <v>40683</v>
      </c>
      <c r="B3779" s="8">
        <f t="shared" si="321"/>
        <v>40683</v>
      </c>
      <c r="C3779" s="9" t="s">
        <v>423</v>
      </c>
      <c r="D3779">
        <v>10021251503</v>
      </c>
      <c r="E3779" t="s">
        <v>47</v>
      </c>
      <c r="F3779" t="s">
        <v>253</v>
      </c>
      <c r="G3779" t="s">
        <v>254</v>
      </c>
      <c r="H3779" t="s">
        <v>2193</v>
      </c>
      <c r="I3779" t="s">
        <v>2194</v>
      </c>
      <c r="J3779" t="s">
        <v>52</v>
      </c>
      <c r="K3779" s="3">
        <v>100710045415</v>
      </c>
      <c r="L3779" s="10">
        <v>40685</v>
      </c>
      <c r="M3779">
        <v>1417.21</v>
      </c>
      <c r="N3779" s="11">
        <v>28</v>
      </c>
      <c r="O3779" s="12">
        <v>51.65</v>
      </c>
      <c r="P3779" s="12">
        <v>18.45</v>
      </c>
      <c r="Q3779" s="13">
        <v>63.88</v>
      </c>
      <c r="R3779" s="36" t="s">
        <v>1271</v>
      </c>
      <c r="S3779" s="7">
        <f t="shared" ref="S3779:S3842" si="322">+L3779-B3779</f>
        <v>2</v>
      </c>
      <c r="T3779" s="15" t="str">
        <f>VLOOKUP(R3779,产品分类!$C$2:$D$1278,2,0)</f>
        <v>数码电子</v>
      </c>
    </row>
    <row r="3780" spans="1:20">
      <c r="A3780" s="8">
        <f t="shared" si="321"/>
        <v>40683</v>
      </c>
      <c r="B3780" s="8">
        <f t="shared" si="321"/>
        <v>40683</v>
      </c>
      <c r="C3780" s="9" t="s">
        <v>423</v>
      </c>
      <c r="D3780">
        <v>10021432739</v>
      </c>
      <c r="E3780" t="s">
        <v>47</v>
      </c>
      <c r="F3780" t="s">
        <v>253</v>
      </c>
      <c r="G3780" t="s">
        <v>254</v>
      </c>
      <c r="H3780" t="s">
        <v>2193</v>
      </c>
      <c r="I3780" t="s">
        <v>2194</v>
      </c>
      <c r="J3780" t="s">
        <v>52</v>
      </c>
      <c r="K3780" s="3">
        <v>100132578267</v>
      </c>
      <c r="L3780" s="10">
        <v>40684</v>
      </c>
      <c r="M3780">
        <v>1154.9375</v>
      </c>
      <c r="N3780" s="11">
        <v>11</v>
      </c>
      <c r="O3780" s="12">
        <v>125.99</v>
      </c>
      <c r="P3780" s="12">
        <v>8.99</v>
      </c>
      <c r="Q3780" s="13">
        <v>-176.055</v>
      </c>
      <c r="R3780" s="36" t="s">
        <v>1772</v>
      </c>
      <c r="S3780" s="7">
        <f t="shared" si="322"/>
        <v>1</v>
      </c>
      <c r="T3780" s="15" t="str">
        <f>VLOOKUP(R3780,产品分类!$C$2:$D$1278,2,0)</f>
        <v>家具产品</v>
      </c>
    </row>
    <row r="3781" spans="1:20">
      <c r="A3781" s="8">
        <f t="shared" ref="A3781:B3784" si="323">DATE(2012,12,31)-920</f>
        <v>40354</v>
      </c>
      <c r="B3781" s="8">
        <f t="shared" si="323"/>
        <v>40354</v>
      </c>
      <c r="C3781" s="9" t="s">
        <v>2075</v>
      </c>
      <c r="D3781">
        <v>10021526710</v>
      </c>
      <c r="E3781" t="s">
        <v>47</v>
      </c>
      <c r="F3781" t="s">
        <v>61</v>
      </c>
      <c r="G3781" t="s">
        <v>62</v>
      </c>
      <c r="H3781" t="s">
        <v>2216</v>
      </c>
      <c r="I3781" t="s">
        <v>2217</v>
      </c>
      <c r="J3781" t="s">
        <v>52</v>
      </c>
      <c r="K3781" s="3">
        <v>100425147623</v>
      </c>
      <c r="L3781" s="10">
        <v>40356</v>
      </c>
      <c r="M3781">
        <v>27875.54</v>
      </c>
      <c r="N3781" s="11">
        <v>46</v>
      </c>
      <c r="O3781" s="12">
        <v>599.99</v>
      </c>
      <c r="P3781" s="12">
        <v>24.49</v>
      </c>
      <c r="Q3781" s="13">
        <v>-635.69</v>
      </c>
      <c r="R3781" s="36" t="s">
        <v>1880</v>
      </c>
      <c r="S3781" s="7">
        <f t="shared" si="322"/>
        <v>2</v>
      </c>
      <c r="T3781" s="15" t="str">
        <f>VLOOKUP(R3781,产品分类!$C$2:$D$1278,2,0)</f>
        <v>办公用品</v>
      </c>
    </row>
    <row r="3782" spans="1:20">
      <c r="A3782" s="8">
        <f t="shared" si="323"/>
        <v>40354</v>
      </c>
      <c r="B3782" s="8">
        <f t="shared" si="323"/>
        <v>40354</v>
      </c>
      <c r="C3782" s="9" t="s">
        <v>2075</v>
      </c>
      <c r="D3782">
        <v>10021590382</v>
      </c>
      <c r="E3782" t="s">
        <v>47</v>
      </c>
      <c r="F3782" t="s">
        <v>61</v>
      </c>
      <c r="G3782" t="s">
        <v>62</v>
      </c>
      <c r="H3782" t="s">
        <v>2216</v>
      </c>
      <c r="I3782" t="s">
        <v>2217</v>
      </c>
      <c r="J3782" t="s">
        <v>52</v>
      </c>
      <c r="K3782" s="3">
        <v>100331487999</v>
      </c>
      <c r="L3782" s="10">
        <v>40356</v>
      </c>
      <c r="M3782">
        <v>2030.44</v>
      </c>
      <c r="N3782" s="11">
        <v>49</v>
      </c>
      <c r="O3782" s="12">
        <v>40.99</v>
      </c>
      <c r="P3782" s="12">
        <v>5.86</v>
      </c>
      <c r="Q3782" s="13">
        <v>938.26</v>
      </c>
      <c r="R3782" s="36" t="s">
        <v>2083</v>
      </c>
      <c r="S3782" s="7">
        <f t="shared" si="322"/>
        <v>2</v>
      </c>
      <c r="T3782" s="15" t="str">
        <f>VLOOKUP(R3782,产品分类!$C$2:$D$1278,2,0)</f>
        <v>家具产品</v>
      </c>
    </row>
    <row r="3783" spans="1:20">
      <c r="A3783" s="8">
        <f t="shared" si="323"/>
        <v>40354</v>
      </c>
      <c r="B3783" s="8">
        <f t="shared" si="323"/>
        <v>40354</v>
      </c>
      <c r="C3783" s="9" t="s">
        <v>2075</v>
      </c>
      <c r="D3783">
        <v>10021335534</v>
      </c>
      <c r="E3783" t="s">
        <v>47</v>
      </c>
      <c r="F3783" t="s">
        <v>61</v>
      </c>
      <c r="G3783" t="s">
        <v>62</v>
      </c>
      <c r="H3783" t="s">
        <v>2216</v>
      </c>
      <c r="I3783" t="s">
        <v>2217</v>
      </c>
      <c r="J3783" t="s">
        <v>52</v>
      </c>
      <c r="K3783" s="3">
        <v>100712447895</v>
      </c>
      <c r="L3783" s="10">
        <v>40356</v>
      </c>
      <c r="M3783">
        <v>695.99</v>
      </c>
      <c r="N3783" s="11">
        <v>47</v>
      </c>
      <c r="O3783" s="12">
        <v>15.31</v>
      </c>
      <c r="P3783" s="12">
        <v>8.78</v>
      </c>
      <c r="Q3783" s="13">
        <v>-157.44</v>
      </c>
      <c r="R3783" s="36" t="s">
        <v>1131</v>
      </c>
      <c r="S3783" s="7">
        <f t="shared" si="322"/>
        <v>2</v>
      </c>
      <c r="T3783" s="15" t="str">
        <f>VLOOKUP(R3783,产品分类!$C$2:$D$1278,2,0)</f>
        <v>数码电子</v>
      </c>
    </row>
    <row r="3784" spans="1:20">
      <c r="A3784" s="8">
        <f t="shared" si="323"/>
        <v>40354</v>
      </c>
      <c r="B3784" s="8">
        <f t="shared" si="323"/>
        <v>40354</v>
      </c>
      <c r="C3784" s="9" t="s">
        <v>2075</v>
      </c>
      <c r="D3784">
        <v>10021459683</v>
      </c>
      <c r="E3784" t="s">
        <v>47</v>
      </c>
      <c r="F3784" t="s">
        <v>61</v>
      </c>
      <c r="G3784" t="s">
        <v>62</v>
      </c>
      <c r="H3784" t="s">
        <v>2216</v>
      </c>
      <c r="I3784" t="s">
        <v>2217</v>
      </c>
      <c r="J3784" t="s">
        <v>52</v>
      </c>
      <c r="K3784" s="3">
        <v>10083638442</v>
      </c>
      <c r="L3784" s="10">
        <v>40355</v>
      </c>
      <c r="M3784">
        <v>48.84</v>
      </c>
      <c r="N3784" s="11">
        <v>2</v>
      </c>
      <c r="O3784" s="12">
        <v>18.97</v>
      </c>
      <c r="P3784" s="12">
        <v>9.03</v>
      </c>
      <c r="Q3784" s="13">
        <v>-21.2</v>
      </c>
      <c r="R3784" s="36" t="s">
        <v>131</v>
      </c>
      <c r="S3784" s="7">
        <f t="shared" si="322"/>
        <v>1</v>
      </c>
      <c r="T3784" s="15" t="str">
        <f>VLOOKUP(R3784,产品分类!$C$2:$D$1278,2,0)</f>
        <v>家具产品</v>
      </c>
    </row>
    <row r="3785" spans="1:20">
      <c r="A3785" s="8">
        <f>DATE(2012,12,31)-278</f>
        <v>40996</v>
      </c>
      <c r="B3785" s="8">
        <f>DATE(2012,12,31)-278</f>
        <v>40996</v>
      </c>
      <c r="C3785" s="9" t="s">
        <v>1358</v>
      </c>
      <c r="D3785">
        <v>10021539264</v>
      </c>
      <c r="E3785" t="s">
        <v>47</v>
      </c>
      <c r="F3785" t="s">
        <v>61</v>
      </c>
      <c r="G3785" t="s">
        <v>62</v>
      </c>
      <c r="H3785" t="s">
        <v>2216</v>
      </c>
      <c r="I3785" t="s">
        <v>2217</v>
      </c>
      <c r="J3785" t="s">
        <v>52</v>
      </c>
      <c r="K3785" s="3">
        <v>10034445049</v>
      </c>
      <c r="L3785" s="10">
        <v>40998</v>
      </c>
      <c r="M3785">
        <v>337.01</v>
      </c>
      <c r="N3785" s="11">
        <v>43</v>
      </c>
      <c r="O3785" s="12">
        <v>7.98</v>
      </c>
      <c r="P3785" s="12">
        <v>1.25</v>
      </c>
      <c r="Q3785" s="13">
        <v>147.2</v>
      </c>
      <c r="R3785" s="36" t="s">
        <v>2263</v>
      </c>
      <c r="S3785" s="7">
        <f t="shared" si="322"/>
        <v>2</v>
      </c>
      <c r="T3785" s="15" t="str">
        <f>VLOOKUP(R3785,产品分类!$C$2:$D$1278,2,0)</f>
        <v>数码电子</v>
      </c>
    </row>
    <row r="3786" spans="1:20">
      <c r="A3786" s="8">
        <f>DATE(2012,12,31)-278</f>
        <v>40996</v>
      </c>
      <c r="B3786" s="8">
        <f>DATE(2012,12,31)-278</f>
        <v>40996</v>
      </c>
      <c r="C3786" s="9" t="s">
        <v>1358</v>
      </c>
      <c r="D3786">
        <v>10021587546</v>
      </c>
      <c r="E3786" t="s">
        <v>47</v>
      </c>
      <c r="F3786" t="s">
        <v>61</v>
      </c>
      <c r="G3786" t="s">
        <v>62</v>
      </c>
      <c r="H3786" t="s">
        <v>2216</v>
      </c>
      <c r="I3786" t="s">
        <v>2217</v>
      </c>
      <c r="J3786" t="s">
        <v>52</v>
      </c>
      <c r="K3786" s="3">
        <v>100129809408</v>
      </c>
      <c r="L3786" s="10">
        <v>40998</v>
      </c>
      <c r="M3786">
        <v>6093.242</v>
      </c>
      <c r="N3786" s="11">
        <v>50</v>
      </c>
      <c r="O3786" s="12">
        <v>155.99</v>
      </c>
      <c r="P3786" s="12">
        <v>8.08</v>
      </c>
      <c r="Q3786" s="13">
        <v>1174.383</v>
      </c>
      <c r="R3786" s="36" t="s">
        <v>214</v>
      </c>
      <c r="S3786" s="7">
        <f t="shared" si="322"/>
        <v>2</v>
      </c>
      <c r="T3786" s="15" t="str">
        <f>VLOOKUP(R3786,产品分类!$C$2:$D$1278,2,0)</f>
        <v>办公用品</v>
      </c>
    </row>
    <row r="3787" spans="1:20">
      <c r="A3787" s="8">
        <f>DATE(2012,12,31)-123</f>
        <v>41151</v>
      </c>
      <c r="B3787" s="8">
        <f>DATE(2012,12,31)-123</f>
        <v>41151</v>
      </c>
      <c r="C3787" s="9" t="s">
        <v>1511</v>
      </c>
      <c r="D3787">
        <v>10021266123</v>
      </c>
      <c r="E3787" t="s">
        <v>47</v>
      </c>
      <c r="F3787" t="s">
        <v>61</v>
      </c>
      <c r="G3787" t="s">
        <v>62</v>
      </c>
      <c r="H3787" t="s">
        <v>2216</v>
      </c>
      <c r="I3787" t="s">
        <v>2217</v>
      </c>
      <c r="J3787" t="s">
        <v>52</v>
      </c>
      <c r="K3787" s="3">
        <v>10049771033</v>
      </c>
      <c r="L3787" s="10">
        <v>41151</v>
      </c>
      <c r="M3787">
        <v>603.347</v>
      </c>
      <c r="N3787" s="11">
        <v>13</v>
      </c>
      <c r="O3787" s="12">
        <v>55.99</v>
      </c>
      <c r="P3787" s="12">
        <v>1.25</v>
      </c>
      <c r="Q3787" s="13">
        <v>142.983</v>
      </c>
      <c r="R3787" s="36" t="s">
        <v>856</v>
      </c>
      <c r="S3787" s="7">
        <f t="shared" si="322"/>
        <v>0</v>
      </c>
      <c r="T3787" s="15" t="str">
        <f>VLOOKUP(R3787,产品分类!$C$2:$D$1278,2,0)</f>
        <v>数码电子</v>
      </c>
    </row>
    <row r="3788" spans="1:20">
      <c r="A3788" s="8">
        <f>DATE(2012,12,31)-123</f>
        <v>41151</v>
      </c>
      <c r="B3788" s="8">
        <f>DATE(2012,12,31)-123</f>
        <v>41151</v>
      </c>
      <c r="C3788" s="9" t="s">
        <v>1511</v>
      </c>
      <c r="D3788">
        <v>10021334717</v>
      </c>
      <c r="E3788" t="s">
        <v>47</v>
      </c>
      <c r="F3788" t="s">
        <v>61</v>
      </c>
      <c r="G3788" t="s">
        <v>62</v>
      </c>
      <c r="H3788" t="s">
        <v>2216</v>
      </c>
      <c r="I3788" t="s">
        <v>2217</v>
      </c>
      <c r="J3788" t="s">
        <v>52</v>
      </c>
      <c r="K3788" s="3">
        <v>100916285991</v>
      </c>
      <c r="L3788" s="10">
        <v>41152</v>
      </c>
      <c r="M3788">
        <v>770.53</v>
      </c>
      <c r="N3788" s="11">
        <v>44</v>
      </c>
      <c r="O3788" s="12">
        <v>16.91</v>
      </c>
      <c r="P3788" s="12">
        <v>6.25</v>
      </c>
      <c r="Q3788" s="13">
        <v>30.17</v>
      </c>
      <c r="R3788" s="36" t="s">
        <v>1673</v>
      </c>
      <c r="S3788" s="7">
        <f t="shared" si="322"/>
        <v>1</v>
      </c>
      <c r="T3788" s="15" t="str">
        <f>VLOOKUP(R3788,产品分类!$C$2:$D$1278,2,0)</f>
        <v>家具产品</v>
      </c>
    </row>
    <row r="3789" spans="1:20">
      <c r="A3789" s="16">
        <f>DATE(2012,12,31)-247</f>
        <v>41027</v>
      </c>
      <c r="B3789" s="16">
        <f>DATE(2012,12,31)-247</f>
        <v>41027</v>
      </c>
      <c r="C3789" s="9" t="s">
        <v>1015</v>
      </c>
      <c r="D3789">
        <v>10021415529</v>
      </c>
      <c r="E3789" t="s">
        <v>47</v>
      </c>
      <c r="F3789" t="s">
        <v>61</v>
      </c>
      <c r="G3789" t="s">
        <v>62</v>
      </c>
      <c r="H3789" t="s">
        <v>2216</v>
      </c>
      <c r="I3789" t="s">
        <v>2217</v>
      </c>
      <c r="J3789" t="s">
        <v>52</v>
      </c>
      <c r="K3789" s="3">
        <v>10096527901</v>
      </c>
      <c r="L3789" s="10">
        <v>41028</v>
      </c>
      <c r="M3789">
        <v>1984.61</v>
      </c>
      <c r="N3789" s="17">
        <v>37</v>
      </c>
      <c r="O3789" s="5">
        <v>55.48</v>
      </c>
      <c r="P3789" s="5">
        <v>14.3</v>
      </c>
      <c r="Q3789" s="6">
        <v>585.03</v>
      </c>
      <c r="R3789" s="37" t="s">
        <v>429</v>
      </c>
      <c r="S3789" s="7">
        <f t="shared" si="322"/>
        <v>1</v>
      </c>
      <c r="T3789" s="15" t="str">
        <f>VLOOKUP(R3789,产品分类!$C$2:$D$1278,2,0)</f>
        <v>办公用品</v>
      </c>
    </row>
    <row r="3790" spans="1:20">
      <c r="A3790" s="8">
        <f>DATE(2012,12,31)-732</f>
        <v>40542</v>
      </c>
      <c r="B3790" s="8">
        <f>DATE(2012,12,31)-732</f>
        <v>40542</v>
      </c>
      <c r="C3790" s="9" t="s">
        <v>145</v>
      </c>
      <c r="D3790">
        <v>10021256071</v>
      </c>
      <c r="E3790" t="s">
        <v>47</v>
      </c>
      <c r="F3790" t="s">
        <v>83</v>
      </c>
      <c r="G3790" t="s">
        <v>84</v>
      </c>
      <c r="H3790" t="s">
        <v>2231</v>
      </c>
      <c r="I3790" t="s">
        <v>2232</v>
      </c>
      <c r="J3790" t="s">
        <v>52</v>
      </c>
      <c r="K3790" s="3">
        <v>100124920058</v>
      </c>
      <c r="L3790" s="10">
        <v>40542</v>
      </c>
      <c r="M3790">
        <v>53.66</v>
      </c>
      <c r="N3790" s="11">
        <v>5</v>
      </c>
      <c r="O3790" s="12">
        <v>10.94</v>
      </c>
      <c r="P3790" s="12">
        <v>1.39</v>
      </c>
      <c r="Q3790" s="13">
        <v>5.69</v>
      </c>
      <c r="R3790" s="36" t="s">
        <v>2264</v>
      </c>
      <c r="S3790" s="7">
        <f t="shared" si="322"/>
        <v>0</v>
      </c>
      <c r="T3790" s="15" t="str">
        <f>VLOOKUP(R3790,产品分类!$C$2:$D$1278,2,0)</f>
        <v>家具产品</v>
      </c>
    </row>
    <row r="3791" spans="1:20">
      <c r="A3791" s="8">
        <f>DATE(2012,12,31)-1275</f>
        <v>39999</v>
      </c>
      <c r="B3791" s="8">
        <f>DATE(2012,12,31)-1275</f>
        <v>39999</v>
      </c>
      <c r="C3791" s="9" t="s">
        <v>669</v>
      </c>
      <c r="D3791">
        <v>10021294756</v>
      </c>
      <c r="E3791" t="s">
        <v>47</v>
      </c>
      <c r="F3791" t="s">
        <v>61</v>
      </c>
      <c r="G3791" t="s">
        <v>62</v>
      </c>
      <c r="H3791" t="s">
        <v>2216</v>
      </c>
      <c r="I3791" t="s">
        <v>2217</v>
      </c>
      <c r="J3791" t="s">
        <v>52</v>
      </c>
      <c r="K3791" s="3">
        <v>10098127481</v>
      </c>
      <c r="L3791" s="10">
        <v>40003</v>
      </c>
      <c r="M3791">
        <v>2232.15</v>
      </c>
      <c r="N3791" s="11">
        <v>28</v>
      </c>
      <c r="O3791" s="12">
        <v>80.98</v>
      </c>
      <c r="P3791" s="12">
        <v>35</v>
      </c>
      <c r="Q3791" s="13">
        <v>-746.44</v>
      </c>
      <c r="R3791" s="36" t="s">
        <v>1459</v>
      </c>
      <c r="S3791" s="7">
        <f t="shared" si="322"/>
        <v>4</v>
      </c>
      <c r="T3791" s="15" t="str">
        <f>VLOOKUP(R3791,产品分类!$C$2:$D$1278,2,0)</f>
        <v>办公用品</v>
      </c>
    </row>
    <row r="3792" spans="1:20">
      <c r="A3792" s="8">
        <f>DATE(2012,12,31)-1275</f>
        <v>39999</v>
      </c>
      <c r="B3792" s="8">
        <f>DATE(2012,12,31)-1275</f>
        <v>39999</v>
      </c>
      <c r="C3792" s="9" t="s">
        <v>669</v>
      </c>
      <c r="D3792">
        <v>10021395090</v>
      </c>
      <c r="E3792" t="s">
        <v>47</v>
      </c>
      <c r="F3792" t="s">
        <v>61</v>
      </c>
      <c r="G3792" t="s">
        <v>62</v>
      </c>
      <c r="H3792" t="s">
        <v>2216</v>
      </c>
      <c r="I3792" t="s">
        <v>2217</v>
      </c>
      <c r="J3792" t="s">
        <v>52</v>
      </c>
      <c r="K3792" s="3">
        <v>10096014801</v>
      </c>
      <c r="L3792" s="10">
        <v>39999</v>
      </c>
      <c r="M3792">
        <v>7007.19</v>
      </c>
      <c r="N3792" s="11">
        <v>26</v>
      </c>
      <c r="O3792" s="12">
        <v>279.48</v>
      </c>
      <c r="P3792" s="12">
        <v>35</v>
      </c>
      <c r="Q3792" s="13">
        <v>-274.95</v>
      </c>
      <c r="R3792" s="36" t="s">
        <v>950</v>
      </c>
      <c r="S3792" s="7">
        <f t="shared" si="322"/>
        <v>0</v>
      </c>
      <c r="T3792" s="15" t="str">
        <f>VLOOKUP(R3792,产品分类!$C$2:$D$1278,2,0)</f>
        <v>数码电子</v>
      </c>
    </row>
    <row r="3793" spans="1:20">
      <c r="A3793" s="8">
        <f>DATE(2012,12,31)-366</f>
        <v>40908</v>
      </c>
      <c r="B3793" s="8">
        <f>DATE(2012,12,31)-366</f>
        <v>40908</v>
      </c>
      <c r="C3793" s="9" t="s">
        <v>1564</v>
      </c>
      <c r="D3793">
        <v>10021523061</v>
      </c>
      <c r="E3793" t="s">
        <v>47</v>
      </c>
      <c r="F3793" t="s">
        <v>61</v>
      </c>
      <c r="G3793" t="s">
        <v>62</v>
      </c>
      <c r="H3793" t="s">
        <v>2216</v>
      </c>
      <c r="I3793" t="s">
        <v>2217</v>
      </c>
      <c r="J3793" t="s">
        <v>52</v>
      </c>
      <c r="K3793" s="3">
        <v>100713723545</v>
      </c>
      <c r="L3793" s="10">
        <v>40908</v>
      </c>
      <c r="M3793">
        <v>1339.25</v>
      </c>
      <c r="N3793" s="11">
        <v>24</v>
      </c>
      <c r="O3793" s="12">
        <v>56.96</v>
      </c>
      <c r="P3793" s="12">
        <v>13.22</v>
      </c>
      <c r="Q3793" s="13">
        <v>142.51</v>
      </c>
      <c r="R3793" s="36" t="s">
        <v>949</v>
      </c>
      <c r="S3793" s="7">
        <f t="shared" si="322"/>
        <v>0</v>
      </c>
      <c r="T3793" s="15" t="str">
        <f>VLOOKUP(R3793,产品分类!$C$2:$D$1278,2,0)</f>
        <v>家具产品</v>
      </c>
    </row>
    <row r="3794" spans="1:20">
      <c r="A3794" s="8">
        <f>DATE(2012,12,31)-770</f>
        <v>40504</v>
      </c>
      <c r="B3794" s="8">
        <f>DATE(2012,12,31)-770</f>
        <v>40504</v>
      </c>
      <c r="C3794" s="9" t="s">
        <v>1672</v>
      </c>
      <c r="D3794">
        <v>10021343589</v>
      </c>
      <c r="E3794" t="s">
        <v>47</v>
      </c>
      <c r="F3794" t="s">
        <v>61</v>
      </c>
      <c r="G3794" t="s">
        <v>62</v>
      </c>
      <c r="H3794" t="s">
        <v>2216</v>
      </c>
      <c r="I3794" t="s">
        <v>2217</v>
      </c>
      <c r="J3794" t="s">
        <v>52</v>
      </c>
      <c r="K3794" s="3">
        <v>100129099308</v>
      </c>
      <c r="L3794" s="10">
        <v>40505</v>
      </c>
      <c r="M3794">
        <v>14240.76</v>
      </c>
      <c r="N3794" s="11">
        <v>25</v>
      </c>
      <c r="O3794" s="12">
        <v>599.99</v>
      </c>
      <c r="P3794" s="12">
        <v>24.49</v>
      </c>
      <c r="Q3794" s="13">
        <v>3128.69</v>
      </c>
      <c r="R3794" s="36" t="s">
        <v>1785</v>
      </c>
      <c r="S3794" s="7">
        <f t="shared" si="322"/>
        <v>1</v>
      </c>
      <c r="T3794" s="15" t="str">
        <f>VLOOKUP(R3794,产品分类!$C$2:$D$1278,2,0)</f>
        <v>数码电子</v>
      </c>
    </row>
    <row r="3795" spans="1:20">
      <c r="A3795" s="8">
        <f>DATE(2012,12,31)-770</f>
        <v>40504</v>
      </c>
      <c r="B3795" s="8">
        <f>DATE(2012,12,31)-770</f>
        <v>40504</v>
      </c>
      <c r="C3795" s="9" t="s">
        <v>1672</v>
      </c>
      <c r="D3795">
        <v>10021299674</v>
      </c>
      <c r="E3795" t="s">
        <v>47</v>
      </c>
      <c r="F3795" t="s">
        <v>61</v>
      </c>
      <c r="G3795" t="s">
        <v>62</v>
      </c>
      <c r="H3795" t="s">
        <v>2216</v>
      </c>
      <c r="I3795" t="s">
        <v>2217</v>
      </c>
      <c r="J3795" t="s">
        <v>52</v>
      </c>
      <c r="K3795" s="3">
        <v>100111002466</v>
      </c>
      <c r="L3795" s="10">
        <v>40505</v>
      </c>
      <c r="M3795">
        <v>167.41</v>
      </c>
      <c r="N3795" s="11">
        <v>38</v>
      </c>
      <c r="O3795" s="12">
        <v>4.28</v>
      </c>
      <c r="P3795" s="12">
        <v>6.72</v>
      </c>
      <c r="Q3795" s="13">
        <v>-161.57</v>
      </c>
      <c r="R3795" s="36" t="s">
        <v>833</v>
      </c>
      <c r="S3795" s="7">
        <f t="shared" si="322"/>
        <v>1</v>
      </c>
      <c r="T3795" s="15" t="str">
        <f>VLOOKUP(R3795,产品分类!$C$2:$D$1278,2,0)</f>
        <v>家具产品</v>
      </c>
    </row>
    <row r="3796" spans="1:20">
      <c r="A3796" s="8">
        <f>DATE(2012,12,31)-1022</f>
        <v>40252</v>
      </c>
      <c r="B3796" s="8">
        <f>DATE(2012,12,31)-1022</f>
        <v>40252</v>
      </c>
      <c r="C3796" s="9" t="s">
        <v>1100</v>
      </c>
      <c r="D3796">
        <v>10021575312</v>
      </c>
      <c r="E3796" t="s">
        <v>47</v>
      </c>
      <c r="F3796" t="s">
        <v>61</v>
      </c>
      <c r="G3796" t="s">
        <v>62</v>
      </c>
      <c r="H3796" t="s">
        <v>2216</v>
      </c>
      <c r="I3796" t="s">
        <v>2217</v>
      </c>
      <c r="J3796" t="s">
        <v>52</v>
      </c>
      <c r="K3796" s="3">
        <v>10049524064</v>
      </c>
      <c r="L3796" s="10">
        <v>40254</v>
      </c>
      <c r="M3796">
        <v>1612.93</v>
      </c>
      <c r="N3796" s="11">
        <v>11</v>
      </c>
      <c r="O3796" s="12">
        <v>140.99</v>
      </c>
      <c r="P3796" s="12">
        <v>13.99</v>
      </c>
      <c r="Q3796" s="13">
        <v>321.25</v>
      </c>
      <c r="R3796" s="36" t="s">
        <v>2099</v>
      </c>
      <c r="S3796" s="7">
        <f t="shared" si="322"/>
        <v>2</v>
      </c>
      <c r="T3796" s="15" t="str">
        <f>VLOOKUP(R3796,产品分类!$C$2:$D$1278,2,0)</f>
        <v>办公用品</v>
      </c>
    </row>
    <row r="3797" spans="1:20">
      <c r="A3797" s="16">
        <f>DATE(2012,12,31)-141</f>
        <v>41133</v>
      </c>
      <c r="B3797" s="16">
        <f>DATE(2012,12,31)-141</f>
        <v>41133</v>
      </c>
      <c r="C3797" s="9" t="s">
        <v>1221</v>
      </c>
      <c r="D3797">
        <v>10021575061</v>
      </c>
      <c r="E3797" t="s">
        <v>47</v>
      </c>
      <c r="F3797" t="s">
        <v>61</v>
      </c>
      <c r="G3797" t="s">
        <v>62</v>
      </c>
      <c r="H3797" t="s">
        <v>2216</v>
      </c>
      <c r="I3797" t="s">
        <v>2217</v>
      </c>
      <c r="J3797" t="s">
        <v>52</v>
      </c>
      <c r="K3797" s="3">
        <v>10012279848</v>
      </c>
      <c r="L3797" s="10">
        <v>41134</v>
      </c>
      <c r="M3797">
        <v>152.44</v>
      </c>
      <c r="N3797" s="17">
        <v>22</v>
      </c>
      <c r="O3797" s="5">
        <v>6.48</v>
      </c>
      <c r="P3797" s="5">
        <v>5.86</v>
      </c>
      <c r="Q3797" s="6">
        <v>-40.76</v>
      </c>
      <c r="R3797" s="37" t="s">
        <v>738</v>
      </c>
      <c r="S3797" s="7">
        <f t="shared" si="322"/>
        <v>1</v>
      </c>
      <c r="T3797" s="15" t="str">
        <f>VLOOKUP(R3797,产品分类!$C$2:$D$1278,2,0)</f>
        <v>数码电子</v>
      </c>
    </row>
    <row r="3798" spans="1:20">
      <c r="A3798" s="8">
        <f>DATE(2012,12,31)-684</f>
        <v>40590</v>
      </c>
      <c r="B3798" s="8">
        <f>DATE(2012,12,31)-684</f>
        <v>40590</v>
      </c>
      <c r="C3798" s="9" t="s">
        <v>207</v>
      </c>
      <c r="D3798">
        <v>10021467981</v>
      </c>
      <c r="E3798" t="s">
        <v>47</v>
      </c>
      <c r="F3798" t="s">
        <v>61</v>
      </c>
      <c r="G3798" t="s">
        <v>62</v>
      </c>
      <c r="H3798" t="s">
        <v>2216</v>
      </c>
      <c r="I3798" t="s">
        <v>2217</v>
      </c>
      <c r="J3798" t="s">
        <v>52</v>
      </c>
      <c r="K3798" s="3">
        <v>100830880272</v>
      </c>
      <c r="L3798" s="10">
        <v>40591</v>
      </c>
      <c r="M3798">
        <v>223.74</v>
      </c>
      <c r="N3798" s="11">
        <v>37</v>
      </c>
      <c r="O3798" s="12">
        <v>5.98</v>
      </c>
      <c r="P3798" s="12">
        <v>2.5</v>
      </c>
      <c r="Q3798" s="13">
        <v>39.63</v>
      </c>
      <c r="R3798" s="36" t="s">
        <v>547</v>
      </c>
      <c r="S3798" s="7">
        <f t="shared" si="322"/>
        <v>1</v>
      </c>
      <c r="T3798" s="15" t="str">
        <f>VLOOKUP(R3798,产品分类!$C$2:$D$1278,2,0)</f>
        <v>数码电子</v>
      </c>
    </row>
    <row r="3799" spans="1:20">
      <c r="A3799" s="8">
        <f>DATE(2012,12,31)-684</f>
        <v>40590</v>
      </c>
      <c r="B3799" s="8">
        <f>DATE(2012,12,31)-684</f>
        <v>40590</v>
      </c>
      <c r="C3799" s="9" t="s">
        <v>207</v>
      </c>
      <c r="D3799">
        <v>10021266635</v>
      </c>
      <c r="E3799" t="s">
        <v>47</v>
      </c>
      <c r="F3799" t="s">
        <v>61</v>
      </c>
      <c r="G3799" t="s">
        <v>62</v>
      </c>
      <c r="H3799" t="s">
        <v>2216</v>
      </c>
      <c r="I3799" t="s">
        <v>2217</v>
      </c>
      <c r="J3799" t="s">
        <v>52</v>
      </c>
      <c r="K3799" s="3">
        <v>100131809847</v>
      </c>
      <c r="L3799" s="10">
        <v>40591</v>
      </c>
      <c r="M3799">
        <v>26.82</v>
      </c>
      <c r="N3799" s="11">
        <v>2</v>
      </c>
      <c r="O3799" s="12">
        <v>10.4</v>
      </c>
      <c r="P3799" s="12">
        <v>5.4</v>
      </c>
      <c r="Q3799" s="13">
        <v>26.21</v>
      </c>
      <c r="R3799" s="36" t="s">
        <v>1514</v>
      </c>
      <c r="S3799" s="7">
        <f t="shared" si="322"/>
        <v>1</v>
      </c>
      <c r="T3799" s="15" t="str">
        <f>VLOOKUP(R3799,产品分类!$C$2:$D$1278,2,0)</f>
        <v>家具产品</v>
      </c>
    </row>
    <row r="3800" spans="1:20">
      <c r="A3800" s="16">
        <f t="shared" ref="A3800:B3804" si="324">DATE(2012,12,31)-396</f>
        <v>40878</v>
      </c>
      <c r="B3800" s="16">
        <f t="shared" si="324"/>
        <v>40878</v>
      </c>
      <c r="C3800" s="9" t="s">
        <v>457</v>
      </c>
      <c r="D3800">
        <v>10021279844</v>
      </c>
      <c r="E3800" t="s">
        <v>47</v>
      </c>
      <c r="F3800" t="s">
        <v>61</v>
      </c>
      <c r="G3800" t="s">
        <v>62</v>
      </c>
      <c r="H3800" t="s">
        <v>2216</v>
      </c>
      <c r="I3800" t="s">
        <v>2217</v>
      </c>
      <c r="J3800" t="s">
        <v>52</v>
      </c>
      <c r="K3800" s="3">
        <v>10017822777</v>
      </c>
      <c r="L3800" s="10">
        <v>40880</v>
      </c>
      <c r="M3800">
        <v>13.96</v>
      </c>
      <c r="N3800" s="17">
        <v>1</v>
      </c>
      <c r="O3800" s="5">
        <v>10.91</v>
      </c>
      <c r="P3800" s="5">
        <v>2.99</v>
      </c>
      <c r="Q3800" s="6">
        <v>-4.7035</v>
      </c>
      <c r="R3800" s="37" t="s">
        <v>588</v>
      </c>
      <c r="S3800" s="7">
        <f t="shared" si="322"/>
        <v>2</v>
      </c>
      <c r="T3800" s="15" t="str">
        <f>VLOOKUP(R3800,产品分类!$C$2:$D$1278,2,0)</f>
        <v>家具产品</v>
      </c>
    </row>
    <row r="3801" spans="1:20">
      <c r="A3801" s="16">
        <f t="shared" si="324"/>
        <v>40878</v>
      </c>
      <c r="B3801" s="16">
        <f t="shared" si="324"/>
        <v>40878</v>
      </c>
      <c r="C3801" s="9" t="s">
        <v>457</v>
      </c>
      <c r="D3801">
        <v>10021494510</v>
      </c>
      <c r="E3801" t="s">
        <v>47</v>
      </c>
      <c r="F3801" t="s">
        <v>61</v>
      </c>
      <c r="G3801" t="s">
        <v>62</v>
      </c>
      <c r="H3801" t="s">
        <v>2216</v>
      </c>
      <c r="I3801" t="s">
        <v>2217</v>
      </c>
      <c r="J3801" t="s">
        <v>52</v>
      </c>
      <c r="K3801" s="3">
        <v>10019641938</v>
      </c>
      <c r="L3801" s="10">
        <v>40878</v>
      </c>
      <c r="M3801">
        <v>531.48</v>
      </c>
      <c r="N3801" s="17">
        <v>50</v>
      </c>
      <c r="O3801" s="5">
        <v>10.67</v>
      </c>
      <c r="P3801" s="5">
        <v>1.39</v>
      </c>
      <c r="Q3801" s="6">
        <v>232.58</v>
      </c>
      <c r="R3801" s="37" t="s">
        <v>2265</v>
      </c>
      <c r="S3801" s="7">
        <f t="shared" si="322"/>
        <v>0</v>
      </c>
      <c r="T3801" s="15" t="str">
        <f>VLOOKUP(R3801,产品分类!$C$2:$D$1278,2,0)</f>
        <v>办公用品</v>
      </c>
    </row>
    <row r="3802" spans="1:20">
      <c r="A3802" s="8">
        <f t="shared" si="324"/>
        <v>40878</v>
      </c>
      <c r="B3802" s="8">
        <f t="shared" si="324"/>
        <v>40878</v>
      </c>
      <c r="C3802" s="9" t="s">
        <v>457</v>
      </c>
      <c r="D3802">
        <v>10021475209</v>
      </c>
      <c r="E3802" t="s">
        <v>47</v>
      </c>
      <c r="F3802" t="s">
        <v>72</v>
      </c>
      <c r="G3802" t="s">
        <v>73</v>
      </c>
      <c r="H3802" t="s">
        <v>2008</v>
      </c>
      <c r="I3802" t="s">
        <v>2009</v>
      </c>
      <c r="J3802" t="s">
        <v>52</v>
      </c>
      <c r="K3802" s="3">
        <v>100833014982</v>
      </c>
      <c r="L3802" s="10">
        <v>40880</v>
      </c>
      <c r="M3802">
        <v>3524.55</v>
      </c>
      <c r="N3802" s="11">
        <v>29</v>
      </c>
      <c r="O3802" s="12">
        <v>130.98</v>
      </c>
      <c r="P3802" s="12">
        <v>30</v>
      </c>
      <c r="Q3802" s="13">
        <v>-570.18</v>
      </c>
      <c r="R3802" s="36" t="s">
        <v>1025</v>
      </c>
      <c r="S3802" s="7">
        <f t="shared" si="322"/>
        <v>2</v>
      </c>
      <c r="T3802" s="15" t="str">
        <f>VLOOKUP(R3802,产品分类!$C$2:$D$1278,2,0)</f>
        <v>办公用品</v>
      </c>
    </row>
    <row r="3803" spans="1:20">
      <c r="A3803" s="8">
        <f t="shared" si="324"/>
        <v>40878</v>
      </c>
      <c r="B3803" s="8">
        <f t="shared" si="324"/>
        <v>40878</v>
      </c>
      <c r="C3803" s="9" t="s">
        <v>457</v>
      </c>
      <c r="D3803">
        <v>10021603410</v>
      </c>
      <c r="E3803" t="s">
        <v>47</v>
      </c>
      <c r="F3803" t="s">
        <v>122</v>
      </c>
      <c r="G3803" t="s">
        <v>123</v>
      </c>
      <c r="H3803" t="s">
        <v>2159</v>
      </c>
      <c r="I3803" t="s">
        <v>2160</v>
      </c>
      <c r="J3803" t="s">
        <v>52</v>
      </c>
      <c r="K3803" s="3">
        <v>100733184245</v>
      </c>
      <c r="L3803" s="10">
        <v>40880</v>
      </c>
      <c r="M3803">
        <v>890.61</v>
      </c>
      <c r="N3803" s="11">
        <v>42</v>
      </c>
      <c r="O3803" s="12">
        <v>22.23</v>
      </c>
      <c r="P3803" s="12">
        <v>3.63</v>
      </c>
      <c r="Q3803" s="13">
        <v>297.11</v>
      </c>
      <c r="R3803" s="36" t="s">
        <v>1837</v>
      </c>
      <c r="S3803" s="7">
        <f t="shared" si="322"/>
        <v>2</v>
      </c>
      <c r="T3803" s="15" t="str">
        <f>VLOOKUP(R3803,产品分类!$C$2:$D$1278,2,0)</f>
        <v>数码电子</v>
      </c>
    </row>
    <row r="3804" spans="1:20">
      <c r="A3804" s="16">
        <f t="shared" si="324"/>
        <v>40878</v>
      </c>
      <c r="B3804" s="16">
        <f t="shared" si="324"/>
        <v>40878</v>
      </c>
      <c r="C3804" s="9" t="s">
        <v>457</v>
      </c>
      <c r="D3804">
        <v>10021570591</v>
      </c>
      <c r="E3804" t="s">
        <v>47</v>
      </c>
      <c r="F3804" t="s">
        <v>127</v>
      </c>
      <c r="G3804" t="s">
        <v>128</v>
      </c>
      <c r="H3804" t="s">
        <v>2189</v>
      </c>
      <c r="I3804" t="s">
        <v>2190</v>
      </c>
      <c r="J3804" t="s">
        <v>52</v>
      </c>
      <c r="K3804" s="3">
        <v>100933152511</v>
      </c>
      <c r="L3804" s="10">
        <v>40880</v>
      </c>
      <c r="M3804">
        <v>64.19</v>
      </c>
      <c r="N3804" s="17">
        <v>10</v>
      </c>
      <c r="O3804" s="5">
        <v>6.68</v>
      </c>
      <c r="P3804" s="5">
        <v>1.5</v>
      </c>
      <c r="Q3804" s="6">
        <v>3.77</v>
      </c>
      <c r="R3804" s="37" t="s">
        <v>900</v>
      </c>
      <c r="S3804" s="7">
        <f t="shared" si="322"/>
        <v>2</v>
      </c>
      <c r="T3804" s="15" t="str">
        <f>VLOOKUP(R3804,产品分类!$C$2:$D$1278,2,0)</f>
        <v>数码电子</v>
      </c>
    </row>
    <row r="3805" spans="1:20">
      <c r="A3805" s="8">
        <f>DATE(2012,12,31)-327</f>
        <v>40947</v>
      </c>
      <c r="B3805" s="8">
        <f>DATE(2012,12,31)-327</f>
        <v>40947</v>
      </c>
      <c r="C3805" s="9" t="s">
        <v>204</v>
      </c>
      <c r="D3805">
        <v>10021271039</v>
      </c>
      <c r="E3805" t="s">
        <v>47</v>
      </c>
      <c r="F3805" t="s">
        <v>132</v>
      </c>
      <c r="G3805" t="s">
        <v>133</v>
      </c>
      <c r="H3805" t="s">
        <v>134</v>
      </c>
      <c r="I3805" t="s">
        <v>133</v>
      </c>
      <c r="J3805" t="s">
        <v>52</v>
      </c>
      <c r="K3805" s="3">
        <v>100132758258</v>
      </c>
      <c r="L3805" s="10">
        <v>40949</v>
      </c>
      <c r="M3805">
        <v>538.22</v>
      </c>
      <c r="N3805" s="11">
        <v>48</v>
      </c>
      <c r="O3805" s="12">
        <v>10.97</v>
      </c>
      <c r="P3805" s="12">
        <v>6.5</v>
      </c>
      <c r="Q3805" s="13">
        <v>-154.66</v>
      </c>
      <c r="R3805" s="36" t="s">
        <v>381</v>
      </c>
      <c r="S3805" s="7">
        <f t="shared" si="322"/>
        <v>2</v>
      </c>
      <c r="T3805" s="15" t="str">
        <f>VLOOKUP(R3805,产品分类!$C$2:$D$1278,2,0)</f>
        <v>数码电子</v>
      </c>
    </row>
    <row r="3806" spans="1:20">
      <c r="A3806" s="8">
        <f t="shared" ref="A3806:B3808" si="325">DATE(2012,12,31)-1391</f>
        <v>39883</v>
      </c>
      <c r="B3806" s="8">
        <f t="shared" si="325"/>
        <v>39883</v>
      </c>
      <c r="C3806" s="9" t="s">
        <v>2118</v>
      </c>
      <c r="D3806">
        <v>10021274080</v>
      </c>
      <c r="E3806" t="s">
        <v>47</v>
      </c>
      <c r="F3806" t="s">
        <v>102</v>
      </c>
      <c r="G3806" t="s">
        <v>103</v>
      </c>
      <c r="H3806" t="s">
        <v>2236</v>
      </c>
      <c r="I3806" t="s">
        <v>2237</v>
      </c>
      <c r="J3806" t="s">
        <v>52</v>
      </c>
      <c r="K3806" s="3">
        <v>100932766971</v>
      </c>
      <c r="L3806" s="10">
        <v>39886</v>
      </c>
      <c r="M3806">
        <v>1064.23</v>
      </c>
      <c r="N3806" s="11">
        <v>11</v>
      </c>
      <c r="O3806" s="12">
        <v>99.99</v>
      </c>
      <c r="P3806" s="12">
        <v>19.99</v>
      </c>
      <c r="Q3806" s="13">
        <v>-127.56</v>
      </c>
      <c r="R3806" s="36" t="s">
        <v>532</v>
      </c>
      <c r="S3806" s="7">
        <f t="shared" si="322"/>
        <v>3</v>
      </c>
      <c r="T3806" s="15" t="str">
        <f>VLOOKUP(R3806,产品分类!$C$2:$D$1278,2,0)</f>
        <v>办公用品</v>
      </c>
    </row>
    <row r="3807" spans="1:20">
      <c r="A3807" s="8">
        <f t="shared" si="325"/>
        <v>39883</v>
      </c>
      <c r="B3807" s="8">
        <f t="shared" si="325"/>
        <v>39883</v>
      </c>
      <c r="C3807" s="9" t="s">
        <v>2118</v>
      </c>
      <c r="D3807">
        <v>10021471512</v>
      </c>
      <c r="E3807" t="s">
        <v>47</v>
      </c>
      <c r="F3807" t="s">
        <v>61</v>
      </c>
      <c r="G3807" t="s">
        <v>62</v>
      </c>
      <c r="H3807" t="s">
        <v>2216</v>
      </c>
      <c r="I3807" t="s">
        <v>2217</v>
      </c>
      <c r="J3807" t="s">
        <v>52</v>
      </c>
      <c r="K3807" s="3">
        <v>100833004992</v>
      </c>
      <c r="L3807" s="10">
        <v>39884</v>
      </c>
      <c r="M3807">
        <v>3497.05</v>
      </c>
      <c r="N3807" s="11">
        <v>18</v>
      </c>
      <c r="O3807" s="12">
        <v>193.17</v>
      </c>
      <c r="P3807" s="12">
        <v>19.99</v>
      </c>
      <c r="Q3807" s="13">
        <v>282.18</v>
      </c>
      <c r="R3807" s="36" t="s">
        <v>212</v>
      </c>
      <c r="S3807" s="7">
        <f t="shared" si="322"/>
        <v>1</v>
      </c>
      <c r="T3807" s="15" t="str">
        <f>VLOOKUP(R3807,产品分类!$C$2:$D$1278,2,0)</f>
        <v>家具产品</v>
      </c>
    </row>
    <row r="3808" spans="1:20">
      <c r="A3808" s="8">
        <f t="shared" si="325"/>
        <v>39883</v>
      </c>
      <c r="B3808" s="8">
        <f t="shared" si="325"/>
        <v>39883</v>
      </c>
      <c r="C3808" s="9" t="s">
        <v>2118</v>
      </c>
      <c r="D3808">
        <v>10021363095</v>
      </c>
      <c r="E3808" t="s">
        <v>47</v>
      </c>
      <c r="F3808" t="s">
        <v>253</v>
      </c>
      <c r="G3808" t="s">
        <v>254</v>
      </c>
      <c r="H3808" t="s">
        <v>2193</v>
      </c>
      <c r="I3808" t="s">
        <v>2194</v>
      </c>
      <c r="J3808" t="s">
        <v>52</v>
      </c>
      <c r="K3808" s="3">
        <v>100832888632</v>
      </c>
      <c r="L3808" s="10">
        <v>39883</v>
      </c>
      <c r="M3808">
        <v>774.0525</v>
      </c>
      <c r="N3808" s="11">
        <v>44</v>
      </c>
      <c r="O3808" s="12">
        <v>20.99</v>
      </c>
      <c r="P3808" s="12">
        <v>3.3</v>
      </c>
      <c r="Q3808" s="13">
        <v>-96.338</v>
      </c>
      <c r="R3808" s="36" t="s">
        <v>810</v>
      </c>
      <c r="S3808" s="7">
        <f t="shared" si="322"/>
        <v>0</v>
      </c>
      <c r="T3808" s="15" t="str">
        <f>VLOOKUP(R3808,产品分类!$C$2:$D$1278,2,0)</f>
        <v>家具产品</v>
      </c>
    </row>
    <row r="3809" spans="1:20">
      <c r="A3809" s="8">
        <f>DATE(2012,12,31)-366</f>
        <v>40908</v>
      </c>
      <c r="B3809" s="8">
        <f>DATE(2012,12,31)-366</f>
        <v>40908</v>
      </c>
      <c r="C3809" s="9" t="s">
        <v>970</v>
      </c>
      <c r="D3809">
        <v>10021486855</v>
      </c>
      <c r="E3809" t="s">
        <v>47</v>
      </c>
      <c r="F3809" t="s">
        <v>61</v>
      </c>
      <c r="G3809" t="s">
        <v>62</v>
      </c>
      <c r="H3809" t="s">
        <v>2216</v>
      </c>
      <c r="I3809" t="s">
        <v>2217</v>
      </c>
      <c r="J3809" t="s">
        <v>52</v>
      </c>
      <c r="K3809" s="3">
        <v>100433039543</v>
      </c>
      <c r="L3809" s="10">
        <v>40910</v>
      </c>
      <c r="M3809">
        <v>60.5625</v>
      </c>
      <c r="N3809" s="11">
        <v>2</v>
      </c>
      <c r="O3809" s="12">
        <v>35.99</v>
      </c>
      <c r="P3809" s="12">
        <v>1.1</v>
      </c>
      <c r="Q3809" s="13">
        <v>-165.539</v>
      </c>
      <c r="R3809" s="36" t="s">
        <v>537</v>
      </c>
      <c r="S3809" s="7">
        <f t="shared" si="322"/>
        <v>2</v>
      </c>
      <c r="T3809" s="15" t="str">
        <f>VLOOKUP(R3809,产品分类!$C$2:$D$1278,2,0)</f>
        <v>办公用品</v>
      </c>
    </row>
    <row r="3810" spans="1:20">
      <c r="A3810" s="8">
        <f>DATE(2012,12,31)-215</f>
        <v>41059</v>
      </c>
      <c r="B3810" s="8">
        <f>DATE(2012,12,31)-215</f>
        <v>41059</v>
      </c>
      <c r="C3810" s="9" t="s">
        <v>236</v>
      </c>
      <c r="D3810">
        <v>10021322159</v>
      </c>
      <c r="E3810" t="s">
        <v>47</v>
      </c>
      <c r="F3810" t="s">
        <v>61</v>
      </c>
      <c r="G3810" t="s">
        <v>62</v>
      </c>
      <c r="H3810" t="s">
        <v>2216</v>
      </c>
      <c r="I3810" t="s">
        <v>2217</v>
      </c>
      <c r="J3810" t="s">
        <v>52</v>
      </c>
      <c r="K3810" s="3">
        <v>100432834253</v>
      </c>
      <c r="L3810" s="10">
        <v>41061</v>
      </c>
      <c r="M3810">
        <v>2976.21</v>
      </c>
      <c r="N3810" s="11">
        <v>31</v>
      </c>
      <c r="O3810" s="12">
        <v>100.98</v>
      </c>
      <c r="P3810" s="12">
        <v>35.84</v>
      </c>
      <c r="Q3810" s="13">
        <v>-277.63</v>
      </c>
      <c r="R3810" s="36" t="s">
        <v>471</v>
      </c>
      <c r="S3810" s="7">
        <f t="shared" si="322"/>
        <v>2</v>
      </c>
      <c r="T3810" s="15" t="str">
        <f>VLOOKUP(R3810,产品分类!$C$2:$D$1278,2,0)</f>
        <v>办公用品</v>
      </c>
    </row>
    <row r="3811" spans="1:20">
      <c r="A3811" s="8">
        <f>DATE(2012,12,31)-215</f>
        <v>41059</v>
      </c>
      <c r="B3811" s="8">
        <f>DATE(2012,12,31)-215</f>
        <v>41059</v>
      </c>
      <c r="C3811" s="9" t="s">
        <v>236</v>
      </c>
      <c r="D3811">
        <v>10021321217</v>
      </c>
      <c r="E3811" t="s">
        <v>47</v>
      </c>
      <c r="F3811" t="s">
        <v>61</v>
      </c>
      <c r="G3811" t="s">
        <v>62</v>
      </c>
      <c r="H3811" t="s">
        <v>2216</v>
      </c>
      <c r="I3811" t="s">
        <v>2217</v>
      </c>
      <c r="J3811" t="s">
        <v>52</v>
      </c>
      <c r="K3811" s="3">
        <v>100932830491</v>
      </c>
      <c r="L3811" s="10">
        <v>41061</v>
      </c>
      <c r="M3811">
        <v>1894.1655</v>
      </c>
      <c r="N3811" s="11">
        <v>37</v>
      </c>
      <c r="O3811" s="12">
        <v>65.99</v>
      </c>
      <c r="P3811" s="12">
        <v>8.99</v>
      </c>
      <c r="Q3811" s="13">
        <v>134.73</v>
      </c>
      <c r="R3811" s="36" t="s">
        <v>1486</v>
      </c>
      <c r="S3811" s="7">
        <f t="shared" si="322"/>
        <v>2</v>
      </c>
      <c r="T3811" s="15" t="str">
        <f>VLOOKUP(R3811,产品分类!$C$2:$D$1278,2,0)</f>
        <v>办公用品</v>
      </c>
    </row>
    <row r="3812" spans="1:20">
      <c r="A3812" s="8">
        <f>DATE(2012,12,31)-1061</f>
        <v>40213</v>
      </c>
      <c r="B3812" s="8">
        <f>DATE(2012,12,31)-1061</f>
        <v>40213</v>
      </c>
      <c r="C3812" s="9" t="s">
        <v>712</v>
      </c>
      <c r="D3812">
        <v>10021357440</v>
      </c>
      <c r="E3812" t="s">
        <v>47</v>
      </c>
      <c r="F3812" t="s">
        <v>72</v>
      </c>
      <c r="G3812" t="s">
        <v>73</v>
      </c>
      <c r="H3812" t="s">
        <v>2008</v>
      </c>
      <c r="I3812" t="s">
        <v>2009</v>
      </c>
      <c r="J3812" t="s">
        <v>52</v>
      </c>
      <c r="K3812" s="3">
        <v>100832873782</v>
      </c>
      <c r="L3812" s="10">
        <v>40214</v>
      </c>
      <c r="M3812">
        <v>495.8</v>
      </c>
      <c r="N3812" s="11">
        <v>25</v>
      </c>
      <c r="O3812" s="12">
        <v>19.04</v>
      </c>
      <c r="P3812" s="12">
        <v>6.38</v>
      </c>
      <c r="Q3812" s="13">
        <v>107.82</v>
      </c>
      <c r="R3812" s="36" t="s">
        <v>2266</v>
      </c>
      <c r="S3812" s="7">
        <f t="shared" si="322"/>
        <v>1</v>
      </c>
      <c r="T3812" s="15" t="str">
        <f>VLOOKUP(R3812,产品分类!$C$2:$D$1278,2,0)</f>
        <v>办公用品</v>
      </c>
    </row>
    <row r="3813" spans="1:20">
      <c r="A3813" s="8">
        <f>DATE(2012,12,31)-1061</f>
        <v>40213</v>
      </c>
      <c r="B3813" s="8">
        <f>DATE(2012,12,31)-1061</f>
        <v>40213</v>
      </c>
      <c r="C3813" s="9" t="s">
        <v>712</v>
      </c>
      <c r="D3813">
        <v>10021602469</v>
      </c>
      <c r="E3813" t="s">
        <v>47</v>
      </c>
      <c r="F3813" t="s">
        <v>230</v>
      </c>
      <c r="G3813" t="s">
        <v>231</v>
      </c>
      <c r="H3813" t="s">
        <v>2174</v>
      </c>
      <c r="I3813" t="s">
        <v>2175</v>
      </c>
      <c r="J3813" t="s">
        <v>52</v>
      </c>
      <c r="K3813" s="3">
        <v>100133183156</v>
      </c>
      <c r="L3813" s="10">
        <v>40214</v>
      </c>
      <c r="M3813">
        <v>1645.51</v>
      </c>
      <c r="N3813" s="11">
        <v>28</v>
      </c>
      <c r="O3813" s="12">
        <v>59.76</v>
      </c>
      <c r="P3813" s="12">
        <v>9.71</v>
      </c>
      <c r="Q3813" s="13">
        <v>300.34</v>
      </c>
      <c r="R3813" s="36" t="s">
        <v>1747</v>
      </c>
      <c r="S3813" s="7">
        <f t="shared" si="322"/>
        <v>1</v>
      </c>
      <c r="T3813" s="15" t="str">
        <f>VLOOKUP(R3813,产品分类!$C$2:$D$1278,2,0)</f>
        <v>办公用品</v>
      </c>
    </row>
    <row r="3814" spans="1:20">
      <c r="A3814" s="8">
        <f>DATE(2012,12,31)-477</f>
        <v>40797</v>
      </c>
      <c r="B3814" s="8">
        <f>DATE(2012,12,31)-477</f>
        <v>40797</v>
      </c>
      <c r="C3814" s="9" t="s">
        <v>800</v>
      </c>
      <c r="D3814">
        <v>10021278545</v>
      </c>
      <c r="E3814" t="s">
        <v>47</v>
      </c>
      <c r="F3814" t="s">
        <v>83</v>
      </c>
      <c r="G3814" t="s">
        <v>84</v>
      </c>
      <c r="H3814" t="s">
        <v>2231</v>
      </c>
      <c r="I3814" t="s">
        <v>2232</v>
      </c>
      <c r="J3814" t="s">
        <v>52</v>
      </c>
      <c r="K3814" s="3">
        <v>100932778941</v>
      </c>
      <c r="L3814" s="10">
        <v>40798</v>
      </c>
      <c r="M3814">
        <v>109.9</v>
      </c>
      <c r="N3814" s="11">
        <v>16</v>
      </c>
      <c r="O3814" s="12">
        <v>6.54</v>
      </c>
      <c r="P3814" s="12">
        <v>5.27</v>
      </c>
      <c r="Q3814" s="13">
        <v>-28.9455</v>
      </c>
      <c r="R3814" s="36" t="s">
        <v>196</v>
      </c>
      <c r="S3814" s="7">
        <f t="shared" si="322"/>
        <v>1</v>
      </c>
      <c r="T3814" s="15" t="str">
        <f>VLOOKUP(R3814,产品分类!$C$2:$D$1278,2,0)</f>
        <v>办公用品</v>
      </c>
    </row>
    <row r="3815" spans="1:20">
      <c r="A3815" s="8">
        <f>DATE(2012,12,31)-450</f>
        <v>40824</v>
      </c>
      <c r="B3815" s="8">
        <f>DATE(2012,12,31)-450</f>
        <v>40824</v>
      </c>
      <c r="C3815" s="9" t="s">
        <v>567</v>
      </c>
      <c r="D3815">
        <v>10021597862</v>
      </c>
      <c r="E3815" t="s">
        <v>47</v>
      </c>
      <c r="F3815" t="s">
        <v>122</v>
      </c>
      <c r="G3815" t="s">
        <v>123</v>
      </c>
      <c r="H3815" t="s">
        <v>2159</v>
      </c>
      <c r="I3815" t="s">
        <v>2160</v>
      </c>
      <c r="J3815" t="s">
        <v>52</v>
      </c>
      <c r="K3815" s="3">
        <v>100433166164</v>
      </c>
      <c r="L3815" s="10">
        <v>40826</v>
      </c>
      <c r="M3815">
        <v>477.5045</v>
      </c>
      <c r="N3815" s="11">
        <v>17</v>
      </c>
      <c r="O3815" s="12">
        <v>35.99</v>
      </c>
      <c r="P3815" s="12">
        <v>5</v>
      </c>
      <c r="Q3815" s="13">
        <v>-245.564</v>
      </c>
      <c r="R3815" s="36" t="s">
        <v>1843</v>
      </c>
      <c r="S3815" s="7">
        <f t="shared" si="322"/>
        <v>2</v>
      </c>
      <c r="T3815" s="15" t="str">
        <f>VLOOKUP(R3815,产品分类!$C$2:$D$1278,2,0)</f>
        <v>数码电子</v>
      </c>
    </row>
    <row r="3816" spans="1:20">
      <c r="A3816" s="8">
        <f>DATE(2012,12,31)-159</f>
        <v>41115</v>
      </c>
      <c r="B3816" s="8">
        <f>DATE(2012,12,31)-159</f>
        <v>41115</v>
      </c>
      <c r="C3816" s="9" t="s">
        <v>1638</v>
      </c>
      <c r="D3816">
        <v>10021410668</v>
      </c>
      <c r="E3816" t="s">
        <v>47</v>
      </c>
      <c r="F3816" t="s">
        <v>55</v>
      </c>
      <c r="G3816" t="s">
        <v>56</v>
      </c>
      <c r="H3816" t="s">
        <v>2197</v>
      </c>
      <c r="I3816" t="s">
        <v>2198</v>
      </c>
      <c r="J3816" t="s">
        <v>52</v>
      </c>
      <c r="K3816" s="3">
        <v>100332952919</v>
      </c>
      <c r="L3816" s="10">
        <v>41115</v>
      </c>
      <c r="M3816">
        <v>5056.89</v>
      </c>
      <c r="N3816" s="11">
        <v>10</v>
      </c>
      <c r="O3816" s="12">
        <v>500.98</v>
      </c>
      <c r="P3816" s="12">
        <v>26</v>
      </c>
      <c r="Q3816" s="13">
        <v>789.05</v>
      </c>
      <c r="R3816" s="36" t="s">
        <v>614</v>
      </c>
      <c r="S3816" s="7">
        <f t="shared" si="322"/>
        <v>0</v>
      </c>
      <c r="T3816" s="15" t="str">
        <f>VLOOKUP(R3816,产品分类!$C$2:$D$1278,2,0)</f>
        <v>办公用品</v>
      </c>
    </row>
    <row r="3817" spans="1:20">
      <c r="A3817" s="8">
        <f>DATE(2012,12,31)-159</f>
        <v>41115</v>
      </c>
      <c r="B3817" s="8">
        <f>DATE(2012,12,31)-159</f>
        <v>41115</v>
      </c>
      <c r="C3817" s="9" t="s">
        <v>1638</v>
      </c>
      <c r="D3817">
        <v>10021328443</v>
      </c>
      <c r="E3817" t="s">
        <v>47</v>
      </c>
      <c r="F3817" t="s">
        <v>122</v>
      </c>
      <c r="G3817" t="s">
        <v>123</v>
      </c>
      <c r="H3817" t="s">
        <v>2159</v>
      </c>
      <c r="I3817" t="s">
        <v>2160</v>
      </c>
      <c r="J3817" t="s">
        <v>52</v>
      </c>
      <c r="K3817" s="3">
        <v>100432851993</v>
      </c>
      <c r="L3817" s="10">
        <v>41115</v>
      </c>
      <c r="M3817">
        <v>3500.1</v>
      </c>
      <c r="N3817" s="11">
        <v>45</v>
      </c>
      <c r="O3817" s="12">
        <v>70.89</v>
      </c>
      <c r="P3817" s="12">
        <v>89.3</v>
      </c>
      <c r="Q3817" s="13">
        <v>-2661.318</v>
      </c>
      <c r="R3817" s="36" t="s">
        <v>70</v>
      </c>
      <c r="S3817" s="7">
        <f t="shared" si="322"/>
        <v>0</v>
      </c>
      <c r="T3817" s="15" t="str">
        <f>VLOOKUP(R3817,产品分类!$C$2:$D$1278,2,0)</f>
        <v>数码电子</v>
      </c>
    </row>
    <row r="3818" spans="1:20">
      <c r="A3818" s="8">
        <f>DATE(2012,12,31)-955</f>
        <v>40319</v>
      </c>
      <c r="B3818" s="8">
        <f>DATE(2012,12,31)-955</f>
        <v>40319</v>
      </c>
      <c r="C3818" s="9" t="s">
        <v>1883</v>
      </c>
      <c r="D3818">
        <v>10021520951</v>
      </c>
      <c r="E3818" t="s">
        <v>47</v>
      </c>
      <c r="F3818" t="s">
        <v>55</v>
      </c>
      <c r="G3818" t="s">
        <v>56</v>
      </c>
      <c r="H3818" t="s">
        <v>2197</v>
      </c>
      <c r="I3818" t="s">
        <v>2198</v>
      </c>
      <c r="J3818" t="s">
        <v>52</v>
      </c>
      <c r="K3818" s="3">
        <v>100833081942</v>
      </c>
      <c r="L3818" s="10">
        <v>40321</v>
      </c>
      <c r="M3818">
        <v>87.11</v>
      </c>
      <c r="N3818" s="11">
        <v>12</v>
      </c>
      <c r="O3818" s="12">
        <v>7.28</v>
      </c>
      <c r="P3818" s="12">
        <v>3.52</v>
      </c>
      <c r="Q3818" s="13">
        <v>-43.65</v>
      </c>
      <c r="R3818" s="36" t="s">
        <v>1013</v>
      </c>
      <c r="S3818" s="7">
        <f t="shared" si="322"/>
        <v>2</v>
      </c>
      <c r="T3818" s="15" t="str">
        <f>VLOOKUP(R3818,产品分类!$C$2:$D$1278,2,0)</f>
        <v>办公用品</v>
      </c>
    </row>
    <row r="3819" spans="1:20">
      <c r="A3819" s="8">
        <f>DATE(2012,12,31)-866</f>
        <v>40408</v>
      </c>
      <c r="B3819" s="8">
        <f>DATE(2012,12,31)-866</f>
        <v>40408</v>
      </c>
      <c r="C3819" s="9" t="s">
        <v>1228</v>
      </c>
      <c r="D3819">
        <v>10021357156</v>
      </c>
      <c r="E3819" t="s">
        <v>47</v>
      </c>
      <c r="F3819" t="s">
        <v>91</v>
      </c>
      <c r="G3819" t="s">
        <v>92</v>
      </c>
      <c r="H3819" t="s">
        <v>2053</v>
      </c>
      <c r="I3819" t="s">
        <v>2054</v>
      </c>
      <c r="J3819" t="s">
        <v>52</v>
      </c>
      <c r="K3819" s="3">
        <v>100932872611</v>
      </c>
      <c r="L3819" s="10">
        <v>40410</v>
      </c>
      <c r="M3819">
        <v>639.3</v>
      </c>
      <c r="N3819" s="11">
        <v>19</v>
      </c>
      <c r="O3819" s="12">
        <v>34.99</v>
      </c>
      <c r="P3819" s="12">
        <v>7.73</v>
      </c>
      <c r="Q3819" s="13">
        <v>30.21</v>
      </c>
      <c r="R3819" s="36" t="s">
        <v>2267</v>
      </c>
      <c r="S3819" s="7">
        <f t="shared" si="322"/>
        <v>2</v>
      </c>
      <c r="T3819" s="15" t="str">
        <f>VLOOKUP(R3819,产品分类!$C$2:$D$1278,2,0)</f>
        <v>数码电子</v>
      </c>
    </row>
    <row r="3820" spans="1:20">
      <c r="A3820" s="8">
        <f>DATE(2012,12,31)-1035</f>
        <v>40239</v>
      </c>
      <c r="B3820" s="8">
        <f>DATE(2012,12,31)-1035</f>
        <v>40239</v>
      </c>
      <c r="C3820" s="9" t="s">
        <v>598</v>
      </c>
      <c r="D3820">
        <v>10021490741</v>
      </c>
      <c r="E3820" t="s">
        <v>47</v>
      </c>
      <c r="F3820" t="s">
        <v>208</v>
      </c>
      <c r="G3820" t="s">
        <v>209</v>
      </c>
      <c r="H3820" t="s">
        <v>2177</v>
      </c>
      <c r="I3820" t="s">
        <v>2178</v>
      </c>
      <c r="J3820" t="s">
        <v>52</v>
      </c>
      <c r="K3820" s="3">
        <v>100333049029</v>
      </c>
      <c r="L3820" s="10">
        <v>40240</v>
      </c>
      <c r="M3820">
        <v>393.31</v>
      </c>
      <c r="N3820" s="11">
        <v>20</v>
      </c>
      <c r="O3820" s="12">
        <v>19.98</v>
      </c>
      <c r="P3820" s="12">
        <v>5.86</v>
      </c>
      <c r="Q3820" s="13">
        <v>84.3</v>
      </c>
      <c r="R3820" s="36" t="s">
        <v>1632</v>
      </c>
      <c r="S3820" s="7">
        <f t="shared" si="322"/>
        <v>1</v>
      </c>
      <c r="T3820" s="15" t="str">
        <f>VLOOKUP(R3820,产品分类!$C$2:$D$1278,2,0)</f>
        <v>数码电子</v>
      </c>
    </row>
    <row r="3821" spans="1:20">
      <c r="A3821" s="8">
        <f>DATE(2012,12,31)-576</f>
        <v>40698</v>
      </c>
      <c r="B3821" s="8">
        <f>DATE(2012,12,31)-576</f>
        <v>40698</v>
      </c>
      <c r="C3821" s="9" t="s">
        <v>1201</v>
      </c>
      <c r="D3821">
        <v>10021404600</v>
      </c>
      <c r="E3821" t="s">
        <v>47</v>
      </c>
      <c r="F3821" t="s">
        <v>167</v>
      </c>
      <c r="G3821" t="s">
        <v>168</v>
      </c>
      <c r="H3821" t="s">
        <v>169</v>
      </c>
      <c r="I3821" t="s">
        <v>168</v>
      </c>
      <c r="J3821" t="s">
        <v>52</v>
      </c>
      <c r="K3821" s="3">
        <v>100132936548</v>
      </c>
      <c r="L3821" s="10">
        <v>40700</v>
      </c>
      <c r="M3821">
        <v>74.05</v>
      </c>
      <c r="N3821" s="11">
        <v>3</v>
      </c>
      <c r="O3821" s="12">
        <v>19.99</v>
      </c>
      <c r="P3821" s="12">
        <v>11.17</v>
      </c>
      <c r="Q3821" s="13">
        <v>44.54</v>
      </c>
      <c r="R3821" s="36" t="s">
        <v>2017</v>
      </c>
      <c r="S3821" s="7">
        <f t="shared" si="322"/>
        <v>2</v>
      </c>
      <c r="T3821" s="15" t="str">
        <f>VLOOKUP(R3821,产品分类!$C$2:$D$1278,2,0)</f>
        <v>家具产品</v>
      </c>
    </row>
    <row r="3822" spans="1:20">
      <c r="A3822" s="8">
        <f t="shared" ref="A3822:B3824" si="326">DATE(2012,12,31)-239</f>
        <v>41035</v>
      </c>
      <c r="B3822" s="8">
        <f t="shared" si="326"/>
        <v>41035</v>
      </c>
      <c r="C3822" s="9" t="s">
        <v>1024</v>
      </c>
      <c r="D3822">
        <v>10021429592</v>
      </c>
      <c r="E3822" t="s">
        <v>47</v>
      </c>
      <c r="F3822" t="s">
        <v>72</v>
      </c>
      <c r="G3822" t="s">
        <v>73</v>
      </c>
      <c r="H3822" t="s">
        <v>2008</v>
      </c>
      <c r="I3822" t="s">
        <v>2009</v>
      </c>
      <c r="J3822" t="s">
        <v>52</v>
      </c>
      <c r="K3822" s="3">
        <v>100131639936</v>
      </c>
      <c r="L3822" s="10">
        <v>41035</v>
      </c>
      <c r="M3822">
        <v>14981.74</v>
      </c>
      <c r="N3822" s="11">
        <v>49</v>
      </c>
      <c r="O3822" s="12">
        <v>299.99</v>
      </c>
      <c r="P3822" s="12">
        <v>11.64</v>
      </c>
      <c r="Q3822" s="13">
        <v>-1791.5</v>
      </c>
      <c r="R3822" s="36" t="s">
        <v>1018</v>
      </c>
      <c r="S3822" s="7">
        <f t="shared" si="322"/>
        <v>0</v>
      </c>
      <c r="T3822" s="15" t="str">
        <f>VLOOKUP(R3822,产品分类!$C$2:$D$1278,2,0)</f>
        <v>办公用品</v>
      </c>
    </row>
    <row r="3823" spans="1:20">
      <c r="A3823" s="8">
        <f t="shared" si="326"/>
        <v>41035</v>
      </c>
      <c r="B3823" s="8">
        <f t="shared" si="326"/>
        <v>41035</v>
      </c>
      <c r="C3823" s="9" t="s">
        <v>1024</v>
      </c>
      <c r="D3823">
        <v>10021261513</v>
      </c>
      <c r="E3823" t="s">
        <v>47</v>
      </c>
      <c r="F3823" t="s">
        <v>72</v>
      </c>
      <c r="G3823" t="s">
        <v>73</v>
      </c>
      <c r="H3823" t="s">
        <v>2008</v>
      </c>
      <c r="I3823" t="s">
        <v>2009</v>
      </c>
      <c r="J3823" t="s">
        <v>52</v>
      </c>
      <c r="K3823" s="3">
        <v>100329455799</v>
      </c>
      <c r="L3823" s="10">
        <v>41036</v>
      </c>
      <c r="M3823">
        <v>5587.2</v>
      </c>
      <c r="N3823" s="11">
        <v>36</v>
      </c>
      <c r="O3823" s="12">
        <v>162.93</v>
      </c>
      <c r="P3823" s="12">
        <v>19.99</v>
      </c>
      <c r="Q3823" s="13">
        <v>2254.16</v>
      </c>
      <c r="R3823" s="36" t="s">
        <v>778</v>
      </c>
      <c r="S3823" s="7">
        <f t="shared" si="322"/>
        <v>1</v>
      </c>
      <c r="T3823" s="15" t="str">
        <f>VLOOKUP(R3823,产品分类!$C$2:$D$1278,2,0)</f>
        <v>办公用品</v>
      </c>
    </row>
    <row r="3824" spans="1:20">
      <c r="A3824" s="8">
        <f t="shared" si="326"/>
        <v>41035</v>
      </c>
      <c r="B3824" s="8">
        <f t="shared" si="326"/>
        <v>41035</v>
      </c>
      <c r="C3824" s="9" t="s">
        <v>1024</v>
      </c>
      <c r="D3824">
        <v>10021348271</v>
      </c>
      <c r="E3824" t="s">
        <v>47</v>
      </c>
      <c r="F3824" t="s">
        <v>72</v>
      </c>
      <c r="G3824" t="s">
        <v>73</v>
      </c>
      <c r="H3824" t="s">
        <v>2008</v>
      </c>
      <c r="I3824" t="s">
        <v>2009</v>
      </c>
      <c r="J3824" t="s">
        <v>52</v>
      </c>
      <c r="K3824" s="3">
        <v>100431351304</v>
      </c>
      <c r="L3824" s="10">
        <v>41037</v>
      </c>
      <c r="M3824">
        <v>401.39</v>
      </c>
      <c r="N3824" s="11">
        <v>49</v>
      </c>
      <c r="O3824" s="12">
        <v>8.34</v>
      </c>
      <c r="P3824" s="12">
        <v>0.96</v>
      </c>
      <c r="Q3824" s="13">
        <v>161.95</v>
      </c>
      <c r="R3824" s="36" t="s">
        <v>935</v>
      </c>
      <c r="S3824" s="7">
        <f t="shared" si="322"/>
        <v>2</v>
      </c>
      <c r="T3824" s="15" t="str">
        <f>VLOOKUP(R3824,产品分类!$C$2:$D$1278,2,0)</f>
        <v>办公用品</v>
      </c>
    </row>
    <row r="3825" spans="1:20">
      <c r="A3825" s="8">
        <f>DATE(2012,12,31)-480</f>
        <v>40794</v>
      </c>
      <c r="B3825" s="8">
        <f>DATE(2012,12,31)-480</f>
        <v>40794</v>
      </c>
      <c r="C3825" s="9" t="s">
        <v>1112</v>
      </c>
      <c r="D3825">
        <v>10021593089</v>
      </c>
      <c r="E3825" t="s">
        <v>47</v>
      </c>
      <c r="F3825" t="s">
        <v>527</v>
      </c>
      <c r="G3825" t="s">
        <v>528</v>
      </c>
      <c r="H3825" t="s">
        <v>2191</v>
      </c>
      <c r="I3825" t="s">
        <v>2192</v>
      </c>
      <c r="J3825" t="s">
        <v>52</v>
      </c>
      <c r="K3825" s="3">
        <v>100323521629</v>
      </c>
      <c r="L3825" s="10">
        <v>40797</v>
      </c>
      <c r="M3825">
        <v>1031.06</v>
      </c>
      <c r="N3825" s="11">
        <v>9</v>
      </c>
      <c r="O3825" s="12">
        <v>115.79</v>
      </c>
      <c r="P3825" s="12">
        <v>1.99</v>
      </c>
      <c r="Q3825" s="13">
        <v>39.3599999999999</v>
      </c>
      <c r="R3825" s="36" t="s">
        <v>95</v>
      </c>
      <c r="S3825" s="7">
        <f t="shared" si="322"/>
        <v>3</v>
      </c>
      <c r="T3825" s="15" t="str">
        <f>VLOOKUP(R3825,产品分类!$C$2:$D$1278,2,0)</f>
        <v>数码电子</v>
      </c>
    </row>
    <row r="3826" spans="1:20">
      <c r="A3826" s="8">
        <f>DATE(2012,12,31)-474</f>
        <v>40800</v>
      </c>
      <c r="B3826" s="8">
        <f>DATE(2012,12,31)-474</f>
        <v>40800</v>
      </c>
      <c r="C3826" s="9" t="s">
        <v>1445</v>
      </c>
      <c r="D3826">
        <v>10021571275</v>
      </c>
      <c r="E3826" t="s">
        <v>47</v>
      </c>
      <c r="F3826" t="s">
        <v>72</v>
      </c>
      <c r="G3826" t="s">
        <v>73</v>
      </c>
      <c r="H3826" t="s">
        <v>2008</v>
      </c>
      <c r="I3826" t="s">
        <v>2009</v>
      </c>
      <c r="J3826" t="s">
        <v>52</v>
      </c>
      <c r="K3826" s="3">
        <v>100715481795</v>
      </c>
      <c r="L3826" s="10">
        <v>40801</v>
      </c>
      <c r="M3826">
        <v>301.57</v>
      </c>
      <c r="N3826" s="11">
        <v>8</v>
      </c>
      <c r="O3826" s="12">
        <v>33.94</v>
      </c>
      <c r="P3826" s="12">
        <v>19.19</v>
      </c>
      <c r="Q3826" s="13">
        <v>-77.31</v>
      </c>
      <c r="R3826" s="36" t="s">
        <v>2185</v>
      </c>
      <c r="S3826" s="7">
        <f t="shared" si="322"/>
        <v>1</v>
      </c>
      <c r="T3826" s="15" t="str">
        <f>VLOOKUP(R3826,产品分类!$C$2:$D$1278,2,0)</f>
        <v>办公用品</v>
      </c>
    </row>
    <row r="3827" spans="1:20">
      <c r="A3827" s="8">
        <f>DATE(2012,12,31)-408</f>
        <v>40866</v>
      </c>
      <c r="B3827" s="8">
        <f>DATE(2012,12,31)-408</f>
        <v>40866</v>
      </c>
      <c r="C3827" s="9" t="s">
        <v>2268</v>
      </c>
      <c r="D3827">
        <v>10021314903</v>
      </c>
      <c r="E3827" t="s">
        <v>47</v>
      </c>
      <c r="F3827" t="s">
        <v>72</v>
      </c>
      <c r="G3827" t="s">
        <v>73</v>
      </c>
      <c r="H3827" t="s">
        <v>2008</v>
      </c>
      <c r="I3827" t="s">
        <v>2009</v>
      </c>
      <c r="J3827" t="s">
        <v>52</v>
      </c>
      <c r="K3827" s="3">
        <v>10033610839</v>
      </c>
      <c r="L3827" s="10">
        <v>40870</v>
      </c>
      <c r="M3827">
        <v>7813.7</v>
      </c>
      <c r="N3827" s="11">
        <v>40</v>
      </c>
      <c r="O3827" s="12">
        <v>199.99</v>
      </c>
      <c r="P3827" s="12">
        <v>24.49</v>
      </c>
      <c r="Q3827" s="13">
        <v>2154.33</v>
      </c>
      <c r="R3827" s="36" t="s">
        <v>2092</v>
      </c>
      <c r="S3827" s="7">
        <f t="shared" si="322"/>
        <v>4</v>
      </c>
      <c r="T3827" s="15" t="str">
        <f>VLOOKUP(R3827,产品分类!$C$2:$D$1278,2,0)</f>
        <v>办公用品</v>
      </c>
    </row>
    <row r="3828" spans="1:20">
      <c r="A3828" s="8">
        <f>DATE(2012,12,31)-408</f>
        <v>40866</v>
      </c>
      <c r="B3828" s="8">
        <f>DATE(2012,12,31)-408</f>
        <v>40866</v>
      </c>
      <c r="C3828" s="9" t="s">
        <v>2268</v>
      </c>
      <c r="D3828">
        <v>10021316238</v>
      </c>
      <c r="E3828" t="s">
        <v>47</v>
      </c>
      <c r="F3828" t="s">
        <v>230</v>
      </c>
      <c r="G3828" t="s">
        <v>231</v>
      </c>
      <c r="H3828" t="s">
        <v>2174</v>
      </c>
      <c r="I3828" t="s">
        <v>2175</v>
      </c>
      <c r="J3828" t="s">
        <v>52</v>
      </c>
      <c r="K3828" s="3">
        <v>100132209518</v>
      </c>
      <c r="L3828" s="10">
        <v>40871</v>
      </c>
      <c r="M3828">
        <v>164.92</v>
      </c>
      <c r="N3828" s="11">
        <v>31</v>
      </c>
      <c r="O3828" s="12">
        <v>4.98</v>
      </c>
      <c r="P3828" s="12">
        <v>4.86</v>
      </c>
      <c r="Q3828" s="13">
        <v>-54.36</v>
      </c>
      <c r="R3828" s="36" t="s">
        <v>251</v>
      </c>
      <c r="S3828" s="7">
        <f t="shared" si="322"/>
        <v>5</v>
      </c>
      <c r="T3828" s="15" t="str">
        <f>VLOOKUP(R3828,产品分类!$C$2:$D$1278,2,0)</f>
        <v>办公用品</v>
      </c>
    </row>
    <row r="3829" spans="1:20">
      <c r="A3829" s="8">
        <f>DATE(2012,12,31)-148</f>
        <v>41126</v>
      </c>
      <c r="B3829" s="8">
        <f>DATE(2012,12,31)-148</f>
        <v>41126</v>
      </c>
      <c r="C3829" s="9" t="s">
        <v>193</v>
      </c>
      <c r="D3829">
        <v>10021318215</v>
      </c>
      <c r="E3829" t="s">
        <v>47</v>
      </c>
      <c r="F3829" t="s">
        <v>114</v>
      </c>
      <c r="G3829" t="s">
        <v>115</v>
      </c>
      <c r="H3829" t="s">
        <v>2269</v>
      </c>
      <c r="I3829" t="s">
        <v>2270</v>
      </c>
      <c r="J3829" t="s">
        <v>52</v>
      </c>
      <c r="K3829" s="3">
        <v>100114465307</v>
      </c>
      <c r="L3829" s="10">
        <v>41128</v>
      </c>
      <c r="M3829">
        <v>802.16</v>
      </c>
      <c r="N3829" s="11">
        <v>41</v>
      </c>
      <c r="O3829" s="12">
        <v>19.94</v>
      </c>
      <c r="P3829" s="12">
        <v>14.87</v>
      </c>
      <c r="Q3829" s="13">
        <v>-293.45</v>
      </c>
      <c r="R3829" s="36" t="s">
        <v>2211</v>
      </c>
      <c r="S3829" s="7">
        <f t="shared" si="322"/>
        <v>2</v>
      </c>
      <c r="T3829" s="15" t="str">
        <f>VLOOKUP(R3829,产品分类!$C$2:$D$1278,2,0)</f>
        <v>办公用品</v>
      </c>
    </row>
    <row r="3830" spans="1:20">
      <c r="A3830" s="8">
        <f>DATE(2012,12,31)-92</f>
        <v>41182</v>
      </c>
      <c r="B3830" s="8">
        <f>DATE(2012,12,31)-92</f>
        <v>41182</v>
      </c>
      <c r="C3830" s="9" t="s">
        <v>2271</v>
      </c>
      <c r="D3830">
        <v>10021328624</v>
      </c>
      <c r="E3830" t="s">
        <v>47</v>
      </c>
      <c r="F3830" t="s">
        <v>91</v>
      </c>
      <c r="G3830" t="s">
        <v>92</v>
      </c>
      <c r="H3830" t="s">
        <v>2053</v>
      </c>
      <c r="I3830" t="s">
        <v>2054</v>
      </c>
      <c r="J3830" t="s">
        <v>52</v>
      </c>
      <c r="K3830" s="3">
        <v>100932811311</v>
      </c>
      <c r="L3830" s="10">
        <v>41183</v>
      </c>
      <c r="M3830">
        <v>3333.1</v>
      </c>
      <c r="N3830" s="11">
        <v>50</v>
      </c>
      <c r="O3830" s="12">
        <v>73.98</v>
      </c>
      <c r="P3830" s="12">
        <v>4</v>
      </c>
      <c r="Q3830" s="13">
        <v>-85.03</v>
      </c>
      <c r="R3830" s="36" t="s">
        <v>885</v>
      </c>
      <c r="S3830" s="7">
        <f t="shared" si="322"/>
        <v>1</v>
      </c>
      <c r="T3830" s="15" t="str">
        <f>VLOOKUP(R3830,产品分类!$C$2:$D$1278,2,0)</f>
        <v>办公用品</v>
      </c>
    </row>
    <row r="3831" spans="1:20">
      <c r="A3831" s="16">
        <f>DATE(2012,12,31)-92</f>
        <v>41182</v>
      </c>
      <c r="B3831" s="16">
        <f>DATE(2012,12,31)-92</f>
        <v>41182</v>
      </c>
      <c r="C3831" s="9" t="s">
        <v>2271</v>
      </c>
      <c r="D3831">
        <v>10021292052</v>
      </c>
      <c r="E3831" t="s">
        <v>47</v>
      </c>
      <c r="F3831" t="s">
        <v>91</v>
      </c>
      <c r="G3831" t="s">
        <v>92</v>
      </c>
      <c r="H3831" t="s">
        <v>2053</v>
      </c>
      <c r="I3831" t="s">
        <v>2054</v>
      </c>
      <c r="J3831" t="s">
        <v>52</v>
      </c>
      <c r="K3831" s="3">
        <v>100730510245</v>
      </c>
      <c r="L3831" s="10">
        <v>41182</v>
      </c>
      <c r="M3831">
        <v>55.68</v>
      </c>
      <c r="N3831" s="17">
        <v>27</v>
      </c>
      <c r="O3831" s="5">
        <v>2.1</v>
      </c>
      <c r="P3831" s="5">
        <v>0.7</v>
      </c>
      <c r="Q3831" s="6">
        <v>0.26</v>
      </c>
      <c r="R3831" s="37" t="s">
        <v>1959</v>
      </c>
      <c r="S3831" s="7">
        <f t="shared" si="322"/>
        <v>0</v>
      </c>
      <c r="T3831" s="15" t="str">
        <f>VLOOKUP(R3831,产品分类!$C$2:$D$1278,2,0)</f>
        <v>办公用品</v>
      </c>
    </row>
    <row r="3832" spans="1:20">
      <c r="A3832" s="8">
        <f>DATE(2012,12,31)-110</f>
        <v>41164</v>
      </c>
      <c r="B3832" s="8">
        <f>DATE(2012,12,31)-110</f>
        <v>41164</v>
      </c>
      <c r="C3832" s="9" t="s">
        <v>1378</v>
      </c>
      <c r="D3832">
        <v>10021375965</v>
      </c>
      <c r="E3832" t="s">
        <v>47</v>
      </c>
      <c r="F3832" t="s">
        <v>132</v>
      </c>
      <c r="G3832" t="s">
        <v>133</v>
      </c>
      <c r="H3832" t="s">
        <v>134</v>
      </c>
      <c r="I3832" t="s">
        <v>133</v>
      </c>
      <c r="J3832" t="s">
        <v>52</v>
      </c>
      <c r="K3832" s="3">
        <v>100132581326</v>
      </c>
      <c r="L3832" s="10">
        <v>41164</v>
      </c>
      <c r="M3832">
        <v>237.54</v>
      </c>
      <c r="N3832" s="11">
        <v>16</v>
      </c>
      <c r="O3832" s="12">
        <v>13.79</v>
      </c>
      <c r="P3832" s="12">
        <v>8.78</v>
      </c>
      <c r="Q3832" s="13">
        <v>29.76</v>
      </c>
      <c r="R3832" s="36" t="s">
        <v>1542</v>
      </c>
      <c r="S3832" s="7">
        <f t="shared" si="322"/>
        <v>0</v>
      </c>
      <c r="T3832" s="15" t="str">
        <f>VLOOKUP(R3832,产品分类!$C$2:$D$1278,2,0)</f>
        <v>办公用品</v>
      </c>
    </row>
    <row r="3833" spans="1:20">
      <c r="A3833" s="8">
        <f>DATE(2012,12,31)-110</f>
        <v>41164</v>
      </c>
      <c r="B3833" s="8">
        <f>DATE(2012,12,31)-110</f>
        <v>41164</v>
      </c>
      <c r="C3833" s="9" t="s">
        <v>1378</v>
      </c>
      <c r="D3833">
        <v>10021491624</v>
      </c>
      <c r="E3833" t="s">
        <v>47</v>
      </c>
      <c r="F3833" t="s">
        <v>97</v>
      </c>
      <c r="G3833" t="s">
        <v>98</v>
      </c>
      <c r="H3833" t="s">
        <v>99</v>
      </c>
      <c r="I3833" t="s">
        <v>98</v>
      </c>
      <c r="J3833" t="s">
        <v>52</v>
      </c>
      <c r="K3833" s="3">
        <v>100921412901</v>
      </c>
      <c r="L3833" s="10">
        <v>41164</v>
      </c>
      <c r="M3833">
        <v>143.5</v>
      </c>
      <c r="N3833" s="11">
        <v>3</v>
      </c>
      <c r="O3833" s="12">
        <v>48.91</v>
      </c>
      <c r="P3833" s="12">
        <v>5.81</v>
      </c>
      <c r="Q3833" s="13">
        <v>-27.51</v>
      </c>
      <c r="R3833" s="36" t="s">
        <v>700</v>
      </c>
      <c r="S3833" s="7">
        <f t="shared" si="322"/>
        <v>0</v>
      </c>
      <c r="T3833" s="15" t="str">
        <f>VLOOKUP(R3833,产品分类!$C$2:$D$1278,2,0)</f>
        <v>家具产品</v>
      </c>
    </row>
    <row r="3834" spans="1:20">
      <c r="A3834" s="8">
        <f>DATE(2012,12,31)-1202</f>
        <v>40072</v>
      </c>
      <c r="B3834" s="8">
        <f>DATE(2012,12,31)-1202</f>
        <v>40072</v>
      </c>
      <c r="C3834" s="9" t="s">
        <v>1696</v>
      </c>
      <c r="D3834">
        <v>10021360311</v>
      </c>
      <c r="E3834" t="s">
        <v>47</v>
      </c>
      <c r="F3834" t="s">
        <v>102</v>
      </c>
      <c r="G3834" t="s">
        <v>103</v>
      </c>
      <c r="H3834" t="s">
        <v>2236</v>
      </c>
      <c r="I3834" t="s">
        <v>2237</v>
      </c>
      <c r="J3834" t="s">
        <v>52</v>
      </c>
      <c r="K3834" s="3">
        <v>100426851774</v>
      </c>
      <c r="L3834" s="10">
        <v>40072</v>
      </c>
      <c r="M3834">
        <v>507.74</v>
      </c>
      <c r="N3834" s="11">
        <v>8</v>
      </c>
      <c r="O3834" s="12">
        <v>55.5</v>
      </c>
      <c r="P3834" s="12">
        <v>52.2</v>
      </c>
      <c r="Q3834" s="13">
        <v>-118.54</v>
      </c>
      <c r="R3834" s="36" t="s">
        <v>1995</v>
      </c>
      <c r="S3834" s="7">
        <f t="shared" si="322"/>
        <v>0</v>
      </c>
      <c r="T3834" s="15" t="str">
        <f>VLOOKUP(R3834,产品分类!$C$2:$D$1278,2,0)</f>
        <v>家具产品</v>
      </c>
    </row>
    <row r="3835" spans="1:20">
      <c r="A3835" s="8">
        <f>DATE(2012,12,31)-1202</f>
        <v>40072</v>
      </c>
      <c r="B3835" s="8">
        <f>DATE(2012,12,31)-1202</f>
        <v>40072</v>
      </c>
      <c r="C3835" s="9" t="s">
        <v>1696</v>
      </c>
      <c r="D3835">
        <v>10021458835</v>
      </c>
      <c r="E3835" t="s">
        <v>47</v>
      </c>
      <c r="F3835" t="s">
        <v>177</v>
      </c>
      <c r="G3835" t="s">
        <v>178</v>
      </c>
      <c r="H3835" t="s">
        <v>2195</v>
      </c>
      <c r="I3835" t="s">
        <v>2196</v>
      </c>
      <c r="J3835" t="s">
        <v>52</v>
      </c>
      <c r="K3835" s="3">
        <v>10038639329</v>
      </c>
      <c r="L3835" s="10">
        <v>40081</v>
      </c>
      <c r="M3835">
        <v>12600.99</v>
      </c>
      <c r="N3835" s="11">
        <v>30</v>
      </c>
      <c r="O3835" s="12">
        <v>442.14</v>
      </c>
      <c r="P3835" s="12">
        <v>14.7</v>
      </c>
      <c r="Q3835" s="13">
        <v>2963.48</v>
      </c>
      <c r="R3835" s="36" t="s">
        <v>1214</v>
      </c>
      <c r="S3835" s="7">
        <f t="shared" si="322"/>
        <v>9</v>
      </c>
      <c r="T3835" s="15" t="str">
        <f>VLOOKUP(R3835,产品分类!$C$2:$D$1278,2,0)</f>
        <v>数码电子</v>
      </c>
    </row>
    <row r="3836" spans="1:20">
      <c r="A3836" s="8">
        <f>DATE(2012,12,31)-786</f>
        <v>40488</v>
      </c>
      <c r="B3836" s="8">
        <f>DATE(2012,12,31)-786</f>
        <v>40488</v>
      </c>
      <c r="C3836" s="9" t="s">
        <v>433</v>
      </c>
      <c r="D3836">
        <v>10021375065</v>
      </c>
      <c r="E3836" t="s">
        <v>47</v>
      </c>
      <c r="F3836" t="s">
        <v>61</v>
      </c>
      <c r="G3836" t="s">
        <v>62</v>
      </c>
      <c r="H3836" t="s">
        <v>2216</v>
      </c>
      <c r="I3836" t="s">
        <v>2217</v>
      </c>
      <c r="J3836" t="s">
        <v>52</v>
      </c>
      <c r="K3836" s="3">
        <v>100325001769</v>
      </c>
      <c r="L3836" s="10">
        <v>40488</v>
      </c>
      <c r="M3836">
        <v>67.47</v>
      </c>
      <c r="N3836" s="11">
        <v>23</v>
      </c>
      <c r="O3836" s="12">
        <v>2.66</v>
      </c>
      <c r="P3836" s="12">
        <v>6.35</v>
      </c>
      <c r="Q3836" s="13">
        <v>-100.6</v>
      </c>
      <c r="R3836" s="36" t="s">
        <v>2258</v>
      </c>
      <c r="S3836" s="7">
        <f t="shared" si="322"/>
        <v>0</v>
      </c>
      <c r="T3836" s="15" t="str">
        <f>VLOOKUP(R3836,产品分类!$C$2:$D$1278,2,0)</f>
        <v>数码电子</v>
      </c>
    </row>
    <row r="3837" spans="1:20">
      <c r="A3837" s="8">
        <f>DATE(2012,12,31)-440</f>
        <v>40834</v>
      </c>
      <c r="B3837" s="8">
        <f>DATE(2012,12,31)-440</f>
        <v>40834</v>
      </c>
      <c r="C3837" s="9" t="s">
        <v>1612</v>
      </c>
      <c r="D3837">
        <v>10021392218</v>
      </c>
      <c r="E3837" t="s">
        <v>47</v>
      </c>
      <c r="F3837" t="s">
        <v>91</v>
      </c>
      <c r="G3837" t="s">
        <v>92</v>
      </c>
      <c r="H3837" t="s">
        <v>2053</v>
      </c>
      <c r="I3837" t="s">
        <v>2054</v>
      </c>
      <c r="J3837" t="s">
        <v>52</v>
      </c>
      <c r="K3837" s="3">
        <v>100727052185</v>
      </c>
      <c r="L3837" s="10">
        <v>40836</v>
      </c>
      <c r="M3837">
        <v>646.14</v>
      </c>
      <c r="N3837" s="11">
        <v>6</v>
      </c>
      <c r="O3837" s="12">
        <v>101.41</v>
      </c>
      <c r="P3837" s="12">
        <v>35</v>
      </c>
      <c r="Q3837" s="13">
        <v>-265.62</v>
      </c>
      <c r="R3837" s="36" t="s">
        <v>1489</v>
      </c>
      <c r="S3837" s="7">
        <f t="shared" si="322"/>
        <v>2</v>
      </c>
      <c r="T3837" s="15" t="str">
        <f>VLOOKUP(R3837,产品分类!$C$2:$D$1278,2,0)</f>
        <v>数码电子</v>
      </c>
    </row>
    <row r="3838" spans="1:20">
      <c r="A3838" s="8">
        <f>DATE(2012,12,31)-440</f>
        <v>40834</v>
      </c>
      <c r="B3838" s="8">
        <f>DATE(2012,12,31)-440</f>
        <v>40834</v>
      </c>
      <c r="C3838" s="9" t="s">
        <v>1612</v>
      </c>
      <c r="D3838">
        <v>10021457956</v>
      </c>
      <c r="E3838" t="s">
        <v>47</v>
      </c>
      <c r="F3838" t="s">
        <v>208</v>
      </c>
      <c r="G3838" t="s">
        <v>209</v>
      </c>
      <c r="H3838" t="s">
        <v>2177</v>
      </c>
      <c r="I3838" t="s">
        <v>2178</v>
      </c>
      <c r="J3838" t="s">
        <v>52</v>
      </c>
      <c r="K3838" s="3">
        <v>10019839498</v>
      </c>
      <c r="L3838" s="10">
        <v>40835</v>
      </c>
      <c r="M3838">
        <v>323.26</v>
      </c>
      <c r="N3838" s="11">
        <v>16</v>
      </c>
      <c r="O3838" s="12">
        <v>20.24</v>
      </c>
      <c r="P3838" s="12">
        <v>6.67</v>
      </c>
      <c r="Q3838" s="13">
        <v>98.34</v>
      </c>
      <c r="R3838" s="36" t="s">
        <v>1005</v>
      </c>
      <c r="S3838" s="7">
        <f t="shared" si="322"/>
        <v>1</v>
      </c>
      <c r="T3838" s="15" t="str">
        <f>VLOOKUP(R3838,产品分类!$C$2:$D$1278,2,0)</f>
        <v>办公用品</v>
      </c>
    </row>
    <row r="3839" spans="1:20">
      <c r="A3839" s="8">
        <f>DATE(2012,12,31)-591</f>
        <v>40683</v>
      </c>
      <c r="B3839" s="8">
        <f>DATE(2012,12,31)-591</f>
        <v>40683</v>
      </c>
      <c r="C3839" s="9" t="s">
        <v>1439</v>
      </c>
      <c r="D3839">
        <v>10021378089</v>
      </c>
      <c r="E3839" t="s">
        <v>47</v>
      </c>
      <c r="F3839" t="s">
        <v>527</v>
      </c>
      <c r="G3839" t="s">
        <v>528</v>
      </c>
      <c r="H3839" t="s">
        <v>2272</v>
      </c>
      <c r="I3839" t="s">
        <v>2273</v>
      </c>
      <c r="J3839" t="s">
        <v>52</v>
      </c>
      <c r="K3839" s="3">
        <v>100832902842</v>
      </c>
      <c r="L3839" s="10">
        <v>40685</v>
      </c>
      <c r="M3839">
        <v>74.07</v>
      </c>
      <c r="N3839" s="11">
        <v>25</v>
      </c>
      <c r="O3839" s="12">
        <v>2.88</v>
      </c>
      <c r="P3839" s="12">
        <v>1.49</v>
      </c>
      <c r="Q3839" s="13">
        <v>4.369</v>
      </c>
      <c r="R3839" s="36" t="s">
        <v>847</v>
      </c>
      <c r="S3839" s="7">
        <f t="shared" si="322"/>
        <v>2</v>
      </c>
      <c r="T3839" s="15" t="str">
        <f>VLOOKUP(R3839,产品分类!$C$2:$D$1278,2,0)</f>
        <v>数码电子</v>
      </c>
    </row>
    <row r="3840" spans="1:20">
      <c r="A3840" s="8">
        <f>DATE(2012,12,31)-591</f>
        <v>40683</v>
      </c>
      <c r="B3840" s="8">
        <f>DATE(2012,12,31)-591</f>
        <v>40683</v>
      </c>
      <c r="C3840" s="9" t="s">
        <v>1439</v>
      </c>
      <c r="D3840">
        <v>10021473548</v>
      </c>
      <c r="E3840" t="s">
        <v>47</v>
      </c>
      <c r="F3840" t="s">
        <v>527</v>
      </c>
      <c r="G3840" t="s">
        <v>528</v>
      </c>
      <c r="H3840" t="s">
        <v>2272</v>
      </c>
      <c r="I3840" t="s">
        <v>2273</v>
      </c>
      <c r="J3840" t="s">
        <v>52</v>
      </c>
      <c r="K3840" s="3">
        <v>10089611922</v>
      </c>
      <c r="L3840" s="10">
        <v>40685</v>
      </c>
      <c r="M3840">
        <v>1529.0565</v>
      </c>
      <c r="N3840" s="11">
        <v>29</v>
      </c>
      <c r="O3840" s="12">
        <v>65.99</v>
      </c>
      <c r="P3840" s="12">
        <v>3.99</v>
      </c>
      <c r="Q3840" s="13">
        <v>201.726</v>
      </c>
      <c r="R3840" s="36" t="s">
        <v>727</v>
      </c>
      <c r="S3840" s="7">
        <f t="shared" si="322"/>
        <v>2</v>
      </c>
      <c r="T3840" s="15" t="str">
        <f>VLOOKUP(R3840,产品分类!$C$2:$D$1278,2,0)</f>
        <v>家具产品</v>
      </c>
    </row>
    <row r="3841" spans="1:20">
      <c r="A3841" s="8">
        <f>DATE(2012,12,31)-304</f>
        <v>40970</v>
      </c>
      <c r="B3841" s="8">
        <f>DATE(2012,12,31)-304</f>
        <v>40970</v>
      </c>
      <c r="C3841" s="9" t="s">
        <v>1119</v>
      </c>
      <c r="D3841">
        <v>10021376199</v>
      </c>
      <c r="E3841" t="s">
        <v>47</v>
      </c>
      <c r="F3841" t="s">
        <v>177</v>
      </c>
      <c r="G3841" t="s">
        <v>178</v>
      </c>
      <c r="H3841" t="s">
        <v>2195</v>
      </c>
      <c r="I3841" t="s">
        <v>2196</v>
      </c>
      <c r="J3841" t="s">
        <v>52</v>
      </c>
      <c r="K3841" s="3">
        <v>100929447681</v>
      </c>
      <c r="L3841" s="10">
        <v>40979</v>
      </c>
      <c r="M3841">
        <v>5753.85</v>
      </c>
      <c r="N3841" s="11">
        <v>37</v>
      </c>
      <c r="O3841" s="12">
        <v>150.98</v>
      </c>
      <c r="P3841" s="12">
        <v>13.99</v>
      </c>
      <c r="Q3841" s="13">
        <v>2509.52</v>
      </c>
      <c r="R3841" s="36" t="s">
        <v>126</v>
      </c>
      <c r="S3841" s="7">
        <f t="shared" si="322"/>
        <v>9</v>
      </c>
      <c r="T3841" s="15" t="str">
        <f>VLOOKUP(R3841,产品分类!$C$2:$D$1278,2,0)</f>
        <v>家具产品</v>
      </c>
    </row>
    <row r="3842" spans="1:20">
      <c r="A3842" s="8">
        <f>DATE(2012,12,31)-754</f>
        <v>40520</v>
      </c>
      <c r="B3842" s="8">
        <f>DATE(2012,12,31)-754</f>
        <v>40520</v>
      </c>
      <c r="C3842" s="9" t="s">
        <v>1069</v>
      </c>
      <c r="D3842">
        <v>10021344238</v>
      </c>
      <c r="E3842" t="s">
        <v>47</v>
      </c>
      <c r="F3842" t="s">
        <v>66</v>
      </c>
      <c r="G3842" t="s">
        <v>67</v>
      </c>
      <c r="H3842" t="s">
        <v>2244</v>
      </c>
      <c r="I3842" t="s">
        <v>2245</v>
      </c>
      <c r="J3842" t="s">
        <v>52</v>
      </c>
      <c r="K3842" s="3">
        <v>100429491654</v>
      </c>
      <c r="L3842" s="10">
        <v>40522</v>
      </c>
      <c r="M3842">
        <v>138.31</v>
      </c>
      <c r="N3842" s="11">
        <v>14</v>
      </c>
      <c r="O3842" s="12">
        <v>9.77</v>
      </c>
      <c r="P3842" s="12">
        <v>6.02</v>
      </c>
      <c r="Q3842" s="13">
        <v>-31.16</v>
      </c>
      <c r="R3842" s="36" t="s">
        <v>1227</v>
      </c>
      <c r="S3842" s="7">
        <f t="shared" si="322"/>
        <v>2</v>
      </c>
      <c r="T3842" s="15" t="str">
        <f>VLOOKUP(R3842,产品分类!$C$2:$D$1278,2,0)</f>
        <v>办公用品</v>
      </c>
    </row>
    <row r="3843" spans="1:20">
      <c r="A3843" s="8">
        <f>DATE(2012,12,31)-1042</f>
        <v>40232</v>
      </c>
      <c r="B3843" s="8">
        <f>DATE(2012,12,31)-1042</f>
        <v>40232</v>
      </c>
      <c r="C3843" s="9" t="s">
        <v>1083</v>
      </c>
      <c r="D3843">
        <v>10021339217</v>
      </c>
      <c r="E3843" t="s">
        <v>47</v>
      </c>
      <c r="F3843" t="s">
        <v>152</v>
      </c>
      <c r="G3843" t="s">
        <v>153</v>
      </c>
      <c r="H3843" t="s">
        <v>2200</v>
      </c>
      <c r="I3843" t="s">
        <v>2201</v>
      </c>
      <c r="J3843" t="s">
        <v>52</v>
      </c>
      <c r="K3843" s="3">
        <v>100124911607</v>
      </c>
      <c r="L3843" s="10">
        <v>40234</v>
      </c>
      <c r="M3843">
        <v>438.66</v>
      </c>
      <c r="N3843" s="11">
        <v>41</v>
      </c>
      <c r="O3843" s="12">
        <v>9.99</v>
      </c>
      <c r="P3843" s="12">
        <v>4.78</v>
      </c>
      <c r="Q3843" s="13">
        <v>58.86</v>
      </c>
      <c r="R3843" s="36" t="s">
        <v>2274</v>
      </c>
      <c r="S3843" s="7">
        <f t="shared" ref="S3843:S3906" si="327">+L3843-B3843</f>
        <v>2</v>
      </c>
      <c r="T3843" s="15" t="str">
        <f>VLOOKUP(R3843,产品分类!$C$2:$D$1278,2,0)</f>
        <v>办公用品</v>
      </c>
    </row>
    <row r="3844" spans="1:20">
      <c r="A3844" s="8">
        <f>DATE(2012,12,31)-1042</f>
        <v>40232</v>
      </c>
      <c r="B3844" s="8">
        <f>DATE(2012,12,31)-1042</f>
        <v>40232</v>
      </c>
      <c r="C3844" s="9" t="s">
        <v>1083</v>
      </c>
      <c r="D3844">
        <v>10021415015</v>
      </c>
      <c r="E3844" t="s">
        <v>47</v>
      </c>
      <c r="F3844" t="s">
        <v>152</v>
      </c>
      <c r="G3844" t="s">
        <v>153</v>
      </c>
      <c r="H3844" t="s">
        <v>2200</v>
      </c>
      <c r="I3844" t="s">
        <v>2201</v>
      </c>
      <c r="J3844" t="s">
        <v>52</v>
      </c>
      <c r="K3844" s="3">
        <v>10049946174</v>
      </c>
      <c r="L3844" s="10">
        <v>40239</v>
      </c>
      <c r="M3844">
        <v>416.99</v>
      </c>
      <c r="N3844" s="11">
        <v>32</v>
      </c>
      <c r="O3844" s="12">
        <v>12.88</v>
      </c>
      <c r="P3844" s="12">
        <v>4.59</v>
      </c>
      <c r="Q3844" s="13">
        <v>-93.62</v>
      </c>
      <c r="R3844" s="36" t="s">
        <v>1622</v>
      </c>
      <c r="S3844" s="7">
        <f t="shared" si="327"/>
        <v>7</v>
      </c>
      <c r="T3844" s="15" t="str">
        <f>VLOOKUP(R3844,产品分类!$C$2:$D$1278,2,0)</f>
        <v>数码电子</v>
      </c>
    </row>
    <row r="3845" spans="1:20">
      <c r="A3845" s="16">
        <f>DATE(2012,12,31)-700</f>
        <v>40574</v>
      </c>
      <c r="B3845" s="16">
        <f>DATE(2012,12,31)-700</f>
        <v>40574</v>
      </c>
      <c r="C3845" s="9" t="s">
        <v>968</v>
      </c>
      <c r="D3845">
        <v>10021333263</v>
      </c>
      <c r="E3845" t="s">
        <v>47</v>
      </c>
      <c r="F3845" t="s">
        <v>152</v>
      </c>
      <c r="G3845" t="s">
        <v>153</v>
      </c>
      <c r="H3845" t="s">
        <v>2200</v>
      </c>
      <c r="I3845" t="s">
        <v>2201</v>
      </c>
      <c r="J3845" t="s">
        <v>52</v>
      </c>
      <c r="K3845" s="3">
        <v>10076574495</v>
      </c>
      <c r="L3845" s="10">
        <v>40575</v>
      </c>
      <c r="M3845">
        <v>82.64</v>
      </c>
      <c r="N3845" s="17">
        <v>12</v>
      </c>
      <c r="O3845" s="5">
        <v>7.08</v>
      </c>
      <c r="P3845" s="5">
        <v>2.35</v>
      </c>
      <c r="Q3845" s="6">
        <v>0.35</v>
      </c>
      <c r="R3845" s="37" t="s">
        <v>1940</v>
      </c>
      <c r="S3845" s="7">
        <f t="shared" si="327"/>
        <v>1</v>
      </c>
      <c r="T3845" s="15" t="str">
        <f>VLOOKUP(R3845,产品分类!$C$2:$D$1278,2,0)</f>
        <v>数码电子</v>
      </c>
    </row>
    <row r="3846" spans="1:20">
      <c r="A3846" s="8">
        <f>DATE(2012,12,31)-700</f>
        <v>40574</v>
      </c>
      <c r="B3846" s="8">
        <f>DATE(2012,12,31)-700</f>
        <v>40574</v>
      </c>
      <c r="C3846" s="9" t="s">
        <v>968</v>
      </c>
      <c r="D3846">
        <v>10021592972</v>
      </c>
      <c r="E3846" t="s">
        <v>47</v>
      </c>
      <c r="F3846" t="s">
        <v>66</v>
      </c>
      <c r="G3846" t="s">
        <v>67</v>
      </c>
      <c r="H3846" t="s">
        <v>2244</v>
      </c>
      <c r="I3846" t="s">
        <v>2245</v>
      </c>
      <c r="J3846" t="s">
        <v>52</v>
      </c>
      <c r="K3846" s="3">
        <v>100932404061</v>
      </c>
      <c r="L3846" s="10">
        <v>40575</v>
      </c>
      <c r="M3846">
        <v>315.27</v>
      </c>
      <c r="N3846" s="11">
        <v>3</v>
      </c>
      <c r="O3846" s="12">
        <v>105.98</v>
      </c>
      <c r="P3846" s="12">
        <v>13.99</v>
      </c>
      <c r="Q3846" s="13">
        <v>278.6</v>
      </c>
      <c r="R3846" s="36" t="s">
        <v>1205</v>
      </c>
      <c r="S3846" s="7">
        <f t="shared" si="327"/>
        <v>1</v>
      </c>
      <c r="T3846" s="15" t="str">
        <f>VLOOKUP(R3846,产品分类!$C$2:$D$1278,2,0)</f>
        <v>办公用品</v>
      </c>
    </row>
    <row r="3847" spans="1:20">
      <c r="A3847" s="16">
        <f>DATE(2012,12,31)-1361</f>
        <v>39913</v>
      </c>
      <c r="B3847" s="16">
        <f>DATE(2012,12,31)-1361</f>
        <v>39913</v>
      </c>
      <c r="C3847" s="9" t="s">
        <v>1987</v>
      </c>
      <c r="D3847">
        <v>10021498874</v>
      </c>
      <c r="E3847" t="s">
        <v>47</v>
      </c>
      <c r="F3847" t="s">
        <v>48</v>
      </c>
      <c r="G3847" t="s">
        <v>49</v>
      </c>
      <c r="H3847" t="s">
        <v>2183</v>
      </c>
      <c r="I3847" t="s">
        <v>2184</v>
      </c>
      <c r="J3847" t="s">
        <v>52</v>
      </c>
      <c r="K3847" s="3">
        <v>100923607931</v>
      </c>
      <c r="L3847" s="10">
        <v>39914</v>
      </c>
      <c r="M3847">
        <v>9492.92</v>
      </c>
      <c r="N3847" s="17">
        <v>29</v>
      </c>
      <c r="O3847" s="5">
        <v>328.14</v>
      </c>
      <c r="P3847" s="5">
        <v>91.05</v>
      </c>
      <c r="Q3847" s="6">
        <v>772.04</v>
      </c>
      <c r="R3847" s="37" t="s">
        <v>583</v>
      </c>
      <c r="S3847" s="7">
        <f t="shared" si="327"/>
        <v>1</v>
      </c>
      <c r="T3847" s="15" t="str">
        <f>VLOOKUP(R3847,产品分类!$C$2:$D$1278,2,0)</f>
        <v>家具产品</v>
      </c>
    </row>
    <row r="3848" spans="1:20">
      <c r="A3848" s="8">
        <f>DATE(2012,12,31)-1329</f>
        <v>39945</v>
      </c>
      <c r="B3848" s="8">
        <f>DATE(2012,12,31)-1329</f>
        <v>39945</v>
      </c>
      <c r="C3848" s="9" t="s">
        <v>1344</v>
      </c>
      <c r="D3848">
        <v>10021251934</v>
      </c>
      <c r="E3848" t="s">
        <v>47</v>
      </c>
      <c r="F3848" t="s">
        <v>66</v>
      </c>
      <c r="G3848" t="s">
        <v>67</v>
      </c>
      <c r="H3848" t="s">
        <v>2244</v>
      </c>
      <c r="I3848" t="s">
        <v>2245</v>
      </c>
      <c r="J3848" t="s">
        <v>52</v>
      </c>
      <c r="K3848" s="3">
        <v>100115094786</v>
      </c>
      <c r="L3848" s="10">
        <v>39946</v>
      </c>
      <c r="M3848">
        <v>855.03</v>
      </c>
      <c r="N3848" s="11">
        <v>7</v>
      </c>
      <c r="O3848" s="12">
        <v>128.24</v>
      </c>
      <c r="P3848" s="12">
        <v>12.65</v>
      </c>
      <c r="Q3848" s="13">
        <v>-1.68000000000001</v>
      </c>
      <c r="R3848" s="36" t="s">
        <v>622</v>
      </c>
      <c r="S3848" s="7">
        <f t="shared" si="327"/>
        <v>1</v>
      </c>
      <c r="T3848" s="15" t="str">
        <f>VLOOKUP(R3848,产品分类!$C$2:$D$1278,2,0)</f>
        <v>办公用品</v>
      </c>
    </row>
    <row r="3849" spans="1:20">
      <c r="A3849" s="8">
        <f>DATE(2012,12,31)-1329</f>
        <v>39945</v>
      </c>
      <c r="B3849" s="8">
        <f>DATE(2012,12,31)-1329</f>
        <v>39945</v>
      </c>
      <c r="C3849" s="9" t="s">
        <v>1344</v>
      </c>
      <c r="D3849">
        <v>10021249674</v>
      </c>
      <c r="E3849" t="s">
        <v>47</v>
      </c>
      <c r="F3849" t="s">
        <v>152</v>
      </c>
      <c r="G3849" t="s">
        <v>153</v>
      </c>
      <c r="H3849" t="s">
        <v>2200</v>
      </c>
      <c r="I3849" t="s">
        <v>2201</v>
      </c>
      <c r="J3849" t="s">
        <v>52</v>
      </c>
      <c r="K3849" s="3">
        <v>10019998636</v>
      </c>
      <c r="L3849" s="10">
        <v>39947</v>
      </c>
      <c r="M3849">
        <v>196.58</v>
      </c>
      <c r="N3849" s="11">
        <v>31</v>
      </c>
      <c r="O3849" s="12">
        <v>5.98</v>
      </c>
      <c r="P3849" s="12">
        <v>4.38</v>
      </c>
      <c r="Q3849" s="13">
        <v>-102.16</v>
      </c>
      <c r="R3849" s="36" t="s">
        <v>655</v>
      </c>
      <c r="S3849" s="7">
        <f t="shared" si="327"/>
        <v>2</v>
      </c>
      <c r="T3849" s="15" t="str">
        <f>VLOOKUP(R3849,产品分类!$C$2:$D$1278,2,0)</f>
        <v>家具产品</v>
      </c>
    </row>
    <row r="3850" spans="1:20">
      <c r="A3850" s="16">
        <f>DATE(2012,12,31)-1039</f>
        <v>40235</v>
      </c>
      <c r="B3850" s="16">
        <f>DATE(2012,12,31)-1039</f>
        <v>40235</v>
      </c>
      <c r="C3850" s="9" t="s">
        <v>258</v>
      </c>
      <c r="D3850">
        <v>10021506041</v>
      </c>
      <c r="E3850" t="s">
        <v>47</v>
      </c>
      <c r="F3850" t="s">
        <v>66</v>
      </c>
      <c r="G3850" t="s">
        <v>67</v>
      </c>
      <c r="H3850" t="s">
        <v>2244</v>
      </c>
      <c r="I3850" t="s">
        <v>2245</v>
      </c>
      <c r="J3850" t="s">
        <v>52</v>
      </c>
      <c r="K3850" s="3">
        <v>100131168506</v>
      </c>
      <c r="L3850" s="10">
        <v>40235</v>
      </c>
      <c r="M3850">
        <v>121.92</v>
      </c>
      <c r="N3850" s="17">
        <v>40</v>
      </c>
      <c r="O3850" s="5">
        <v>2.88</v>
      </c>
      <c r="P3850" s="5">
        <v>0.5</v>
      </c>
      <c r="Q3850" s="6">
        <v>51.23</v>
      </c>
      <c r="R3850" s="37" t="s">
        <v>2250</v>
      </c>
      <c r="S3850" s="7">
        <f t="shared" si="327"/>
        <v>0</v>
      </c>
      <c r="T3850" s="15" t="str">
        <f>VLOOKUP(R3850,产品分类!$C$2:$D$1278,2,0)</f>
        <v>数码电子</v>
      </c>
    </row>
    <row r="3851" spans="1:20">
      <c r="A3851" s="16">
        <f>DATE(2012,12,31)-1039</f>
        <v>40235</v>
      </c>
      <c r="B3851" s="16">
        <f>DATE(2012,12,31)-1039</f>
        <v>40235</v>
      </c>
      <c r="C3851" s="9" t="s">
        <v>258</v>
      </c>
      <c r="D3851">
        <v>10021446461</v>
      </c>
      <c r="E3851" t="s">
        <v>47</v>
      </c>
      <c r="F3851" t="s">
        <v>152</v>
      </c>
      <c r="G3851" t="s">
        <v>153</v>
      </c>
      <c r="H3851" t="s">
        <v>2200</v>
      </c>
      <c r="I3851" t="s">
        <v>2201</v>
      </c>
      <c r="J3851" t="s">
        <v>52</v>
      </c>
      <c r="K3851" s="3">
        <v>100319211259</v>
      </c>
      <c r="L3851" s="10">
        <v>40235</v>
      </c>
      <c r="M3851">
        <v>1096.17</v>
      </c>
      <c r="N3851" s="17">
        <v>26</v>
      </c>
      <c r="O3851" s="5">
        <v>40.99</v>
      </c>
      <c r="P3851" s="5">
        <v>19.99</v>
      </c>
      <c r="Q3851" s="6">
        <v>110.78</v>
      </c>
      <c r="R3851" s="37" t="s">
        <v>656</v>
      </c>
      <c r="S3851" s="7">
        <f t="shared" si="327"/>
        <v>0</v>
      </c>
      <c r="T3851" s="15" t="str">
        <f>VLOOKUP(R3851,产品分类!$C$2:$D$1278,2,0)</f>
        <v>家具产品</v>
      </c>
    </row>
    <row r="3852" spans="1:20">
      <c r="A3852" s="8">
        <f>DATE(2012,12,31)-1144</f>
        <v>40130</v>
      </c>
      <c r="B3852" s="8">
        <f>DATE(2012,12,31)-1144</f>
        <v>40130</v>
      </c>
      <c r="C3852" s="9" t="s">
        <v>1080</v>
      </c>
      <c r="D3852">
        <v>10021293093</v>
      </c>
      <c r="E3852" t="s">
        <v>47</v>
      </c>
      <c r="F3852" t="s">
        <v>48</v>
      </c>
      <c r="G3852" t="s">
        <v>49</v>
      </c>
      <c r="H3852" t="s">
        <v>2183</v>
      </c>
      <c r="I3852" t="s">
        <v>2184</v>
      </c>
      <c r="J3852" t="s">
        <v>52</v>
      </c>
      <c r="K3852" s="3">
        <v>10014391968</v>
      </c>
      <c r="L3852" s="10">
        <v>40132</v>
      </c>
      <c r="M3852">
        <v>835.11</v>
      </c>
      <c r="N3852" s="11">
        <v>31</v>
      </c>
      <c r="O3852" s="12">
        <v>25.38</v>
      </c>
      <c r="P3852" s="12">
        <v>8.99</v>
      </c>
      <c r="Q3852" s="13">
        <v>213.79</v>
      </c>
      <c r="R3852" s="36" t="s">
        <v>992</v>
      </c>
      <c r="S3852" s="7">
        <f t="shared" si="327"/>
        <v>2</v>
      </c>
      <c r="T3852" s="15" t="str">
        <f>VLOOKUP(R3852,产品分类!$C$2:$D$1278,2,0)</f>
        <v>数码电子</v>
      </c>
    </row>
    <row r="3853" spans="1:20">
      <c r="A3853" s="8">
        <f>DATE(2012,12,31)-1144</f>
        <v>40130</v>
      </c>
      <c r="B3853" s="8">
        <f>DATE(2012,12,31)-1144</f>
        <v>40130</v>
      </c>
      <c r="C3853" s="9" t="s">
        <v>1080</v>
      </c>
      <c r="D3853">
        <v>10021461651</v>
      </c>
      <c r="E3853" t="s">
        <v>47</v>
      </c>
      <c r="F3853" t="s">
        <v>78</v>
      </c>
      <c r="G3853" t="s">
        <v>79</v>
      </c>
      <c r="H3853" t="s">
        <v>2105</v>
      </c>
      <c r="I3853" t="s">
        <v>2106</v>
      </c>
      <c r="J3853" t="s">
        <v>52</v>
      </c>
      <c r="K3853" s="3">
        <v>100916164921</v>
      </c>
      <c r="L3853" s="10">
        <v>40131</v>
      </c>
      <c r="M3853">
        <v>54.52</v>
      </c>
      <c r="N3853" s="11">
        <v>10</v>
      </c>
      <c r="O3853" s="12">
        <v>4.98</v>
      </c>
      <c r="P3853" s="12">
        <v>4.72</v>
      </c>
      <c r="Q3853" s="13">
        <v>-20.57</v>
      </c>
      <c r="R3853" s="36" t="s">
        <v>331</v>
      </c>
      <c r="S3853" s="7">
        <f t="shared" si="327"/>
        <v>1</v>
      </c>
      <c r="T3853" s="15" t="str">
        <f>VLOOKUP(R3853,产品分类!$C$2:$D$1278,2,0)</f>
        <v>数码电子</v>
      </c>
    </row>
    <row r="3854" spans="1:20">
      <c r="A3854" s="8">
        <f>DATE(2012,12,31)-292</f>
        <v>40982</v>
      </c>
      <c r="B3854" s="8">
        <f>DATE(2012,12,31)-292</f>
        <v>40982</v>
      </c>
      <c r="C3854" s="9" t="s">
        <v>2275</v>
      </c>
      <c r="D3854">
        <v>10021505096</v>
      </c>
      <c r="E3854" t="s">
        <v>47</v>
      </c>
      <c r="F3854" t="s">
        <v>72</v>
      </c>
      <c r="G3854" t="s">
        <v>73</v>
      </c>
      <c r="H3854" t="s">
        <v>2008</v>
      </c>
      <c r="I3854" t="s">
        <v>2009</v>
      </c>
      <c r="J3854" t="s">
        <v>52</v>
      </c>
      <c r="K3854" s="3">
        <v>100130772768</v>
      </c>
      <c r="L3854" s="10">
        <v>40984</v>
      </c>
      <c r="M3854">
        <v>611.71</v>
      </c>
      <c r="N3854" s="11">
        <v>18</v>
      </c>
      <c r="O3854" s="12">
        <v>31.74</v>
      </c>
      <c r="P3854" s="12">
        <v>12.62</v>
      </c>
      <c r="Q3854" s="13">
        <v>93.228</v>
      </c>
      <c r="R3854" s="36" t="s">
        <v>1416</v>
      </c>
      <c r="S3854" s="7">
        <f t="shared" si="327"/>
        <v>2</v>
      </c>
      <c r="T3854" s="15" t="str">
        <f>VLOOKUP(R3854,产品分类!$C$2:$D$1278,2,0)</f>
        <v>数码电子</v>
      </c>
    </row>
    <row r="3855" spans="1:20">
      <c r="A3855" s="8">
        <f t="shared" ref="A3855:B3857" si="328">DATE(2012,12,31)-1362</f>
        <v>39912</v>
      </c>
      <c r="B3855" s="8">
        <f t="shared" si="328"/>
        <v>39912</v>
      </c>
      <c r="C3855" s="9" t="s">
        <v>121</v>
      </c>
      <c r="D3855">
        <v>10021504677</v>
      </c>
      <c r="E3855" t="s">
        <v>47</v>
      </c>
      <c r="F3855" t="s">
        <v>72</v>
      </c>
      <c r="G3855" t="s">
        <v>73</v>
      </c>
      <c r="H3855" t="s">
        <v>2008</v>
      </c>
      <c r="I3855" t="s">
        <v>2009</v>
      </c>
      <c r="J3855" t="s">
        <v>52</v>
      </c>
      <c r="K3855" s="3">
        <v>100130417366</v>
      </c>
      <c r="L3855" s="10">
        <v>39914</v>
      </c>
      <c r="M3855">
        <v>985.01</v>
      </c>
      <c r="N3855" s="11">
        <v>11</v>
      </c>
      <c r="O3855" s="12">
        <v>90.48</v>
      </c>
      <c r="P3855" s="12">
        <v>19.99</v>
      </c>
      <c r="Q3855" s="13">
        <v>186.05</v>
      </c>
      <c r="R3855" s="36" t="s">
        <v>1008</v>
      </c>
      <c r="S3855" s="7">
        <f t="shared" si="327"/>
        <v>2</v>
      </c>
      <c r="T3855" s="15" t="str">
        <f>VLOOKUP(R3855,产品分类!$C$2:$D$1278,2,0)</f>
        <v>办公用品</v>
      </c>
    </row>
    <row r="3856" spans="1:20">
      <c r="A3856" s="8">
        <f t="shared" si="328"/>
        <v>39912</v>
      </c>
      <c r="B3856" s="8">
        <f t="shared" si="328"/>
        <v>39912</v>
      </c>
      <c r="C3856" s="9" t="s">
        <v>121</v>
      </c>
      <c r="D3856">
        <v>10021341141</v>
      </c>
      <c r="E3856" t="s">
        <v>47</v>
      </c>
      <c r="F3856" t="s">
        <v>78</v>
      </c>
      <c r="G3856" t="s">
        <v>79</v>
      </c>
      <c r="H3856" t="s">
        <v>2105</v>
      </c>
      <c r="I3856" t="s">
        <v>2106</v>
      </c>
      <c r="J3856" t="s">
        <v>52</v>
      </c>
      <c r="K3856" s="3">
        <v>100425665844</v>
      </c>
      <c r="L3856" s="10">
        <v>39913</v>
      </c>
      <c r="M3856">
        <v>350.71</v>
      </c>
      <c r="N3856" s="11">
        <v>36</v>
      </c>
      <c r="O3856" s="12">
        <v>9.77</v>
      </c>
      <c r="P3856" s="12">
        <v>6.02</v>
      </c>
      <c r="Q3856" s="13">
        <v>-15.3</v>
      </c>
      <c r="R3856" s="36" t="s">
        <v>1227</v>
      </c>
      <c r="S3856" s="7">
        <f t="shared" si="327"/>
        <v>1</v>
      </c>
      <c r="T3856" s="15" t="str">
        <f>VLOOKUP(R3856,产品分类!$C$2:$D$1278,2,0)</f>
        <v>办公用品</v>
      </c>
    </row>
    <row r="3857" spans="1:20">
      <c r="A3857" s="8">
        <f t="shared" si="328"/>
        <v>39912</v>
      </c>
      <c r="B3857" s="8">
        <f t="shared" si="328"/>
        <v>39912</v>
      </c>
      <c r="C3857" s="9" t="s">
        <v>121</v>
      </c>
      <c r="D3857">
        <v>10021280666</v>
      </c>
      <c r="E3857" t="s">
        <v>47</v>
      </c>
      <c r="F3857" t="s">
        <v>78</v>
      </c>
      <c r="G3857" t="s">
        <v>79</v>
      </c>
      <c r="H3857" t="s">
        <v>2105</v>
      </c>
      <c r="I3857" t="s">
        <v>2106</v>
      </c>
      <c r="J3857" t="s">
        <v>52</v>
      </c>
      <c r="K3857" s="3">
        <v>100416100444</v>
      </c>
      <c r="L3857" s="10">
        <v>39914</v>
      </c>
      <c r="M3857">
        <v>75.23</v>
      </c>
      <c r="N3857" s="11">
        <v>2</v>
      </c>
      <c r="O3857" s="12">
        <v>34.99</v>
      </c>
      <c r="P3857" s="12">
        <v>7.73</v>
      </c>
      <c r="Q3857" s="13">
        <v>-51.5</v>
      </c>
      <c r="R3857" s="36" t="s">
        <v>2267</v>
      </c>
      <c r="S3857" s="7">
        <f t="shared" si="327"/>
        <v>2</v>
      </c>
      <c r="T3857" s="15" t="str">
        <f>VLOOKUP(R3857,产品分类!$C$2:$D$1278,2,0)</f>
        <v>数码电子</v>
      </c>
    </row>
    <row r="3858" spans="1:20">
      <c r="A3858" s="8">
        <f>DATE(2012,12,31)-1064</f>
        <v>40210</v>
      </c>
      <c r="B3858" s="8">
        <f>DATE(2012,12,31)-1064</f>
        <v>40210</v>
      </c>
      <c r="C3858" s="9" t="s">
        <v>728</v>
      </c>
      <c r="D3858">
        <v>10021256577</v>
      </c>
      <c r="E3858" t="s">
        <v>47</v>
      </c>
      <c r="F3858" t="s">
        <v>72</v>
      </c>
      <c r="G3858" t="s">
        <v>73</v>
      </c>
      <c r="H3858" t="s">
        <v>2008</v>
      </c>
      <c r="I3858" t="s">
        <v>2009</v>
      </c>
      <c r="J3858" t="s">
        <v>52</v>
      </c>
      <c r="K3858" s="3">
        <v>100925420881</v>
      </c>
      <c r="L3858" s="10">
        <v>40212</v>
      </c>
      <c r="M3858">
        <v>343.94</v>
      </c>
      <c r="N3858" s="11">
        <v>50</v>
      </c>
      <c r="O3858" s="12">
        <v>6.48</v>
      </c>
      <c r="P3858" s="12">
        <v>7.37</v>
      </c>
      <c r="Q3858" s="13">
        <v>-157.4</v>
      </c>
      <c r="R3858" s="36" t="s">
        <v>1045</v>
      </c>
      <c r="S3858" s="7">
        <f t="shared" si="327"/>
        <v>2</v>
      </c>
      <c r="T3858" s="15" t="str">
        <f>VLOOKUP(R3858,产品分类!$C$2:$D$1278,2,0)</f>
        <v>数码电子</v>
      </c>
    </row>
    <row r="3859" spans="1:20">
      <c r="A3859" s="8">
        <f>DATE(2012,12,31)-762</f>
        <v>40512</v>
      </c>
      <c r="B3859" s="8">
        <f>DATE(2012,12,31)-762</f>
        <v>40512</v>
      </c>
      <c r="C3859" s="9" t="s">
        <v>657</v>
      </c>
      <c r="D3859">
        <v>10021255384</v>
      </c>
      <c r="E3859" t="s">
        <v>47</v>
      </c>
      <c r="F3859" t="s">
        <v>78</v>
      </c>
      <c r="G3859" t="s">
        <v>79</v>
      </c>
      <c r="H3859" t="s">
        <v>2105</v>
      </c>
      <c r="I3859" t="s">
        <v>2106</v>
      </c>
      <c r="J3859" t="s">
        <v>52</v>
      </c>
      <c r="K3859" s="3">
        <v>100323821149</v>
      </c>
      <c r="L3859" s="10">
        <v>40515</v>
      </c>
      <c r="M3859">
        <v>376.58</v>
      </c>
      <c r="N3859" s="11">
        <v>37</v>
      </c>
      <c r="O3859" s="12">
        <v>10.4</v>
      </c>
      <c r="P3859" s="12">
        <v>5.4</v>
      </c>
      <c r="Q3859" s="13">
        <v>1.33</v>
      </c>
      <c r="R3859" s="36" t="s">
        <v>1514</v>
      </c>
      <c r="S3859" s="7">
        <f t="shared" si="327"/>
        <v>3</v>
      </c>
      <c r="T3859" s="15" t="str">
        <f>VLOOKUP(R3859,产品分类!$C$2:$D$1278,2,0)</f>
        <v>家具产品</v>
      </c>
    </row>
    <row r="3860" spans="1:20">
      <c r="A3860" s="8">
        <f>DATE(2012,12,31)-507</f>
        <v>40767</v>
      </c>
      <c r="B3860" s="8">
        <f>DATE(2012,12,31)-507</f>
        <v>40767</v>
      </c>
      <c r="C3860" s="9" t="s">
        <v>467</v>
      </c>
      <c r="D3860">
        <v>10021286781</v>
      </c>
      <c r="E3860" t="s">
        <v>47</v>
      </c>
      <c r="F3860" t="s">
        <v>72</v>
      </c>
      <c r="G3860" t="s">
        <v>73</v>
      </c>
      <c r="H3860" t="s">
        <v>2008</v>
      </c>
      <c r="I3860" t="s">
        <v>2009</v>
      </c>
      <c r="J3860" t="s">
        <v>52</v>
      </c>
      <c r="K3860" s="3">
        <v>100931029231</v>
      </c>
      <c r="L3860" s="10">
        <v>40769</v>
      </c>
      <c r="M3860">
        <v>18235.47</v>
      </c>
      <c r="N3860" s="11">
        <v>48</v>
      </c>
      <c r="O3860" s="12">
        <v>370.98</v>
      </c>
      <c r="P3860" s="12">
        <v>99</v>
      </c>
      <c r="Q3860" s="13">
        <v>1166.93</v>
      </c>
      <c r="R3860" s="36" t="s">
        <v>566</v>
      </c>
      <c r="S3860" s="7">
        <f t="shared" si="327"/>
        <v>2</v>
      </c>
      <c r="T3860" s="15" t="str">
        <f>VLOOKUP(R3860,产品分类!$C$2:$D$1278,2,0)</f>
        <v>办公用品</v>
      </c>
    </row>
    <row r="3861" spans="1:20">
      <c r="A3861" s="8">
        <f>DATE(2012,12,31)-507</f>
        <v>40767</v>
      </c>
      <c r="B3861" s="8">
        <f>DATE(2012,12,31)-507</f>
        <v>40767</v>
      </c>
      <c r="C3861" s="9" t="s">
        <v>467</v>
      </c>
      <c r="D3861">
        <v>10021594469</v>
      </c>
      <c r="E3861" t="s">
        <v>47</v>
      </c>
      <c r="F3861" t="s">
        <v>230</v>
      </c>
      <c r="G3861" t="s">
        <v>231</v>
      </c>
      <c r="H3861" t="s">
        <v>2276</v>
      </c>
      <c r="I3861" t="s">
        <v>2277</v>
      </c>
      <c r="J3861" t="s">
        <v>52</v>
      </c>
      <c r="K3861" s="3">
        <v>100932748781</v>
      </c>
      <c r="L3861" s="10">
        <v>40769</v>
      </c>
      <c r="M3861">
        <v>2631.107</v>
      </c>
      <c r="N3861" s="11">
        <v>16</v>
      </c>
      <c r="O3861" s="12">
        <v>179.99</v>
      </c>
      <c r="P3861" s="12">
        <v>13.99</v>
      </c>
      <c r="Q3861" s="13">
        <v>297.108</v>
      </c>
      <c r="R3861" s="36" t="s">
        <v>220</v>
      </c>
      <c r="S3861" s="7">
        <f t="shared" si="327"/>
        <v>2</v>
      </c>
      <c r="T3861" s="15" t="str">
        <f>VLOOKUP(R3861,产品分类!$C$2:$D$1278,2,0)</f>
        <v>办公用品</v>
      </c>
    </row>
    <row r="3862" spans="1:20">
      <c r="A3862" s="8">
        <f>DATE(2012,12,31)-662</f>
        <v>40612</v>
      </c>
      <c r="B3862" s="8">
        <f>DATE(2012,12,31)-662</f>
        <v>40612</v>
      </c>
      <c r="C3862" s="9" t="s">
        <v>582</v>
      </c>
      <c r="D3862">
        <v>10021504129</v>
      </c>
      <c r="E3862" t="s">
        <v>47</v>
      </c>
      <c r="F3862" t="s">
        <v>230</v>
      </c>
      <c r="G3862" t="s">
        <v>231</v>
      </c>
      <c r="H3862" t="s">
        <v>2276</v>
      </c>
      <c r="I3862" t="s">
        <v>2277</v>
      </c>
      <c r="J3862" t="s">
        <v>52</v>
      </c>
      <c r="K3862" s="3">
        <v>100930045441</v>
      </c>
      <c r="L3862" s="10">
        <v>40614</v>
      </c>
      <c r="M3862">
        <v>12685.544</v>
      </c>
      <c r="N3862" s="11">
        <v>45</v>
      </c>
      <c r="O3862" s="12">
        <v>348.21</v>
      </c>
      <c r="P3862" s="12">
        <v>40.19</v>
      </c>
      <c r="Q3862" s="13">
        <v>3985.11</v>
      </c>
      <c r="R3862" s="36" t="s">
        <v>1195</v>
      </c>
      <c r="S3862" s="7">
        <f t="shared" si="327"/>
        <v>2</v>
      </c>
      <c r="T3862" s="15" t="str">
        <f>VLOOKUP(R3862,产品分类!$C$2:$D$1278,2,0)</f>
        <v>办公用品</v>
      </c>
    </row>
    <row r="3863" spans="1:20">
      <c r="A3863" s="8">
        <f>DATE(2012,12,31)-1217</f>
        <v>40057</v>
      </c>
      <c r="B3863" s="8">
        <f>DATE(2012,12,31)-1217</f>
        <v>40057</v>
      </c>
      <c r="C3863" s="9" t="s">
        <v>1276</v>
      </c>
      <c r="D3863">
        <v>10021415043</v>
      </c>
      <c r="E3863" t="s">
        <v>47</v>
      </c>
      <c r="F3863" t="s">
        <v>230</v>
      </c>
      <c r="G3863" t="s">
        <v>231</v>
      </c>
      <c r="H3863" t="s">
        <v>2276</v>
      </c>
      <c r="I3863" t="s">
        <v>2277</v>
      </c>
      <c r="J3863" t="s">
        <v>52</v>
      </c>
      <c r="K3863" s="3">
        <v>100910088021</v>
      </c>
      <c r="L3863" s="10">
        <v>40059</v>
      </c>
      <c r="M3863">
        <v>209.42</v>
      </c>
      <c r="N3863" s="11">
        <v>32</v>
      </c>
      <c r="O3863" s="12">
        <v>6.74</v>
      </c>
      <c r="P3863" s="12">
        <v>1.72</v>
      </c>
      <c r="Q3863" s="13">
        <v>65.41</v>
      </c>
      <c r="R3863" s="36" t="s">
        <v>2278</v>
      </c>
      <c r="S3863" s="7">
        <f t="shared" si="327"/>
        <v>2</v>
      </c>
      <c r="T3863" s="15" t="str">
        <f>VLOOKUP(R3863,产品分类!$C$2:$D$1278,2,0)</f>
        <v>办公用品</v>
      </c>
    </row>
    <row r="3864" spans="1:20">
      <c r="A3864" s="16">
        <f>DATE(2012,12,31)-327</f>
        <v>40947</v>
      </c>
      <c r="B3864" s="16">
        <f>DATE(2012,12,31)-327</f>
        <v>40947</v>
      </c>
      <c r="C3864" s="9" t="s">
        <v>1428</v>
      </c>
      <c r="D3864">
        <v>10021331773</v>
      </c>
      <c r="E3864" t="s">
        <v>47</v>
      </c>
      <c r="F3864" t="s">
        <v>230</v>
      </c>
      <c r="G3864" t="s">
        <v>231</v>
      </c>
      <c r="H3864" t="s">
        <v>2276</v>
      </c>
      <c r="I3864" t="s">
        <v>2277</v>
      </c>
      <c r="J3864" t="s">
        <v>52</v>
      </c>
      <c r="K3864" s="3">
        <v>10078812885</v>
      </c>
      <c r="L3864" s="10">
        <v>40952</v>
      </c>
      <c r="M3864">
        <v>56.13</v>
      </c>
      <c r="N3864" s="17">
        <v>18</v>
      </c>
      <c r="O3864" s="5">
        <v>2.88</v>
      </c>
      <c r="P3864" s="5">
        <v>5.33</v>
      </c>
      <c r="Q3864" s="6">
        <v>-58.47</v>
      </c>
      <c r="R3864" s="37" t="s">
        <v>2279</v>
      </c>
      <c r="S3864" s="7">
        <f t="shared" si="327"/>
        <v>5</v>
      </c>
      <c r="T3864" s="15" t="str">
        <f>VLOOKUP(R3864,产品分类!$C$2:$D$1278,2,0)</f>
        <v>家具产品</v>
      </c>
    </row>
    <row r="3865" spans="1:20">
      <c r="A3865" s="8">
        <f>DATE(2012,12,31)-543</f>
        <v>40731</v>
      </c>
      <c r="B3865" s="8">
        <f>DATE(2012,12,31)-543</f>
        <v>40731</v>
      </c>
      <c r="C3865" s="9" t="s">
        <v>697</v>
      </c>
      <c r="D3865">
        <v>10021368343</v>
      </c>
      <c r="E3865" t="s">
        <v>47</v>
      </c>
      <c r="F3865" t="s">
        <v>277</v>
      </c>
      <c r="G3865" t="s">
        <v>278</v>
      </c>
      <c r="H3865" t="s">
        <v>279</v>
      </c>
      <c r="I3865" t="s">
        <v>280</v>
      </c>
      <c r="J3865" t="s">
        <v>52</v>
      </c>
      <c r="K3865" s="3">
        <v>100129042698</v>
      </c>
      <c r="L3865" s="10">
        <v>40732</v>
      </c>
      <c r="M3865">
        <v>423.24</v>
      </c>
      <c r="N3865" s="11">
        <v>21</v>
      </c>
      <c r="O3865" s="12">
        <v>21.38</v>
      </c>
      <c r="P3865" s="12">
        <v>2.99</v>
      </c>
      <c r="Q3865" s="13">
        <v>128.8345</v>
      </c>
      <c r="R3865" s="36" t="s">
        <v>2210</v>
      </c>
      <c r="S3865" s="7">
        <f t="shared" si="327"/>
        <v>1</v>
      </c>
      <c r="T3865" s="15" t="str">
        <f>VLOOKUP(R3865,产品分类!$C$2:$D$1278,2,0)</f>
        <v>数码电子</v>
      </c>
    </row>
    <row r="3866" spans="1:20">
      <c r="A3866" s="8">
        <f>DATE(2012,12,31)-428</f>
        <v>40846</v>
      </c>
      <c r="B3866" s="8">
        <f>DATE(2012,12,31)-428</f>
        <v>40846</v>
      </c>
      <c r="C3866" s="9" t="s">
        <v>1609</v>
      </c>
      <c r="D3866">
        <v>10021498521</v>
      </c>
      <c r="E3866" t="s">
        <v>47</v>
      </c>
      <c r="F3866" t="s">
        <v>277</v>
      </c>
      <c r="G3866" t="s">
        <v>278</v>
      </c>
      <c r="H3866" t="s">
        <v>279</v>
      </c>
      <c r="I3866" t="s">
        <v>280</v>
      </c>
      <c r="J3866" t="s">
        <v>52</v>
      </c>
      <c r="K3866" s="3">
        <v>100322456029</v>
      </c>
      <c r="L3866" s="10">
        <v>40847</v>
      </c>
      <c r="M3866">
        <v>465.9</v>
      </c>
      <c r="N3866" s="11">
        <v>38</v>
      </c>
      <c r="O3866" s="12">
        <v>12.28</v>
      </c>
      <c r="P3866" s="12">
        <v>4.86</v>
      </c>
      <c r="Q3866" s="13">
        <v>79.34</v>
      </c>
      <c r="R3866" s="36" t="s">
        <v>2280</v>
      </c>
      <c r="S3866" s="7">
        <f t="shared" si="327"/>
        <v>1</v>
      </c>
      <c r="T3866" s="15" t="str">
        <f>VLOOKUP(R3866,产品分类!$C$2:$D$1278,2,0)</f>
        <v>数码电子</v>
      </c>
    </row>
    <row r="3867" spans="1:20">
      <c r="A3867" s="8">
        <f t="shared" ref="A3867:B3869" si="329">DATE(2012,12,31)-473</f>
        <v>40801</v>
      </c>
      <c r="B3867" s="8">
        <f t="shared" si="329"/>
        <v>40801</v>
      </c>
      <c r="C3867" s="9" t="s">
        <v>1348</v>
      </c>
      <c r="D3867">
        <v>10021576774</v>
      </c>
      <c r="E3867" t="s">
        <v>47</v>
      </c>
      <c r="F3867" t="s">
        <v>434</v>
      </c>
      <c r="G3867" t="s">
        <v>435</v>
      </c>
      <c r="H3867" t="s">
        <v>436</v>
      </c>
      <c r="I3867" t="s">
        <v>437</v>
      </c>
      <c r="J3867" t="s">
        <v>52</v>
      </c>
      <c r="K3867" s="3">
        <v>100916125411</v>
      </c>
      <c r="L3867" s="10">
        <v>40803</v>
      </c>
      <c r="M3867">
        <v>845.7</v>
      </c>
      <c r="N3867" s="11">
        <v>20</v>
      </c>
      <c r="O3867" s="12">
        <v>39.48</v>
      </c>
      <c r="P3867" s="12">
        <v>1.99</v>
      </c>
      <c r="Q3867" s="13">
        <v>221.6</v>
      </c>
      <c r="R3867" s="36" t="s">
        <v>235</v>
      </c>
      <c r="S3867" s="7">
        <f t="shared" si="327"/>
        <v>2</v>
      </c>
      <c r="T3867" s="15" t="str">
        <f>VLOOKUP(R3867,产品分类!$C$2:$D$1278,2,0)</f>
        <v>办公用品</v>
      </c>
    </row>
    <row r="3868" spans="1:20">
      <c r="A3868" s="8">
        <f t="shared" si="329"/>
        <v>40801</v>
      </c>
      <c r="B3868" s="8">
        <f t="shared" si="329"/>
        <v>40801</v>
      </c>
      <c r="C3868" s="9" t="s">
        <v>1348</v>
      </c>
      <c r="D3868">
        <v>10021448651</v>
      </c>
      <c r="E3868" t="s">
        <v>47</v>
      </c>
      <c r="F3868" t="s">
        <v>114</v>
      </c>
      <c r="G3868" t="s">
        <v>115</v>
      </c>
      <c r="H3868" t="s">
        <v>2269</v>
      </c>
      <c r="I3868" t="s">
        <v>2270</v>
      </c>
      <c r="J3868" t="s">
        <v>52</v>
      </c>
      <c r="K3868" s="3">
        <v>100916361671</v>
      </c>
      <c r="L3868" s="10">
        <v>40802</v>
      </c>
      <c r="M3868">
        <v>467</v>
      </c>
      <c r="N3868" s="11">
        <v>25</v>
      </c>
      <c r="O3868" s="12">
        <v>17.67</v>
      </c>
      <c r="P3868" s="12">
        <v>8.99</v>
      </c>
      <c r="Q3868" s="13">
        <v>69.97</v>
      </c>
      <c r="R3868" s="36" t="s">
        <v>491</v>
      </c>
      <c r="S3868" s="7">
        <f t="shared" si="327"/>
        <v>1</v>
      </c>
      <c r="T3868" s="15" t="str">
        <f>VLOOKUP(R3868,产品分类!$C$2:$D$1278,2,0)</f>
        <v>办公用品</v>
      </c>
    </row>
    <row r="3869" spans="1:20">
      <c r="A3869" s="8">
        <f t="shared" si="329"/>
        <v>40801</v>
      </c>
      <c r="B3869" s="8">
        <f t="shared" si="329"/>
        <v>40801</v>
      </c>
      <c r="C3869" s="9" t="s">
        <v>1348</v>
      </c>
      <c r="D3869">
        <v>10021497474</v>
      </c>
      <c r="E3869" t="s">
        <v>47</v>
      </c>
      <c r="F3869" t="s">
        <v>114</v>
      </c>
      <c r="G3869" t="s">
        <v>115</v>
      </c>
      <c r="H3869" t="s">
        <v>2269</v>
      </c>
      <c r="I3869" t="s">
        <v>2270</v>
      </c>
      <c r="J3869" t="s">
        <v>52</v>
      </c>
      <c r="K3869" s="3">
        <v>100318161869</v>
      </c>
      <c r="L3869" s="10">
        <v>40802</v>
      </c>
      <c r="M3869">
        <v>64.43</v>
      </c>
      <c r="N3869" s="11">
        <v>36</v>
      </c>
      <c r="O3869" s="12">
        <v>1.88</v>
      </c>
      <c r="P3869" s="12">
        <v>1.49</v>
      </c>
      <c r="Q3869" s="13">
        <v>-18.64035</v>
      </c>
      <c r="R3869" s="36" t="s">
        <v>395</v>
      </c>
      <c r="S3869" s="7">
        <f t="shared" si="327"/>
        <v>1</v>
      </c>
      <c r="T3869" s="15" t="str">
        <f>VLOOKUP(R3869,产品分类!$C$2:$D$1278,2,0)</f>
        <v>数码电子</v>
      </c>
    </row>
    <row r="3870" spans="1:20">
      <c r="A3870" s="8">
        <f>DATE(2012,12,31)-154</f>
        <v>41120</v>
      </c>
      <c r="B3870" s="8">
        <f>DATE(2012,12,31)-154</f>
        <v>41120</v>
      </c>
      <c r="C3870" s="9" t="s">
        <v>1597</v>
      </c>
      <c r="D3870">
        <v>10021468118</v>
      </c>
      <c r="E3870" t="s">
        <v>47</v>
      </c>
      <c r="F3870" t="s">
        <v>55</v>
      </c>
      <c r="G3870" t="s">
        <v>56</v>
      </c>
      <c r="H3870" t="s">
        <v>2197</v>
      </c>
      <c r="I3870" t="s">
        <v>2198</v>
      </c>
      <c r="J3870" t="s">
        <v>52</v>
      </c>
      <c r="K3870" s="3">
        <v>100131042217</v>
      </c>
      <c r="L3870" s="10">
        <v>41122</v>
      </c>
      <c r="M3870">
        <v>614.14</v>
      </c>
      <c r="N3870" s="11">
        <v>3</v>
      </c>
      <c r="O3870" s="12">
        <v>199.99</v>
      </c>
      <c r="P3870" s="12">
        <v>24.49</v>
      </c>
      <c r="Q3870" s="13">
        <v>-735.27</v>
      </c>
      <c r="R3870" s="36" t="s">
        <v>2092</v>
      </c>
      <c r="S3870" s="7">
        <f t="shared" si="327"/>
        <v>2</v>
      </c>
      <c r="T3870" s="15" t="str">
        <f>VLOOKUP(R3870,产品分类!$C$2:$D$1278,2,0)</f>
        <v>办公用品</v>
      </c>
    </row>
    <row r="3871" spans="1:20">
      <c r="A3871" s="8">
        <f>DATE(2012,12,31)-694</f>
        <v>40580</v>
      </c>
      <c r="B3871" s="8">
        <f>DATE(2012,12,31)-694</f>
        <v>40580</v>
      </c>
      <c r="C3871" s="9" t="s">
        <v>222</v>
      </c>
      <c r="D3871">
        <v>10021493937</v>
      </c>
      <c r="E3871" t="s">
        <v>47</v>
      </c>
      <c r="F3871" t="s">
        <v>122</v>
      </c>
      <c r="G3871" t="s">
        <v>123</v>
      </c>
      <c r="H3871" t="s">
        <v>2159</v>
      </c>
      <c r="I3871" t="s">
        <v>2160</v>
      </c>
      <c r="J3871" t="s">
        <v>52</v>
      </c>
      <c r="K3871" s="3">
        <v>10019040746</v>
      </c>
      <c r="L3871" s="10">
        <v>40581</v>
      </c>
      <c r="M3871">
        <v>1280.73</v>
      </c>
      <c r="N3871" s="11">
        <v>4</v>
      </c>
      <c r="O3871" s="12">
        <v>320.64</v>
      </c>
      <c r="P3871" s="12">
        <v>43.57</v>
      </c>
      <c r="Q3871" s="13">
        <v>-774.890688</v>
      </c>
      <c r="R3871" s="36" t="s">
        <v>1346</v>
      </c>
      <c r="S3871" s="7">
        <f t="shared" si="327"/>
        <v>1</v>
      </c>
      <c r="T3871" s="15" t="str">
        <f>VLOOKUP(R3871,产品分类!$C$2:$D$1278,2,0)</f>
        <v>办公用品</v>
      </c>
    </row>
    <row r="3872" spans="1:20">
      <c r="A3872" s="16">
        <f>DATE(2012,12,31)-829</f>
        <v>40445</v>
      </c>
      <c r="B3872" s="16">
        <f>DATE(2012,12,31)-829</f>
        <v>40445</v>
      </c>
      <c r="C3872" s="9" t="s">
        <v>2122</v>
      </c>
      <c r="D3872">
        <v>10021432447</v>
      </c>
      <c r="E3872" t="s">
        <v>47</v>
      </c>
      <c r="F3872" t="s">
        <v>91</v>
      </c>
      <c r="G3872" t="s">
        <v>92</v>
      </c>
      <c r="H3872" t="s">
        <v>2053</v>
      </c>
      <c r="I3872" t="s">
        <v>2054</v>
      </c>
      <c r="J3872" t="s">
        <v>52</v>
      </c>
      <c r="K3872" s="3">
        <v>10011437636</v>
      </c>
      <c r="L3872" s="10">
        <v>40447</v>
      </c>
      <c r="M3872">
        <v>94.83</v>
      </c>
      <c r="N3872" s="17">
        <v>12</v>
      </c>
      <c r="O3872" s="5">
        <v>7.64</v>
      </c>
      <c r="P3872" s="5">
        <v>1.39</v>
      </c>
      <c r="Q3872" s="6">
        <v>29.87</v>
      </c>
      <c r="R3872" s="37" t="s">
        <v>1814</v>
      </c>
      <c r="S3872" s="7">
        <f t="shared" si="327"/>
        <v>2</v>
      </c>
      <c r="T3872" s="15" t="str">
        <f>VLOOKUP(R3872,产品分类!$C$2:$D$1278,2,0)</f>
        <v>办公用品</v>
      </c>
    </row>
    <row r="3873" spans="1:20">
      <c r="A3873" s="8">
        <f>DATE(2012,12,31)-1070</f>
        <v>40204</v>
      </c>
      <c r="B3873" s="8">
        <f>DATE(2012,12,31)-1070</f>
        <v>40204</v>
      </c>
      <c r="C3873" s="9" t="s">
        <v>1555</v>
      </c>
      <c r="D3873">
        <v>10021576240</v>
      </c>
      <c r="E3873" t="s">
        <v>47</v>
      </c>
      <c r="F3873" t="s">
        <v>91</v>
      </c>
      <c r="G3873" t="s">
        <v>92</v>
      </c>
      <c r="H3873" t="s">
        <v>2053</v>
      </c>
      <c r="I3873" t="s">
        <v>2054</v>
      </c>
      <c r="J3873" t="s">
        <v>52</v>
      </c>
      <c r="K3873" s="3">
        <v>10016447306</v>
      </c>
      <c r="L3873" s="10">
        <v>40205</v>
      </c>
      <c r="M3873">
        <v>324.4</v>
      </c>
      <c r="N3873" s="11">
        <v>32</v>
      </c>
      <c r="O3873" s="12">
        <v>10.89</v>
      </c>
      <c r="P3873" s="12">
        <v>4.5</v>
      </c>
      <c r="Q3873" s="13">
        <v>-46.98</v>
      </c>
      <c r="R3873" s="36" t="s">
        <v>269</v>
      </c>
      <c r="S3873" s="7">
        <f t="shared" si="327"/>
        <v>1</v>
      </c>
      <c r="T3873" s="15" t="str">
        <f>VLOOKUP(R3873,产品分类!$C$2:$D$1278,2,0)</f>
        <v>办公用品</v>
      </c>
    </row>
    <row r="3874" spans="1:20">
      <c r="A3874" s="8">
        <f>DATE(2012,12,31)-1070</f>
        <v>40204</v>
      </c>
      <c r="B3874" s="8">
        <f>DATE(2012,12,31)-1070</f>
        <v>40204</v>
      </c>
      <c r="C3874" s="9" t="s">
        <v>1555</v>
      </c>
      <c r="D3874">
        <v>10021511673</v>
      </c>
      <c r="E3874" t="s">
        <v>47</v>
      </c>
      <c r="F3874" t="s">
        <v>91</v>
      </c>
      <c r="G3874" t="s">
        <v>92</v>
      </c>
      <c r="H3874" t="s">
        <v>2053</v>
      </c>
      <c r="I3874" t="s">
        <v>2054</v>
      </c>
      <c r="J3874" t="s">
        <v>52</v>
      </c>
      <c r="K3874" s="3">
        <v>100132732968</v>
      </c>
      <c r="L3874" s="10">
        <v>40205</v>
      </c>
      <c r="M3874">
        <v>137.02</v>
      </c>
      <c r="N3874" s="11">
        <v>19</v>
      </c>
      <c r="O3874" s="12">
        <v>6.48</v>
      </c>
      <c r="P3874" s="12">
        <v>6.6</v>
      </c>
      <c r="Q3874" s="13">
        <v>-46.89</v>
      </c>
      <c r="R3874" s="36" t="s">
        <v>784</v>
      </c>
      <c r="S3874" s="7">
        <f t="shared" si="327"/>
        <v>1</v>
      </c>
      <c r="T3874" s="15" t="str">
        <f>VLOOKUP(R3874,产品分类!$C$2:$D$1278,2,0)</f>
        <v>数码电子</v>
      </c>
    </row>
    <row r="3875" spans="1:20">
      <c r="A3875" s="8">
        <f>DATE(2012,12,31)-768</f>
        <v>40506</v>
      </c>
      <c r="B3875" s="8">
        <f>DATE(2012,12,31)-768</f>
        <v>40506</v>
      </c>
      <c r="C3875" s="9" t="s">
        <v>297</v>
      </c>
      <c r="D3875">
        <v>10021387116</v>
      </c>
      <c r="E3875" t="s">
        <v>47</v>
      </c>
      <c r="F3875" t="s">
        <v>55</v>
      </c>
      <c r="G3875" t="s">
        <v>56</v>
      </c>
      <c r="H3875" t="s">
        <v>2197</v>
      </c>
      <c r="I3875" t="s">
        <v>2198</v>
      </c>
      <c r="J3875" t="s">
        <v>52</v>
      </c>
      <c r="K3875" s="3">
        <v>100916119831</v>
      </c>
      <c r="L3875" s="10">
        <v>40507</v>
      </c>
      <c r="M3875">
        <v>37.8</v>
      </c>
      <c r="N3875" s="11">
        <v>7</v>
      </c>
      <c r="O3875" s="12">
        <v>4.98</v>
      </c>
      <c r="P3875" s="12">
        <v>4.7</v>
      </c>
      <c r="Q3875" s="13">
        <v>-18.31</v>
      </c>
      <c r="R3875" s="36" t="s">
        <v>1648</v>
      </c>
      <c r="S3875" s="7">
        <f t="shared" si="327"/>
        <v>1</v>
      </c>
      <c r="T3875" s="15" t="str">
        <f>VLOOKUP(R3875,产品分类!$C$2:$D$1278,2,0)</f>
        <v>办公用品</v>
      </c>
    </row>
    <row r="3876" spans="1:20">
      <c r="A3876" s="8">
        <f>DATE(2012,12,31)-768</f>
        <v>40506</v>
      </c>
      <c r="B3876" s="8">
        <f>DATE(2012,12,31)-768</f>
        <v>40506</v>
      </c>
      <c r="C3876" s="9" t="s">
        <v>297</v>
      </c>
      <c r="D3876">
        <v>10021579837</v>
      </c>
      <c r="E3876" t="s">
        <v>47</v>
      </c>
      <c r="F3876" t="s">
        <v>55</v>
      </c>
      <c r="G3876" t="s">
        <v>56</v>
      </c>
      <c r="H3876" t="s">
        <v>2197</v>
      </c>
      <c r="I3876" t="s">
        <v>2198</v>
      </c>
      <c r="J3876" t="s">
        <v>52</v>
      </c>
      <c r="K3876" s="3">
        <v>100321345799</v>
      </c>
      <c r="L3876" s="10">
        <v>40508</v>
      </c>
      <c r="M3876">
        <v>183.28</v>
      </c>
      <c r="N3876" s="11">
        <v>30</v>
      </c>
      <c r="O3876" s="12">
        <v>6.08</v>
      </c>
      <c r="P3876" s="12">
        <v>1.17</v>
      </c>
      <c r="Q3876" s="13">
        <v>33.88</v>
      </c>
      <c r="R3876" s="36" t="s">
        <v>654</v>
      </c>
      <c r="S3876" s="7">
        <f t="shared" si="327"/>
        <v>2</v>
      </c>
      <c r="T3876" s="15" t="str">
        <f>VLOOKUP(R3876,产品分类!$C$2:$D$1278,2,0)</f>
        <v>办公用品</v>
      </c>
    </row>
    <row r="3877" spans="1:20">
      <c r="A3877" s="16">
        <f>DATE(2012,12,31)-483</f>
        <v>40791</v>
      </c>
      <c r="B3877" s="16">
        <f>DATE(2012,12,31)-483</f>
        <v>40791</v>
      </c>
      <c r="C3877" s="9" t="s">
        <v>536</v>
      </c>
      <c r="D3877">
        <v>10021494225</v>
      </c>
      <c r="E3877" t="s">
        <v>47</v>
      </c>
      <c r="F3877" t="s">
        <v>91</v>
      </c>
      <c r="G3877" t="s">
        <v>92</v>
      </c>
      <c r="H3877" t="s">
        <v>2053</v>
      </c>
      <c r="I3877" t="s">
        <v>2054</v>
      </c>
      <c r="J3877" t="s">
        <v>52</v>
      </c>
      <c r="K3877" s="3">
        <v>10092058861</v>
      </c>
      <c r="L3877" s="10">
        <v>40793</v>
      </c>
      <c r="M3877">
        <v>13.04</v>
      </c>
      <c r="N3877" s="17">
        <v>1</v>
      </c>
      <c r="O3877" s="5">
        <v>10.48</v>
      </c>
      <c r="P3877" s="5">
        <v>2.89</v>
      </c>
      <c r="Q3877" s="6">
        <v>-6.62</v>
      </c>
      <c r="R3877" s="37" t="s">
        <v>1851</v>
      </c>
      <c r="S3877" s="7">
        <f t="shared" si="327"/>
        <v>2</v>
      </c>
      <c r="T3877" s="15" t="str">
        <f>VLOOKUP(R3877,产品分类!$C$2:$D$1278,2,0)</f>
        <v>办公用品</v>
      </c>
    </row>
    <row r="3878" spans="1:20">
      <c r="A3878" s="8">
        <f>DATE(2012,12,31)-984</f>
        <v>40290</v>
      </c>
      <c r="B3878" s="8">
        <f>DATE(2012,12,31)-984</f>
        <v>40290</v>
      </c>
      <c r="C3878" s="9" t="s">
        <v>2049</v>
      </c>
      <c r="D3878">
        <v>10021263763</v>
      </c>
      <c r="E3878" t="s">
        <v>47</v>
      </c>
      <c r="F3878" t="s">
        <v>83</v>
      </c>
      <c r="G3878" t="s">
        <v>84</v>
      </c>
      <c r="H3878" t="s">
        <v>2231</v>
      </c>
      <c r="I3878" t="s">
        <v>2232</v>
      </c>
      <c r="J3878" t="s">
        <v>52</v>
      </c>
      <c r="K3878" s="3">
        <v>100430834543</v>
      </c>
      <c r="L3878" s="10">
        <v>40292</v>
      </c>
      <c r="M3878">
        <v>251.3</v>
      </c>
      <c r="N3878" s="11">
        <v>38</v>
      </c>
      <c r="O3878" s="12">
        <v>7.1</v>
      </c>
      <c r="P3878" s="12">
        <v>6.05</v>
      </c>
      <c r="Q3878" s="13">
        <v>-112.723</v>
      </c>
      <c r="R3878" s="36" t="s">
        <v>958</v>
      </c>
      <c r="S3878" s="7">
        <f t="shared" si="327"/>
        <v>2</v>
      </c>
      <c r="T3878" s="15" t="str">
        <f>VLOOKUP(R3878,产品分类!$C$2:$D$1278,2,0)</f>
        <v>办公用品</v>
      </c>
    </row>
    <row r="3879" spans="1:20">
      <c r="A3879" s="8">
        <f>DATE(2012,12,31)-1033</f>
        <v>40241</v>
      </c>
      <c r="B3879" s="8">
        <f>DATE(2012,12,31)-1033</f>
        <v>40241</v>
      </c>
      <c r="C3879" s="9" t="s">
        <v>1445</v>
      </c>
      <c r="D3879">
        <v>10021259164</v>
      </c>
      <c r="E3879" t="s">
        <v>47</v>
      </c>
      <c r="F3879" t="s">
        <v>55</v>
      </c>
      <c r="G3879" t="s">
        <v>56</v>
      </c>
      <c r="H3879" t="s">
        <v>2197</v>
      </c>
      <c r="I3879" t="s">
        <v>2198</v>
      </c>
      <c r="J3879" t="s">
        <v>52</v>
      </c>
      <c r="K3879" s="3">
        <v>100712493515</v>
      </c>
      <c r="L3879" s="10">
        <v>40248</v>
      </c>
      <c r="M3879">
        <v>246.63</v>
      </c>
      <c r="N3879" s="11">
        <v>20</v>
      </c>
      <c r="O3879" s="12">
        <v>12.28</v>
      </c>
      <c r="P3879" s="12">
        <v>4.86</v>
      </c>
      <c r="Q3879" s="13">
        <v>31.54</v>
      </c>
      <c r="R3879" s="36" t="s">
        <v>2280</v>
      </c>
      <c r="S3879" s="7">
        <f t="shared" si="327"/>
        <v>7</v>
      </c>
      <c r="T3879" s="15" t="str">
        <f>VLOOKUP(R3879,产品分类!$C$2:$D$1278,2,0)</f>
        <v>数码电子</v>
      </c>
    </row>
    <row r="3880" spans="1:20">
      <c r="A3880" s="8">
        <f>DATE(2012,12,31)-469</f>
        <v>40805</v>
      </c>
      <c r="B3880" s="8">
        <f>DATE(2012,12,31)-469</f>
        <v>40805</v>
      </c>
      <c r="C3880" s="9" t="s">
        <v>1894</v>
      </c>
      <c r="D3880">
        <v>10021248767</v>
      </c>
      <c r="E3880" t="s">
        <v>47</v>
      </c>
      <c r="F3880" t="s">
        <v>55</v>
      </c>
      <c r="G3880" t="s">
        <v>56</v>
      </c>
      <c r="H3880" t="s">
        <v>2197</v>
      </c>
      <c r="I3880" t="s">
        <v>2198</v>
      </c>
      <c r="J3880" t="s">
        <v>52</v>
      </c>
      <c r="K3880" s="3">
        <v>10014040967</v>
      </c>
      <c r="L3880" s="10">
        <v>40807</v>
      </c>
      <c r="M3880">
        <v>94.52</v>
      </c>
      <c r="N3880" s="11">
        <v>12</v>
      </c>
      <c r="O3880" s="12">
        <v>7.45</v>
      </c>
      <c r="P3880" s="12">
        <v>6.28</v>
      </c>
      <c r="Q3880" s="13">
        <v>-36.225</v>
      </c>
      <c r="R3880" s="36" t="s">
        <v>665</v>
      </c>
      <c r="S3880" s="7">
        <f t="shared" si="327"/>
        <v>2</v>
      </c>
      <c r="T3880" s="15" t="str">
        <f>VLOOKUP(R3880,产品分类!$C$2:$D$1278,2,0)</f>
        <v>数码电子</v>
      </c>
    </row>
    <row r="3881" spans="1:20">
      <c r="A3881" s="8">
        <f>DATE(2012,12,31)-432</f>
        <v>40842</v>
      </c>
      <c r="B3881" s="8">
        <f>DATE(2012,12,31)-432</f>
        <v>40842</v>
      </c>
      <c r="C3881" s="9" t="s">
        <v>1866</v>
      </c>
      <c r="D3881">
        <v>10021595015</v>
      </c>
      <c r="E3881" t="s">
        <v>47</v>
      </c>
      <c r="F3881" t="s">
        <v>91</v>
      </c>
      <c r="G3881" t="s">
        <v>92</v>
      </c>
      <c r="H3881" t="s">
        <v>2053</v>
      </c>
      <c r="I3881" t="s">
        <v>2054</v>
      </c>
      <c r="J3881" t="s">
        <v>52</v>
      </c>
      <c r="K3881" s="3">
        <v>1001697666</v>
      </c>
      <c r="L3881" s="10">
        <v>40845</v>
      </c>
      <c r="M3881">
        <v>75.19</v>
      </c>
      <c r="N3881" s="11">
        <v>19</v>
      </c>
      <c r="O3881" s="12">
        <v>3.75</v>
      </c>
      <c r="P3881" s="12">
        <v>7.5</v>
      </c>
      <c r="Q3881" s="13">
        <v>-93.67</v>
      </c>
      <c r="R3881" s="36" t="s">
        <v>824</v>
      </c>
      <c r="S3881" s="7">
        <f t="shared" si="327"/>
        <v>3</v>
      </c>
      <c r="T3881" s="15" t="str">
        <f>VLOOKUP(R3881,产品分类!$C$2:$D$1278,2,0)</f>
        <v>办公用品</v>
      </c>
    </row>
    <row r="3882" spans="1:20">
      <c r="A3882" s="8">
        <f>DATE(2012,12,31)-881</f>
        <v>40393</v>
      </c>
      <c r="B3882" s="8">
        <f>DATE(2012,12,31)-881</f>
        <v>40393</v>
      </c>
      <c r="C3882" s="9" t="s">
        <v>2281</v>
      </c>
      <c r="D3882">
        <v>10021344673</v>
      </c>
      <c r="E3882" t="s">
        <v>47</v>
      </c>
      <c r="F3882" t="s">
        <v>122</v>
      </c>
      <c r="G3882" t="s">
        <v>123</v>
      </c>
      <c r="H3882" t="s">
        <v>2159</v>
      </c>
      <c r="I3882" t="s">
        <v>2160</v>
      </c>
      <c r="J3882" t="s">
        <v>52</v>
      </c>
      <c r="K3882" s="3">
        <v>100129798168</v>
      </c>
      <c r="L3882" s="10">
        <v>40394</v>
      </c>
      <c r="M3882">
        <v>106.69</v>
      </c>
      <c r="N3882" s="11">
        <v>22</v>
      </c>
      <c r="O3882" s="12">
        <v>4.54</v>
      </c>
      <c r="P3882" s="12">
        <v>5.83</v>
      </c>
      <c r="Q3882" s="13">
        <v>-76.6015</v>
      </c>
      <c r="R3882" s="36" t="s">
        <v>1898</v>
      </c>
      <c r="S3882" s="7">
        <f t="shared" si="327"/>
        <v>1</v>
      </c>
      <c r="T3882" s="15" t="str">
        <f>VLOOKUP(R3882,产品分类!$C$2:$D$1278,2,0)</f>
        <v>数码电子</v>
      </c>
    </row>
    <row r="3883" spans="1:20">
      <c r="A3883" s="8">
        <f>DATE(2012,12,31)-833</f>
        <v>40441</v>
      </c>
      <c r="B3883" s="8">
        <f>DATE(2012,12,31)-833</f>
        <v>40441</v>
      </c>
      <c r="C3883" s="9" t="s">
        <v>158</v>
      </c>
      <c r="D3883">
        <v>10021394913</v>
      </c>
      <c r="E3883" t="s">
        <v>47</v>
      </c>
      <c r="F3883" t="s">
        <v>91</v>
      </c>
      <c r="G3883" t="s">
        <v>92</v>
      </c>
      <c r="H3883" t="s">
        <v>2053</v>
      </c>
      <c r="I3883" t="s">
        <v>2054</v>
      </c>
      <c r="J3883" t="s">
        <v>52</v>
      </c>
      <c r="K3883" s="3">
        <v>10093102301</v>
      </c>
      <c r="L3883" s="10">
        <v>40445</v>
      </c>
      <c r="M3883">
        <v>6126.93</v>
      </c>
      <c r="N3883" s="11">
        <v>41</v>
      </c>
      <c r="O3883" s="12">
        <v>146.05</v>
      </c>
      <c r="P3883" s="12">
        <v>80.2</v>
      </c>
      <c r="Q3883" s="13">
        <v>-1704.89</v>
      </c>
      <c r="R3883" s="36" t="s">
        <v>239</v>
      </c>
      <c r="S3883" s="7">
        <f t="shared" si="327"/>
        <v>4</v>
      </c>
      <c r="T3883" s="15" t="str">
        <f>VLOOKUP(R3883,产品分类!$C$2:$D$1278,2,0)</f>
        <v>办公用品</v>
      </c>
    </row>
    <row r="3884" spans="1:20">
      <c r="A3884" s="8">
        <f t="shared" ref="A3884:B3886" si="330">DATE(2012,12,31)-758</f>
        <v>40516</v>
      </c>
      <c r="B3884" s="8">
        <f t="shared" si="330"/>
        <v>40516</v>
      </c>
      <c r="C3884" s="9" t="s">
        <v>1621</v>
      </c>
      <c r="D3884">
        <v>10021413762</v>
      </c>
      <c r="E3884" t="s">
        <v>47</v>
      </c>
      <c r="F3884" t="s">
        <v>83</v>
      </c>
      <c r="G3884" t="s">
        <v>84</v>
      </c>
      <c r="H3884" t="s">
        <v>2231</v>
      </c>
      <c r="I3884" t="s">
        <v>2232</v>
      </c>
      <c r="J3884" t="s">
        <v>52</v>
      </c>
      <c r="K3884" s="3">
        <v>10092329401</v>
      </c>
      <c r="L3884" s="10">
        <v>40517</v>
      </c>
      <c r="M3884">
        <v>87.09</v>
      </c>
      <c r="N3884" s="11">
        <v>3</v>
      </c>
      <c r="O3884" s="12">
        <v>29.34</v>
      </c>
      <c r="P3884" s="12">
        <v>7.87</v>
      </c>
      <c r="Q3884" s="13">
        <v>-42.73</v>
      </c>
      <c r="R3884" s="36" t="s">
        <v>1731</v>
      </c>
      <c r="S3884" s="7">
        <f t="shared" si="327"/>
        <v>1</v>
      </c>
      <c r="T3884" s="15" t="str">
        <f>VLOOKUP(R3884,产品分类!$C$2:$D$1278,2,0)</f>
        <v>数码电子</v>
      </c>
    </row>
    <row r="3885" spans="1:20">
      <c r="A3885" s="8">
        <f t="shared" si="330"/>
        <v>40516</v>
      </c>
      <c r="B3885" s="8">
        <f t="shared" si="330"/>
        <v>40516</v>
      </c>
      <c r="C3885" s="9" t="s">
        <v>1621</v>
      </c>
      <c r="D3885">
        <v>10021433536</v>
      </c>
      <c r="E3885" t="s">
        <v>47</v>
      </c>
      <c r="F3885" t="s">
        <v>122</v>
      </c>
      <c r="G3885" t="s">
        <v>123</v>
      </c>
      <c r="H3885" t="s">
        <v>2159</v>
      </c>
      <c r="I3885" t="s">
        <v>2160</v>
      </c>
      <c r="J3885" t="s">
        <v>52</v>
      </c>
      <c r="K3885" s="3">
        <v>100832619612</v>
      </c>
      <c r="L3885" s="10">
        <v>40517</v>
      </c>
      <c r="M3885">
        <v>196.1</v>
      </c>
      <c r="N3885" s="11">
        <v>42</v>
      </c>
      <c r="O3885" s="12">
        <v>4.76</v>
      </c>
      <c r="P3885" s="12">
        <v>0.88</v>
      </c>
      <c r="Q3885" s="13">
        <v>71.65</v>
      </c>
      <c r="R3885" s="36" t="s">
        <v>636</v>
      </c>
      <c r="S3885" s="7">
        <f t="shared" si="327"/>
        <v>1</v>
      </c>
      <c r="T3885" s="15" t="str">
        <f>VLOOKUP(R3885,产品分类!$C$2:$D$1278,2,0)</f>
        <v>数码电子</v>
      </c>
    </row>
    <row r="3886" spans="1:20">
      <c r="A3886" s="8">
        <f t="shared" si="330"/>
        <v>40516</v>
      </c>
      <c r="B3886" s="8">
        <f t="shared" si="330"/>
        <v>40516</v>
      </c>
      <c r="C3886" s="9" t="s">
        <v>1621</v>
      </c>
      <c r="D3886">
        <v>10021500518</v>
      </c>
      <c r="E3886" t="s">
        <v>47</v>
      </c>
      <c r="F3886" t="s">
        <v>208</v>
      </c>
      <c r="G3886" t="s">
        <v>209</v>
      </c>
      <c r="H3886" t="s">
        <v>2177</v>
      </c>
      <c r="I3886" t="s">
        <v>2178</v>
      </c>
      <c r="J3886" t="s">
        <v>52</v>
      </c>
      <c r="K3886" s="3">
        <v>100425977604</v>
      </c>
      <c r="L3886" s="10">
        <v>40516</v>
      </c>
      <c r="M3886">
        <v>1540.77</v>
      </c>
      <c r="N3886" s="11">
        <v>3</v>
      </c>
      <c r="O3886" s="12">
        <v>499.99</v>
      </c>
      <c r="P3886" s="12">
        <v>24.49</v>
      </c>
      <c r="Q3886" s="13">
        <v>-1572.64</v>
      </c>
      <c r="R3886" s="36" t="s">
        <v>1171</v>
      </c>
      <c r="S3886" s="7">
        <f t="shared" si="327"/>
        <v>0</v>
      </c>
      <c r="T3886" s="15" t="str">
        <f>VLOOKUP(R3886,产品分类!$C$2:$D$1278,2,0)</f>
        <v>办公用品</v>
      </c>
    </row>
    <row r="3887" spans="1:20">
      <c r="A3887" s="8">
        <f>DATE(2012,12,31)-73</f>
        <v>41201</v>
      </c>
      <c r="B3887" s="8">
        <f>DATE(2012,12,31)-73</f>
        <v>41201</v>
      </c>
      <c r="C3887" s="9" t="s">
        <v>1819</v>
      </c>
      <c r="D3887">
        <v>10021249733</v>
      </c>
      <c r="E3887" t="s">
        <v>47</v>
      </c>
      <c r="F3887" t="s">
        <v>102</v>
      </c>
      <c r="G3887" t="s">
        <v>103</v>
      </c>
      <c r="H3887" t="s">
        <v>2236</v>
      </c>
      <c r="I3887" t="s">
        <v>2237</v>
      </c>
      <c r="J3887" t="s">
        <v>52</v>
      </c>
      <c r="K3887" s="3">
        <v>100910039241</v>
      </c>
      <c r="L3887" s="10">
        <v>41205</v>
      </c>
      <c r="M3887">
        <v>769.17</v>
      </c>
      <c r="N3887" s="11">
        <v>12</v>
      </c>
      <c r="O3887" s="12">
        <v>58.14</v>
      </c>
      <c r="P3887" s="12">
        <v>36.61</v>
      </c>
      <c r="Q3887" s="13">
        <v>-212.01</v>
      </c>
      <c r="R3887" s="36" t="s">
        <v>1368</v>
      </c>
      <c r="S3887" s="7">
        <f t="shared" si="327"/>
        <v>4</v>
      </c>
      <c r="T3887" s="15" t="str">
        <f>VLOOKUP(R3887,产品分类!$C$2:$D$1278,2,0)</f>
        <v>数码电子</v>
      </c>
    </row>
    <row r="3888" spans="1:20">
      <c r="A3888" s="8">
        <f>DATE(2012,12,31)-73</f>
        <v>41201</v>
      </c>
      <c r="B3888" s="8">
        <f>DATE(2012,12,31)-73</f>
        <v>41201</v>
      </c>
      <c r="C3888" s="9" t="s">
        <v>1819</v>
      </c>
      <c r="D3888">
        <v>10021504549</v>
      </c>
      <c r="E3888" t="s">
        <v>47</v>
      </c>
      <c r="F3888" t="s">
        <v>102</v>
      </c>
      <c r="G3888" t="s">
        <v>103</v>
      </c>
      <c r="H3888" t="s">
        <v>2236</v>
      </c>
      <c r="I3888" t="s">
        <v>2237</v>
      </c>
      <c r="J3888" t="s">
        <v>52</v>
      </c>
      <c r="K3888" s="3">
        <v>100930385651</v>
      </c>
      <c r="L3888" s="10">
        <v>41201</v>
      </c>
      <c r="M3888">
        <v>7370.84</v>
      </c>
      <c r="N3888" s="11">
        <v>18</v>
      </c>
      <c r="O3888" s="12">
        <v>449.99</v>
      </c>
      <c r="P3888" s="12">
        <v>49</v>
      </c>
      <c r="Q3888" s="13">
        <v>999.865</v>
      </c>
      <c r="R3888" s="36" t="s">
        <v>545</v>
      </c>
      <c r="S3888" s="7">
        <f t="shared" si="327"/>
        <v>0</v>
      </c>
      <c r="T3888" s="15" t="str">
        <f>VLOOKUP(R3888,产品分类!$C$2:$D$1278,2,0)</f>
        <v>办公用品</v>
      </c>
    </row>
    <row r="3889" spans="1:20">
      <c r="A3889" s="8">
        <f>DATE(2012,12,31)-972</f>
        <v>40302</v>
      </c>
      <c r="B3889" s="8">
        <f>DATE(2012,12,31)-972</f>
        <v>40302</v>
      </c>
      <c r="C3889" s="9" t="s">
        <v>977</v>
      </c>
      <c r="D3889">
        <v>10021523069</v>
      </c>
      <c r="E3889" t="s">
        <v>47</v>
      </c>
      <c r="F3889" t="s">
        <v>208</v>
      </c>
      <c r="G3889" t="s">
        <v>209</v>
      </c>
      <c r="H3889" t="s">
        <v>2177</v>
      </c>
      <c r="I3889" t="s">
        <v>2178</v>
      </c>
      <c r="J3889" t="s">
        <v>52</v>
      </c>
      <c r="K3889" s="3">
        <v>100713816245</v>
      </c>
      <c r="L3889" s="10">
        <v>40306</v>
      </c>
      <c r="M3889">
        <v>226.68</v>
      </c>
      <c r="N3889" s="11">
        <v>41</v>
      </c>
      <c r="O3889" s="12">
        <v>4.98</v>
      </c>
      <c r="P3889" s="12">
        <v>7.28</v>
      </c>
      <c r="Q3889" s="13">
        <v>-159.35</v>
      </c>
      <c r="R3889" s="36" t="s">
        <v>1494</v>
      </c>
      <c r="S3889" s="7">
        <f t="shared" si="327"/>
        <v>4</v>
      </c>
      <c r="T3889" s="15" t="str">
        <f>VLOOKUP(R3889,产品分类!$C$2:$D$1278,2,0)</f>
        <v>数码电子</v>
      </c>
    </row>
    <row r="3890" spans="1:20">
      <c r="A3890" s="8">
        <f t="shared" ref="A3890:B3892" si="331">DATE(2012,12,31)-486</f>
        <v>40788</v>
      </c>
      <c r="B3890" s="8">
        <f t="shared" si="331"/>
        <v>40788</v>
      </c>
      <c r="C3890" s="9" t="s">
        <v>861</v>
      </c>
      <c r="D3890">
        <v>10021500302</v>
      </c>
      <c r="E3890" t="s">
        <v>47</v>
      </c>
      <c r="F3890" t="s">
        <v>102</v>
      </c>
      <c r="G3890" t="s">
        <v>103</v>
      </c>
      <c r="H3890" t="s">
        <v>2236</v>
      </c>
      <c r="I3890" t="s">
        <v>2237</v>
      </c>
      <c r="J3890" t="s">
        <v>52</v>
      </c>
      <c r="K3890" s="3">
        <v>100424280293</v>
      </c>
      <c r="L3890" s="10">
        <v>40790</v>
      </c>
      <c r="M3890">
        <v>6350.29</v>
      </c>
      <c r="N3890" s="11">
        <v>10</v>
      </c>
      <c r="O3890" s="12">
        <v>599.99</v>
      </c>
      <c r="P3890" s="12">
        <v>24.49</v>
      </c>
      <c r="Q3890" s="13">
        <v>-735.97</v>
      </c>
      <c r="R3890" s="36" t="s">
        <v>1785</v>
      </c>
      <c r="S3890" s="7">
        <f t="shared" si="327"/>
        <v>2</v>
      </c>
      <c r="T3890" s="15" t="str">
        <f>VLOOKUP(R3890,产品分类!$C$2:$D$1278,2,0)</f>
        <v>数码电子</v>
      </c>
    </row>
    <row r="3891" spans="1:20">
      <c r="A3891" s="8">
        <f t="shared" si="331"/>
        <v>40788</v>
      </c>
      <c r="B3891" s="8">
        <f t="shared" si="331"/>
        <v>40788</v>
      </c>
      <c r="C3891" s="9" t="s">
        <v>861</v>
      </c>
      <c r="D3891">
        <v>10021592288</v>
      </c>
      <c r="E3891" t="s">
        <v>47</v>
      </c>
      <c r="F3891" t="s">
        <v>102</v>
      </c>
      <c r="G3891" t="s">
        <v>103</v>
      </c>
      <c r="H3891" t="s">
        <v>2236</v>
      </c>
      <c r="I3891" t="s">
        <v>2237</v>
      </c>
      <c r="J3891" t="s">
        <v>52</v>
      </c>
      <c r="K3891" s="3">
        <v>100432101733</v>
      </c>
      <c r="L3891" s="10">
        <v>40790</v>
      </c>
      <c r="M3891">
        <v>232.67</v>
      </c>
      <c r="N3891" s="11">
        <v>1</v>
      </c>
      <c r="O3891" s="12">
        <v>223.98</v>
      </c>
      <c r="P3891" s="12">
        <v>15.01</v>
      </c>
      <c r="Q3891" s="13">
        <v>-105.1445</v>
      </c>
      <c r="R3891" s="36" t="s">
        <v>2282</v>
      </c>
      <c r="S3891" s="7">
        <f t="shared" si="327"/>
        <v>2</v>
      </c>
      <c r="T3891" s="15" t="str">
        <f>VLOOKUP(R3891,产品分类!$C$2:$D$1278,2,0)</f>
        <v>数码电子</v>
      </c>
    </row>
    <row r="3892" spans="1:20">
      <c r="A3892" s="8">
        <f t="shared" si="331"/>
        <v>40788</v>
      </c>
      <c r="B3892" s="8">
        <f t="shared" si="331"/>
        <v>40788</v>
      </c>
      <c r="C3892" s="9" t="s">
        <v>861</v>
      </c>
      <c r="D3892">
        <v>10021371152</v>
      </c>
      <c r="E3892" t="s">
        <v>47</v>
      </c>
      <c r="F3892" t="s">
        <v>171</v>
      </c>
      <c r="G3892" t="s">
        <v>172</v>
      </c>
      <c r="H3892" t="s">
        <v>2073</v>
      </c>
      <c r="I3892" t="s">
        <v>2074</v>
      </c>
      <c r="J3892" t="s">
        <v>52</v>
      </c>
      <c r="K3892" s="3">
        <v>100431765873</v>
      </c>
      <c r="L3892" s="10">
        <v>40790</v>
      </c>
      <c r="M3892">
        <v>4805.92</v>
      </c>
      <c r="N3892" s="11">
        <v>34</v>
      </c>
      <c r="O3892" s="12">
        <v>140.98</v>
      </c>
      <c r="P3892" s="12">
        <v>36.09</v>
      </c>
      <c r="Q3892" s="13">
        <v>-393.96</v>
      </c>
      <c r="R3892" s="36" t="s">
        <v>1090</v>
      </c>
      <c r="S3892" s="7">
        <f t="shared" si="327"/>
        <v>2</v>
      </c>
      <c r="T3892" s="15" t="str">
        <f>VLOOKUP(R3892,产品分类!$C$2:$D$1278,2,0)</f>
        <v>办公用品</v>
      </c>
    </row>
    <row r="3893" spans="1:20">
      <c r="A3893" s="8">
        <f t="shared" ref="A3893:B3895" si="332">DATE(2012,12,31)-72</f>
        <v>41202</v>
      </c>
      <c r="B3893" s="8">
        <f t="shared" si="332"/>
        <v>41202</v>
      </c>
      <c r="C3893" s="9" t="s">
        <v>1528</v>
      </c>
      <c r="D3893">
        <v>10021496581</v>
      </c>
      <c r="E3893" t="s">
        <v>47</v>
      </c>
      <c r="F3893" t="s">
        <v>171</v>
      </c>
      <c r="G3893" t="s">
        <v>172</v>
      </c>
      <c r="H3893" t="s">
        <v>2073</v>
      </c>
      <c r="I3893" t="s">
        <v>2074</v>
      </c>
      <c r="J3893" t="s">
        <v>52</v>
      </c>
      <c r="K3893" s="3">
        <v>100111961598</v>
      </c>
      <c r="L3893" s="10">
        <v>41203</v>
      </c>
      <c r="M3893">
        <v>56.41</v>
      </c>
      <c r="N3893" s="11">
        <v>18</v>
      </c>
      <c r="O3893" s="12">
        <v>3.08</v>
      </c>
      <c r="P3893" s="12">
        <v>0.99</v>
      </c>
      <c r="Q3893" s="13">
        <v>11.92</v>
      </c>
      <c r="R3893" s="36" t="s">
        <v>283</v>
      </c>
      <c r="S3893" s="7">
        <f t="shared" si="327"/>
        <v>1</v>
      </c>
      <c r="T3893" s="15" t="str">
        <f>VLOOKUP(R3893,产品分类!$C$2:$D$1278,2,0)</f>
        <v>办公用品</v>
      </c>
    </row>
    <row r="3894" spans="1:20">
      <c r="A3894" s="8">
        <f t="shared" si="332"/>
        <v>41202</v>
      </c>
      <c r="B3894" s="8">
        <f t="shared" si="332"/>
        <v>41202</v>
      </c>
      <c r="C3894" s="9" t="s">
        <v>1528</v>
      </c>
      <c r="D3894">
        <v>10021416117</v>
      </c>
      <c r="E3894" t="s">
        <v>47</v>
      </c>
      <c r="F3894" t="s">
        <v>171</v>
      </c>
      <c r="G3894" t="s">
        <v>172</v>
      </c>
      <c r="H3894" t="s">
        <v>2073</v>
      </c>
      <c r="I3894" t="s">
        <v>2074</v>
      </c>
      <c r="J3894" t="s">
        <v>52</v>
      </c>
      <c r="K3894" s="3">
        <v>100913825191</v>
      </c>
      <c r="L3894" s="10">
        <v>41202</v>
      </c>
      <c r="M3894">
        <v>147.71</v>
      </c>
      <c r="N3894" s="11">
        <v>39</v>
      </c>
      <c r="O3894" s="12">
        <v>3.68</v>
      </c>
      <c r="P3894" s="12">
        <v>1.32</v>
      </c>
      <c r="Q3894" s="13">
        <v>-30.25</v>
      </c>
      <c r="R3894" s="36" t="s">
        <v>1061</v>
      </c>
      <c r="S3894" s="7">
        <f t="shared" si="327"/>
        <v>0</v>
      </c>
      <c r="T3894" s="15" t="str">
        <f>VLOOKUP(R3894,产品分类!$C$2:$D$1278,2,0)</f>
        <v>办公用品</v>
      </c>
    </row>
    <row r="3895" spans="1:20">
      <c r="A3895" s="8">
        <f t="shared" si="332"/>
        <v>41202</v>
      </c>
      <c r="B3895" s="8">
        <f t="shared" si="332"/>
        <v>41202</v>
      </c>
      <c r="C3895" s="9" t="s">
        <v>1528</v>
      </c>
      <c r="D3895">
        <v>10021505674</v>
      </c>
      <c r="E3895" t="s">
        <v>47</v>
      </c>
      <c r="F3895" t="s">
        <v>171</v>
      </c>
      <c r="G3895" t="s">
        <v>172</v>
      </c>
      <c r="H3895" t="s">
        <v>2073</v>
      </c>
      <c r="I3895" t="s">
        <v>2074</v>
      </c>
      <c r="J3895" t="s">
        <v>52</v>
      </c>
      <c r="K3895" s="3">
        <v>100931116801</v>
      </c>
      <c r="L3895" s="10">
        <v>41203</v>
      </c>
      <c r="M3895">
        <v>1678.34</v>
      </c>
      <c r="N3895" s="11">
        <v>39</v>
      </c>
      <c r="O3895" s="12">
        <v>43.98</v>
      </c>
      <c r="P3895" s="12">
        <v>1.99</v>
      </c>
      <c r="Q3895" s="13">
        <v>670.11</v>
      </c>
      <c r="R3895" s="36" t="s">
        <v>1796</v>
      </c>
      <c r="S3895" s="7">
        <f t="shared" si="327"/>
        <v>1</v>
      </c>
      <c r="T3895" s="15" t="str">
        <f>VLOOKUP(R3895,产品分类!$C$2:$D$1278,2,0)</f>
        <v>家具产品</v>
      </c>
    </row>
    <row r="3896" spans="1:20">
      <c r="A3896" s="8">
        <f>DATE(2012,12,31)-473</f>
        <v>40801</v>
      </c>
      <c r="B3896" s="8">
        <f>DATE(2012,12,31)-473</f>
        <v>40801</v>
      </c>
      <c r="C3896" s="9" t="s">
        <v>1105</v>
      </c>
      <c r="D3896">
        <v>10021334154</v>
      </c>
      <c r="E3896" t="s">
        <v>47</v>
      </c>
      <c r="F3896" t="s">
        <v>171</v>
      </c>
      <c r="G3896" t="s">
        <v>172</v>
      </c>
      <c r="H3896" t="s">
        <v>2073</v>
      </c>
      <c r="I3896" t="s">
        <v>2074</v>
      </c>
      <c r="J3896" t="s">
        <v>52</v>
      </c>
      <c r="K3896" s="3">
        <v>10097339711</v>
      </c>
      <c r="L3896" s="10">
        <v>40803</v>
      </c>
      <c r="M3896">
        <v>181.13</v>
      </c>
      <c r="N3896" s="11">
        <v>47</v>
      </c>
      <c r="O3896" s="12">
        <v>3.69</v>
      </c>
      <c r="P3896" s="12">
        <v>2.5</v>
      </c>
      <c r="Q3896" s="13">
        <v>-11.39</v>
      </c>
      <c r="R3896" s="36" t="s">
        <v>1982</v>
      </c>
      <c r="S3896" s="7">
        <f t="shared" si="327"/>
        <v>2</v>
      </c>
      <c r="T3896" s="15" t="str">
        <f>VLOOKUP(R3896,产品分类!$C$2:$D$1278,2,0)</f>
        <v>办公用品</v>
      </c>
    </row>
    <row r="3897" spans="1:20">
      <c r="A3897" s="8">
        <f>DATE(2012,12,31)-1070</f>
        <v>40204</v>
      </c>
      <c r="B3897" s="8">
        <f>DATE(2012,12,31)-1070</f>
        <v>40204</v>
      </c>
      <c r="C3897" s="9" t="s">
        <v>1380</v>
      </c>
      <c r="D3897">
        <v>10021510968</v>
      </c>
      <c r="E3897" t="s">
        <v>47</v>
      </c>
      <c r="F3897" t="s">
        <v>171</v>
      </c>
      <c r="G3897" t="s">
        <v>172</v>
      </c>
      <c r="H3897" t="s">
        <v>2073</v>
      </c>
      <c r="I3897" t="s">
        <v>2074</v>
      </c>
      <c r="J3897" t="s">
        <v>52</v>
      </c>
      <c r="K3897" s="3">
        <v>100932704681</v>
      </c>
      <c r="L3897" s="10">
        <v>40211</v>
      </c>
      <c r="M3897">
        <v>196.12</v>
      </c>
      <c r="N3897" s="11">
        <v>9</v>
      </c>
      <c r="O3897" s="12">
        <v>20.89</v>
      </c>
      <c r="P3897" s="12">
        <v>1.99</v>
      </c>
      <c r="Q3897" s="13">
        <v>4.41</v>
      </c>
      <c r="R3897" s="36" t="s">
        <v>1745</v>
      </c>
      <c r="S3897" s="7">
        <f t="shared" si="327"/>
        <v>7</v>
      </c>
      <c r="T3897" s="15" t="str">
        <f>VLOOKUP(R3897,产品分类!$C$2:$D$1278,2,0)</f>
        <v>数码电子</v>
      </c>
    </row>
    <row r="3898" spans="1:20">
      <c r="A3898" s="8">
        <f>DATE(2012,12,31)-1068</f>
        <v>40206</v>
      </c>
      <c r="B3898" s="8">
        <f>DATE(2012,12,31)-1068</f>
        <v>40206</v>
      </c>
      <c r="C3898" s="9" t="s">
        <v>858</v>
      </c>
      <c r="D3898">
        <v>10021586599</v>
      </c>
      <c r="E3898" t="s">
        <v>47</v>
      </c>
      <c r="F3898" t="s">
        <v>171</v>
      </c>
      <c r="G3898" t="s">
        <v>172</v>
      </c>
      <c r="H3898" t="s">
        <v>2073</v>
      </c>
      <c r="I3898" t="s">
        <v>2074</v>
      </c>
      <c r="J3898" t="s">
        <v>52</v>
      </c>
      <c r="K3898" s="3">
        <v>100929280621</v>
      </c>
      <c r="L3898" s="10">
        <v>40208</v>
      </c>
      <c r="M3898">
        <v>216.51</v>
      </c>
      <c r="N3898" s="11">
        <v>32</v>
      </c>
      <c r="O3898" s="12">
        <v>6.3</v>
      </c>
      <c r="P3898" s="12">
        <v>0.5</v>
      </c>
      <c r="Q3898" s="13">
        <v>109.29</v>
      </c>
      <c r="R3898" s="36" t="s">
        <v>961</v>
      </c>
      <c r="S3898" s="7">
        <f t="shared" si="327"/>
        <v>2</v>
      </c>
      <c r="T3898" s="15" t="str">
        <f>VLOOKUP(R3898,产品分类!$C$2:$D$1278,2,0)</f>
        <v>办公用品</v>
      </c>
    </row>
    <row r="3899" spans="1:20">
      <c r="A3899" s="16">
        <f>DATE(2012,12,31)-668</f>
        <v>40606</v>
      </c>
      <c r="B3899" s="16">
        <f>DATE(2012,12,31)-668</f>
        <v>40606</v>
      </c>
      <c r="C3899" s="9" t="s">
        <v>1010</v>
      </c>
      <c r="D3899">
        <v>10021505570</v>
      </c>
      <c r="E3899" t="s">
        <v>47</v>
      </c>
      <c r="F3899" t="s">
        <v>183</v>
      </c>
      <c r="G3899" t="s">
        <v>184</v>
      </c>
      <c r="H3899" t="s">
        <v>2212</v>
      </c>
      <c r="I3899" t="s">
        <v>2213</v>
      </c>
      <c r="J3899" t="s">
        <v>52</v>
      </c>
      <c r="K3899" s="3">
        <v>100731102355</v>
      </c>
      <c r="L3899" s="10">
        <v>40608</v>
      </c>
      <c r="M3899">
        <v>197.59</v>
      </c>
      <c r="N3899" s="17">
        <v>31</v>
      </c>
      <c r="O3899" s="5">
        <v>6.81</v>
      </c>
      <c r="P3899" s="5">
        <v>5.48</v>
      </c>
      <c r="Q3899" s="6">
        <v>-73.623</v>
      </c>
      <c r="R3899" s="37" t="s">
        <v>1617</v>
      </c>
      <c r="S3899" s="7">
        <f t="shared" si="327"/>
        <v>2</v>
      </c>
      <c r="T3899" s="15" t="str">
        <f>VLOOKUP(R3899,产品分类!$C$2:$D$1278,2,0)</f>
        <v>办公用品</v>
      </c>
    </row>
    <row r="3900" spans="1:20">
      <c r="A3900" s="16">
        <f>DATE(2012,12,31)-668</f>
        <v>40606</v>
      </c>
      <c r="B3900" s="16">
        <f>DATE(2012,12,31)-668</f>
        <v>40606</v>
      </c>
      <c r="C3900" s="9" t="s">
        <v>1010</v>
      </c>
      <c r="D3900">
        <v>10021581874</v>
      </c>
      <c r="E3900" t="s">
        <v>47</v>
      </c>
      <c r="F3900" t="s">
        <v>177</v>
      </c>
      <c r="G3900" t="s">
        <v>178</v>
      </c>
      <c r="H3900" t="s">
        <v>2195</v>
      </c>
      <c r="I3900" t="s">
        <v>2196</v>
      </c>
      <c r="J3900" t="s">
        <v>52</v>
      </c>
      <c r="K3900" s="3">
        <v>100124956996</v>
      </c>
      <c r="L3900" s="10">
        <v>40607</v>
      </c>
      <c r="M3900">
        <v>73.9</v>
      </c>
      <c r="N3900" s="17">
        <v>4</v>
      </c>
      <c r="O3900" s="5">
        <v>15.99</v>
      </c>
      <c r="P3900" s="5">
        <v>13.18</v>
      </c>
      <c r="Q3900" s="6">
        <v>-39.6405</v>
      </c>
      <c r="R3900" s="37" t="s">
        <v>511</v>
      </c>
      <c r="S3900" s="7">
        <f t="shared" si="327"/>
        <v>1</v>
      </c>
      <c r="T3900" s="15" t="str">
        <f>VLOOKUP(R3900,产品分类!$C$2:$D$1278,2,0)</f>
        <v>数码电子</v>
      </c>
    </row>
    <row r="3901" spans="1:20">
      <c r="A3901" s="8">
        <f>DATE(2012,12,31)-1449</f>
        <v>39825</v>
      </c>
      <c r="B3901" s="8">
        <f>DATE(2012,12,31)-1449</f>
        <v>39825</v>
      </c>
      <c r="C3901" s="9" t="s">
        <v>977</v>
      </c>
      <c r="D3901">
        <v>10021386701</v>
      </c>
      <c r="E3901" t="s">
        <v>47</v>
      </c>
      <c r="F3901" t="s">
        <v>177</v>
      </c>
      <c r="G3901" t="s">
        <v>178</v>
      </c>
      <c r="H3901" t="s">
        <v>2195</v>
      </c>
      <c r="I3901" t="s">
        <v>2196</v>
      </c>
      <c r="J3901" t="s">
        <v>52</v>
      </c>
      <c r="K3901" s="3">
        <v>100312930979</v>
      </c>
      <c r="L3901" s="10">
        <v>39827</v>
      </c>
      <c r="M3901">
        <v>401.14</v>
      </c>
      <c r="N3901" s="11">
        <v>10</v>
      </c>
      <c r="O3901" s="12">
        <v>40.98</v>
      </c>
      <c r="P3901" s="12">
        <v>6.5</v>
      </c>
      <c r="Q3901" s="13">
        <v>-131.03</v>
      </c>
      <c r="R3901" s="36" t="s">
        <v>1444</v>
      </c>
      <c r="S3901" s="7">
        <f t="shared" si="327"/>
        <v>2</v>
      </c>
      <c r="T3901" s="15" t="str">
        <f>VLOOKUP(R3901,产品分类!$C$2:$D$1278,2,0)</f>
        <v>数码电子</v>
      </c>
    </row>
    <row r="3902" spans="1:20">
      <c r="A3902" s="8">
        <f>DATE(2012,12,31)-1277</f>
        <v>39997</v>
      </c>
      <c r="B3902" s="8">
        <f>DATE(2012,12,31)-1277</f>
        <v>39997</v>
      </c>
      <c r="C3902" s="9" t="s">
        <v>1564</v>
      </c>
      <c r="D3902">
        <v>10021530809</v>
      </c>
      <c r="E3902" t="s">
        <v>47</v>
      </c>
      <c r="F3902" t="s">
        <v>177</v>
      </c>
      <c r="G3902" t="s">
        <v>178</v>
      </c>
      <c r="H3902" t="s">
        <v>2283</v>
      </c>
      <c r="I3902" t="s">
        <v>2284</v>
      </c>
      <c r="J3902" t="s">
        <v>52</v>
      </c>
      <c r="K3902" s="3">
        <v>100430367524</v>
      </c>
      <c r="L3902" s="10">
        <v>39998</v>
      </c>
      <c r="M3902">
        <v>1209.37</v>
      </c>
      <c r="N3902" s="11">
        <v>8</v>
      </c>
      <c r="O3902" s="12">
        <v>150.98</v>
      </c>
      <c r="P3902" s="12">
        <v>66.27</v>
      </c>
      <c r="Q3902" s="13">
        <v>-407.85</v>
      </c>
      <c r="R3902" s="36" t="s">
        <v>1166</v>
      </c>
      <c r="S3902" s="7">
        <f t="shared" si="327"/>
        <v>1</v>
      </c>
      <c r="T3902" s="15" t="str">
        <f>VLOOKUP(R3902,产品分类!$C$2:$D$1278,2,0)</f>
        <v>办公用品</v>
      </c>
    </row>
    <row r="3903" spans="1:20">
      <c r="A3903" s="8">
        <f>DATE(2012,12,31)-106</f>
        <v>41168</v>
      </c>
      <c r="B3903" s="8">
        <f>DATE(2012,12,31)-106</f>
        <v>41168</v>
      </c>
      <c r="C3903" s="9" t="s">
        <v>323</v>
      </c>
      <c r="D3903">
        <v>10021423465</v>
      </c>
      <c r="E3903" t="s">
        <v>47</v>
      </c>
      <c r="F3903" t="s">
        <v>183</v>
      </c>
      <c r="G3903" t="s">
        <v>184</v>
      </c>
      <c r="H3903" t="s">
        <v>2212</v>
      </c>
      <c r="I3903" t="s">
        <v>2213</v>
      </c>
      <c r="J3903" t="s">
        <v>52</v>
      </c>
      <c r="K3903" s="3">
        <v>10017341627</v>
      </c>
      <c r="L3903" s="10">
        <v>41170</v>
      </c>
      <c r="M3903">
        <v>67.85</v>
      </c>
      <c r="N3903" s="11">
        <v>33</v>
      </c>
      <c r="O3903" s="12">
        <v>2.1</v>
      </c>
      <c r="P3903" s="12">
        <v>0.7</v>
      </c>
      <c r="Q3903" s="13">
        <v>1.05</v>
      </c>
      <c r="R3903" s="36" t="s">
        <v>1959</v>
      </c>
      <c r="S3903" s="7">
        <f t="shared" si="327"/>
        <v>2</v>
      </c>
      <c r="T3903" s="15" t="str">
        <f>VLOOKUP(R3903,产品分类!$C$2:$D$1278,2,0)</f>
        <v>办公用品</v>
      </c>
    </row>
    <row r="3904" spans="1:20">
      <c r="A3904" s="8">
        <f>DATE(2012,12,31)-848</f>
        <v>40426</v>
      </c>
      <c r="B3904" s="8">
        <f>DATE(2012,12,31)-848</f>
        <v>40426</v>
      </c>
      <c r="C3904" s="9" t="s">
        <v>546</v>
      </c>
      <c r="D3904">
        <v>10021293080</v>
      </c>
      <c r="E3904" t="s">
        <v>47</v>
      </c>
      <c r="F3904" t="s">
        <v>61</v>
      </c>
      <c r="G3904" t="s">
        <v>62</v>
      </c>
      <c r="H3904" t="s">
        <v>2216</v>
      </c>
      <c r="I3904" t="s">
        <v>2217</v>
      </c>
      <c r="J3904" t="s">
        <v>52</v>
      </c>
      <c r="K3904" s="3">
        <v>10094370881</v>
      </c>
      <c r="L3904" s="10">
        <v>40428</v>
      </c>
      <c r="M3904">
        <v>139.61</v>
      </c>
      <c r="N3904" s="11">
        <v>26</v>
      </c>
      <c r="O3904" s="12">
        <v>4.89</v>
      </c>
      <c r="P3904" s="12">
        <v>4.93</v>
      </c>
      <c r="Q3904" s="13">
        <v>-92.04</v>
      </c>
      <c r="R3904" s="36" t="s">
        <v>512</v>
      </c>
      <c r="S3904" s="7">
        <f t="shared" si="327"/>
        <v>2</v>
      </c>
      <c r="T3904" s="15" t="str">
        <f>VLOOKUP(R3904,产品分类!$C$2:$D$1278,2,0)</f>
        <v>办公用品</v>
      </c>
    </row>
    <row r="3905" spans="1:20">
      <c r="A3905" s="8">
        <f>DATE(2012,12,31)-551</f>
        <v>40723</v>
      </c>
      <c r="B3905" s="8">
        <f>DATE(2012,12,31)-551</f>
        <v>40723</v>
      </c>
      <c r="C3905" s="9" t="s">
        <v>1450</v>
      </c>
      <c r="D3905">
        <v>10021574138</v>
      </c>
      <c r="E3905" t="s">
        <v>47</v>
      </c>
      <c r="F3905" t="s">
        <v>61</v>
      </c>
      <c r="G3905" t="s">
        <v>62</v>
      </c>
      <c r="H3905" t="s">
        <v>2216</v>
      </c>
      <c r="I3905" t="s">
        <v>2217</v>
      </c>
      <c r="J3905" t="s">
        <v>52</v>
      </c>
      <c r="K3905" s="3">
        <v>1004910154</v>
      </c>
      <c r="L3905" s="10">
        <v>40730</v>
      </c>
      <c r="M3905">
        <v>11.08</v>
      </c>
      <c r="N3905" s="11">
        <v>1</v>
      </c>
      <c r="O3905" s="12">
        <v>5.8</v>
      </c>
      <c r="P3905" s="12">
        <v>5.59</v>
      </c>
      <c r="Q3905" s="13">
        <v>-9.6945</v>
      </c>
      <c r="R3905" s="36" t="s">
        <v>1053</v>
      </c>
      <c r="S3905" s="7">
        <f t="shared" si="327"/>
        <v>7</v>
      </c>
      <c r="T3905" s="15" t="str">
        <f>VLOOKUP(R3905,产品分类!$C$2:$D$1278,2,0)</f>
        <v>家具产品</v>
      </c>
    </row>
    <row r="3906" spans="1:20">
      <c r="A3906" s="8">
        <f>DATE(2012,12,31)-551</f>
        <v>40723</v>
      </c>
      <c r="B3906" s="8">
        <f>DATE(2012,12,31)-551</f>
        <v>40723</v>
      </c>
      <c r="C3906" s="9" t="s">
        <v>1450</v>
      </c>
      <c r="D3906">
        <v>10021499163</v>
      </c>
      <c r="E3906" t="s">
        <v>47</v>
      </c>
      <c r="F3906" t="s">
        <v>253</v>
      </c>
      <c r="G3906" t="s">
        <v>254</v>
      </c>
      <c r="H3906" t="s">
        <v>2193</v>
      </c>
      <c r="I3906" t="s">
        <v>2194</v>
      </c>
      <c r="J3906" t="s">
        <v>52</v>
      </c>
      <c r="K3906" s="3">
        <v>1004848514</v>
      </c>
      <c r="L3906" s="10">
        <v>40725</v>
      </c>
      <c r="M3906">
        <v>135.86</v>
      </c>
      <c r="N3906" s="11">
        <v>27</v>
      </c>
      <c r="O3906" s="12">
        <v>4.98</v>
      </c>
      <c r="P3906" s="12">
        <v>5.49</v>
      </c>
      <c r="Q3906" s="13">
        <v>-73.42</v>
      </c>
      <c r="R3906" s="36" t="s">
        <v>602</v>
      </c>
      <c r="S3906" s="7">
        <f t="shared" si="327"/>
        <v>2</v>
      </c>
      <c r="T3906" s="15" t="str">
        <f>VLOOKUP(R3906,产品分类!$C$2:$D$1278,2,0)</f>
        <v>办公用品</v>
      </c>
    </row>
    <row r="3907" spans="1:20">
      <c r="A3907" s="8">
        <f>DATE(2012,12,31)-537</f>
        <v>40737</v>
      </c>
      <c r="B3907" s="8">
        <f>DATE(2012,12,31)-537</f>
        <v>40737</v>
      </c>
      <c r="C3907" s="9" t="s">
        <v>1558</v>
      </c>
      <c r="D3907">
        <v>10021501714</v>
      </c>
      <c r="E3907" t="s">
        <v>47</v>
      </c>
      <c r="F3907" t="s">
        <v>61</v>
      </c>
      <c r="G3907" t="s">
        <v>62</v>
      </c>
      <c r="H3907" t="s">
        <v>2216</v>
      </c>
      <c r="I3907" t="s">
        <v>2217</v>
      </c>
      <c r="J3907" t="s">
        <v>52</v>
      </c>
      <c r="K3907" s="3">
        <v>100927525541</v>
      </c>
      <c r="L3907" s="10">
        <v>40738</v>
      </c>
      <c r="M3907">
        <v>220.45</v>
      </c>
      <c r="N3907" s="11">
        <v>36</v>
      </c>
      <c r="O3907" s="12">
        <v>6.3</v>
      </c>
      <c r="P3907" s="12">
        <v>0.5</v>
      </c>
      <c r="Q3907" s="13">
        <v>101.4</v>
      </c>
      <c r="R3907" s="36" t="s">
        <v>961</v>
      </c>
      <c r="S3907" s="7">
        <f t="shared" ref="S3907:S3970" si="333">+L3907-B3907</f>
        <v>1</v>
      </c>
      <c r="T3907" s="15" t="str">
        <f>VLOOKUP(R3907,产品分类!$C$2:$D$1278,2,0)</f>
        <v>办公用品</v>
      </c>
    </row>
    <row r="3908" spans="1:20">
      <c r="A3908" s="8">
        <f>DATE(2012,12,31)-445</f>
        <v>40829</v>
      </c>
      <c r="B3908" s="8">
        <f>DATE(2012,12,31)-445</f>
        <v>40829</v>
      </c>
      <c r="C3908" s="9" t="s">
        <v>2285</v>
      </c>
      <c r="D3908">
        <v>10021249200</v>
      </c>
      <c r="E3908" t="s">
        <v>47</v>
      </c>
      <c r="F3908" t="s">
        <v>61</v>
      </c>
      <c r="G3908" t="s">
        <v>62</v>
      </c>
      <c r="H3908" t="s">
        <v>2216</v>
      </c>
      <c r="I3908" t="s">
        <v>2217</v>
      </c>
      <c r="J3908" t="s">
        <v>52</v>
      </c>
      <c r="K3908" s="3">
        <v>10043508374</v>
      </c>
      <c r="L3908" s="10">
        <v>40831</v>
      </c>
      <c r="M3908">
        <v>388.71</v>
      </c>
      <c r="N3908" s="11">
        <v>25</v>
      </c>
      <c r="O3908" s="12">
        <v>14.27</v>
      </c>
      <c r="P3908" s="12">
        <v>7.27</v>
      </c>
      <c r="Q3908" s="13">
        <v>36.431</v>
      </c>
      <c r="R3908" s="36" t="s">
        <v>1287</v>
      </c>
      <c r="S3908" s="7">
        <f t="shared" si="333"/>
        <v>2</v>
      </c>
      <c r="T3908" s="15" t="str">
        <f>VLOOKUP(R3908,产品分类!$C$2:$D$1278,2,0)</f>
        <v>家具产品</v>
      </c>
    </row>
    <row r="3909" spans="1:20">
      <c r="A3909" s="16">
        <f>DATE(2012,12,31)-1011</f>
        <v>40263</v>
      </c>
      <c r="B3909" s="16">
        <f>DATE(2012,12,31)-1011</f>
        <v>40263</v>
      </c>
      <c r="C3909" s="9" t="s">
        <v>419</v>
      </c>
      <c r="D3909">
        <v>10021577948</v>
      </c>
      <c r="E3909" t="s">
        <v>47</v>
      </c>
      <c r="F3909" t="s">
        <v>61</v>
      </c>
      <c r="G3909" t="s">
        <v>62</v>
      </c>
      <c r="H3909" t="s">
        <v>2216</v>
      </c>
      <c r="I3909" t="s">
        <v>2217</v>
      </c>
      <c r="J3909" t="s">
        <v>52</v>
      </c>
      <c r="K3909" s="3">
        <v>100417325174</v>
      </c>
      <c r="L3909" s="10">
        <v>40268</v>
      </c>
      <c r="M3909">
        <v>64.97</v>
      </c>
      <c r="N3909" s="17">
        <v>5</v>
      </c>
      <c r="O3909" s="5">
        <v>3.48</v>
      </c>
      <c r="P3909" s="5">
        <v>49</v>
      </c>
      <c r="Q3909" s="6">
        <v>-190.3</v>
      </c>
      <c r="R3909" s="37" t="s">
        <v>2255</v>
      </c>
      <c r="S3909" s="7">
        <f t="shared" si="333"/>
        <v>5</v>
      </c>
      <c r="T3909" s="15" t="str">
        <f>VLOOKUP(R3909,产品分类!$C$2:$D$1278,2,0)</f>
        <v>办公用品</v>
      </c>
    </row>
    <row r="3910" spans="1:20">
      <c r="A3910" s="8">
        <f>DATE(2012,12,31)-846</f>
        <v>40428</v>
      </c>
      <c r="B3910" s="8">
        <f>DATE(2012,12,31)-846</f>
        <v>40428</v>
      </c>
      <c r="C3910" s="9" t="s">
        <v>2286</v>
      </c>
      <c r="D3910">
        <v>10021331974</v>
      </c>
      <c r="E3910" t="s">
        <v>47</v>
      </c>
      <c r="F3910" t="s">
        <v>61</v>
      </c>
      <c r="G3910" t="s">
        <v>62</v>
      </c>
      <c r="H3910" t="s">
        <v>2216</v>
      </c>
      <c r="I3910" t="s">
        <v>2217</v>
      </c>
      <c r="J3910" t="s">
        <v>52</v>
      </c>
      <c r="K3910" s="3">
        <v>10099547501</v>
      </c>
      <c r="L3910" s="10">
        <v>40435</v>
      </c>
      <c r="M3910">
        <v>777.63</v>
      </c>
      <c r="N3910" s="11">
        <v>44</v>
      </c>
      <c r="O3910" s="12">
        <v>16.99</v>
      </c>
      <c r="P3910" s="12">
        <v>8.99</v>
      </c>
      <c r="Q3910" s="13">
        <v>-70.54</v>
      </c>
      <c r="R3910" s="36" t="s">
        <v>1383</v>
      </c>
      <c r="S3910" s="7">
        <f t="shared" si="333"/>
        <v>7</v>
      </c>
      <c r="T3910" s="15" t="str">
        <f>VLOOKUP(R3910,产品分类!$C$2:$D$1278,2,0)</f>
        <v>家具产品</v>
      </c>
    </row>
    <row r="3911" spans="1:20">
      <c r="A3911" s="16">
        <f>DATE(2012,12,31)-1039</f>
        <v>40235</v>
      </c>
      <c r="B3911" s="16">
        <f>DATE(2012,12,31)-1039</f>
        <v>40235</v>
      </c>
      <c r="C3911" s="9" t="s">
        <v>1906</v>
      </c>
      <c r="D3911">
        <v>10021585088</v>
      </c>
      <c r="E3911" t="s">
        <v>47</v>
      </c>
      <c r="F3911" t="s">
        <v>61</v>
      </c>
      <c r="G3911" t="s">
        <v>62</v>
      </c>
      <c r="H3911" t="s">
        <v>2216</v>
      </c>
      <c r="I3911" t="s">
        <v>2217</v>
      </c>
      <c r="J3911" t="s">
        <v>52</v>
      </c>
      <c r="K3911" s="3">
        <v>100118885136</v>
      </c>
      <c r="L3911" s="10">
        <v>40236</v>
      </c>
      <c r="M3911">
        <v>669.01</v>
      </c>
      <c r="N3911" s="17">
        <v>44</v>
      </c>
      <c r="O3911" s="5">
        <v>15.74</v>
      </c>
      <c r="P3911" s="5">
        <v>1.39</v>
      </c>
      <c r="Q3911" s="6">
        <v>299.35</v>
      </c>
      <c r="R3911" s="37" t="s">
        <v>404</v>
      </c>
      <c r="S3911" s="7">
        <f t="shared" si="333"/>
        <v>1</v>
      </c>
      <c r="T3911" s="15" t="str">
        <f>VLOOKUP(R3911,产品分类!$C$2:$D$1278,2,0)</f>
        <v>办公用品</v>
      </c>
    </row>
    <row r="3912" spans="1:20">
      <c r="A3912" s="8">
        <f>DATE(2012,12,31)-1039</f>
        <v>40235</v>
      </c>
      <c r="B3912" s="8">
        <f>DATE(2012,12,31)-1039</f>
        <v>40235</v>
      </c>
      <c r="C3912" s="9" t="s">
        <v>1906</v>
      </c>
      <c r="D3912">
        <v>10021343556</v>
      </c>
      <c r="E3912" t="s">
        <v>47</v>
      </c>
      <c r="F3912" t="s">
        <v>61</v>
      </c>
      <c r="G3912" t="s">
        <v>62</v>
      </c>
      <c r="H3912" t="s">
        <v>2216</v>
      </c>
      <c r="I3912" t="s">
        <v>2217</v>
      </c>
      <c r="J3912" t="s">
        <v>52</v>
      </c>
      <c r="K3912" s="3">
        <v>100328979429</v>
      </c>
      <c r="L3912" s="10">
        <v>40237</v>
      </c>
      <c r="M3912">
        <v>301.6</v>
      </c>
      <c r="N3912" s="11">
        <v>30</v>
      </c>
      <c r="O3912" s="12">
        <v>9.65</v>
      </c>
      <c r="P3912" s="12">
        <v>6.22</v>
      </c>
      <c r="Q3912" s="13">
        <v>-24.93</v>
      </c>
      <c r="R3912" s="36" t="s">
        <v>524</v>
      </c>
      <c r="S3912" s="7">
        <f t="shared" si="333"/>
        <v>2</v>
      </c>
      <c r="T3912" s="15" t="str">
        <f>VLOOKUP(R3912,产品分类!$C$2:$D$1278,2,0)</f>
        <v>数码电子</v>
      </c>
    </row>
    <row r="3913" spans="1:20">
      <c r="A3913" s="8">
        <f>DATE(2012,12,31)-485</f>
        <v>40789</v>
      </c>
      <c r="B3913" s="8">
        <f>DATE(2012,12,31)-485</f>
        <v>40789</v>
      </c>
      <c r="C3913" s="9" t="s">
        <v>377</v>
      </c>
      <c r="D3913">
        <v>10021415349</v>
      </c>
      <c r="E3913" t="s">
        <v>47</v>
      </c>
      <c r="F3913" t="s">
        <v>61</v>
      </c>
      <c r="G3913" t="s">
        <v>62</v>
      </c>
      <c r="H3913" t="s">
        <v>2216</v>
      </c>
      <c r="I3913" t="s">
        <v>2217</v>
      </c>
      <c r="J3913" t="s">
        <v>52</v>
      </c>
      <c r="K3913" s="3">
        <v>100112860986</v>
      </c>
      <c r="L3913" s="10">
        <v>40790</v>
      </c>
      <c r="M3913">
        <v>460.5895</v>
      </c>
      <c r="N3913" s="11">
        <v>8</v>
      </c>
      <c r="O3913" s="12">
        <v>65.99</v>
      </c>
      <c r="P3913" s="12">
        <v>8.99</v>
      </c>
      <c r="Q3913" s="13">
        <v>-171.204</v>
      </c>
      <c r="R3913" s="36" t="s">
        <v>335</v>
      </c>
      <c r="S3913" s="7">
        <f t="shared" si="333"/>
        <v>1</v>
      </c>
      <c r="T3913" s="15" t="str">
        <f>VLOOKUP(R3913,产品分类!$C$2:$D$1278,2,0)</f>
        <v>办公用品</v>
      </c>
    </row>
    <row r="3914" spans="1:20">
      <c r="A3914" s="8">
        <f>DATE(2012,12,31)-328</f>
        <v>40946</v>
      </c>
      <c r="B3914" s="8">
        <f>DATE(2012,12,31)-328</f>
        <v>40946</v>
      </c>
      <c r="C3914" s="9" t="s">
        <v>303</v>
      </c>
      <c r="D3914">
        <v>10021588145</v>
      </c>
      <c r="E3914" t="s">
        <v>47</v>
      </c>
      <c r="F3914" t="s">
        <v>61</v>
      </c>
      <c r="G3914" t="s">
        <v>62</v>
      </c>
      <c r="H3914" t="s">
        <v>2216</v>
      </c>
      <c r="I3914" t="s">
        <v>2217</v>
      </c>
      <c r="J3914" t="s">
        <v>52</v>
      </c>
      <c r="K3914" s="3">
        <v>100430174023</v>
      </c>
      <c r="L3914" s="10">
        <v>40948</v>
      </c>
      <c r="M3914">
        <v>62.26</v>
      </c>
      <c r="N3914" s="11">
        <v>1</v>
      </c>
      <c r="O3914" s="12">
        <v>54.96</v>
      </c>
      <c r="P3914" s="12">
        <v>10.75</v>
      </c>
      <c r="Q3914" s="13">
        <v>-23.24</v>
      </c>
      <c r="R3914" s="36" t="s">
        <v>1702</v>
      </c>
      <c r="S3914" s="7">
        <f t="shared" si="333"/>
        <v>2</v>
      </c>
      <c r="T3914" s="15" t="str">
        <f>VLOOKUP(R3914,产品分类!$C$2:$D$1278,2,0)</f>
        <v>办公用品</v>
      </c>
    </row>
    <row r="3915" spans="1:20">
      <c r="A3915" s="8">
        <f>DATE(2012,12,31)-328</f>
        <v>40946</v>
      </c>
      <c r="B3915" s="8">
        <f>DATE(2012,12,31)-328</f>
        <v>40946</v>
      </c>
      <c r="C3915" s="9" t="s">
        <v>303</v>
      </c>
      <c r="D3915">
        <v>10021254629</v>
      </c>
      <c r="E3915" t="s">
        <v>47</v>
      </c>
      <c r="F3915" t="s">
        <v>61</v>
      </c>
      <c r="G3915" t="s">
        <v>62</v>
      </c>
      <c r="H3915" t="s">
        <v>2216</v>
      </c>
      <c r="I3915" t="s">
        <v>2217</v>
      </c>
      <c r="J3915" t="s">
        <v>52</v>
      </c>
      <c r="K3915" s="3">
        <v>100122534798</v>
      </c>
      <c r="L3915" s="10">
        <v>40949</v>
      </c>
      <c r="M3915">
        <v>58.53</v>
      </c>
      <c r="N3915" s="11">
        <v>47</v>
      </c>
      <c r="O3915" s="12">
        <v>1.26</v>
      </c>
      <c r="P3915" s="12">
        <v>0.7</v>
      </c>
      <c r="Q3915" s="13">
        <v>-24.86</v>
      </c>
      <c r="R3915" s="36" t="s">
        <v>339</v>
      </c>
      <c r="S3915" s="7">
        <f t="shared" si="333"/>
        <v>3</v>
      </c>
      <c r="T3915" s="15" t="str">
        <f>VLOOKUP(R3915,产品分类!$C$2:$D$1278,2,0)</f>
        <v>数码电子</v>
      </c>
    </row>
    <row r="3916" spans="1:20">
      <c r="A3916" s="8">
        <f>DATE(2012,12,31)-543</f>
        <v>40731</v>
      </c>
      <c r="B3916" s="8">
        <f>DATE(2012,12,31)-543</f>
        <v>40731</v>
      </c>
      <c r="C3916" s="9" t="s">
        <v>1084</v>
      </c>
      <c r="D3916">
        <v>10021428232</v>
      </c>
      <c r="E3916" t="s">
        <v>47</v>
      </c>
      <c r="F3916" t="s">
        <v>61</v>
      </c>
      <c r="G3916" t="s">
        <v>62</v>
      </c>
      <c r="H3916" t="s">
        <v>2216</v>
      </c>
      <c r="I3916" t="s">
        <v>2217</v>
      </c>
      <c r="J3916" t="s">
        <v>52</v>
      </c>
      <c r="K3916" s="3">
        <v>100731042055</v>
      </c>
      <c r="L3916" s="10">
        <v>40733</v>
      </c>
      <c r="M3916">
        <v>1028.16</v>
      </c>
      <c r="N3916" s="11">
        <v>23</v>
      </c>
      <c r="O3916" s="12">
        <v>55.99</v>
      </c>
      <c r="P3916" s="12">
        <v>1.25</v>
      </c>
      <c r="Q3916" s="13">
        <v>405.162</v>
      </c>
      <c r="R3916" s="36" t="s">
        <v>856</v>
      </c>
      <c r="S3916" s="7">
        <f t="shared" si="333"/>
        <v>2</v>
      </c>
      <c r="T3916" s="15" t="str">
        <f>VLOOKUP(R3916,产品分类!$C$2:$D$1278,2,0)</f>
        <v>数码电子</v>
      </c>
    </row>
    <row r="3917" spans="1:20">
      <c r="A3917" s="8">
        <f>DATE(2012,12,31)-543</f>
        <v>40731</v>
      </c>
      <c r="B3917" s="8">
        <f>DATE(2012,12,31)-543</f>
        <v>40731</v>
      </c>
      <c r="C3917" s="9" t="s">
        <v>1084</v>
      </c>
      <c r="D3917">
        <v>10021280741</v>
      </c>
      <c r="E3917" t="s">
        <v>47</v>
      </c>
      <c r="F3917" t="s">
        <v>61</v>
      </c>
      <c r="G3917" t="s">
        <v>62</v>
      </c>
      <c r="H3917" t="s">
        <v>2216</v>
      </c>
      <c r="I3917" t="s">
        <v>2217</v>
      </c>
      <c r="J3917" t="s">
        <v>52</v>
      </c>
      <c r="K3917" s="3">
        <v>100916644901</v>
      </c>
      <c r="L3917" s="10">
        <v>40733</v>
      </c>
      <c r="M3917">
        <v>9172.32</v>
      </c>
      <c r="N3917" s="11">
        <v>3</v>
      </c>
      <c r="O3917" s="12">
        <v>3502.14</v>
      </c>
      <c r="P3917" s="12">
        <v>8.73</v>
      </c>
      <c r="Q3917" s="13">
        <v>-8570.4483</v>
      </c>
      <c r="R3917" s="36" t="s">
        <v>650</v>
      </c>
      <c r="S3917" s="7">
        <f t="shared" si="333"/>
        <v>2</v>
      </c>
      <c r="T3917" s="15" t="str">
        <f>VLOOKUP(R3917,产品分类!$C$2:$D$1278,2,0)</f>
        <v>家具产品</v>
      </c>
    </row>
    <row r="3918" spans="1:20">
      <c r="A3918" s="8">
        <f>DATE(2012,12,31)-1336</f>
        <v>39938</v>
      </c>
      <c r="B3918" s="8">
        <f>DATE(2012,12,31)-1336</f>
        <v>39938</v>
      </c>
      <c r="C3918" s="9" t="s">
        <v>492</v>
      </c>
      <c r="D3918">
        <v>10021592299</v>
      </c>
      <c r="E3918" t="s">
        <v>47</v>
      </c>
      <c r="F3918" t="s">
        <v>61</v>
      </c>
      <c r="G3918" t="s">
        <v>62</v>
      </c>
      <c r="H3918" t="s">
        <v>2216</v>
      </c>
      <c r="I3918" t="s">
        <v>2217</v>
      </c>
      <c r="J3918" t="s">
        <v>52</v>
      </c>
      <c r="K3918" s="3">
        <v>100132102507</v>
      </c>
      <c r="L3918" s="10">
        <v>39938</v>
      </c>
      <c r="M3918">
        <v>1233.51</v>
      </c>
      <c r="N3918" s="11">
        <v>40</v>
      </c>
      <c r="O3918" s="12">
        <v>30.98</v>
      </c>
      <c r="P3918" s="12">
        <v>9.18</v>
      </c>
      <c r="Q3918" s="13">
        <v>308.67</v>
      </c>
      <c r="R3918" s="36" t="s">
        <v>2019</v>
      </c>
      <c r="S3918" s="7">
        <f t="shared" si="333"/>
        <v>0</v>
      </c>
      <c r="T3918" s="15" t="str">
        <f>VLOOKUP(R3918,产品分类!$C$2:$D$1278,2,0)</f>
        <v>办公用品</v>
      </c>
    </row>
    <row r="3919" spans="1:20">
      <c r="A3919" s="8">
        <f>DATE(2012,12,31)-265</f>
        <v>41009</v>
      </c>
      <c r="B3919" s="8">
        <f>DATE(2012,12,31)-265</f>
        <v>41009</v>
      </c>
      <c r="C3919" s="9" t="s">
        <v>974</v>
      </c>
      <c r="D3919">
        <v>10021292639</v>
      </c>
      <c r="E3919" t="s">
        <v>47</v>
      </c>
      <c r="F3919" t="s">
        <v>61</v>
      </c>
      <c r="G3919" t="s">
        <v>62</v>
      </c>
      <c r="H3919" t="s">
        <v>2216</v>
      </c>
      <c r="I3919" t="s">
        <v>2217</v>
      </c>
      <c r="J3919" t="s">
        <v>52</v>
      </c>
      <c r="K3919" s="3">
        <v>1001383637</v>
      </c>
      <c r="L3919" s="10">
        <v>41011</v>
      </c>
      <c r="M3919">
        <v>60.17</v>
      </c>
      <c r="N3919" s="11">
        <v>8</v>
      </c>
      <c r="O3919" s="12">
        <v>6.68</v>
      </c>
      <c r="P3919" s="12">
        <v>5.66</v>
      </c>
      <c r="Q3919" s="13">
        <v>-18.24</v>
      </c>
      <c r="R3919" s="36" t="s">
        <v>662</v>
      </c>
      <c r="S3919" s="7">
        <f t="shared" si="333"/>
        <v>2</v>
      </c>
      <c r="T3919" s="15" t="str">
        <f>VLOOKUP(R3919,产品分类!$C$2:$D$1278,2,0)</f>
        <v>数码电子</v>
      </c>
    </row>
    <row r="3920" spans="1:20">
      <c r="A3920" s="8">
        <f t="shared" ref="A3920:B3922" si="334">DATE(2012,12,31)-937</f>
        <v>40337</v>
      </c>
      <c r="B3920" s="8">
        <f t="shared" si="334"/>
        <v>40337</v>
      </c>
      <c r="C3920" s="9" t="s">
        <v>421</v>
      </c>
      <c r="D3920">
        <v>10021589001</v>
      </c>
      <c r="E3920" t="s">
        <v>47</v>
      </c>
      <c r="F3920" t="s">
        <v>61</v>
      </c>
      <c r="G3920" t="s">
        <v>62</v>
      </c>
      <c r="H3920" t="s">
        <v>2216</v>
      </c>
      <c r="I3920" t="s">
        <v>2217</v>
      </c>
      <c r="J3920" t="s">
        <v>52</v>
      </c>
      <c r="K3920" s="3">
        <v>100930845551</v>
      </c>
      <c r="L3920" s="10">
        <v>40344</v>
      </c>
      <c r="M3920">
        <v>5677.87</v>
      </c>
      <c r="N3920" s="11">
        <v>43</v>
      </c>
      <c r="O3920" s="12">
        <v>130.98</v>
      </c>
      <c r="P3920" s="12">
        <v>54.74</v>
      </c>
      <c r="Q3920" s="13">
        <v>-824.09</v>
      </c>
      <c r="R3920" s="36" t="s">
        <v>142</v>
      </c>
      <c r="S3920" s="7">
        <f t="shared" si="333"/>
        <v>7</v>
      </c>
      <c r="T3920" s="15" t="str">
        <f>VLOOKUP(R3920,产品分类!$C$2:$D$1278,2,0)</f>
        <v>数码电子</v>
      </c>
    </row>
    <row r="3921" spans="1:20">
      <c r="A3921" s="8">
        <f t="shared" si="334"/>
        <v>40337</v>
      </c>
      <c r="B3921" s="8">
        <f t="shared" si="334"/>
        <v>40337</v>
      </c>
      <c r="C3921" s="9" t="s">
        <v>421</v>
      </c>
      <c r="D3921">
        <v>10021585537</v>
      </c>
      <c r="E3921" t="s">
        <v>47</v>
      </c>
      <c r="F3921" t="s">
        <v>253</v>
      </c>
      <c r="G3921" t="s">
        <v>254</v>
      </c>
      <c r="H3921" t="s">
        <v>2287</v>
      </c>
      <c r="I3921" t="s">
        <v>2288</v>
      </c>
      <c r="J3921" t="s">
        <v>52</v>
      </c>
      <c r="K3921" s="3">
        <v>100828237422</v>
      </c>
      <c r="L3921" s="10">
        <v>40341</v>
      </c>
      <c r="M3921">
        <v>732.72</v>
      </c>
      <c r="N3921" s="11">
        <v>9</v>
      </c>
      <c r="O3921" s="12">
        <v>83.1</v>
      </c>
      <c r="P3921" s="12">
        <v>6.13</v>
      </c>
      <c r="Q3921" s="13">
        <v>8.59999999999999</v>
      </c>
      <c r="R3921" s="36" t="s">
        <v>1148</v>
      </c>
      <c r="S3921" s="7">
        <f t="shared" si="333"/>
        <v>4</v>
      </c>
      <c r="T3921" s="15" t="str">
        <f>VLOOKUP(R3921,产品分类!$C$2:$D$1278,2,0)</f>
        <v>家具产品</v>
      </c>
    </row>
    <row r="3922" spans="1:20">
      <c r="A3922" s="8">
        <f t="shared" si="334"/>
        <v>40337</v>
      </c>
      <c r="B3922" s="8">
        <f t="shared" si="334"/>
        <v>40337</v>
      </c>
      <c r="C3922" s="9" t="s">
        <v>421</v>
      </c>
      <c r="D3922">
        <v>10021504625</v>
      </c>
      <c r="E3922" t="s">
        <v>47</v>
      </c>
      <c r="F3922" t="s">
        <v>61</v>
      </c>
      <c r="G3922" t="s">
        <v>62</v>
      </c>
      <c r="H3922" t="s">
        <v>2216</v>
      </c>
      <c r="I3922" t="s">
        <v>2217</v>
      </c>
      <c r="J3922" t="s">
        <v>52</v>
      </c>
      <c r="K3922" s="3">
        <v>100930403371</v>
      </c>
      <c r="L3922" s="10">
        <v>40342</v>
      </c>
      <c r="M3922">
        <v>687.47</v>
      </c>
      <c r="N3922" s="11">
        <v>32</v>
      </c>
      <c r="O3922" s="12">
        <v>20.98</v>
      </c>
      <c r="P3922" s="12">
        <v>53.03</v>
      </c>
      <c r="Q3922" s="13">
        <v>-1533.15</v>
      </c>
      <c r="R3922" s="36" t="s">
        <v>195</v>
      </c>
      <c r="S3922" s="7">
        <f t="shared" si="333"/>
        <v>5</v>
      </c>
      <c r="T3922" s="15" t="str">
        <f>VLOOKUP(R3922,产品分类!$C$2:$D$1278,2,0)</f>
        <v>家具产品</v>
      </c>
    </row>
    <row r="3923" spans="1:20">
      <c r="A3923" s="8">
        <f t="shared" ref="A3923:B3925" si="335">DATE(2012,12,31)-816</f>
        <v>40458</v>
      </c>
      <c r="B3923" s="8">
        <f t="shared" si="335"/>
        <v>40458</v>
      </c>
      <c r="C3923" s="9" t="s">
        <v>264</v>
      </c>
      <c r="D3923">
        <v>10021428951</v>
      </c>
      <c r="E3923" t="s">
        <v>47</v>
      </c>
      <c r="F3923" t="s">
        <v>61</v>
      </c>
      <c r="G3923" t="s">
        <v>62</v>
      </c>
      <c r="H3923" t="s">
        <v>2216</v>
      </c>
      <c r="I3923" t="s">
        <v>2217</v>
      </c>
      <c r="J3923" t="s">
        <v>52</v>
      </c>
      <c r="K3923" s="3">
        <v>100131354086</v>
      </c>
      <c r="L3923" s="10">
        <v>40459</v>
      </c>
      <c r="M3923">
        <v>897.42</v>
      </c>
      <c r="N3923" s="11">
        <v>35</v>
      </c>
      <c r="O3923" s="12">
        <v>26.64</v>
      </c>
      <c r="P3923" s="12">
        <v>5.3</v>
      </c>
      <c r="Q3923" s="13">
        <v>127.17</v>
      </c>
      <c r="R3923" s="36" t="s">
        <v>2289</v>
      </c>
      <c r="S3923" s="7">
        <f t="shared" si="333"/>
        <v>1</v>
      </c>
      <c r="T3923" s="15" t="str">
        <f>VLOOKUP(R3923,产品分类!$C$2:$D$1278,2,0)</f>
        <v>家具产品</v>
      </c>
    </row>
    <row r="3924" spans="1:20">
      <c r="A3924" s="8">
        <f t="shared" si="335"/>
        <v>40458</v>
      </c>
      <c r="B3924" s="8">
        <f t="shared" si="335"/>
        <v>40458</v>
      </c>
      <c r="C3924" s="9" t="s">
        <v>264</v>
      </c>
      <c r="D3924">
        <v>10021378486</v>
      </c>
      <c r="E3924" t="s">
        <v>47</v>
      </c>
      <c r="F3924" t="s">
        <v>253</v>
      </c>
      <c r="G3924" t="s">
        <v>254</v>
      </c>
      <c r="H3924" t="s">
        <v>2287</v>
      </c>
      <c r="I3924" t="s">
        <v>2288</v>
      </c>
      <c r="J3924" t="s">
        <v>52</v>
      </c>
      <c r="K3924" s="3">
        <v>100730678015</v>
      </c>
      <c r="L3924" s="10">
        <v>40459</v>
      </c>
      <c r="M3924">
        <v>306.02</v>
      </c>
      <c r="N3924" s="11">
        <v>27</v>
      </c>
      <c r="O3924" s="12">
        <v>12.07</v>
      </c>
      <c r="P3924" s="12">
        <v>6.2</v>
      </c>
      <c r="Q3924" s="13">
        <v>-6.7</v>
      </c>
      <c r="R3924" s="36" t="s">
        <v>869</v>
      </c>
      <c r="S3924" s="7">
        <f t="shared" si="333"/>
        <v>1</v>
      </c>
      <c r="T3924" s="15" t="str">
        <f>VLOOKUP(R3924,产品分类!$C$2:$D$1278,2,0)</f>
        <v>家具产品</v>
      </c>
    </row>
    <row r="3925" spans="1:20">
      <c r="A3925" s="8">
        <f t="shared" si="335"/>
        <v>40458</v>
      </c>
      <c r="B3925" s="8">
        <f t="shared" si="335"/>
        <v>40458</v>
      </c>
      <c r="C3925" s="9" t="s">
        <v>264</v>
      </c>
      <c r="D3925">
        <v>10021569064</v>
      </c>
      <c r="E3925" t="s">
        <v>47</v>
      </c>
      <c r="F3925" t="s">
        <v>91</v>
      </c>
      <c r="G3925" t="s">
        <v>92</v>
      </c>
      <c r="H3925" t="s">
        <v>2053</v>
      </c>
      <c r="I3925" t="s">
        <v>2054</v>
      </c>
      <c r="J3925" t="s">
        <v>52</v>
      </c>
      <c r="K3925" s="3">
        <v>100131777438</v>
      </c>
      <c r="L3925" s="10">
        <v>40460</v>
      </c>
      <c r="M3925">
        <v>813.41</v>
      </c>
      <c r="N3925" s="11">
        <v>31</v>
      </c>
      <c r="O3925" s="12">
        <v>28.48</v>
      </c>
      <c r="P3925" s="12">
        <v>1.99</v>
      </c>
      <c r="Q3925" s="13">
        <v>284.65</v>
      </c>
      <c r="R3925" s="36" t="s">
        <v>409</v>
      </c>
      <c r="S3925" s="7">
        <f t="shared" si="333"/>
        <v>2</v>
      </c>
      <c r="T3925" s="15" t="str">
        <f>VLOOKUP(R3925,产品分类!$C$2:$D$1278,2,0)</f>
        <v>办公用品</v>
      </c>
    </row>
    <row r="3926" spans="1:20">
      <c r="A3926" s="8">
        <f>DATE(2012,12,31)-1296</f>
        <v>39978</v>
      </c>
      <c r="B3926" s="8">
        <f>DATE(2012,12,31)-1296</f>
        <v>39978</v>
      </c>
      <c r="C3926" s="9" t="s">
        <v>1273</v>
      </c>
      <c r="D3926">
        <v>10021354380</v>
      </c>
      <c r="E3926" t="s">
        <v>47</v>
      </c>
      <c r="F3926" t="s">
        <v>230</v>
      </c>
      <c r="G3926" t="s">
        <v>231</v>
      </c>
      <c r="H3926" t="s">
        <v>2276</v>
      </c>
      <c r="I3926" t="s">
        <v>2277</v>
      </c>
      <c r="J3926" t="s">
        <v>52</v>
      </c>
      <c r="K3926" s="3">
        <v>100411652393</v>
      </c>
      <c r="L3926" s="10">
        <v>39978</v>
      </c>
      <c r="M3926">
        <v>8958.46</v>
      </c>
      <c r="N3926" s="11">
        <v>41</v>
      </c>
      <c r="O3926" s="12">
        <v>209.84</v>
      </c>
      <c r="P3926" s="12">
        <v>21.21</v>
      </c>
      <c r="Q3926" s="13">
        <v>2593.14</v>
      </c>
      <c r="R3926" s="36" t="s">
        <v>1085</v>
      </c>
      <c r="S3926" s="7">
        <f t="shared" si="333"/>
        <v>0</v>
      </c>
      <c r="T3926" s="15" t="str">
        <f>VLOOKUP(R3926,产品分类!$C$2:$D$1278,2,0)</f>
        <v>数码电子</v>
      </c>
    </row>
    <row r="3927" spans="1:20">
      <c r="A3927" s="8">
        <f>DATE(2012,12,31)-1296</f>
        <v>39978</v>
      </c>
      <c r="B3927" s="8">
        <f>DATE(2012,12,31)-1296</f>
        <v>39978</v>
      </c>
      <c r="C3927" s="9" t="s">
        <v>1273</v>
      </c>
      <c r="D3927">
        <v>10021480415</v>
      </c>
      <c r="E3927" t="s">
        <v>47</v>
      </c>
      <c r="F3927" t="s">
        <v>434</v>
      </c>
      <c r="G3927" t="s">
        <v>435</v>
      </c>
      <c r="H3927" t="s">
        <v>436</v>
      </c>
      <c r="I3927" t="s">
        <v>437</v>
      </c>
      <c r="J3927" t="s">
        <v>52</v>
      </c>
      <c r="K3927" s="3">
        <v>100910754121</v>
      </c>
      <c r="L3927" s="10">
        <v>39980</v>
      </c>
      <c r="M3927">
        <v>4201.08</v>
      </c>
      <c r="N3927" s="11">
        <v>21</v>
      </c>
      <c r="O3927" s="12">
        <v>194.3</v>
      </c>
      <c r="P3927" s="12">
        <v>11.54</v>
      </c>
      <c r="Q3927" s="13">
        <v>1162.76</v>
      </c>
      <c r="R3927" s="36" t="s">
        <v>1720</v>
      </c>
      <c r="S3927" s="7">
        <f t="shared" si="333"/>
        <v>2</v>
      </c>
      <c r="T3927" s="15" t="str">
        <f>VLOOKUP(R3927,产品分类!$C$2:$D$1278,2,0)</f>
        <v>数码电子</v>
      </c>
    </row>
    <row r="3928" spans="1:20">
      <c r="A3928" s="8">
        <f>DATE(2012,12,31)-1178</f>
        <v>40096</v>
      </c>
      <c r="B3928" s="8">
        <f>DATE(2012,12,31)-1178</f>
        <v>40096</v>
      </c>
      <c r="C3928" s="9" t="s">
        <v>1406</v>
      </c>
      <c r="D3928">
        <v>10021377489</v>
      </c>
      <c r="E3928" t="s">
        <v>47</v>
      </c>
      <c r="F3928" t="s">
        <v>83</v>
      </c>
      <c r="G3928" t="s">
        <v>84</v>
      </c>
      <c r="H3928" t="s">
        <v>2231</v>
      </c>
      <c r="I3928" t="s">
        <v>2232</v>
      </c>
      <c r="J3928" t="s">
        <v>52</v>
      </c>
      <c r="K3928" s="3">
        <v>100432673694</v>
      </c>
      <c r="L3928" s="10">
        <v>40098</v>
      </c>
      <c r="M3928">
        <v>43.55</v>
      </c>
      <c r="N3928" s="11">
        <v>5</v>
      </c>
      <c r="O3928" s="12">
        <v>9.11</v>
      </c>
      <c r="P3928" s="12">
        <v>2.15</v>
      </c>
      <c r="Q3928" s="13">
        <v>-3.64</v>
      </c>
      <c r="R3928" s="36" t="s">
        <v>1449</v>
      </c>
      <c r="S3928" s="7">
        <f t="shared" si="333"/>
        <v>2</v>
      </c>
      <c r="T3928" s="15" t="str">
        <f>VLOOKUP(R3928,产品分类!$C$2:$D$1278,2,0)</f>
        <v>家具产品</v>
      </c>
    </row>
    <row r="3929" spans="1:20">
      <c r="A3929" s="8">
        <f>DATE(2012,12,31)-653</f>
        <v>40621</v>
      </c>
      <c r="B3929" s="8">
        <f>DATE(2012,12,31)-653</f>
        <v>40621</v>
      </c>
      <c r="C3929" s="9" t="s">
        <v>2233</v>
      </c>
      <c r="D3929">
        <v>10021482230</v>
      </c>
      <c r="E3929" t="s">
        <v>47</v>
      </c>
      <c r="F3929" t="s">
        <v>91</v>
      </c>
      <c r="G3929" t="s">
        <v>92</v>
      </c>
      <c r="H3929" t="s">
        <v>2053</v>
      </c>
      <c r="I3929" t="s">
        <v>2054</v>
      </c>
      <c r="J3929" t="s">
        <v>52</v>
      </c>
      <c r="K3929" s="3">
        <v>10012700678</v>
      </c>
      <c r="L3929" s="10">
        <v>40623</v>
      </c>
      <c r="M3929">
        <v>157.79</v>
      </c>
      <c r="N3929" s="11">
        <v>31</v>
      </c>
      <c r="O3929" s="12">
        <v>4.98</v>
      </c>
      <c r="P3929" s="12">
        <v>6.07</v>
      </c>
      <c r="Q3929" s="13">
        <v>-95.92</v>
      </c>
      <c r="R3929" s="36" t="s">
        <v>1586</v>
      </c>
      <c r="S3929" s="7">
        <f t="shared" si="333"/>
        <v>2</v>
      </c>
      <c r="T3929" s="15" t="str">
        <f>VLOOKUP(R3929,产品分类!$C$2:$D$1278,2,0)</f>
        <v>家具产品</v>
      </c>
    </row>
    <row r="3930" spans="1:20">
      <c r="A3930" s="8">
        <f t="shared" ref="A3930:B3932" si="336">DATE(2012,12,31)-998</f>
        <v>40276</v>
      </c>
      <c r="B3930" s="8">
        <f t="shared" si="336"/>
        <v>40276</v>
      </c>
      <c r="C3930" s="9" t="s">
        <v>1612</v>
      </c>
      <c r="D3930">
        <v>10021325447</v>
      </c>
      <c r="E3930" t="s">
        <v>47</v>
      </c>
      <c r="F3930" t="s">
        <v>91</v>
      </c>
      <c r="G3930" t="s">
        <v>92</v>
      </c>
      <c r="H3930" t="s">
        <v>2053</v>
      </c>
      <c r="I3930" t="s">
        <v>2054</v>
      </c>
      <c r="J3930" t="s">
        <v>52</v>
      </c>
      <c r="K3930" s="3">
        <v>100731703835</v>
      </c>
      <c r="L3930" s="10">
        <v>40277</v>
      </c>
      <c r="M3930">
        <v>128.97</v>
      </c>
      <c r="N3930" s="11">
        <v>23</v>
      </c>
      <c r="O3930" s="12">
        <v>3.48</v>
      </c>
      <c r="P3930" s="12">
        <v>49</v>
      </c>
      <c r="Q3930" s="13">
        <v>-1045.25</v>
      </c>
      <c r="R3930" s="36" t="s">
        <v>2255</v>
      </c>
      <c r="S3930" s="7">
        <f t="shared" si="333"/>
        <v>1</v>
      </c>
      <c r="T3930" s="15" t="str">
        <f>VLOOKUP(R3930,产品分类!$C$2:$D$1278,2,0)</f>
        <v>办公用品</v>
      </c>
    </row>
    <row r="3931" spans="1:20">
      <c r="A3931" s="8">
        <f t="shared" si="336"/>
        <v>40276</v>
      </c>
      <c r="B3931" s="8">
        <f t="shared" si="336"/>
        <v>40276</v>
      </c>
      <c r="C3931" s="9" t="s">
        <v>1612</v>
      </c>
      <c r="D3931">
        <v>10021404683</v>
      </c>
      <c r="E3931" t="s">
        <v>47</v>
      </c>
      <c r="F3931" t="s">
        <v>342</v>
      </c>
      <c r="G3931" t="s">
        <v>343</v>
      </c>
      <c r="H3931" t="s">
        <v>2251</v>
      </c>
      <c r="I3931" t="s">
        <v>2252</v>
      </c>
      <c r="J3931" t="s">
        <v>52</v>
      </c>
      <c r="K3931" s="3">
        <v>100428659794</v>
      </c>
      <c r="L3931" s="10">
        <v>40277</v>
      </c>
      <c r="M3931">
        <v>238.77</v>
      </c>
      <c r="N3931" s="11">
        <v>20</v>
      </c>
      <c r="O3931" s="12">
        <v>11.66</v>
      </c>
      <c r="P3931" s="12">
        <v>7.95</v>
      </c>
      <c r="Q3931" s="13">
        <v>-78.81</v>
      </c>
      <c r="R3931" s="36" t="s">
        <v>1583</v>
      </c>
      <c r="S3931" s="7">
        <f t="shared" si="333"/>
        <v>1</v>
      </c>
      <c r="T3931" s="15" t="str">
        <f>VLOOKUP(R3931,产品分类!$C$2:$D$1278,2,0)</f>
        <v>办公用品</v>
      </c>
    </row>
    <row r="3932" spans="1:20">
      <c r="A3932" s="8">
        <f t="shared" si="336"/>
        <v>40276</v>
      </c>
      <c r="B3932" s="8">
        <f t="shared" si="336"/>
        <v>40276</v>
      </c>
      <c r="C3932" s="9" t="s">
        <v>1612</v>
      </c>
      <c r="D3932">
        <v>10021274037</v>
      </c>
      <c r="E3932" t="s">
        <v>47</v>
      </c>
      <c r="F3932" t="s">
        <v>122</v>
      </c>
      <c r="G3932" t="s">
        <v>123</v>
      </c>
      <c r="H3932" t="s">
        <v>2159</v>
      </c>
      <c r="I3932" t="s">
        <v>2160</v>
      </c>
      <c r="J3932" t="s">
        <v>52</v>
      </c>
      <c r="K3932" s="3">
        <v>10096962431</v>
      </c>
      <c r="L3932" s="10">
        <v>40277</v>
      </c>
      <c r="M3932">
        <v>257.34</v>
      </c>
      <c r="N3932" s="11">
        <v>20</v>
      </c>
      <c r="O3932" s="12">
        <v>12.98</v>
      </c>
      <c r="P3932" s="12">
        <v>3.14</v>
      </c>
      <c r="Q3932" s="13">
        <v>12.82</v>
      </c>
      <c r="R3932" s="36" t="s">
        <v>161</v>
      </c>
      <c r="S3932" s="7">
        <f t="shared" si="333"/>
        <v>1</v>
      </c>
      <c r="T3932" s="15" t="str">
        <f>VLOOKUP(R3932,产品分类!$C$2:$D$1278,2,0)</f>
        <v>办公用品</v>
      </c>
    </row>
    <row r="3933" spans="1:20">
      <c r="A3933" s="8">
        <f t="shared" ref="A3933:B3935" si="337">DATE(2012,12,31)-839</f>
        <v>40435</v>
      </c>
      <c r="B3933" s="8">
        <f t="shared" si="337"/>
        <v>40435</v>
      </c>
      <c r="C3933" s="9" t="s">
        <v>1726</v>
      </c>
      <c r="D3933">
        <v>10021478249</v>
      </c>
      <c r="E3933" t="s">
        <v>47</v>
      </c>
      <c r="F3933" t="s">
        <v>253</v>
      </c>
      <c r="G3933" t="s">
        <v>254</v>
      </c>
      <c r="H3933" t="s">
        <v>2287</v>
      </c>
      <c r="I3933" t="s">
        <v>2288</v>
      </c>
      <c r="J3933" t="s">
        <v>52</v>
      </c>
      <c r="K3933" s="3">
        <v>100917693951</v>
      </c>
      <c r="L3933" s="10">
        <v>40437</v>
      </c>
      <c r="M3933">
        <v>2826.9</v>
      </c>
      <c r="N3933" s="11">
        <v>16</v>
      </c>
      <c r="O3933" s="12">
        <v>180.98</v>
      </c>
      <c r="P3933" s="12">
        <v>26.2</v>
      </c>
      <c r="Q3933" s="13">
        <v>337.29</v>
      </c>
      <c r="R3933" s="36" t="s">
        <v>1580</v>
      </c>
      <c r="S3933" s="7">
        <f t="shared" si="333"/>
        <v>2</v>
      </c>
      <c r="T3933" s="15" t="str">
        <f>VLOOKUP(R3933,产品分类!$C$2:$D$1278,2,0)</f>
        <v>数码电子</v>
      </c>
    </row>
    <row r="3934" spans="1:20">
      <c r="A3934" s="8">
        <f t="shared" si="337"/>
        <v>40435</v>
      </c>
      <c r="B3934" s="8">
        <f t="shared" si="337"/>
        <v>40435</v>
      </c>
      <c r="C3934" s="9" t="s">
        <v>1726</v>
      </c>
      <c r="D3934">
        <v>10021404597</v>
      </c>
      <c r="E3934" t="s">
        <v>47</v>
      </c>
      <c r="F3934" t="s">
        <v>171</v>
      </c>
      <c r="G3934" t="s">
        <v>172</v>
      </c>
      <c r="H3934" t="s">
        <v>2073</v>
      </c>
      <c r="I3934" t="s">
        <v>2074</v>
      </c>
      <c r="J3934" t="s">
        <v>52</v>
      </c>
      <c r="K3934" s="3">
        <v>100130418437</v>
      </c>
      <c r="L3934" s="10">
        <v>40437</v>
      </c>
      <c r="M3934">
        <v>7834.77</v>
      </c>
      <c r="N3934" s="11">
        <v>37</v>
      </c>
      <c r="O3934" s="12">
        <v>216.6</v>
      </c>
      <c r="P3934" s="12">
        <v>64.2</v>
      </c>
      <c r="Q3934" s="13">
        <v>297.79</v>
      </c>
      <c r="R3934" s="36" t="s">
        <v>898</v>
      </c>
      <c r="S3934" s="7">
        <f t="shared" si="333"/>
        <v>2</v>
      </c>
      <c r="T3934" s="15" t="str">
        <f>VLOOKUP(R3934,产品分类!$C$2:$D$1278,2,0)</f>
        <v>数码电子</v>
      </c>
    </row>
    <row r="3935" spans="1:20">
      <c r="A3935" s="8">
        <f t="shared" si="337"/>
        <v>40435</v>
      </c>
      <c r="B3935" s="8">
        <f t="shared" si="337"/>
        <v>40435</v>
      </c>
      <c r="C3935" s="9" t="s">
        <v>1726</v>
      </c>
      <c r="D3935">
        <v>10021571927</v>
      </c>
      <c r="E3935" t="s">
        <v>47</v>
      </c>
      <c r="F3935" t="s">
        <v>527</v>
      </c>
      <c r="G3935" t="s">
        <v>528</v>
      </c>
      <c r="H3935" t="s">
        <v>2272</v>
      </c>
      <c r="I3935" t="s">
        <v>2273</v>
      </c>
      <c r="J3935" t="s">
        <v>52</v>
      </c>
      <c r="K3935" s="3">
        <v>100732613375</v>
      </c>
      <c r="L3935" s="10">
        <v>40438</v>
      </c>
      <c r="M3935">
        <v>127.56</v>
      </c>
      <c r="N3935" s="11">
        <v>18</v>
      </c>
      <c r="O3935" s="12">
        <v>6.6</v>
      </c>
      <c r="P3935" s="12">
        <v>4.07</v>
      </c>
      <c r="Q3935" s="13">
        <v>-57.11</v>
      </c>
      <c r="R3935" s="36" t="s">
        <v>1680</v>
      </c>
      <c r="S3935" s="7">
        <f t="shared" si="333"/>
        <v>3</v>
      </c>
      <c r="T3935" s="15" t="str">
        <f>VLOOKUP(R3935,产品分类!$C$2:$D$1278,2,0)</f>
        <v>家具产品</v>
      </c>
    </row>
    <row r="3936" spans="1:20">
      <c r="A3936" s="8">
        <f>DATE(2012,12,31)-603</f>
        <v>40671</v>
      </c>
      <c r="B3936" s="8">
        <f>DATE(2012,12,31)-603</f>
        <v>40671</v>
      </c>
      <c r="C3936" s="9" t="s">
        <v>513</v>
      </c>
      <c r="D3936">
        <v>10021407685</v>
      </c>
      <c r="E3936" t="s">
        <v>47</v>
      </c>
      <c r="F3936" t="s">
        <v>167</v>
      </c>
      <c r="G3936" t="s">
        <v>168</v>
      </c>
      <c r="H3936" t="s">
        <v>169</v>
      </c>
      <c r="I3936" t="s">
        <v>168</v>
      </c>
      <c r="J3936" t="s">
        <v>52</v>
      </c>
      <c r="K3936" s="3">
        <v>100731111085</v>
      </c>
      <c r="L3936" s="10">
        <v>40673</v>
      </c>
      <c r="M3936">
        <v>376.21</v>
      </c>
      <c r="N3936" s="11">
        <v>19</v>
      </c>
      <c r="O3936" s="12">
        <v>18.99</v>
      </c>
      <c r="P3936" s="12">
        <v>5.23</v>
      </c>
      <c r="Q3936" s="13">
        <v>89.556</v>
      </c>
      <c r="R3936" s="36" t="s">
        <v>2140</v>
      </c>
      <c r="S3936" s="7">
        <f t="shared" si="333"/>
        <v>2</v>
      </c>
      <c r="T3936" s="15" t="str">
        <f>VLOOKUP(R3936,产品分类!$C$2:$D$1278,2,0)</f>
        <v>数码电子</v>
      </c>
    </row>
    <row r="3937" spans="1:20">
      <c r="A3937" s="8">
        <f>DATE(2012,12,31)-1115</f>
        <v>40159</v>
      </c>
      <c r="B3937" s="8">
        <f>DATE(2012,12,31)-1115</f>
        <v>40159</v>
      </c>
      <c r="C3937" s="9" t="s">
        <v>781</v>
      </c>
      <c r="D3937">
        <v>10021435486</v>
      </c>
      <c r="E3937" t="s">
        <v>47</v>
      </c>
      <c r="F3937" t="s">
        <v>61</v>
      </c>
      <c r="G3937" t="s">
        <v>62</v>
      </c>
      <c r="H3937" t="s">
        <v>2216</v>
      </c>
      <c r="I3937" t="s">
        <v>2217</v>
      </c>
      <c r="J3937" t="s">
        <v>52</v>
      </c>
      <c r="K3937" s="3">
        <v>10046139164</v>
      </c>
      <c r="L3937" s="10">
        <v>40160</v>
      </c>
      <c r="M3937">
        <v>203.53</v>
      </c>
      <c r="N3937" s="11">
        <v>31</v>
      </c>
      <c r="O3937" s="12">
        <v>6.68</v>
      </c>
      <c r="P3937" s="12">
        <v>6.93</v>
      </c>
      <c r="Q3937" s="13">
        <v>-101.28</v>
      </c>
      <c r="R3937" s="36" t="s">
        <v>1002</v>
      </c>
      <c r="S3937" s="7">
        <f t="shared" si="333"/>
        <v>1</v>
      </c>
      <c r="T3937" s="15" t="str">
        <f>VLOOKUP(R3937,产品分类!$C$2:$D$1278,2,0)</f>
        <v>办公用品</v>
      </c>
    </row>
    <row r="3938" spans="1:20">
      <c r="A3938" s="16">
        <f>DATE(2012,12,31)-851</f>
        <v>40423</v>
      </c>
      <c r="B3938" s="16">
        <f>DATE(2012,12,31)-851</f>
        <v>40423</v>
      </c>
      <c r="C3938" s="9" t="s">
        <v>273</v>
      </c>
      <c r="D3938">
        <v>10021354969</v>
      </c>
      <c r="E3938" t="s">
        <v>47</v>
      </c>
      <c r="F3938" t="s">
        <v>61</v>
      </c>
      <c r="G3938" t="s">
        <v>62</v>
      </c>
      <c r="H3938" t="s">
        <v>2216</v>
      </c>
      <c r="I3938" t="s">
        <v>2217</v>
      </c>
      <c r="J3938" t="s">
        <v>52</v>
      </c>
      <c r="K3938" s="3">
        <v>100321712999</v>
      </c>
      <c r="L3938" s="10">
        <v>40423</v>
      </c>
      <c r="M3938">
        <v>856.45</v>
      </c>
      <c r="N3938" s="17">
        <v>43</v>
      </c>
      <c r="O3938" s="5">
        <v>19.84</v>
      </c>
      <c r="P3938" s="5">
        <v>4.1</v>
      </c>
      <c r="Q3938" s="6">
        <v>265.1</v>
      </c>
      <c r="R3938" s="37" t="s">
        <v>175</v>
      </c>
      <c r="S3938" s="7">
        <f t="shared" si="333"/>
        <v>0</v>
      </c>
      <c r="T3938" s="15" t="str">
        <f>VLOOKUP(R3938,产品分类!$C$2:$D$1278,2,0)</f>
        <v>办公用品</v>
      </c>
    </row>
    <row r="3939" spans="1:20">
      <c r="A3939" s="16">
        <f>DATE(2012,12,31)-851</f>
        <v>40423</v>
      </c>
      <c r="B3939" s="16">
        <f>DATE(2012,12,31)-851</f>
        <v>40423</v>
      </c>
      <c r="C3939" s="9" t="s">
        <v>273</v>
      </c>
      <c r="D3939">
        <v>10021357169</v>
      </c>
      <c r="E3939" t="s">
        <v>47</v>
      </c>
      <c r="F3939" t="s">
        <v>61</v>
      </c>
      <c r="G3939" t="s">
        <v>62</v>
      </c>
      <c r="H3939" t="s">
        <v>2216</v>
      </c>
      <c r="I3939" t="s">
        <v>2217</v>
      </c>
      <c r="J3939" t="s">
        <v>52</v>
      </c>
      <c r="K3939" s="3">
        <v>100917578021</v>
      </c>
      <c r="L3939" s="10">
        <v>40423</v>
      </c>
      <c r="M3939">
        <v>6.75</v>
      </c>
      <c r="N3939" s="17">
        <v>1</v>
      </c>
      <c r="O3939" s="5">
        <v>5.84</v>
      </c>
      <c r="P3939" s="5">
        <v>1</v>
      </c>
      <c r="Q3939" s="6">
        <v>-2.31</v>
      </c>
      <c r="R3939" s="37" t="s">
        <v>1202</v>
      </c>
      <c r="S3939" s="7">
        <f t="shared" si="333"/>
        <v>0</v>
      </c>
      <c r="T3939" s="15" t="str">
        <f>VLOOKUP(R3939,产品分类!$C$2:$D$1278,2,0)</f>
        <v>办公用品</v>
      </c>
    </row>
    <row r="3940" spans="1:20">
      <c r="A3940" s="8">
        <f>DATE(2012,12,31)-858</f>
        <v>40416</v>
      </c>
      <c r="B3940" s="8">
        <f>DATE(2012,12,31)-858</f>
        <v>40416</v>
      </c>
      <c r="C3940" s="9" t="s">
        <v>77</v>
      </c>
      <c r="D3940">
        <v>10021304920</v>
      </c>
      <c r="E3940" t="s">
        <v>47</v>
      </c>
      <c r="F3940" t="s">
        <v>91</v>
      </c>
      <c r="G3940" t="s">
        <v>92</v>
      </c>
      <c r="H3940" t="s">
        <v>2053</v>
      </c>
      <c r="I3940" t="s">
        <v>2054</v>
      </c>
      <c r="J3940" t="s">
        <v>52</v>
      </c>
      <c r="K3940" s="3">
        <v>10011165737</v>
      </c>
      <c r="L3940" s="10">
        <v>40418</v>
      </c>
      <c r="M3940">
        <v>631.99</v>
      </c>
      <c r="N3940" s="11">
        <v>23</v>
      </c>
      <c r="O3940" s="12">
        <v>27.48</v>
      </c>
      <c r="P3940" s="12">
        <v>4</v>
      </c>
      <c r="Q3940" s="13">
        <v>-43.96</v>
      </c>
      <c r="R3940" s="36" t="s">
        <v>1392</v>
      </c>
      <c r="S3940" s="7">
        <f t="shared" si="333"/>
        <v>2</v>
      </c>
      <c r="T3940" s="15" t="str">
        <f>VLOOKUP(R3940,产品分类!$C$2:$D$1278,2,0)</f>
        <v>办公用品</v>
      </c>
    </row>
    <row r="3941" spans="1:20">
      <c r="A3941" s="8">
        <f>DATE(2012,12,31)-1320</f>
        <v>39954</v>
      </c>
      <c r="B3941" s="8">
        <f>DATE(2012,12,31)-1320</f>
        <v>39954</v>
      </c>
      <c r="C3941" s="9" t="s">
        <v>1620</v>
      </c>
      <c r="D3941">
        <v>10021562278</v>
      </c>
      <c r="E3941" t="s">
        <v>47</v>
      </c>
      <c r="F3941" t="s">
        <v>91</v>
      </c>
      <c r="G3941" t="s">
        <v>92</v>
      </c>
      <c r="H3941" t="s">
        <v>2053</v>
      </c>
      <c r="I3941" t="s">
        <v>2054</v>
      </c>
      <c r="J3941" t="s">
        <v>52</v>
      </c>
      <c r="K3941" s="3">
        <v>100723008205</v>
      </c>
      <c r="L3941" s="10">
        <v>39959</v>
      </c>
      <c r="M3941">
        <v>10.17</v>
      </c>
      <c r="N3941" s="11">
        <v>1</v>
      </c>
      <c r="O3941" s="12">
        <v>5.18</v>
      </c>
      <c r="P3941" s="12">
        <v>2.04</v>
      </c>
      <c r="Q3941" s="13">
        <v>-4.09</v>
      </c>
      <c r="R3941" s="36" t="s">
        <v>1522</v>
      </c>
      <c r="S3941" s="7">
        <f t="shared" si="333"/>
        <v>5</v>
      </c>
      <c r="T3941" s="15" t="str">
        <f>VLOOKUP(R3941,产品分类!$C$2:$D$1278,2,0)</f>
        <v>办公用品</v>
      </c>
    </row>
    <row r="3942" spans="1:20">
      <c r="A3942" s="8">
        <f>DATE(2012,12,31)-1320</f>
        <v>39954</v>
      </c>
      <c r="B3942" s="8">
        <f>DATE(2012,12,31)-1320</f>
        <v>39954</v>
      </c>
      <c r="C3942" s="9" t="s">
        <v>1620</v>
      </c>
      <c r="D3942">
        <v>10021308636</v>
      </c>
      <c r="E3942" t="s">
        <v>47</v>
      </c>
      <c r="F3942" t="s">
        <v>61</v>
      </c>
      <c r="G3942" t="s">
        <v>62</v>
      </c>
      <c r="H3942" t="s">
        <v>2216</v>
      </c>
      <c r="I3942" t="s">
        <v>2217</v>
      </c>
      <c r="J3942" t="s">
        <v>52</v>
      </c>
      <c r="K3942" s="3">
        <v>100931795781</v>
      </c>
      <c r="L3942" s="10">
        <v>39958</v>
      </c>
      <c r="M3942">
        <v>23.58</v>
      </c>
      <c r="N3942" s="11">
        <v>4</v>
      </c>
      <c r="O3942" s="12">
        <v>5.84</v>
      </c>
      <c r="P3942" s="12">
        <v>0.83</v>
      </c>
      <c r="Q3942" s="13">
        <v>-2.87</v>
      </c>
      <c r="R3942" s="36" t="s">
        <v>360</v>
      </c>
      <c r="S3942" s="7">
        <f t="shared" si="333"/>
        <v>4</v>
      </c>
      <c r="T3942" s="15" t="str">
        <f>VLOOKUP(R3942,产品分类!$C$2:$D$1278,2,0)</f>
        <v>家具产品</v>
      </c>
    </row>
    <row r="3943" spans="1:20">
      <c r="A3943" s="8">
        <f>DATE(2012,12,31)-1328</f>
        <v>39946</v>
      </c>
      <c r="B3943" s="8">
        <f>DATE(2012,12,31)-1328</f>
        <v>39946</v>
      </c>
      <c r="C3943" s="9" t="s">
        <v>1633</v>
      </c>
      <c r="D3943">
        <v>10021310470</v>
      </c>
      <c r="E3943" t="s">
        <v>47</v>
      </c>
      <c r="F3943" t="s">
        <v>167</v>
      </c>
      <c r="G3943" t="s">
        <v>168</v>
      </c>
      <c r="H3943" t="s">
        <v>169</v>
      </c>
      <c r="I3943" t="s">
        <v>168</v>
      </c>
      <c r="J3943" t="s">
        <v>52</v>
      </c>
      <c r="K3943" s="3">
        <v>100831813202</v>
      </c>
      <c r="L3943" s="10">
        <v>39949</v>
      </c>
      <c r="M3943">
        <v>2438.7</v>
      </c>
      <c r="N3943" s="11">
        <v>43</v>
      </c>
      <c r="O3943" s="12">
        <v>55.5</v>
      </c>
      <c r="P3943" s="12">
        <v>52.2</v>
      </c>
      <c r="Q3943" s="13">
        <v>-1413.18</v>
      </c>
      <c r="R3943" s="36" t="s">
        <v>1995</v>
      </c>
      <c r="S3943" s="7">
        <f t="shared" si="333"/>
        <v>3</v>
      </c>
      <c r="T3943" s="15" t="str">
        <f>VLOOKUP(R3943,产品分类!$C$2:$D$1278,2,0)</f>
        <v>家具产品</v>
      </c>
    </row>
    <row r="3944" spans="1:20">
      <c r="A3944" s="8">
        <f>DATE(2012,12,31)-340</f>
        <v>40934</v>
      </c>
      <c r="B3944" s="8">
        <f>DATE(2012,12,31)-340</f>
        <v>40934</v>
      </c>
      <c r="C3944" s="9" t="s">
        <v>617</v>
      </c>
      <c r="D3944">
        <v>10021327565</v>
      </c>
      <c r="E3944" t="s">
        <v>47</v>
      </c>
      <c r="F3944" t="s">
        <v>61</v>
      </c>
      <c r="G3944" t="s">
        <v>62</v>
      </c>
      <c r="H3944" t="s">
        <v>2216</v>
      </c>
      <c r="I3944" t="s">
        <v>2217</v>
      </c>
      <c r="J3944" t="s">
        <v>52</v>
      </c>
      <c r="K3944" s="3">
        <v>100112167797</v>
      </c>
      <c r="L3944" s="10">
        <v>40935</v>
      </c>
      <c r="M3944">
        <v>107.41</v>
      </c>
      <c r="N3944" s="11">
        <v>5</v>
      </c>
      <c r="O3944" s="12">
        <v>19.98</v>
      </c>
      <c r="P3944" s="12">
        <v>5.86</v>
      </c>
      <c r="Q3944" s="13">
        <v>0.189999999999998</v>
      </c>
      <c r="R3944" s="36" t="s">
        <v>1632</v>
      </c>
      <c r="S3944" s="7">
        <f t="shared" si="333"/>
        <v>1</v>
      </c>
      <c r="T3944" s="15" t="str">
        <f>VLOOKUP(R3944,产品分类!$C$2:$D$1278,2,0)</f>
        <v>数码电子</v>
      </c>
    </row>
    <row r="3945" spans="1:20">
      <c r="A3945" s="8">
        <f>DATE(2012,12,31)-1250</f>
        <v>40024</v>
      </c>
      <c r="B3945" s="8">
        <f>DATE(2012,12,31)-1250</f>
        <v>40024</v>
      </c>
      <c r="C3945" s="9" t="s">
        <v>1152</v>
      </c>
      <c r="D3945">
        <v>10021255324</v>
      </c>
      <c r="E3945" t="s">
        <v>47</v>
      </c>
      <c r="F3945" t="s">
        <v>66</v>
      </c>
      <c r="G3945" t="s">
        <v>67</v>
      </c>
      <c r="H3945" t="s">
        <v>2244</v>
      </c>
      <c r="I3945" t="s">
        <v>2245</v>
      </c>
      <c r="J3945" t="s">
        <v>52</v>
      </c>
      <c r="K3945" s="3">
        <v>100123772946</v>
      </c>
      <c r="L3945" s="10">
        <v>40028</v>
      </c>
      <c r="M3945">
        <v>404.24</v>
      </c>
      <c r="N3945" s="11">
        <v>23</v>
      </c>
      <c r="O3945" s="12">
        <v>15.99</v>
      </c>
      <c r="P3945" s="12">
        <v>13.18</v>
      </c>
      <c r="Q3945" s="13">
        <v>-76.9925</v>
      </c>
      <c r="R3945" s="36" t="s">
        <v>511</v>
      </c>
      <c r="S3945" s="7">
        <f t="shared" si="333"/>
        <v>4</v>
      </c>
      <c r="T3945" s="15" t="str">
        <f>VLOOKUP(R3945,产品分类!$C$2:$D$1278,2,0)</f>
        <v>数码电子</v>
      </c>
    </row>
    <row r="3946" spans="1:20">
      <c r="A3946" s="8">
        <f>DATE(2012,12,31)-1250</f>
        <v>40024</v>
      </c>
      <c r="B3946" s="8">
        <f>DATE(2012,12,31)-1250</f>
        <v>40024</v>
      </c>
      <c r="C3946" s="9" t="s">
        <v>1152</v>
      </c>
      <c r="D3946">
        <v>10021395329</v>
      </c>
      <c r="E3946" t="s">
        <v>47</v>
      </c>
      <c r="F3946" t="s">
        <v>66</v>
      </c>
      <c r="G3946" t="s">
        <v>67</v>
      </c>
      <c r="H3946" t="s">
        <v>2244</v>
      </c>
      <c r="I3946" t="s">
        <v>2245</v>
      </c>
      <c r="J3946" t="s">
        <v>52</v>
      </c>
      <c r="K3946" s="3">
        <v>10049745104</v>
      </c>
      <c r="L3946" s="10">
        <v>40024</v>
      </c>
      <c r="M3946">
        <v>1381.88</v>
      </c>
      <c r="N3946" s="11">
        <v>32</v>
      </c>
      <c r="O3946" s="12">
        <v>46.94</v>
      </c>
      <c r="P3946" s="12">
        <v>6.77</v>
      </c>
      <c r="Q3946" s="13">
        <v>598.2</v>
      </c>
      <c r="R3946" s="36" t="s">
        <v>1507</v>
      </c>
      <c r="S3946" s="7">
        <f t="shared" si="333"/>
        <v>0</v>
      </c>
      <c r="T3946" s="15" t="str">
        <f>VLOOKUP(R3946,产品分类!$C$2:$D$1278,2,0)</f>
        <v>办公用品</v>
      </c>
    </row>
    <row r="3947" spans="1:20">
      <c r="A3947" s="8">
        <f>DATE(2012,12,31)-1193</f>
        <v>40081</v>
      </c>
      <c r="B3947" s="8">
        <f>DATE(2012,12,31)-1193</f>
        <v>40081</v>
      </c>
      <c r="C3947" s="9" t="s">
        <v>2020</v>
      </c>
      <c r="D3947">
        <v>10021319779</v>
      </c>
      <c r="E3947" t="s">
        <v>47</v>
      </c>
      <c r="F3947" t="s">
        <v>48</v>
      </c>
      <c r="G3947" t="s">
        <v>49</v>
      </c>
      <c r="H3947" t="s">
        <v>2183</v>
      </c>
      <c r="I3947" t="s">
        <v>2184</v>
      </c>
      <c r="J3947" t="s">
        <v>52</v>
      </c>
      <c r="K3947" s="3">
        <v>100117042196</v>
      </c>
      <c r="L3947" s="10">
        <v>40083</v>
      </c>
      <c r="M3947">
        <v>1601.24</v>
      </c>
      <c r="N3947" s="11">
        <v>37</v>
      </c>
      <c r="O3947" s="12">
        <v>46.89</v>
      </c>
      <c r="P3947" s="12">
        <v>5.1</v>
      </c>
      <c r="Q3947" s="13">
        <v>520.69</v>
      </c>
      <c r="R3947" s="36" t="s">
        <v>1530</v>
      </c>
      <c r="S3947" s="7">
        <f t="shared" si="333"/>
        <v>2</v>
      </c>
      <c r="T3947" s="15" t="str">
        <f>VLOOKUP(R3947,产品分类!$C$2:$D$1278,2,0)</f>
        <v>数码电子</v>
      </c>
    </row>
    <row r="3948" spans="1:20">
      <c r="A3948" s="8">
        <f>DATE(2012,12,31)-1193</f>
        <v>40081</v>
      </c>
      <c r="B3948" s="8">
        <f>DATE(2012,12,31)-1193</f>
        <v>40081</v>
      </c>
      <c r="C3948" s="9" t="s">
        <v>2020</v>
      </c>
      <c r="D3948">
        <v>10021500147</v>
      </c>
      <c r="E3948" t="s">
        <v>47</v>
      </c>
      <c r="F3948" t="s">
        <v>66</v>
      </c>
      <c r="G3948" t="s">
        <v>67</v>
      </c>
      <c r="H3948" t="s">
        <v>2244</v>
      </c>
      <c r="I3948" t="s">
        <v>2245</v>
      </c>
      <c r="J3948" t="s">
        <v>52</v>
      </c>
      <c r="K3948" s="3">
        <v>100425827673</v>
      </c>
      <c r="L3948" s="10">
        <v>40081</v>
      </c>
      <c r="M3948">
        <v>501.31</v>
      </c>
      <c r="N3948" s="11">
        <v>40</v>
      </c>
      <c r="O3948" s="12">
        <v>12.98</v>
      </c>
      <c r="P3948" s="12">
        <v>3.14</v>
      </c>
      <c r="Q3948" s="13">
        <v>38.23</v>
      </c>
      <c r="R3948" s="36" t="s">
        <v>161</v>
      </c>
      <c r="S3948" s="7">
        <f t="shared" si="333"/>
        <v>0</v>
      </c>
      <c r="T3948" s="15" t="str">
        <f>VLOOKUP(R3948,产品分类!$C$2:$D$1278,2,0)</f>
        <v>办公用品</v>
      </c>
    </row>
    <row r="3949" spans="1:20">
      <c r="A3949" s="8">
        <f t="shared" ref="A3949:B3951" si="338">DATE(2012,12,31)-1295</f>
        <v>39979</v>
      </c>
      <c r="B3949" s="8">
        <f t="shared" si="338"/>
        <v>39979</v>
      </c>
      <c r="C3949" s="9" t="s">
        <v>1685</v>
      </c>
      <c r="D3949">
        <v>10021495163</v>
      </c>
      <c r="E3949" t="s">
        <v>47</v>
      </c>
      <c r="F3949" t="s">
        <v>48</v>
      </c>
      <c r="G3949" t="s">
        <v>49</v>
      </c>
      <c r="H3949" t="s">
        <v>2183</v>
      </c>
      <c r="I3949" t="s">
        <v>2184</v>
      </c>
      <c r="J3949" t="s">
        <v>52</v>
      </c>
      <c r="K3949" s="3">
        <v>1004799474</v>
      </c>
      <c r="L3949" s="10">
        <v>39980</v>
      </c>
      <c r="M3949">
        <v>784.08</v>
      </c>
      <c r="N3949" s="11">
        <v>10</v>
      </c>
      <c r="O3949" s="12">
        <v>70.98</v>
      </c>
      <c r="P3949" s="12">
        <v>46.74</v>
      </c>
      <c r="Q3949" s="13">
        <v>-222.77</v>
      </c>
      <c r="R3949" s="36" t="s">
        <v>408</v>
      </c>
      <c r="S3949" s="7">
        <f t="shared" si="333"/>
        <v>1</v>
      </c>
      <c r="T3949" s="15" t="str">
        <f>VLOOKUP(R3949,产品分类!$C$2:$D$1278,2,0)</f>
        <v>家具产品</v>
      </c>
    </row>
    <row r="3950" spans="1:20">
      <c r="A3950" s="8">
        <f t="shared" si="338"/>
        <v>39979</v>
      </c>
      <c r="B3950" s="8">
        <f t="shared" si="338"/>
        <v>39979</v>
      </c>
      <c r="C3950" s="9" t="s">
        <v>1685</v>
      </c>
      <c r="D3950">
        <v>10021415999</v>
      </c>
      <c r="E3950" t="s">
        <v>47</v>
      </c>
      <c r="F3950" t="s">
        <v>72</v>
      </c>
      <c r="G3950" t="s">
        <v>73</v>
      </c>
      <c r="H3950" t="s">
        <v>2008</v>
      </c>
      <c r="I3950" t="s">
        <v>2009</v>
      </c>
      <c r="J3950" t="s">
        <v>52</v>
      </c>
      <c r="K3950" s="3">
        <v>100813113722</v>
      </c>
      <c r="L3950" s="10">
        <v>39981</v>
      </c>
      <c r="M3950">
        <v>5028.31</v>
      </c>
      <c r="N3950" s="11">
        <v>15</v>
      </c>
      <c r="O3950" s="12">
        <v>350.98</v>
      </c>
      <c r="P3950" s="12">
        <v>30</v>
      </c>
      <c r="Q3950" s="13">
        <v>664.88</v>
      </c>
      <c r="R3950" s="36" t="s">
        <v>2139</v>
      </c>
      <c r="S3950" s="7">
        <f t="shared" si="333"/>
        <v>2</v>
      </c>
      <c r="T3950" s="15" t="str">
        <f>VLOOKUP(R3950,产品分类!$C$2:$D$1278,2,0)</f>
        <v>数码电子</v>
      </c>
    </row>
    <row r="3951" spans="1:20">
      <c r="A3951" s="8">
        <f t="shared" si="338"/>
        <v>39979</v>
      </c>
      <c r="B3951" s="8">
        <f t="shared" si="338"/>
        <v>39979</v>
      </c>
      <c r="C3951" s="9" t="s">
        <v>1685</v>
      </c>
      <c r="D3951">
        <v>10021251701</v>
      </c>
      <c r="E3951" t="s">
        <v>47</v>
      </c>
      <c r="F3951" t="s">
        <v>78</v>
      </c>
      <c r="G3951" t="s">
        <v>79</v>
      </c>
      <c r="H3951" t="s">
        <v>2105</v>
      </c>
      <c r="I3951" t="s">
        <v>2106</v>
      </c>
      <c r="J3951" t="s">
        <v>52</v>
      </c>
      <c r="K3951" s="3">
        <v>100711145855</v>
      </c>
      <c r="L3951" s="10">
        <v>39981</v>
      </c>
      <c r="M3951">
        <v>1085.61</v>
      </c>
      <c r="N3951" s="11">
        <v>41</v>
      </c>
      <c r="O3951" s="12">
        <v>27.48</v>
      </c>
      <c r="P3951" s="12">
        <v>4</v>
      </c>
      <c r="Q3951" s="13">
        <v>-33.32</v>
      </c>
      <c r="R3951" s="36" t="s">
        <v>1392</v>
      </c>
      <c r="S3951" s="7">
        <f t="shared" si="333"/>
        <v>2</v>
      </c>
      <c r="T3951" s="15" t="str">
        <f>VLOOKUP(R3951,产品分类!$C$2:$D$1278,2,0)</f>
        <v>办公用品</v>
      </c>
    </row>
    <row r="3952" spans="1:20">
      <c r="A3952" s="8">
        <f>DATE(2012,12,31)-175</f>
        <v>41099</v>
      </c>
      <c r="B3952" s="8">
        <f>DATE(2012,12,31)-175</f>
        <v>41099</v>
      </c>
      <c r="C3952" s="9" t="s">
        <v>653</v>
      </c>
      <c r="D3952">
        <v>10021605432</v>
      </c>
      <c r="E3952" t="s">
        <v>47</v>
      </c>
      <c r="F3952" t="s">
        <v>72</v>
      </c>
      <c r="G3952" t="s">
        <v>73</v>
      </c>
      <c r="H3952" t="s">
        <v>2008</v>
      </c>
      <c r="I3952" t="s">
        <v>2009</v>
      </c>
      <c r="J3952" t="s">
        <v>52</v>
      </c>
      <c r="K3952" s="3">
        <v>10087224672</v>
      </c>
      <c r="L3952" s="10">
        <v>41101</v>
      </c>
      <c r="M3952">
        <v>24.96</v>
      </c>
      <c r="N3952" s="11">
        <v>2</v>
      </c>
      <c r="O3952" s="12">
        <v>10.91</v>
      </c>
      <c r="P3952" s="12">
        <v>2.99</v>
      </c>
      <c r="Q3952" s="13">
        <v>-12.7995</v>
      </c>
      <c r="R3952" s="36" t="s">
        <v>588</v>
      </c>
      <c r="S3952" s="7">
        <f t="shared" si="333"/>
        <v>2</v>
      </c>
      <c r="T3952" s="15" t="str">
        <f>VLOOKUP(R3952,产品分类!$C$2:$D$1278,2,0)</f>
        <v>家具产品</v>
      </c>
    </row>
    <row r="3953" spans="1:20">
      <c r="A3953" s="8">
        <f>DATE(2012,12,31)-327</f>
        <v>40947</v>
      </c>
      <c r="B3953" s="8">
        <f>DATE(2012,12,31)-327</f>
        <v>40947</v>
      </c>
      <c r="C3953" s="9" t="s">
        <v>1282</v>
      </c>
      <c r="D3953">
        <v>10021266064</v>
      </c>
      <c r="E3953" t="s">
        <v>47</v>
      </c>
      <c r="F3953" t="s">
        <v>78</v>
      </c>
      <c r="G3953" t="s">
        <v>79</v>
      </c>
      <c r="H3953" t="s">
        <v>2105</v>
      </c>
      <c r="I3953" t="s">
        <v>2106</v>
      </c>
      <c r="J3953" t="s">
        <v>52</v>
      </c>
      <c r="K3953" s="3">
        <v>100931756711</v>
      </c>
      <c r="L3953" s="10">
        <v>40948</v>
      </c>
      <c r="M3953">
        <v>7703.9665</v>
      </c>
      <c r="N3953" s="11">
        <v>50</v>
      </c>
      <c r="O3953" s="12">
        <v>175.99</v>
      </c>
      <c r="P3953" s="12">
        <v>8.99</v>
      </c>
      <c r="Q3953" s="13">
        <v>2446.497</v>
      </c>
      <c r="R3953" s="36" t="s">
        <v>1570</v>
      </c>
      <c r="S3953" s="7">
        <f t="shared" si="333"/>
        <v>1</v>
      </c>
      <c r="T3953" s="15" t="str">
        <f>VLOOKUP(R3953,产品分类!$C$2:$D$1278,2,0)</f>
        <v>办公用品</v>
      </c>
    </row>
    <row r="3954" spans="1:20">
      <c r="A3954" s="8">
        <f>DATE(2012,12,31)-12</f>
        <v>41262</v>
      </c>
      <c r="B3954" s="8">
        <f>DATE(2012,12,31)-12</f>
        <v>41262</v>
      </c>
      <c r="C3954" s="9" t="s">
        <v>575</v>
      </c>
      <c r="D3954">
        <v>10021421171</v>
      </c>
      <c r="E3954" t="s">
        <v>47</v>
      </c>
      <c r="F3954" t="s">
        <v>72</v>
      </c>
      <c r="G3954" t="s">
        <v>73</v>
      </c>
      <c r="H3954" t="s">
        <v>2008</v>
      </c>
      <c r="I3954" t="s">
        <v>2009</v>
      </c>
      <c r="J3954" t="s">
        <v>52</v>
      </c>
      <c r="K3954" s="3">
        <v>100125698956</v>
      </c>
      <c r="L3954" s="10">
        <v>41263</v>
      </c>
      <c r="M3954">
        <v>163.41</v>
      </c>
      <c r="N3954" s="11">
        <v>25</v>
      </c>
      <c r="O3954" s="12">
        <v>6.23</v>
      </c>
      <c r="P3954" s="12">
        <v>6.97</v>
      </c>
      <c r="Q3954" s="13">
        <v>-91.2755</v>
      </c>
      <c r="R3954" s="36" t="s">
        <v>2290</v>
      </c>
      <c r="S3954" s="7">
        <f t="shared" si="333"/>
        <v>1</v>
      </c>
      <c r="T3954" s="15" t="str">
        <f>VLOOKUP(R3954,产品分类!$C$2:$D$1278,2,0)</f>
        <v>家具产品</v>
      </c>
    </row>
    <row r="3955" spans="1:20">
      <c r="A3955" s="16">
        <f>DATE(2012,12,31)-1439</f>
        <v>39835</v>
      </c>
      <c r="B3955" s="16">
        <f>DATE(2012,12,31)-1439</f>
        <v>39835</v>
      </c>
      <c r="C3955" s="9" t="s">
        <v>1088</v>
      </c>
      <c r="D3955">
        <v>10021500770</v>
      </c>
      <c r="E3955" t="s">
        <v>47</v>
      </c>
      <c r="F3955" t="s">
        <v>72</v>
      </c>
      <c r="G3955" t="s">
        <v>73</v>
      </c>
      <c r="H3955" t="s">
        <v>2008</v>
      </c>
      <c r="I3955" t="s">
        <v>2009</v>
      </c>
      <c r="J3955" t="s">
        <v>52</v>
      </c>
      <c r="K3955" s="3">
        <v>100926496301</v>
      </c>
      <c r="L3955" s="10">
        <v>39837</v>
      </c>
      <c r="M3955">
        <v>1160.59</v>
      </c>
      <c r="N3955" s="17">
        <v>13</v>
      </c>
      <c r="O3955" s="5">
        <v>80.98</v>
      </c>
      <c r="P3955" s="5">
        <v>35</v>
      </c>
      <c r="Q3955" s="6">
        <v>-330.14</v>
      </c>
      <c r="R3955" s="37" t="s">
        <v>1908</v>
      </c>
      <c r="S3955" s="7">
        <f t="shared" si="333"/>
        <v>2</v>
      </c>
      <c r="T3955" s="15" t="str">
        <f>VLOOKUP(R3955,产品分类!$C$2:$D$1278,2,0)</f>
        <v>办公用品</v>
      </c>
    </row>
    <row r="3956" spans="1:20">
      <c r="A3956" s="8">
        <f>DATE(2012,12,31)-1439</f>
        <v>39835</v>
      </c>
      <c r="B3956" s="8">
        <f>DATE(2012,12,31)-1439</f>
        <v>39835</v>
      </c>
      <c r="C3956" s="9" t="s">
        <v>1589</v>
      </c>
      <c r="D3956">
        <v>10021434249</v>
      </c>
      <c r="E3956" t="s">
        <v>47</v>
      </c>
      <c r="F3956" t="s">
        <v>72</v>
      </c>
      <c r="G3956" t="s">
        <v>73</v>
      </c>
      <c r="H3956" t="s">
        <v>2008</v>
      </c>
      <c r="I3956" t="s">
        <v>2009</v>
      </c>
      <c r="J3956" t="s">
        <v>52</v>
      </c>
      <c r="K3956" s="3">
        <v>100132655478</v>
      </c>
      <c r="L3956" s="10">
        <v>39835</v>
      </c>
      <c r="M3956">
        <v>206.04</v>
      </c>
      <c r="N3956" s="11">
        <v>9</v>
      </c>
      <c r="O3956" s="12">
        <v>20.28</v>
      </c>
      <c r="P3956" s="12">
        <v>14.39</v>
      </c>
      <c r="Q3956" s="13">
        <v>-49.81</v>
      </c>
      <c r="R3956" s="36" t="s">
        <v>1295</v>
      </c>
      <c r="S3956" s="7">
        <f t="shared" si="333"/>
        <v>0</v>
      </c>
      <c r="T3956" s="15" t="str">
        <f>VLOOKUP(R3956,产品分类!$C$2:$D$1278,2,0)</f>
        <v>数码电子</v>
      </c>
    </row>
    <row r="3957" spans="1:20">
      <c r="A3957" s="8">
        <f>DATE(2012,12,31)-173</f>
        <v>41101</v>
      </c>
      <c r="B3957" s="8">
        <f>DATE(2012,12,31)-173</f>
        <v>41101</v>
      </c>
      <c r="C3957" s="9" t="s">
        <v>1359</v>
      </c>
      <c r="D3957">
        <v>10021257111</v>
      </c>
      <c r="E3957" t="s">
        <v>47</v>
      </c>
      <c r="F3957" t="s">
        <v>72</v>
      </c>
      <c r="G3957" t="s">
        <v>73</v>
      </c>
      <c r="H3957" t="s">
        <v>2008</v>
      </c>
      <c r="I3957" t="s">
        <v>2009</v>
      </c>
      <c r="J3957" t="s">
        <v>52</v>
      </c>
      <c r="K3957" s="3">
        <v>100126001948</v>
      </c>
      <c r="L3957" s="10">
        <v>41102</v>
      </c>
      <c r="M3957">
        <v>346.23</v>
      </c>
      <c r="N3957" s="11">
        <v>5</v>
      </c>
      <c r="O3957" s="12">
        <v>60.98</v>
      </c>
      <c r="P3957" s="12">
        <v>19.99</v>
      </c>
      <c r="Q3957" s="13">
        <v>8.46</v>
      </c>
      <c r="R3957" s="36" t="s">
        <v>1316</v>
      </c>
      <c r="S3957" s="7">
        <f t="shared" si="333"/>
        <v>1</v>
      </c>
      <c r="T3957" s="15" t="str">
        <f>VLOOKUP(R3957,产品分类!$C$2:$D$1278,2,0)</f>
        <v>办公用品</v>
      </c>
    </row>
    <row r="3958" spans="1:20">
      <c r="A3958" s="8">
        <f>DATE(2012,12,31)-1407</f>
        <v>39867</v>
      </c>
      <c r="B3958" s="8">
        <f>DATE(2012,12,31)-1407</f>
        <v>39867</v>
      </c>
      <c r="C3958" s="9" t="s">
        <v>584</v>
      </c>
      <c r="D3958">
        <v>10021505446</v>
      </c>
      <c r="E3958" t="s">
        <v>47</v>
      </c>
      <c r="F3958" t="s">
        <v>78</v>
      </c>
      <c r="G3958" t="s">
        <v>79</v>
      </c>
      <c r="H3958" t="s">
        <v>2105</v>
      </c>
      <c r="I3958" t="s">
        <v>2106</v>
      </c>
      <c r="J3958" t="s">
        <v>52</v>
      </c>
      <c r="K3958" s="3">
        <v>100730809235</v>
      </c>
      <c r="L3958" s="10">
        <v>39867</v>
      </c>
      <c r="M3958">
        <v>467.4</v>
      </c>
      <c r="N3958" s="11">
        <v>19</v>
      </c>
      <c r="O3958" s="12">
        <v>20.98</v>
      </c>
      <c r="P3958" s="12">
        <v>53.03</v>
      </c>
      <c r="Q3958" s="13">
        <v>-851.09</v>
      </c>
      <c r="R3958" s="36" t="s">
        <v>195</v>
      </c>
      <c r="S3958" s="7">
        <f t="shared" si="333"/>
        <v>0</v>
      </c>
      <c r="T3958" s="15" t="str">
        <f>VLOOKUP(R3958,产品分类!$C$2:$D$1278,2,0)</f>
        <v>家具产品</v>
      </c>
    </row>
    <row r="3959" spans="1:20">
      <c r="A3959" s="8">
        <f>DATE(2012,12,31)-1389</f>
        <v>39885</v>
      </c>
      <c r="B3959" s="8">
        <f>DATE(2012,12,31)-1389</f>
        <v>39885</v>
      </c>
      <c r="C3959" s="9" t="s">
        <v>1850</v>
      </c>
      <c r="D3959">
        <v>10021509779</v>
      </c>
      <c r="E3959" t="s">
        <v>47</v>
      </c>
      <c r="F3959" t="s">
        <v>72</v>
      </c>
      <c r="G3959" t="s">
        <v>73</v>
      </c>
      <c r="H3959" t="s">
        <v>2008</v>
      </c>
      <c r="I3959" t="s">
        <v>2009</v>
      </c>
      <c r="J3959" t="s">
        <v>52</v>
      </c>
      <c r="K3959" s="3">
        <v>100132389618</v>
      </c>
      <c r="L3959" s="10">
        <v>39885</v>
      </c>
      <c r="M3959">
        <v>201.178</v>
      </c>
      <c r="N3959" s="11">
        <v>2</v>
      </c>
      <c r="O3959" s="12">
        <v>125.99</v>
      </c>
      <c r="P3959" s="12">
        <v>2.5</v>
      </c>
      <c r="Q3959" s="13">
        <v>-604.406</v>
      </c>
      <c r="R3959" s="36" t="s">
        <v>1411</v>
      </c>
      <c r="S3959" s="7">
        <f t="shared" si="333"/>
        <v>0</v>
      </c>
      <c r="T3959" s="15" t="str">
        <f>VLOOKUP(R3959,产品分类!$C$2:$D$1278,2,0)</f>
        <v>办公用品</v>
      </c>
    </row>
    <row r="3960" spans="1:20">
      <c r="A3960" s="8">
        <f>DATE(2012,12,31)-1389</f>
        <v>39885</v>
      </c>
      <c r="B3960" s="8">
        <f>DATE(2012,12,31)-1389</f>
        <v>39885</v>
      </c>
      <c r="C3960" s="9" t="s">
        <v>1850</v>
      </c>
      <c r="D3960">
        <v>10021253409</v>
      </c>
      <c r="E3960" t="s">
        <v>47</v>
      </c>
      <c r="F3960" t="s">
        <v>72</v>
      </c>
      <c r="G3960" t="s">
        <v>73</v>
      </c>
      <c r="H3960" t="s">
        <v>2008</v>
      </c>
      <c r="I3960" t="s">
        <v>2009</v>
      </c>
      <c r="J3960" t="s">
        <v>52</v>
      </c>
      <c r="K3960" s="3">
        <v>100119084026</v>
      </c>
      <c r="L3960" s="10">
        <v>39886</v>
      </c>
      <c r="M3960">
        <v>2493.24</v>
      </c>
      <c r="N3960" s="11">
        <v>25</v>
      </c>
      <c r="O3960" s="12">
        <v>99.99</v>
      </c>
      <c r="P3960" s="12">
        <v>19.99</v>
      </c>
      <c r="Q3960" s="13">
        <v>293.66</v>
      </c>
      <c r="R3960" s="36" t="s">
        <v>532</v>
      </c>
      <c r="S3960" s="7">
        <f t="shared" si="333"/>
        <v>1</v>
      </c>
      <c r="T3960" s="15" t="str">
        <f>VLOOKUP(R3960,产品分类!$C$2:$D$1278,2,0)</f>
        <v>办公用品</v>
      </c>
    </row>
    <row r="3961" spans="1:20">
      <c r="A3961" s="8">
        <f>DATE(2012,12,31)-1153</f>
        <v>40121</v>
      </c>
      <c r="B3961" s="8">
        <f>DATE(2012,12,31)-1153</f>
        <v>40121</v>
      </c>
      <c r="C3961" s="9" t="s">
        <v>1900</v>
      </c>
      <c r="D3961">
        <v>10021498757</v>
      </c>
      <c r="E3961" t="s">
        <v>47</v>
      </c>
      <c r="F3961" t="s">
        <v>72</v>
      </c>
      <c r="G3961" t="s">
        <v>73</v>
      </c>
      <c r="H3961" t="s">
        <v>2008</v>
      </c>
      <c r="I3961" t="s">
        <v>2009</v>
      </c>
      <c r="J3961" t="s">
        <v>52</v>
      </c>
      <c r="K3961" s="3">
        <v>100723366965</v>
      </c>
      <c r="L3961" s="10">
        <v>40123</v>
      </c>
      <c r="M3961">
        <v>249.24</v>
      </c>
      <c r="N3961" s="11">
        <v>22</v>
      </c>
      <c r="O3961" s="12">
        <v>10.97</v>
      </c>
      <c r="P3961" s="12">
        <v>6.5</v>
      </c>
      <c r="Q3961" s="13">
        <v>-92.1</v>
      </c>
      <c r="R3961" s="36" t="s">
        <v>381</v>
      </c>
      <c r="S3961" s="7">
        <f t="shared" si="333"/>
        <v>2</v>
      </c>
      <c r="T3961" s="15" t="str">
        <f>VLOOKUP(R3961,产品分类!$C$2:$D$1278,2,0)</f>
        <v>数码电子</v>
      </c>
    </row>
    <row r="3962" spans="1:20">
      <c r="A3962" s="8">
        <f>DATE(2012,12,31)-731</f>
        <v>40543</v>
      </c>
      <c r="B3962" s="8">
        <f>DATE(2012,12,31)-731</f>
        <v>40543</v>
      </c>
      <c r="C3962" s="9" t="s">
        <v>1251</v>
      </c>
      <c r="D3962">
        <v>10021387249</v>
      </c>
      <c r="E3962" t="s">
        <v>47</v>
      </c>
      <c r="F3962" t="s">
        <v>72</v>
      </c>
      <c r="G3962" t="s">
        <v>73</v>
      </c>
      <c r="H3962" t="s">
        <v>2008</v>
      </c>
      <c r="I3962" t="s">
        <v>2009</v>
      </c>
      <c r="J3962" t="s">
        <v>52</v>
      </c>
      <c r="K3962" s="3">
        <v>100917651001</v>
      </c>
      <c r="L3962" s="10">
        <v>40544</v>
      </c>
      <c r="M3962">
        <v>299.11</v>
      </c>
      <c r="N3962" s="11">
        <v>26</v>
      </c>
      <c r="O3962" s="12">
        <v>11.34</v>
      </c>
      <c r="P3962" s="12">
        <v>5.01</v>
      </c>
      <c r="Q3962" s="13">
        <v>40.03</v>
      </c>
      <c r="R3962" s="36" t="s">
        <v>1504</v>
      </c>
      <c r="S3962" s="7">
        <f t="shared" si="333"/>
        <v>1</v>
      </c>
      <c r="T3962" s="15" t="str">
        <f>VLOOKUP(R3962,产品分类!$C$2:$D$1278,2,0)</f>
        <v>家具产品</v>
      </c>
    </row>
    <row r="3963" spans="1:20">
      <c r="A3963" s="8">
        <f>DATE(2012,12,31)-1082</f>
        <v>40192</v>
      </c>
      <c r="B3963" s="8">
        <f>DATE(2012,12,31)-1082</f>
        <v>40192</v>
      </c>
      <c r="C3963" s="9" t="s">
        <v>510</v>
      </c>
      <c r="D3963">
        <v>10021497509</v>
      </c>
      <c r="E3963" t="s">
        <v>47</v>
      </c>
      <c r="F3963" t="s">
        <v>230</v>
      </c>
      <c r="G3963" t="s">
        <v>231</v>
      </c>
      <c r="H3963" t="s">
        <v>2276</v>
      </c>
      <c r="I3963" t="s">
        <v>2277</v>
      </c>
      <c r="J3963" t="s">
        <v>52</v>
      </c>
      <c r="K3963" s="3">
        <v>100118331536</v>
      </c>
      <c r="L3963" s="10">
        <v>40193</v>
      </c>
      <c r="M3963">
        <v>166.76</v>
      </c>
      <c r="N3963" s="11">
        <v>31</v>
      </c>
      <c r="O3963" s="12">
        <v>4.98</v>
      </c>
      <c r="P3963" s="12">
        <v>4.75</v>
      </c>
      <c r="Q3963" s="13">
        <v>-46.03</v>
      </c>
      <c r="R3963" s="36" t="s">
        <v>563</v>
      </c>
      <c r="S3963" s="7">
        <f t="shared" si="333"/>
        <v>1</v>
      </c>
      <c r="T3963" s="15" t="str">
        <f>VLOOKUP(R3963,产品分类!$C$2:$D$1278,2,0)</f>
        <v>家具产品</v>
      </c>
    </row>
    <row r="3964" spans="1:20">
      <c r="A3964" s="8">
        <f>DATE(2012,12,31)-1451</f>
        <v>39823</v>
      </c>
      <c r="B3964" s="8">
        <f>DATE(2012,12,31)-1451</f>
        <v>39823</v>
      </c>
      <c r="C3964" s="9" t="s">
        <v>1564</v>
      </c>
      <c r="D3964">
        <v>10021265610</v>
      </c>
      <c r="E3964" t="s">
        <v>47</v>
      </c>
      <c r="F3964" t="s">
        <v>230</v>
      </c>
      <c r="G3964" t="s">
        <v>231</v>
      </c>
      <c r="H3964" t="s">
        <v>2276</v>
      </c>
      <c r="I3964" t="s">
        <v>2277</v>
      </c>
      <c r="J3964" t="s">
        <v>52</v>
      </c>
      <c r="K3964" s="3">
        <v>100931522981</v>
      </c>
      <c r="L3964" s="10">
        <v>39827</v>
      </c>
      <c r="M3964">
        <v>1307.35</v>
      </c>
      <c r="N3964" s="11">
        <v>43</v>
      </c>
      <c r="O3964" s="12">
        <v>30.42</v>
      </c>
      <c r="P3964" s="12">
        <v>8.65</v>
      </c>
      <c r="Q3964" s="13">
        <v>-154.24</v>
      </c>
      <c r="R3964" s="36" t="s">
        <v>1231</v>
      </c>
      <c r="S3964" s="7">
        <f t="shared" si="333"/>
        <v>4</v>
      </c>
      <c r="T3964" s="15" t="str">
        <f>VLOOKUP(R3964,产品分类!$C$2:$D$1278,2,0)</f>
        <v>办公用品</v>
      </c>
    </row>
    <row r="3965" spans="1:20">
      <c r="A3965" s="8">
        <f>DATE(2012,12,31)-1451</f>
        <v>39823</v>
      </c>
      <c r="B3965" s="8">
        <f>DATE(2012,12,31)-1451</f>
        <v>39823</v>
      </c>
      <c r="C3965" s="9" t="s">
        <v>1564</v>
      </c>
      <c r="D3965">
        <v>10021266600</v>
      </c>
      <c r="E3965" t="s">
        <v>47</v>
      </c>
      <c r="F3965" t="s">
        <v>230</v>
      </c>
      <c r="G3965" t="s">
        <v>231</v>
      </c>
      <c r="H3965" t="s">
        <v>2276</v>
      </c>
      <c r="I3965" t="s">
        <v>2277</v>
      </c>
      <c r="J3965" t="s">
        <v>52</v>
      </c>
      <c r="K3965" s="3">
        <v>100131806787</v>
      </c>
      <c r="L3965" s="10">
        <v>39825</v>
      </c>
      <c r="M3965">
        <v>523.58</v>
      </c>
      <c r="N3965" s="11">
        <v>3</v>
      </c>
      <c r="O3965" s="12">
        <v>161.55</v>
      </c>
      <c r="P3965" s="12">
        <v>19.99</v>
      </c>
      <c r="Q3965" s="13">
        <v>-179.36</v>
      </c>
      <c r="R3965" s="36" t="s">
        <v>1896</v>
      </c>
      <c r="S3965" s="7">
        <f t="shared" si="333"/>
        <v>2</v>
      </c>
      <c r="T3965" s="15" t="str">
        <f>VLOOKUP(R3965,产品分类!$C$2:$D$1278,2,0)</f>
        <v>办公用品</v>
      </c>
    </row>
    <row r="3966" spans="1:20">
      <c r="A3966" s="8">
        <f>DATE(2012,12,31)-1398</f>
        <v>39876</v>
      </c>
      <c r="B3966" s="8">
        <f>DATE(2012,12,31)-1398</f>
        <v>39876</v>
      </c>
      <c r="C3966" s="9" t="s">
        <v>1092</v>
      </c>
      <c r="D3966">
        <v>10021447096</v>
      </c>
      <c r="E3966" t="s">
        <v>47</v>
      </c>
      <c r="F3966" t="s">
        <v>114</v>
      </c>
      <c r="G3966" t="s">
        <v>115</v>
      </c>
      <c r="H3966" t="s">
        <v>2269</v>
      </c>
      <c r="I3966" t="s">
        <v>2270</v>
      </c>
      <c r="J3966" t="s">
        <v>52</v>
      </c>
      <c r="K3966" s="3">
        <v>100122289007</v>
      </c>
      <c r="L3966" s="10">
        <v>39877</v>
      </c>
      <c r="M3966">
        <v>3950.6</v>
      </c>
      <c r="N3966" s="11">
        <v>14</v>
      </c>
      <c r="O3966" s="12">
        <v>280.98</v>
      </c>
      <c r="P3966" s="12">
        <v>57</v>
      </c>
      <c r="Q3966" s="13">
        <v>-477.66</v>
      </c>
      <c r="R3966" s="36" t="s">
        <v>1283</v>
      </c>
      <c r="S3966" s="7">
        <f t="shared" si="333"/>
        <v>1</v>
      </c>
      <c r="T3966" s="15" t="str">
        <f>VLOOKUP(R3966,产品分类!$C$2:$D$1278,2,0)</f>
        <v>办公用品</v>
      </c>
    </row>
    <row r="3967" spans="1:20">
      <c r="A3967" s="8">
        <f>DATE(2012,12,31)-223</f>
        <v>41051</v>
      </c>
      <c r="B3967" s="8">
        <f>DATE(2012,12,31)-223</f>
        <v>41051</v>
      </c>
      <c r="C3967" s="9" t="s">
        <v>1254</v>
      </c>
      <c r="D3967">
        <v>10021611851</v>
      </c>
      <c r="E3967" t="s">
        <v>47</v>
      </c>
      <c r="F3967" t="s">
        <v>114</v>
      </c>
      <c r="G3967" t="s">
        <v>115</v>
      </c>
      <c r="H3967" t="s">
        <v>2269</v>
      </c>
      <c r="I3967" t="s">
        <v>2270</v>
      </c>
      <c r="J3967" t="s">
        <v>52</v>
      </c>
      <c r="K3967" s="3">
        <v>100330815779</v>
      </c>
      <c r="L3967" s="10">
        <v>41052</v>
      </c>
      <c r="M3967">
        <v>63.47</v>
      </c>
      <c r="N3967" s="11">
        <v>47</v>
      </c>
      <c r="O3967" s="12">
        <v>1.26</v>
      </c>
      <c r="P3967" s="12">
        <v>0.7</v>
      </c>
      <c r="Q3967" s="13">
        <v>-19.92</v>
      </c>
      <c r="R3967" s="36" t="s">
        <v>339</v>
      </c>
      <c r="S3967" s="7">
        <f t="shared" si="333"/>
        <v>1</v>
      </c>
      <c r="T3967" s="15" t="str">
        <f>VLOOKUP(R3967,产品分类!$C$2:$D$1278,2,0)</f>
        <v>数码电子</v>
      </c>
    </row>
    <row r="3968" spans="1:20">
      <c r="A3968" s="16">
        <f>DATE(2012,12,31)-883</f>
        <v>40391</v>
      </c>
      <c r="B3968" s="16">
        <f>DATE(2012,12,31)-883</f>
        <v>40391</v>
      </c>
      <c r="C3968" s="9" t="s">
        <v>853</v>
      </c>
      <c r="D3968">
        <v>10021303826</v>
      </c>
      <c r="E3968" t="s">
        <v>47</v>
      </c>
      <c r="F3968" t="s">
        <v>83</v>
      </c>
      <c r="G3968" t="s">
        <v>84</v>
      </c>
      <c r="H3968" t="s">
        <v>2231</v>
      </c>
      <c r="I3968" t="s">
        <v>2232</v>
      </c>
      <c r="J3968" t="s">
        <v>52</v>
      </c>
      <c r="K3968" s="3">
        <v>100432211713</v>
      </c>
      <c r="L3968" s="10">
        <v>40391</v>
      </c>
      <c r="M3968">
        <v>90.5</v>
      </c>
      <c r="N3968" s="17">
        <v>28</v>
      </c>
      <c r="O3968" s="5">
        <v>3.08</v>
      </c>
      <c r="P3968" s="5">
        <v>0.99</v>
      </c>
      <c r="Q3968" s="6">
        <v>24.71</v>
      </c>
      <c r="R3968" s="37" t="s">
        <v>2031</v>
      </c>
      <c r="S3968" s="7">
        <f t="shared" si="333"/>
        <v>0</v>
      </c>
      <c r="T3968" s="15" t="str">
        <f>VLOOKUP(R3968,产品分类!$C$2:$D$1278,2,0)</f>
        <v>数码电子</v>
      </c>
    </row>
    <row r="3969" spans="1:20">
      <c r="A3969" s="8">
        <f>DATE(2012,12,31)-512</f>
        <v>40762</v>
      </c>
      <c r="B3969" s="8">
        <f>DATE(2012,12,31)-512</f>
        <v>40762</v>
      </c>
      <c r="C3969" s="9" t="s">
        <v>369</v>
      </c>
      <c r="D3969">
        <v>10021286832</v>
      </c>
      <c r="E3969" t="s">
        <v>47</v>
      </c>
      <c r="F3969" t="s">
        <v>55</v>
      </c>
      <c r="G3969" t="s">
        <v>56</v>
      </c>
      <c r="H3969" t="s">
        <v>2197</v>
      </c>
      <c r="I3969" t="s">
        <v>2198</v>
      </c>
      <c r="J3969" t="s">
        <v>52</v>
      </c>
      <c r="K3969" s="3">
        <v>100731144115</v>
      </c>
      <c r="L3969" s="10">
        <v>40764</v>
      </c>
      <c r="M3969">
        <v>385.99</v>
      </c>
      <c r="N3969" s="11">
        <v>48</v>
      </c>
      <c r="O3969" s="12">
        <v>8.67</v>
      </c>
      <c r="P3969" s="12">
        <v>3.5</v>
      </c>
      <c r="Q3969" s="13">
        <v>-40.72</v>
      </c>
      <c r="R3969" s="36" t="s">
        <v>884</v>
      </c>
      <c r="S3969" s="7">
        <f t="shared" si="333"/>
        <v>2</v>
      </c>
      <c r="T3969" s="15" t="str">
        <f>VLOOKUP(R3969,产品分类!$C$2:$D$1278,2,0)</f>
        <v>办公用品</v>
      </c>
    </row>
    <row r="3970" spans="1:20">
      <c r="A3970" s="8">
        <f>DATE(2012,12,31)-1375</f>
        <v>39899</v>
      </c>
      <c r="B3970" s="8">
        <f>DATE(2012,12,31)-1375</f>
        <v>39899</v>
      </c>
      <c r="C3970" s="9" t="s">
        <v>1749</v>
      </c>
      <c r="D3970">
        <v>10021396140</v>
      </c>
      <c r="E3970" t="s">
        <v>47</v>
      </c>
      <c r="F3970" t="s">
        <v>91</v>
      </c>
      <c r="G3970" t="s">
        <v>92</v>
      </c>
      <c r="H3970" t="s">
        <v>2053</v>
      </c>
      <c r="I3970" t="s">
        <v>2054</v>
      </c>
      <c r="J3970" t="s">
        <v>52</v>
      </c>
      <c r="K3970" s="3">
        <v>100717946355</v>
      </c>
      <c r="L3970" s="10">
        <v>39904</v>
      </c>
      <c r="M3970">
        <v>507.66</v>
      </c>
      <c r="N3970" s="11">
        <v>34</v>
      </c>
      <c r="O3970" s="12">
        <v>15.98</v>
      </c>
      <c r="P3970" s="12">
        <v>4</v>
      </c>
      <c r="Q3970" s="13">
        <v>106.71</v>
      </c>
      <c r="R3970" s="36" t="s">
        <v>371</v>
      </c>
      <c r="S3970" s="7">
        <f t="shared" si="333"/>
        <v>5</v>
      </c>
      <c r="T3970" s="15" t="str">
        <f>VLOOKUP(R3970,产品分类!$C$2:$D$1278,2,0)</f>
        <v>办公用品</v>
      </c>
    </row>
    <row r="3971" spans="1:20">
      <c r="A3971" s="8">
        <f>DATE(2012,12,31)-955</f>
        <v>40319</v>
      </c>
      <c r="B3971" s="8">
        <f>DATE(2012,12,31)-955</f>
        <v>40319</v>
      </c>
      <c r="C3971" s="9" t="s">
        <v>1775</v>
      </c>
      <c r="D3971">
        <v>10021254891</v>
      </c>
      <c r="E3971" t="s">
        <v>47</v>
      </c>
      <c r="F3971" t="s">
        <v>122</v>
      </c>
      <c r="G3971" t="s">
        <v>123</v>
      </c>
      <c r="H3971" t="s">
        <v>2159</v>
      </c>
      <c r="I3971" t="s">
        <v>2160</v>
      </c>
      <c r="J3971" t="s">
        <v>52</v>
      </c>
      <c r="K3971" s="3">
        <v>100423137103</v>
      </c>
      <c r="L3971" s="10">
        <v>40320</v>
      </c>
      <c r="M3971">
        <v>390.46</v>
      </c>
      <c r="N3971" s="11">
        <v>50</v>
      </c>
      <c r="O3971" s="12">
        <v>7.3</v>
      </c>
      <c r="P3971" s="12">
        <v>7.72</v>
      </c>
      <c r="Q3971" s="13">
        <v>-171.166</v>
      </c>
      <c r="R3971" s="36" t="s">
        <v>295</v>
      </c>
      <c r="S3971" s="7">
        <f t="shared" ref="S3971:S4034" si="339">+L3971-B3971</f>
        <v>1</v>
      </c>
      <c r="T3971" s="15" t="str">
        <f>VLOOKUP(R3971,产品分类!$C$2:$D$1278,2,0)</f>
        <v>办公用品</v>
      </c>
    </row>
    <row r="3972" spans="1:20">
      <c r="A3972" s="8">
        <f>DATE(2012,12,31)-955</f>
        <v>40319</v>
      </c>
      <c r="B3972" s="8">
        <f>DATE(2012,12,31)-955</f>
        <v>40319</v>
      </c>
      <c r="C3972" s="9" t="s">
        <v>1775</v>
      </c>
      <c r="D3972">
        <v>10021248786</v>
      </c>
      <c r="E3972" t="s">
        <v>47</v>
      </c>
      <c r="F3972" t="s">
        <v>91</v>
      </c>
      <c r="G3972" t="s">
        <v>92</v>
      </c>
      <c r="H3972" t="s">
        <v>2053</v>
      </c>
      <c r="I3972" t="s">
        <v>2054</v>
      </c>
      <c r="J3972" t="s">
        <v>52</v>
      </c>
      <c r="K3972" s="3">
        <v>10094192491</v>
      </c>
      <c r="L3972" s="10">
        <v>40320</v>
      </c>
      <c r="M3972">
        <v>113.43</v>
      </c>
      <c r="N3972" s="11">
        <v>43</v>
      </c>
      <c r="O3972" s="12">
        <v>2.47</v>
      </c>
      <c r="P3972" s="12">
        <v>1.02</v>
      </c>
      <c r="Q3972" s="13">
        <v>24.27</v>
      </c>
      <c r="R3972" s="36" t="s">
        <v>2234</v>
      </c>
      <c r="S3972" s="7">
        <f t="shared" si="339"/>
        <v>1</v>
      </c>
      <c r="T3972" s="15" t="str">
        <f>VLOOKUP(R3972,产品分类!$C$2:$D$1278,2,0)</f>
        <v>数码电子</v>
      </c>
    </row>
    <row r="3973" spans="1:20">
      <c r="A3973" s="8">
        <f>DATE(2012,12,31)-185</f>
        <v>41089</v>
      </c>
      <c r="B3973" s="8">
        <f>DATE(2012,12,31)-185</f>
        <v>41089</v>
      </c>
      <c r="C3973" s="9" t="s">
        <v>396</v>
      </c>
      <c r="D3973">
        <v>10021340319</v>
      </c>
      <c r="E3973" t="s">
        <v>47</v>
      </c>
      <c r="F3973" t="s">
        <v>122</v>
      </c>
      <c r="G3973" t="s">
        <v>123</v>
      </c>
      <c r="H3973" t="s">
        <v>2159</v>
      </c>
      <c r="I3973" t="s">
        <v>2160</v>
      </c>
      <c r="J3973" t="s">
        <v>52</v>
      </c>
      <c r="K3973" s="3">
        <v>100726075875</v>
      </c>
      <c r="L3973" s="10">
        <v>41090</v>
      </c>
      <c r="M3973">
        <v>3212.97</v>
      </c>
      <c r="N3973" s="11">
        <v>37</v>
      </c>
      <c r="O3973" s="12">
        <v>83.93</v>
      </c>
      <c r="P3973" s="12">
        <v>19.99</v>
      </c>
      <c r="Q3973" s="13">
        <v>1125.42</v>
      </c>
      <c r="R3973" s="36" t="s">
        <v>1858</v>
      </c>
      <c r="S3973" s="7">
        <f t="shared" si="339"/>
        <v>1</v>
      </c>
      <c r="T3973" s="15" t="str">
        <f>VLOOKUP(R3973,产品分类!$C$2:$D$1278,2,0)</f>
        <v>数码电子</v>
      </c>
    </row>
    <row r="3974" spans="1:20">
      <c r="A3974" s="8">
        <f>DATE(2012,12,31)-185</f>
        <v>41089</v>
      </c>
      <c r="B3974" s="8">
        <f>DATE(2012,12,31)-185</f>
        <v>41089</v>
      </c>
      <c r="C3974" s="9" t="s">
        <v>396</v>
      </c>
      <c r="D3974">
        <v>10021364156</v>
      </c>
      <c r="E3974" t="s">
        <v>47</v>
      </c>
      <c r="F3974" t="s">
        <v>91</v>
      </c>
      <c r="G3974" t="s">
        <v>92</v>
      </c>
      <c r="H3974" t="s">
        <v>2053</v>
      </c>
      <c r="I3974" t="s">
        <v>2054</v>
      </c>
      <c r="J3974" t="s">
        <v>52</v>
      </c>
      <c r="K3974" s="3">
        <v>100110562006</v>
      </c>
      <c r="L3974" s="10">
        <v>41090</v>
      </c>
      <c r="M3974">
        <v>292.95</v>
      </c>
      <c r="N3974" s="11">
        <v>13</v>
      </c>
      <c r="O3974" s="12">
        <v>22.84</v>
      </c>
      <c r="P3974" s="12">
        <v>5.47</v>
      </c>
      <c r="Q3974" s="13">
        <v>60.36</v>
      </c>
      <c r="R3974" s="36" t="s">
        <v>682</v>
      </c>
      <c r="S3974" s="7">
        <f t="shared" si="339"/>
        <v>1</v>
      </c>
      <c r="T3974" s="15" t="str">
        <f>VLOOKUP(R3974,产品分类!$C$2:$D$1278,2,0)</f>
        <v>家具产品</v>
      </c>
    </row>
    <row r="3975" spans="1:20">
      <c r="A3975" s="8">
        <f t="shared" ref="A3975:B3977" si="340">DATE(2012,12,31)-1154</f>
        <v>40120</v>
      </c>
      <c r="B3975" s="8">
        <f t="shared" si="340"/>
        <v>40120</v>
      </c>
      <c r="C3975" s="9" t="s">
        <v>1696</v>
      </c>
      <c r="D3975">
        <v>10021575793</v>
      </c>
      <c r="E3975" t="s">
        <v>47</v>
      </c>
      <c r="F3975" t="s">
        <v>122</v>
      </c>
      <c r="G3975" t="s">
        <v>123</v>
      </c>
      <c r="H3975" t="s">
        <v>2159</v>
      </c>
      <c r="I3975" t="s">
        <v>2160</v>
      </c>
      <c r="J3975" t="s">
        <v>52</v>
      </c>
      <c r="K3975" s="3">
        <v>100411716383</v>
      </c>
      <c r="L3975" s="10">
        <v>40121</v>
      </c>
      <c r="M3975">
        <v>668.39</v>
      </c>
      <c r="N3975" s="11">
        <v>22</v>
      </c>
      <c r="O3975" s="12">
        <v>30.93</v>
      </c>
      <c r="P3975" s="12">
        <v>3.92</v>
      </c>
      <c r="Q3975" s="13">
        <v>344.61</v>
      </c>
      <c r="R3975" s="36" t="s">
        <v>106</v>
      </c>
      <c r="S3975" s="7">
        <f t="shared" si="339"/>
        <v>1</v>
      </c>
      <c r="T3975" s="15" t="str">
        <f>VLOOKUP(R3975,产品分类!$C$2:$D$1278,2,0)</f>
        <v>数码电子</v>
      </c>
    </row>
    <row r="3976" spans="1:20">
      <c r="A3976" s="8">
        <f t="shared" si="340"/>
        <v>40120</v>
      </c>
      <c r="B3976" s="8">
        <f t="shared" si="340"/>
        <v>40120</v>
      </c>
      <c r="C3976" s="9" t="s">
        <v>1696</v>
      </c>
      <c r="D3976">
        <v>10021610075</v>
      </c>
      <c r="E3976" t="s">
        <v>47</v>
      </c>
      <c r="F3976" t="s">
        <v>91</v>
      </c>
      <c r="G3976" t="s">
        <v>92</v>
      </c>
      <c r="H3976" t="s">
        <v>2053</v>
      </c>
      <c r="I3976" t="s">
        <v>2054</v>
      </c>
      <c r="J3976" t="s">
        <v>52</v>
      </c>
      <c r="K3976" s="3">
        <v>10088554972</v>
      </c>
      <c r="L3976" s="10">
        <v>40121</v>
      </c>
      <c r="M3976">
        <v>4657.35</v>
      </c>
      <c r="N3976" s="11">
        <v>16</v>
      </c>
      <c r="O3976" s="12">
        <v>297.48</v>
      </c>
      <c r="P3976" s="12">
        <v>18.06</v>
      </c>
      <c r="Q3976" s="13">
        <v>322.66</v>
      </c>
      <c r="R3976" s="36" t="s">
        <v>2064</v>
      </c>
      <c r="S3976" s="7">
        <f t="shared" si="339"/>
        <v>1</v>
      </c>
      <c r="T3976" s="15" t="str">
        <f>VLOOKUP(R3976,产品分类!$C$2:$D$1278,2,0)</f>
        <v>家具产品</v>
      </c>
    </row>
    <row r="3977" spans="1:20">
      <c r="A3977" s="8">
        <f t="shared" si="340"/>
        <v>40120</v>
      </c>
      <c r="B3977" s="8">
        <f t="shared" si="340"/>
        <v>40120</v>
      </c>
      <c r="C3977" s="9" t="s">
        <v>1696</v>
      </c>
      <c r="D3977">
        <v>10021331020</v>
      </c>
      <c r="E3977" t="s">
        <v>47</v>
      </c>
      <c r="F3977" t="s">
        <v>91</v>
      </c>
      <c r="G3977" t="s">
        <v>92</v>
      </c>
      <c r="H3977" t="s">
        <v>2053</v>
      </c>
      <c r="I3977" t="s">
        <v>2054</v>
      </c>
      <c r="J3977" t="s">
        <v>52</v>
      </c>
      <c r="K3977" s="3">
        <v>1008367842</v>
      </c>
      <c r="L3977" s="10">
        <v>40122</v>
      </c>
      <c r="M3977">
        <v>2097.94</v>
      </c>
      <c r="N3977" s="11">
        <v>7</v>
      </c>
      <c r="O3977" s="12">
        <v>296.18</v>
      </c>
      <c r="P3977" s="12">
        <v>54.12</v>
      </c>
      <c r="Q3977" s="13">
        <v>-404.046</v>
      </c>
      <c r="R3977" s="36" t="s">
        <v>372</v>
      </c>
      <c r="S3977" s="7">
        <f t="shared" si="339"/>
        <v>2</v>
      </c>
      <c r="T3977" s="15" t="str">
        <f>VLOOKUP(R3977,产品分类!$C$2:$D$1278,2,0)</f>
        <v>办公用品</v>
      </c>
    </row>
    <row r="3978" spans="1:20">
      <c r="A3978" s="8">
        <f>DATE(2012,12,31)-328</f>
        <v>40946</v>
      </c>
      <c r="B3978" s="8">
        <f>DATE(2012,12,31)-328</f>
        <v>40946</v>
      </c>
      <c r="C3978" s="9" t="s">
        <v>2291</v>
      </c>
      <c r="D3978">
        <v>10021351406</v>
      </c>
      <c r="E3978" t="s">
        <v>47</v>
      </c>
      <c r="F3978" t="s">
        <v>132</v>
      </c>
      <c r="G3978" t="s">
        <v>133</v>
      </c>
      <c r="H3978" t="s">
        <v>134</v>
      </c>
      <c r="I3978" t="s">
        <v>133</v>
      </c>
      <c r="J3978" t="s">
        <v>52</v>
      </c>
      <c r="K3978" s="3">
        <v>100732485125</v>
      </c>
      <c r="L3978" s="10">
        <v>40948</v>
      </c>
      <c r="M3978">
        <v>809.77</v>
      </c>
      <c r="N3978" s="11">
        <v>44</v>
      </c>
      <c r="O3978" s="12">
        <v>20.28</v>
      </c>
      <c r="P3978" s="12">
        <v>6.68</v>
      </c>
      <c r="Q3978" s="13">
        <v>83.48</v>
      </c>
      <c r="R3978" s="36" t="s">
        <v>1197</v>
      </c>
      <c r="S3978" s="7">
        <f t="shared" si="339"/>
        <v>2</v>
      </c>
      <c r="T3978" s="15" t="str">
        <f>VLOOKUP(R3978,产品分类!$C$2:$D$1278,2,0)</f>
        <v>数码电子</v>
      </c>
    </row>
    <row r="3979" spans="1:20">
      <c r="A3979" s="8">
        <f>DATE(2012,12,31)-1157</f>
        <v>40117</v>
      </c>
      <c r="B3979" s="8">
        <f>DATE(2012,12,31)-1157</f>
        <v>40117</v>
      </c>
      <c r="C3979" s="9" t="s">
        <v>2292</v>
      </c>
      <c r="D3979">
        <v>10021341805</v>
      </c>
      <c r="E3979" t="s">
        <v>47</v>
      </c>
      <c r="F3979" t="s">
        <v>132</v>
      </c>
      <c r="G3979" t="s">
        <v>133</v>
      </c>
      <c r="H3979" t="s">
        <v>134</v>
      </c>
      <c r="I3979" t="s">
        <v>133</v>
      </c>
      <c r="J3979" t="s">
        <v>52</v>
      </c>
      <c r="K3979" s="3">
        <v>100427549373</v>
      </c>
      <c r="L3979" s="10">
        <v>40121</v>
      </c>
      <c r="M3979">
        <v>133.85</v>
      </c>
      <c r="N3979" s="11">
        <v>9</v>
      </c>
      <c r="O3979" s="12">
        <v>13.48</v>
      </c>
      <c r="P3979" s="12">
        <v>4.51</v>
      </c>
      <c r="Q3979" s="13">
        <v>-5.28</v>
      </c>
      <c r="R3979" s="36" t="s">
        <v>550</v>
      </c>
      <c r="S3979" s="7">
        <f t="shared" si="339"/>
        <v>4</v>
      </c>
      <c r="T3979" s="15" t="str">
        <f>VLOOKUP(R3979,产品分类!$C$2:$D$1278,2,0)</f>
        <v>办公用品</v>
      </c>
    </row>
    <row r="3980" spans="1:20">
      <c r="A3980" s="16">
        <f>DATE(2012,12,31)-1194</f>
        <v>40080</v>
      </c>
      <c r="B3980" s="16">
        <f>DATE(2012,12,31)-1194</f>
        <v>40080</v>
      </c>
      <c r="C3980" s="9" t="s">
        <v>1678</v>
      </c>
      <c r="D3980">
        <v>10021332777</v>
      </c>
      <c r="E3980" t="s">
        <v>47</v>
      </c>
      <c r="F3980" t="s">
        <v>97</v>
      </c>
      <c r="G3980" t="s">
        <v>98</v>
      </c>
      <c r="H3980" t="s">
        <v>99</v>
      </c>
      <c r="I3980" t="s">
        <v>98</v>
      </c>
      <c r="J3980" t="s">
        <v>52</v>
      </c>
      <c r="K3980" s="3">
        <v>100812863802</v>
      </c>
      <c r="L3980" s="10">
        <v>40080</v>
      </c>
      <c r="M3980">
        <v>45.64</v>
      </c>
      <c r="N3980" s="17">
        <v>2</v>
      </c>
      <c r="O3980" s="5">
        <v>15.57</v>
      </c>
      <c r="P3980" s="5">
        <v>1.39</v>
      </c>
      <c r="Q3980" s="6">
        <v>-0.109999999999999</v>
      </c>
      <c r="R3980" s="37" t="s">
        <v>843</v>
      </c>
      <c r="S3980" s="7">
        <f t="shared" si="339"/>
        <v>0</v>
      </c>
      <c r="T3980" s="15" t="str">
        <f>VLOOKUP(R3980,产品分类!$C$2:$D$1278,2,0)</f>
        <v>办公用品</v>
      </c>
    </row>
    <row r="3981" spans="1:20">
      <c r="A3981" s="8">
        <f t="shared" ref="A3981:B3983" si="341">DATE(2012,12,31)-1456</f>
        <v>39818</v>
      </c>
      <c r="B3981" s="8">
        <f t="shared" si="341"/>
        <v>39818</v>
      </c>
      <c r="C3981" s="9" t="s">
        <v>1558</v>
      </c>
      <c r="D3981">
        <v>10021296335</v>
      </c>
      <c r="E3981" t="s">
        <v>47</v>
      </c>
      <c r="F3981" t="s">
        <v>102</v>
      </c>
      <c r="G3981" t="s">
        <v>103</v>
      </c>
      <c r="H3981" t="s">
        <v>2236</v>
      </c>
      <c r="I3981" t="s">
        <v>2237</v>
      </c>
      <c r="J3981" t="s">
        <v>52</v>
      </c>
      <c r="K3981" s="3">
        <v>100321410949</v>
      </c>
      <c r="L3981" s="10">
        <v>39820</v>
      </c>
      <c r="M3981">
        <v>4201.08</v>
      </c>
      <c r="N3981" s="11">
        <v>21</v>
      </c>
      <c r="O3981" s="12">
        <v>194.3</v>
      </c>
      <c r="P3981" s="12">
        <v>11.54</v>
      </c>
      <c r="Q3981" s="13">
        <v>1162.76</v>
      </c>
      <c r="R3981" s="36" t="s">
        <v>1720</v>
      </c>
      <c r="S3981" s="7">
        <f t="shared" si="339"/>
        <v>2</v>
      </c>
      <c r="T3981" s="15" t="str">
        <f>VLOOKUP(R3981,产品分类!$C$2:$D$1278,2,0)</f>
        <v>数码电子</v>
      </c>
    </row>
    <row r="3982" spans="1:20">
      <c r="A3982" s="8">
        <f t="shared" si="341"/>
        <v>39818</v>
      </c>
      <c r="B3982" s="8">
        <f t="shared" si="341"/>
        <v>39818</v>
      </c>
      <c r="C3982" s="9" t="s">
        <v>1558</v>
      </c>
      <c r="D3982">
        <v>10021444450</v>
      </c>
      <c r="E3982" t="s">
        <v>47</v>
      </c>
      <c r="F3982" t="s">
        <v>304</v>
      </c>
      <c r="G3982" t="s">
        <v>305</v>
      </c>
      <c r="H3982" t="s">
        <v>2015</v>
      </c>
      <c r="I3982" t="s">
        <v>2016</v>
      </c>
      <c r="J3982" t="s">
        <v>52</v>
      </c>
      <c r="K3982" s="3">
        <v>10019604236</v>
      </c>
      <c r="L3982" s="10">
        <v>39819</v>
      </c>
      <c r="M3982">
        <v>8958.46</v>
      </c>
      <c r="N3982" s="11">
        <v>41</v>
      </c>
      <c r="O3982" s="12">
        <v>209.84</v>
      </c>
      <c r="P3982" s="12">
        <v>21.21</v>
      </c>
      <c r="Q3982" s="13">
        <v>2593.14</v>
      </c>
      <c r="R3982" s="36" t="s">
        <v>1085</v>
      </c>
      <c r="S3982" s="7">
        <f t="shared" si="339"/>
        <v>1</v>
      </c>
      <c r="T3982" s="15" t="str">
        <f>VLOOKUP(R3982,产品分类!$C$2:$D$1278,2,0)</f>
        <v>数码电子</v>
      </c>
    </row>
    <row r="3983" spans="1:20">
      <c r="A3983" s="8">
        <f t="shared" si="341"/>
        <v>39818</v>
      </c>
      <c r="B3983" s="8">
        <f t="shared" si="341"/>
        <v>39818</v>
      </c>
      <c r="C3983" s="9" t="s">
        <v>1558</v>
      </c>
      <c r="D3983">
        <v>10021319111</v>
      </c>
      <c r="E3983" t="s">
        <v>47</v>
      </c>
      <c r="F3983" t="s">
        <v>304</v>
      </c>
      <c r="G3983" t="s">
        <v>305</v>
      </c>
      <c r="H3983" t="s">
        <v>2015</v>
      </c>
      <c r="I3983" t="s">
        <v>2016</v>
      </c>
      <c r="J3983" t="s">
        <v>52</v>
      </c>
      <c r="K3983" s="3">
        <v>10088177782</v>
      </c>
      <c r="L3983" s="10">
        <v>39820</v>
      </c>
      <c r="M3983">
        <v>4913.7</v>
      </c>
      <c r="N3983" s="11">
        <v>33</v>
      </c>
      <c r="O3983" s="12">
        <v>145.45</v>
      </c>
      <c r="P3983" s="12">
        <v>17.85</v>
      </c>
      <c r="Q3983" s="13">
        <v>1054.93</v>
      </c>
      <c r="R3983" s="36" t="s">
        <v>322</v>
      </c>
      <c r="S3983" s="7">
        <f t="shared" si="339"/>
        <v>2</v>
      </c>
      <c r="T3983" s="15" t="str">
        <f>VLOOKUP(R3983,产品分类!$C$2:$D$1278,2,0)</f>
        <v>家具产品</v>
      </c>
    </row>
    <row r="3984" spans="1:20">
      <c r="A3984" s="8">
        <f>DATE(2012,12,31)-3</f>
        <v>41271</v>
      </c>
      <c r="B3984" s="8">
        <f>DATE(2012,12,31)-3</f>
        <v>41271</v>
      </c>
      <c r="C3984" s="9" t="s">
        <v>743</v>
      </c>
      <c r="D3984">
        <v>10021387267</v>
      </c>
      <c r="E3984" t="s">
        <v>47</v>
      </c>
      <c r="F3984" t="s">
        <v>304</v>
      </c>
      <c r="G3984" t="s">
        <v>305</v>
      </c>
      <c r="H3984" t="s">
        <v>2015</v>
      </c>
      <c r="I3984" t="s">
        <v>2016</v>
      </c>
      <c r="J3984" t="s">
        <v>52</v>
      </c>
      <c r="K3984" s="3">
        <v>100117905567</v>
      </c>
      <c r="L3984" s="10">
        <v>41271</v>
      </c>
      <c r="M3984">
        <v>560.03</v>
      </c>
      <c r="N3984" s="11">
        <v>26</v>
      </c>
      <c r="O3984" s="12">
        <v>21.66</v>
      </c>
      <c r="P3984" s="12">
        <v>13.99</v>
      </c>
      <c r="Q3984" s="13">
        <v>-139.87</v>
      </c>
      <c r="R3984" s="36" t="s">
        <v>1789</v>
      </c>
      <c r="S3984" s="7">
        <f t="shared" si="339"/>
        <v>0</v>
      </c>
      <c r="T3984" s="15" t="str">
        <f>VLOOKUP(R3984,产品分类!$C$2:$D$1278,2,0)</f>
        <v>数码电子</v>
      </c>
    </row>
    <row r="3985" spans="1:20">
      <c r="A3985" s="16">
        <f>DATE(2012,12,31)-147</f>
        <v>41127</v>
      </c>
      <c r="B3985" s="16">
        <f>DATE(2012,12,31)-147</f>
        <v>41127</v>
      </c>
      <c r="C3985" s="9" t="s">
        <v>359</v>
      </c>
      <c r="D3985">
        <v>10021495903</v>
      </c>
      <c r="E3985" t="s">
        <v>47</v>
      </c>
      <c r="F3985" t="s">
        <v>208</v>
      </c>
      <c r="G3985" t="s">
        <v>209</v>
      </c>
      <c r="H3985" t="s">
        <v>2177</v>
      </c>
      <c r="I3985" t="s">
        <v>2178</v>
      </c>
      <c r="J3985" t="s">
        <v>52</v>
      </c>
      <c r="K3985" s="3">
        <v>100914222091</v>
      </c>
      <c r="L3985" s="10">
        <v>41128</v>
      </c>
      <c r="M3985">
        <v>157.4</v>
      </c>
      <c r="N3985" s="17">
        <v>25</v>
      </c>
      <c r="O3985" s="5">
        <v>6.48</v>
      </c>
      <c r="P3985" s="5">
        <v>6.74</v>
      </c>
      <c r="Q3985" s="6">
        <v>-84</v>
      </c>
      <c r="R3985" s="37" t="s">
        <v>959</v>
      </c>
      <c r="S3985" s="7">
        <f t="shared" si="339"/>
        <v>1</v>
      </c>
      <c r="T3985" s="15" t="str">
        <f>VLOOKUP(R3985,产品分类!$C$2:$D$1278,2,0)</f>
        <v>家具产品</v>
      </c>
    </row>
    <row r="3986" spans="1:20">
      <c r="A3986" s="8">
        <f>DATE(2012,12,31)-946</f>
        <v>40328</v>
      </c>
      <c r="B3986" s="8">
        <f>DATE(2012,12,31)-946</f>
        <v>40328</v>
      </c>
      <c r="C3986" s="9" t="s">
        <v>632</v>
      </c>
      <c r="D3986">
        <v>10021495333</v>
      </c>
      <c r="E3986" t="s">
        <v>47</v>
      </c>
      <c r="F3986" t="s">
        <v>137</v>
      </c>
      <c r="G3986" t="s">
        <v>138</v>
      </c>
      <c r="H3986" t="s">
        <v>139</v>
      </c>
      <c r="I3986" t="s">
        <v>140</v>
      </c>
      <c r="J3986" t="s">
        <v>52</v>
      </c>
      <c r="K3986" s="3">
        <v>10086638782</v>
      </c>
      <c r="L3986" s="10">
        <v>40330</v>
      </c>
      <c r="M3986">
        <v>254.12</v>
      </c>
      <c r="N3986" s="11">
        <v>12</v>
      </c>
      <c r="O3986" s="12">
        <v>20.95</v>
      </c>
      <c r="P3986" s="12">
        <v>5.99</v>
      </c>
      <c r="Q3986" s="13">
        <v>-64.97</v>
      </c>
      <c r="R3986" s="36" t="s">
        <v>1324</v>
      </c>
      <c r="S3986" s="7">
        <f t="shared" si="339"/>
        <v>2</v>
      </c>
      <c r="T3986" s="15" t="str">
        <f>VLOOKUP(R3986,产品分类!$C$2:$D$1278,2,0)</f>
        <v>家具产品</v>
      </c>
    </row>
    <row r="3987" spans="1:20">
      <c r="A3987" s="8">
        <f>DATE(2012,12,31)-946</f>
        <v>40328</v>
      </c>
      <c r="B3987" s="8">
        <f>DATE(2012,12,31)-946</f>
        <v>40328</v>
      </c>
      <c r="C3987" s="9" t="s">
        <v>632</v>
      </c>
      <c r="D3987">
        <v>10021252618</v>
      </c>
      <c r="E3987" t="s">
        <v>47</v>
      </c>
      <c r="F3987" t="s">
        <v>137</v>
      </c>
      <c r="G3987" t="s">
        <v>138</v>
      </c>
      <c r="H3987" t="s">
        <v>139</v>
      </c>
      <c r="I3987" t="s">
        <v>140</v>
      </c>
      <c r="J3987" t="s">
        <v>52</v>
      </c>
      <c r="K3987" s="3">
        <v>100412387414</v>
      </c>
      <c r="L3987" s="10">
        <v>40329</v>
      </c>
      <c r="M3987">
        <v>767.04</v>
      </c>
      <c r="N3987" s="11">
        <v>37</v>
      </c>
      <c r="O3987" s="12">
        <v>20.89</v>
      </c>
      <c r="P3987" s="12">
        <v>1.99</v>
      </c>
      <c r="Q3987" s="13">
        <v>238.84</v>
      </c>
      <c r="R3987" s="36" t="s">
        <v>1745</v>
      </c>
      <c r="S3987" s="7">
        <f t="shared" si="339"/>
        <v>1</v>
      </c>
      <c r="T3987" s="15" t="str">
        <f>VLOOKUP(R3987,产品分类!$C$2:$D$1278,2,0)</f>
        <v>数码电子</v>
      </c>
    </row>
    <row r="3988" spans="1:20">
      <c r="A3988" s="8">
        <f>DATE(2012,12,31)-1387</f>
        <v>39887</v>
      </c>
      <c r="B3988" s="8">
        <f>DATE(2012,12,31)-1387</f>
        <v>39887</v>
      </c>
      <c r="C3988" s="9" t="s">
        <v>1853</v>
      </c>
      <c r="D3988">
        <v>10021294237</v>
      </c>
      <c r="E3988" t="s">
        <v>47</v>
      </c>
      <c r="F3988" t="s">
        <v>102</v>
      </c>
      <c r="G3988" t="s">
        <v>103</v>
      </c>
      <c r="H3988" t="s">
        <v>2236</v>
      </c>
      <c r="I3988" t="s">
        <v>2237</v>
      </c>
      <c r="J3988" t="s">
        <v>52</v>
      </c>
      <c r="K3988" s="3">
        <v>100812514232</v>
      </c>
      <c r="L3988" s="10">
        <v>39888</v>
      </c>
      <c r="M3988">
        <v>30.62</v>
      </c>
      <c r="N3988" s="11">
        <v>17</v>
      </c>
      <c r="O3988" s="12">
        <v>1.76</v>
      </c>
      <c r="P3988" s="12">
        <v>0.7</v>
      </c>
      <c r="Q3988" s="13">
        <v>-1.56</v>
      </c>
      <c r="R3988" s="36" t="s">
        <v>561</v>
      </c>
      <c r="S3988" s="7">
        <f t="shared" si="339"/>
        <v>1</v>
      </c>
      <c r="T3988" s="15" t="str">
        <f>VLOOKUP(R3988,产品分类!$C$2:$D$1278,2,0)</f>
        <v>数码电子</v>
      </c>
    </row>
    <row r="3989" spans="1:20">
      <c r="A3989" s="8">
        <f>DATE(2012,12,31)-1029</f>
        <v>40245</v>
      </c>
      <c r="B3989" s="8">
        <f>DATE(2012,12,31)-1029</f>
        <v>40245</v>
      </c>
      <c r="C3989" s="9" t="s">
        <v>243</v>
      </c>
      <c r="D3989">
        <v>10021387315</v>
      </c>
      <c r="E3989" t="s">
        <v>47</v>
      </c>
      <c r="F3989" t="s">
        <v>208</v>
      </c>
      <c r="G3989" t="s">
        <v>209</v>
      </c>
      <c r="H3989" t="s">
        <v>2177</v>
      </c>
      <c r="I3989" t="s">
        <v>2178</v>
      </c>
      <c r="J3989" t="s">
        <v>52</v>
      </c>
      <c r="K3989" s="3">
        <v>100718283495</v>
      </c>
      <c r="L3989" s="10">
        <v>40247</v>
      </c>
      <c r="M3989">
        <v>119.63</v>
      </c>
      <c r="N3989" s="11">
        <v>22</v>
      </c>
      <c r="O3989" s="12">
        <v>5.08</v>
      </c>
      <c r="P3989" s="12">
        <v>3.63</v>
      </c>
      <c r="Q3989" s="13">
        <v>-27.39</v>
      </c>
      <c r="R3989" s="36" t="s">
        <v>1395</v>
      </c>
      <c r="S3989" s="7">
        <f t="shared" si="339"/>
        <v>2</v>
      </c>
      <c r="T3989" s="15" t="str">
        <f>VLOOKUP(R3989,产品分类!$C$2:$D$1278,2,0)</f>
        <v>办公用品</v>
      </c>
    </row>
    <row r="3990" spans="1:20">
      <c r="A3990" s="8">
        <f>DATE(2012,12,31)-1029</f>
        <v>40245</v>
      </c>
      <c r="B3990" s="8">
        <f>DATE(2012,12,31)-1029</f>
        <v>40245</v>
      </c>
      <c r="C3990" s="9" t="s">
        <v>243</v>
      </c>
      <c r="D3990">
        <v>10021413605</v>
      </c>
      <c r="E3990" t="s">
        <v>47</v>
      </c>
      <c r="F3990" t="s">
        <v>527</v>
      </c>
      <c r="G3990" t="s">
        <v>528</v>
      </c>
      <c r="H3990" t="s">
        <v>2272</v>
      </c>
      <c r="I3990" t="s">
        <v>2273</v>
      </c>
      <c r="J3990" t="s">
        <v>52</v>
      </c>
      <c r="K3990" s="3">
        <v>10011284276</v>
      </c>
      <c r="L3990" s="10">
        <v>40245</v>
      </c>
      <c r="M3990">
        <v>177.92</v>
      </c>
      <c r="N3990" s="11">
        <v>40</v>
      </c>
      <c r="O3990" s="12">
        <v>4.28</v>
      </c>
      <c r="P3990" s="12">
        <v>6.72</v>
      </c>
      <c r="Q3990" s="13">
        <v>-167.92</v>
      </c>
      <c r="R3990" s="36" t="s">
        <v>833</v>
      </c>
      <c r="S3990" s="7">
        <f t="shared" si="339"/>
        <v>0</v>
      </c>
      <c r="T3990" s="15" t="str">
        <f>VLOOKUP(R3990,产品分类!$C$2:$D$1278,2,0)</f>
        <v>家具产品</v>
      </c>
    </row>
    <row r="3991" spans="1:20">
      <c r="A3991" s="8">
        <f>DATE(2012,12,31)-354</f>
        <v>40920</v>
      </c>
      <c r="B3991" s="8">
        <f>DATE(2012,12,31)-354</f>
        <v>40920</v>
      </c>
      <c r="C3991" s="9" t="s">
        <v>1054</v>
      </c>
      <c r="D3991">
        <v>10021591203</v>
      </c>
      <c r="E3991" t="s">
        <v>47</v>
      </c>
      <c r="F3991" t="s">
        <v>171</v>
      </c>
      <c r="G3991" t="s">
        <v>172</v>
      </c>
      <c r="H3991" t="s">
        <v>2073</v>
      </c>
      <c r="I3991" t="s">
        <v>2074</v>
      </c>
      <c r="J3991" t="s">
        <v>52</v>
      </c>
      <c r="K3991" s="3">
        <v>100731763325</v>
      </c>
      <c r="L3991" s="10">
        <v>40920</v>
      </c>
      <c r="M3991">
        <v>49.18</v>
      </c>
      <c r="N3991" s="11">
        <v>12</v>
      </c>
      <c r="O3991" s="12">
        <v>4.28</v>
      </c>
      <c r="P3991" s="12">
        <v>0.94</v>
      </c>
      <c r="Q3991" s="13">
        <v>0.58</v>
      </c>
      <c r="R3991" s="36" t="s">
        <v>637</v>
      </c>
      <c r="S3991" s="7">
        <f t="shared" si="339"/>
        <v>0</v>
      </c>
      <c r="T3991" s="15" t="str">
        <f>VLOOKUP(R3991,产品分类!$C$2:$D$1278,2,0)</f>
        <v>数码电子</v>
      </c>
    </row>
    <row r="3992" spans="1:20">
      <c r="A3992" s="8">
        <f>DATE(2012,12,31)-1223</f>
        <v>40051</v>
      </c>
      <c r="B3992" s="8">
        <f>DATE(2012,12,31)-1223</f>
        <v>40051</v>
      </c>
      <c r="C3992" s="9" t="s">
        <v>361</v>
      </c>
      <c r="D3992">
        <v>10021445151</v>
      </c>
      <c r="E3992" t="s">
        <v>47</v>
      </c>
      <c r="F3992" t="s">
        <v>171</v>
      </c>
      <c r="G3992" t="s">
        <v>172</v>
      </c>
      <c r="H3992" t="s">
        <v>2073</v>
      </c>
      <c r="I3992" t="s">
        <v>2074</v>
      </c>
      <c r="J3992" t="s">
        <v>52</v>
      </c>
      <c r="K3992" s="3">
        <v>100911505891</v>
      </c>
      <c r="L3992" s="10">
        <v>40052</v>
      </c>
      <c r="M3992">
        <v>811.13</v>
      </c>
      <c r="N3992" s="11">
        <v>2</v>
      </c>
      <c r="O3992" s="12">
        <v>415.88</v>
      </c>
      <c r="P3992" s="12">
        <v>11.37</v>
      </c>
      <c r="Q3992" s="13">
        <v>-517.47</v>
      </c>
      <c r="R3992" s="36" t="s">
        <v>482</v>
      </c>
      <c r="S3992" s="7">
        <f t="shared" si="339"/>
        <v>1</v>
      </c>
      <c r="T3992" s="15" t="str">
        <f>VLOOKUP(R3992,产品分类!$C$2:$D$1278,2,0)</f>
        <v>家具产品</v>
      </c>
    </row>
    <row r="3993" spans="1:20">
      <c r="A3993" s="8">
        <f t="shared" ref="A3993:B3995" si="342">DATE(2012,12,31)-979</f>
        <v>40295</v>
      </c>
      <c r="B3993" s="8">
        <f t="shared" si="342"/>
        <v>40295</v>
      </c>
      <c r="C3993" s="9" t="s">
        <v>1254</v>
      </c>
      <c r="D3993">
        <v>10021580585</v>
      </c>
      <c r="E3993" t="s">
        <v>47</v>
      </c>
      <c r="F3993" t="s">
        <v>177</v>
      </c>
      <c r="G3993" t="s">
        <v>178</v>
      </c>
      <c r="H3993" t="s">
        <v>2283</v>
      </c>
      <c r="I3993" t="s">
        <v>2284</v>
      </c>
      <c r="J3993" t="s">
        <v>52</v>
      </c>
      <c r="K3993" s="3">
        <v>100323104479</v>
      </c>
      <c r="L3993" s="10">
        <v>40296</v>
      </c>
      <c r="M3993">
        <v>323.91</v>
      </c>
      <c r="N3993" s="11">
        <v>11</v>
      </c>
      <c r="O3993" s="12">
        <v>30.73</v>
      </c>
      <c r="P3993" s="12">
        <v>4</v>
      </c>
      <c r="Q3993" s="13">
        <v>-96.53</v>
      </c>
      <c r="R3993" s="36" t="s">
        <v>1016</v>
      </c>
      <c r="S3993" s="7">
        <f t="shared" si="339"/>
        <v>1</v>
      </c>
      <c r="T3993" s="15" t="str">
        <f>VLOOKUP(R3993,产品分类!$C$2:$D$1278,2,0)</f>
        <v>办公用品</v>
      </c>
    </row>
    <row r="3994" spans="1:20">
      <c r="A3994" s="8">
        <f t="shared" si="342"/>
        <v>40295</v>
      </c>
      <c r="B3994" s="8">
        <f t="shared" si="342"/>
        <v>40295</v>
      </c>
      <c r="C3994" s="9" t="s">
        <v>1254</v>
      </c>
      <c r="D3994">
        <v>10021293638</v>
      </c>
      <c r="E3994" t="s">
        <v>47</v>
      </c>
      <c r="F3994" t="s">
        <v>527</v>
      </c>
      <c r="G3994" t="s">
        <v>528</v>
      </c>
      <c r="H3994" t="s">
        <v>2293</v>
      </c>
      <c r="I3994" t="s">
        <v>2294</v>
      </c>
      <c r="J3994" t="s">
        <v>52</v>
      </c>
      <c r="K3994" s="3">
        <v>10043104174</v>
      </c>
      <c r="L3994" s="10">
        <v>40297</v>
      </c>
      <c r="M3994">
        <v>185.59</v>
      </c>
      <c r="N3994" s="11">
        <v>10</v>
      </c>
      <c r="O3994" s="12">
        <v>19.98</v>
      </c>
      <c r="P3994" s="12">
        <v>5.77</v>
      </c>
      <c r="Q3994" s="13">
        <v>12.01</v>
      </c>
      <c r="R3994" s="36" t="s">
        <v>1619</v>
      </c>
      <c r="S3994" s="7">
        <f t="shared" si="339"/>
        <v>2</v>
      </c>
      <c r="T3994" s="15" t="str">
        <f>VLOOKUP(R3994,产品分类!$C$2:$D$1278,2,0)</f>
        <v>数码电子</v>
      </c>
    </row>
    <row r="3995" spans="1:20">
      <c r="A3995" s="8">
        <f t="shared" si="342"/>
        <v>40295</v>
      </c>
      <c r="B3995" s="8">
        <f t="shared" si="342"/>
        <v>40295</v>
      </c>
      <c r="C3995" s="9" t="s">
        <v>1254</v>
      </c>
      <c r="D3995">
        <v>10021505381</v>
      </c>
      <c r="E3995" t="s">
        <v>47</v>
      </c>
      <c r="F3995" t="s">
        <v>527</v>
      </c>
      <c r="G3995" t="s">
        <v>528</v>
      </c>
      <c r="H3995" t="s">
        <v>2293</v>
      </c>
      <c r="I3995" t="s">
        <v>2294</v>
      </c>
      <c r="J3995" t="s">
        <v>52</v>
      </c>
      <c r="K3995" s="3">
        <v>100430802034</v>
      </c>
      <c r="L3995" s="10">
        <v>40297</v>
      </c>
      <c r="M3995">
        <v>7168.15</v>
      </c>
      <c r="N3995" s="11">
        <v>18</v>
      </c>
      <c r="O3995" s="12">
        <v>419.19</v>
      </c>
      <c r="P3995" s="12">
        <v>19.99</v>
      </c>
      <c r="Q3995" s="13">
        <v>1593.61</v>
      </c>
      <c r="R3995" s="36" t="s">
        <v>1223</v>
      </c>
      <c r="S3995" s="7">
        <f t="shared" si="339"/>
        <v>2</v>
      </c>
      <c r="T3995" s="15" t="str">
        <f>VLOOKUP(R3995,产品分类!$C$2:$D$1278,2,0)</f>
        <v>办公用品</v>
      </c>
    </row>
    <row r="3996" spans="1:20">
      <c r="A3996" s="8">
        <f>DATE(2012,12,31)-915</f>
        <v>40359</v>
      </c>
      <c r="B3996" s="8">
        <f>DATE(2012,12,31)-915</f>
        <v>40359</v>
      </c>
      <c r="C3996" s="9" t="s">
        <v>2115</v>
      </c>
      <c r="D3996">
        <v>10021522209</v>
      </c>
      <c r="E3996" t="s">
        <v>47</v>
      </c>
      <c r="F3996" t="s">
        <v>127</v>
      </c>
      <c r="G3996" t="s">
        <v>128</v>
      </c>
      <c r="H3996" t="s">
        <v>2189</v>
      </c>
      <c r="I3996" t="s">
        <v>2190</v>
      </c>
      <c r="J3996" t="s">
        <v>52</v>
      </c>
      <c r="K3996" s="3">
        <v>100111215406</v>
      </c>
      <c r="L3996" s="10">
        <v>40361</v>
      </c>
      <c r="M3996">
        <v>379.78</v>
      </c>
      <c r="N3996" s="11">
        <v>48</v>
      </c>
      <c r="O3996" s="12">
        <v>8.32</v>
      </c>
      <c r="P3996" s="12">
        <v>2.38</v>
      </c>
      <c r="Q3996" s="13">
        <v>-71.59</v>
      </c>
      <c r="R3996" s="36" t="s">
        <v>920</v>
      </c>
      <c r="S3996" s="7">
        <f t="shared" si="339"/>
        <v>2</v>
      </c>
      <c r="T3996" s="15" t="str">
        <f>VLOOKUP(R3996,产品分类!$C$2:$D$1278,2,0)</f>
        <v>家具产品</v>
      </c>
    </row>
    <row r="3997" spans="1:20">
      <c r="A3997" s="16">
        <f>DATE(2012,12,31)-915</f>
        <v>40359</v>
      </c>
      <c r="B3997" s="16">
        <f>DATE(2012,12,31)-915</f>
        <v>40359</v>
      </c>
      <c r="C3997" s="9" t="s">
        <v>2115</v>
      </c>
      <c r="D3997">
        <v>10021505168</v>
      </c>
      <c r="E3997" t="s">
        <v>47</v>
      </c>
      <c r="F3997" t="s">
        <v>177</v>
      </c>
      <c r="G3997" t="s">
        <v>178</v>
      </c>
      <c r="H3997" t="s">
        <v>2283</v>
      </c>
      <c r="I3997" t="s">
        <v>2284</v>
      </c>
      <c r="J3997" t="s">
        <v>52</v>
      </c>
      <c r="K3997" s="3">
        <v>10015847646</v>
      </c>
      <c r="L3997" s="10">
        <v>40360</v>
      </c>
      <c r="M3997">
        <v>750.86</v>
      </c>
      <c r="N3997" s="17">
        <v>33</v>
      </c>
      <c r="O3997" s="5">
        <v>21.38</v>
      </c>
      <c r="P3997" s="5">
        <v>2.99</v>
      </c>
      <c r="Q3997" s="6">
        <v>302.124</v>
      </c>
      <c r="R3997" s="37" t="s">
        <v>1836</v>
      </c>
      <c r="S3997" s="7">
        <f t="shared" si="339"/>
        <v>1</v>
      </c>
      <c r="T3997" s="15" t="str">
        <f>VLOOKUP(R3997,产品分类!$C$2:$D$1278,2,0)</f>
        <v>办公用品</v>
      </c>
    </row>
    <row r="3998" spans="1:20">
      <c r="A3998" s="8">
        <f>DATE(2012,12,31)-923</f>
        <v>40351</v>
      </c>
      <c r="B3998" s="8">
        <f>DATE(2012,12,31)-923</f>
        <v>40351</v>
      </c>
      <c r="C3998" s="9" t="s">
        <v>1992</v>
      </c>
      <c r="D3998">
        <v>10021524532</v>
      </c>
      <c r="E3998" t="s">
        <v>47</v>
      </c>
      <c r="F3998" t="s">
        <v>167</v>
      </c>
      <c r="G3998" t="s">
        <v>168</v>
      </c>
      <c r="H3998" t="s">
        <v>169</v>
      </c>
      <c r="I3998" t="s">
        <v>168</v>
      </c>
      <c r="J3998" t="s">
        <v>52</v>
      </c>
      <c r="K3998" s="3">
        <v>100717341815</v>
      </c>
      <c r="L3998" s="10">
        <v>40353</v>
      </c>
      <c r="M3998">
        <v>268.7105</v>
      </c>
      <c r="N3998" s="11">
        <v>4</v>
      </c>
      <c r="O3998" s="12">
        <v>85.99</v>
      </c>
      <c r="P3998" s="12">
        <v>0.99</v>
      </c>
      <c r="Q3998" s="13">
        <v>-337.656</v>
      </c>
      <c r="R3998" s="36" t="s">
        <v>1684</v>
      </c>
      <c r="S3998" s="7">
        <f t="shared" si="339"/>
        <v>2</v>
      </c>
      <c r="T3998" s="15" t="str">
        <f>VLOOKUP(R3998,产品分类!$C$2:$D$1278,2,0)</f>
        <v>办公用品</v>
      </c>
    </row>
    <row r="3999" spans="1:20">
      <c r="A3999" s="8">
        <f>DATE(2012,12,31)-125</f>
        <v>41149</v>
      </c>
      <c r="B3999" s="8">
        <f>DATE(2012,12,31)-125</f>
        <v>41149</v>
      </c>
      <c r="C3999" s="9" t="s">
        <v>809</v>
      </c>
      <c r="D3999">
        <v>10021523971</v>
      </c>
      <c r="E3999" t="s">
        <v>47</v>
      </c>
      <c r="F3999" t="s">
        <v>61</v>
      </c>
      <c r="G3999" t="s">
        <v>62</v>
      </c>
      <c r="H3999" t="s">
        <v>2216</v>
      </c>
      <c r="I3999" t="s">
        <v>2217</v>
      </c>
      <c r="J3999" t="s">
        <v>52</v>
      </c>
      <c r="K3999" s="3">
        <v>100115369998</v>
      </c>
      <c r="L3999" s="10">
        <v>41150</v>
      </c>
      <c r="M3999">
        <v>68.5</v>
      </c>
      <c r="N3999" s="11">
        <v>24</v>
      </c>
      <c r="O3999" s="12">
        <v>2.78</v>
      </c>
      <c r="P3999" s="12">
        <v>1.49</v>
      </c>
      <c r="Q3999" s="13">
        <v>2.686</v>
      </c>
      <c r="R3999" s="36" t="s">
        <v>565</v>
      </c>
      <c r="S3999" s="7">
        <f t="shared" si="339"/>
        <v>1</v>
      </c>
      <c r="T3999" s="15" t="str">
        <f>VLOOKUP(R3999,产品分类!$C$2:$D$1278,2,0)</f>
        <v>办公用品</v>
      </c>
    </row>
    <row r="4000" spans="1:20">
      <c r="A4000" s="8">
        <f>DATE(2012,12,31)-496</f>
        <v>40778</v>
      </c>
      <c r="B4000" s="8">
        <f>DATE(2012,12,31)-496</f>
        <v>40778</v>
      </c>
      <c r="C4000" s="9" t="s">
        <v>984</v>
      </c>
      <c r="D4000">
        <v>10021591106</v>
      </c>
      <c r="E4000" t="s">
        <v>47</v>
      </c>
      <c r="F4000" t="s">
        <v>253</v>
      </c>
      <c r="G4000" t="s">
        <v>254</v>
      </c>
      <c r="H4000" t="s">
        <v>2287</v>
      </c>
      <c r="I4000" t="s">
        <v>2288</v>
      </c>
      <c r="J4000" t="s">
        <v>52</v>
      </c>
      <c r="K4000" s="3">
        <v>100128674977</v>
      </c>
      <c r="L4000" s="10">
        <v>40779</v>
      </c>
      <c r="M4000">
        <v>5296.19</v>
      </c>
      <c r="N4000" s="11">
        <v>15</v>
      </c>
      <c r="O4000" s="12">
        <v>363.25</v>
      </c>
      <c r="P4000" s="12">
        <v>19.99</v>
      </c>
      <c r="Q4000" s="13">
        <v>1164.05</v>
      </c>
      <c r="R4000" s="36" t="s">
        <v>192</v>
      </c>
      <c r="S4000" s="7">
        <f t="shared" si="339"/>
        <v>1</v>
      </c>
      <c r="T4000" s="15" t="str">
        <f>VLOOKUP(R4000,产品分类!$C$2:$D$1278,2,0)</f>
        <v>办公用品</v>
      </c>
    </row>
    <row r="4001" spans="1:20">
      <c r="A4001" s="8">
        <f>DATE(2012,12,31)-652</f>
        <v>40622</v>
      </c>
      <c r="B4001" s="8">
        <f>DATE(2012,12,31)-652</f>
        <v>40622</v>
      </c>
      <c r="C4001" s="9" t="s">
        <v>2084</v>
      </c>
      <c r="D4001">
        <v>10021451230</v>
      </c>
      <c r="E4001" t="s">
        <v>47</v>
      </c>
      <c r="F4001" t="s">
        <v>61</v>
      </c>
      <c r="G4001" t="s">
        <v>62</v>
      </c>
      <c r="H4001" t="s">
        <v>2216</v>
      </c>
      <c r="I4001" t="s">
        <v>2217</v>
      </c>
      <c r="J4001" t="s">
        <v>52</v>
      </c>
      <c r="K4001" s="3">
        <v>100830041462</v>
      </c>
      <c r="L4001" s="10">
        <v>40625</v>
      </c>
      <c r="M4001">
        <v>21532.26</v>
      </c>
      <c r="N4001" s="11">
        <v>44</v>
      </c>
      <c r="O4001" s="12">
        <v>500.97</v>
      </c>
      <c r="P4001" s="12">
        <v>69.3</v>
      </c>
      <c r="Q4001" s="13">
        <v>8323.39</v>
      </c>
      <c r="R4001" s="36" t="s">
        <v>1694</v>
      </c>
      <c r="S4001" s="7">
        <f t="shared" si="339"/>
        <v>3</v>
      </c>
      <c r="T4001" s="15" t="str">
        <f>VLOOKUP(R4001,产品分类!$C$2:$D$1278,2,0)</f>
        <v>家具产品</v>
      </c>
    </row>
    <row r="4002" spans="1:20">
      <c r="A4002" s="8">
        <f>DATE(2012,12,31)-652</f>
        <v>40622</v>
      </c>
      <c r="B4002" s="8">
        <f>DATE(2012,12,31)-652</f>
        <v>40622</v>
      </c>
      <c r="C4002" s="9" t="s">
        <v>2084</v>
      </c>
      <c r="D4002">
        <v>10021575259</v>
      </c>
      <c r="E4002" t="s">
        <v>47</v>
      </c>
      <c r="F4002" t="s">
        <v>61</v>
      </c>
      <c r="G4002" t="s">
        <v>62</v>
      </c>
      <c r="H4002" t="s">
        <v>2216</v>
      </c>
      <c r="I4002" t="s">
        <v>2217</v>
      </c>
      <c r="J4002" t="s">
        <v>52</v>
      </c>
      <c r="K4002" s="3">
        <v>10048848183</v>
      </c>
      <c r="L4002" s="10">
        <v>40623</v>
      </c>
      <c r="M4002">
        <v>7.64</v>
      </c>
      <c r="N4002" s="11">
        <v>1</v>
      </c>
      <c r="O4002" s="12">
        <v>4.76</v>
      </c>
      <c r="P4002" s="12">
        <v>3.01</v>
      </c>
      <c r="Q4002" s="13">
        <v>-6.6</v>
      </c>
      <c r="R4002" s="36" t="s">
        <v>1401</v>
      </c>
      <c r="S4002" s="7">
        <f t="shared" si="339"/>
        <v>1</v>
      </c>
      <c r="T4002" s="15" t="str">
        <f>VLOOKUP(R4002,产品分类!$C$2:$D$1278,2,0)</f>
        <v>办公用品</v>
      </c>
    </row>
    <row r="4003" spans="1:20">
      <c r="A4003" s="8">
        <f>DATE(2012,12,31)-390</f>
        <v>40884</v>
      </c>
      <c r="B4003" s="8">
        <f>DATE(2012,12,31)-390</f>
        <v>40884</v>
      </c>
      <c r="C4003" s="9" t="s">
        <v>2066</v>
      </c>
      <c r="D4003">
        <v>10021445849</v>
      </c>
      <c r="E4003" t="s">
        <v>47</v>
      </c>
      <c r="F4003" t="s">
        <v>61</v>
      </c>
      <c r="G4003" t="s">
        <v>62</v>
      </c>
      <c r="H4003" t="s">
        <v>2216</v>
      </c>
      <c r="I4003" t="s">
        <v>2217</v>
      </c>
      <c r="J4003" t="s">
        <v>52</v>
      </c>
      <c r="K4003" s="3">
        <v>100115008547</v>
      </c>
      <c r="L4003" s="10">
        <v>40886</v>
      </c>
      <c r="M4003">
        <v>36.4</v>
      </c>
      <c r="N4003" s="11">
        <v>1</v>
      </c>
      <c r="O4003" s="12">
        <v>24.92</v>
      </c>
      <c r="P4003" s="12">
        <v>12.98</v>
      </c>
      <c r="Q4003" s="13">
        <v>-41.561</v>
      </c>
      <c r="R4003" s="36" t="s">
        <v>187</v>
      </c>
      <c r="S4003" s="7">
        <f t="shared" si="339"/>
        <v>2</v>
      </c>
      <c r="T4003" s="15" t="str">
        <f>VLOOKUP(R4003,产品分类!$C$2:$D$1278,2,0)</f>
        <v>数码电子</v>
      </c>
    </row>
    <row r="4004" spans="1:20">
      <c r="A4004" s="8">
        <f>DATE(2012,12,31)-390</f>
        <v>40884</v>
      </c>
      <c r="B4004" s="8">
        <f>DATE(2012,12,31)-390</f>
        <v>40884</v>
      </c>
      <c r="C4004" s="9" t="s">
        <v>2066</v>
      </c>
      <c r="D4004">
        <v>10021319172</v>
      </c>
      <c r="E4004" t="s">
        <v>47</v>
      </c>
      <c r="F4004" t="s">
        <v>61</v>
      </c>
      <c r="G4004" t="s">
        <v>62</v>
      </c>
      <c r="H4004" t="s">
        <v>2216</v>
      </c>
      <c r="I4004" t="s">
        <v>2217</v>
      </c>
      <c r="J4004" t="s">
        <v>52</v>
      </c>
      <c r="K4004" s="3">
        <v>10018274036</v>
      </c>
      <c r="L4004" s="10">
        <v>40886</v>
      </c>
      <c r="M4004">
        <v>176.35</v>
      </c>
      <c r="N4004" s="11">
        <v>36</v>
      </c>
      <c r="O4004" s="12">
        <v>4.98</v>
      </c>
      <c r="P4004" s="12">
        <v>0.8</v>
      </c>
      <c r="Q4004" s="13">
        <v>73.05</v>
      </c>
      <c r="R4004" s="36" t="s">
        <v>521</v>
      </c>
      <c r="S4004" s="7">
        <f t="shared" si="339"/>
        <v>2</v>
      </c>
      <c r="T4004" s="15" t="str">
        <f>VLOOKUP(R4004,产品分类!$C$2:$D$1278,2,0)</f>
        <v>家具产品</v>
      </c>
    </row>
    <row r="4005" spans="1:20">
      <c r="A4005" s="8">
        <f>DATE(2012,12,31)-344</f>
        <v>40930</v>
      </c>
      <c r="B4005" s="8">
        <f>DATE(2012,12,31)-344</f>
        <v>40930</v>
      </c>
      <c r="C4005" s="9" t="s">
        <v>567</v>
      </c>
      <c r="D4005">
        <v>10021284256</v>
      </c>
      <c r="E4005" t="s">
        <v>47</v>
      </c>
      <c r="F4005" t="s">
        <v>253</v>
      </c>
      <c r="G4005" t="s">
        <v>254</v>
      </c>
      <c r="H4005" t="s">
        <v>2287</v>
      </c>
      <c r="I4005" t="s">
        <v>2288</v>
      </c>
      <c r="J4005" t="s">
        <v>52</v>
      </c>
      <c r="K4005" s="3">
        <v>100128318387</v>
      </c>
      <c r="L4005" s="10">
        <v>40931</v>
      </c>
      <c r="M4005">
        <v>1500.17</v>
      </c>
      <c r="N4005" s="11">
        <v>40</v>
      </c>
      <c r="O4005" s="12">
        <v>39.24</v>
      </c>
      <c r="P4005" s="12">
        <v>1.99</v>
      </c>
      <c r="Q4005" s="13">
        <v>423.87</v>
      </c>
      <c r="R4005" s="36" t="s">
        <v>2050</v>
      </c>
      <c r="S4005" s="7">
        <f t="shared" si="339"/>
        <v>1</v>
      </c>
      <c r="T4005" s="15" t="str">
        <f>VLOOKUP(R4005,产品分类!$C$2:$D$1278,2,0)</f>
        <v>家具产品</v>
      </c>
    </row>
    <row r="4006" spans="1:20">
      <c r="A4006" s="8">
        <f>DATE(2012,12,31)-344</f>
        <v>40930</v>
      </c>
      <c r="B4006" s="8">
        <f>DATE(2012,12,31)-344</f>
        <v>40930</v>
      </c>
      <c r="C4006" s="9" t="s">
        <v>567</v>
      </c>
      <c r="D4006">
        <v>10021588351</v>
      </c>
      <c r="E4006" t="s">
        <v>47</v>
      </c>
      <c r="F4006" t="s">
        <v>253</v>
      </c>
      <c r="G4006" t="s">
        <v>254</v>
      </c>
      <c r="H4006" t="s">
        <v>2287</v>
      </c>
      <c r="I4006" t="s">
        <v>2288</v>
      </c>
      <c r="J4006" t="s">
        <v>52</v>
      </c>
      <c r="K4006" s="3">
        <v>100130449046</v>
      </c>
      <c r="L4006" s="10">
        <v>40931</v>
      </c>
      <c r="M4006">
        <v>377.31</v>
      </c>
      <c r="N4006" s="11">
        <v>45</v>
      </c>
      <c r="O4006" s="12">
        <v>8.01</v>
      </c>
      <c r="P4006" s="12">
        <v>2.87</v>
      </c>
      <c r="Q4006" s="13">
        <v>87.96</v>
      </c>
      <c r="R4006" s="36" t="s">
        <v>677</v>
      </c>
      <c r="S4006" s="7">
        <f t="shared" si="339"/>
        <v>1</v>
      </c>
      <c r="T4006" s="15" t="str">
        <f>VLOOKUP(R4006,产品分类!$C$2:$D$1278,2,0)</f>
        <v>办公用品</v>
      </c>
    </row>
    <row r="4007" spans="1:20">
      <c r="A4007" s="16">
        <f>DATE(2012,12,31)-1145</f>
        <v>40129</v>
      </c>
      <c r="B4007" s="16">
        <f>DATE(2012,12,31)-1145</f>
        <v>40129</v>
      </c>
      <c r="C4007" s="9" t="s">
        <v>413</v>
      </c>
      <c r="D4007">
        <v>10021334750</v>
      </c>
      <c r="E4007" t="s">
        <v>47</v>
      </c>
      <c r="F4007" t="s">
        <v>61</v>
      </c>
      <c r="G4007" t="s">
        <v>62</v>
      </c>
      <c r="H4007" t="s">
        <v>2216</v>
      </c>
      <c r="I4007" t="s">
        <v>2217</v>
      </c>
      <c r="J4007" t="s">
        <v>52</v>
      </c>
      <c r="K4007" s="3">
        <v>100316365739</v>
      </c>
      <c r="L4007" s="10">
        <v>40130</v>
      </c>
      <c r="M4007">
        <v>5811.72</v>
      </c>
      <c r="N4007" s="17">
        <v>25</v>
      </c>
      <c r="O4007" s="5">
        <v>223.98</v>
      </c>
      <c r="P4007" s="5">
        <v>15.01</v>
      </c>
      <c r="Q4007" s="6">
        <v>2431.595</v>
      </c>
      <c r="R4007" s="37" t="s">
        <v>2282</v>
      </c>
      <c r="S4007" s="7">
        <f t="shared" si="339"/>
        <v>1</v>
      </c>
      <c r="T4007" s="15" t="str">
        <f>VLOOKUP(R4007,产品分类!$C$2:$D$1278,2,0)</f>
        <v>数码电子</v>
      </c>
    </row>
    <row r="4008" spans="1:20">
      <c r="A4008" s="8">
        <f>DATE(2012,12,31)-4</f>
        <v>41270</v>
      </c>
      <c r="B4008" s="8">
        <f>DATE(2012,12,31)-4</f>
        <v>41270</v>
      </c>
      <c r="C4008" s="9" t="s">
        <v>815</v>
      </c>
      <c r="D4008">
        <v>10021503470</v>
      </c>
      <c r="E4008" t="s">
        <v>47</v>
      </c>
      <c r="F4008" t="s">
        <v>61</v>
      </c>
      <c r="G4008" t="s">
        <v>62</v>
      </c>
      <c r="H4008" t="s">
        <v>2216</v>
      </c>
      <c r="I4008" t="s">
        <v>2217</v>
      </c>
      <c r="J4008" t="s">
        <v>52</v>
      </c>
      <c r="K4008" s="3">
        <v>100929652881</v>
      </c>
      <c r="L4008" s="10">
        <v>41273</v>
      </c>
      <c r="M4008">
        <v>15337.58</v>
      </c>
      <c r="N4008" s="11">
        <v>30</v>
      </c>
      <c r="O4008" s="12">
        <v>525.98</v>
      </c>
      <c r="P4008" s="12">
        <v>19.99</v>
      </c>
      <c r="Q4008" s="13">
        <v>6670.409</v>
      </c>
      <c r="R4008" s="36" t="s">
        <v>1133</v>
      </c>
      <c r="S4008" s="7">
        <f t="shared" si="339"/>
        <v>3</v>
      </c>
      <c r="T4008" s="15" t="str">
        <f>VLOOKUP(R4008,产品分类!$C$2:$D$1278,2,0)</f>
        <v>家具产品</v>
      </c>
    </row>
    <row r="4009" spans="1:20">
      <c r="A4009" s="8">
        <f>DATE(2012,12,31)-4</f>
        <v>41270</v>
      </c>
      <c r="B4009" s="8">
        <f>DATE(2012,12,31)-4</f>
        <v>41270</v>
      </c>
      <c r="C4009" s="9" t="s">
        <v>815</v>
      </c>
      <c r="D4009">
        <v>10021334218</v>
      </c>
      <c r="E4009" t="s">
        <v>47</v>
      </c>
      <c r="F4009" t="s">
        <v>61</v>
      </c>
      <c r="G4009" t="s">
        <v>62</v>
      </c>
      <c r="H4009" t="s">
        <v>2216</v>
      </c>
      <c r="I4009" t="s">
        <v>2217</v>
      </c>
      <c r="J4009" t="s">
        <v>52</v>
      </c>
      <c r="K4009" s="3">
        <v>10077632165</v>
      </c>
      <c r="L4009" s="10">
        <v>41272</v>
      </c>
      <c r="M4009">
        <v>3883.4715</v>
      </c>
      <c r="N4009" s="11">
        <v>42</v>
      </c>
      <c r="O4009" s="12">
        <v>115.99</v>
      </c>
      <c r="P4009" s="12">
        <v>8.99</v>
      </c>
      <c r="Q4009" s="13">
        <v>707.166</v>
      </c>
      <c r="R4009" s="36" t="s">
        <v>2295</v>
      </c>
      <c r="S4009" s="7">
        <f t="shared" si="339"/>
        <v>2</v>
      </c>
      <c r="T4009" s="15" t="str">
        <f>VLOOKUP(R4009,产品分类!$C$2:$D$1278,2,0)</f>
        <v>家具产品</v>
      </c>
    </row>
    <row r="4010" spans="1:20">
      <c r="A4010" s="8">
        <f>DATE(2012,12,31)-1169</f>
        <v>40105</v>
      </c>
      <c r="B4010" s="8">
        <f>DATE(2012,12,31)-1169</f>
        <v>40105</v>
      </c>
      <c r="C4010" s="9" t="s">
        <v>448</v>
      </c>
      <c r="D4010">
        <v>10021255727</v>
      </c>
      <c r="E4010" t="s">
        <v>47</v>
      </c>
      <c r="F4010" t="s">
        <v>61</v>
      </c>
      <c r="G4010" t="s">
        <v>62</v>
      </c>
      <c r="H4010" t="s">
        <v>2216</v>
      </c>
      <c r="I4010" t="s">
        <v>2217</v>
      </c>
      <c r="J4010" t="s">
        <v>52</v>
      </c>
      <c r="K4010" s="3">
        <v>100124391858</v>
      </c>
      <c r="L4010" s="10">
        <v>40107</v>
      </c>
      <c r="M4010">
        <v>7827.51</v>
      </c>
      <c r="N4010" s="11">
        <v>50</v>
      </c>
      <c r="O4010" s="12">
        <v>159.99</v>
      </c>
      <c r="P4010" s="12">
        <v>5.5</v>
      </c>
      <c r="Q4010" s="13">
        <v>2992.8</v>
      </c>
      <c r="R4010" s="36" t="s">
        <v>1288</v>
      </c>
      <c r="S4010" s="7">
        <f t="shared" si="339"/>
        <v>2</v>
      </c>
      <c r="T4010" s="15" t="str">
        <f>VLOOKUP(R4010,产品分类!$C$2:$D$1278,2,0)</f>
        <v>数码电子</v>
      </c>
    </row>
    <row r="4011" spans="1:20">
      <c r="A4011" s="8">
        <f>DATE(2012,12,31)-446</f>
        <v>40828</v>
      </c>
      <c r="B4011" s="8">
        <f>DATE(2012,12,31)-446</f>
        <v>40828</v>
      </c>
      <c r="C4011" s="9" t="s">
        <v>60</v>
      </c>
      <c r="D4011">
        <v>10021473339</v>
      </c>
      <c r="E4011" t="s">
        <v>47</v>
      </c>
      <c r="F4011" t="s">
        <v>97</v>
      </c>
      <c r="G4011" t="s">
        <v>98</v>
      </c>
      <c r="H4011" t="s">
        <v>99</v>
      </c>
      <c r="I4011" t="s">
        <v>98</v>
      </c>
      <c r="J4011" t="s">
        <v>52</v>
      </c>
      <c r="K4011" s="3">
        <v>100133011156</v>
      </c>
      <c r="L4011" s="10">
        <v>40829</v>
      </c>
      <c r="M4011">
        <v>278.65</v>
      </c>
      <c r="N4011" s="11">
        <v>33</v>
      </c>
      <c r="O4011" s="12">
        <v>8.32</v>
      </c>
      <c r="P4011" s="12">
        <v>2.38</v>
      </c>
      <c r="Q4011" s="13">
        <v>-36.34</v>
      </c>
      <c r="R4011" s="36" t="s">
        <v>920</v>
      </c>
      <c r="S4011" s="7">
        <f t="shared" si="339"/>
        <v>1</v>
      </c>
      <c r="T4011" s="15" t="str">
        <f>VLOOKUP(R4011,产品分类!$C$2:$D$1278,2,0)</f>
        <v>家具产品</v>
      </c>
    </row>
    <row r="4012" spans="1:20">
      <c r="A4012" s="8">
        <f>DATE(2012,12,31)-713</f>
        <v>40561</v>
      </c>
      <c r="B4012" s="8">
        <f>DATE(2012,12,31)-713</f>
        <v>40561</v>
      </c>
      <c r="C4012" s="9" t="s">
        <v>119</v>
      </c>
      <c r="D4012">
        <v>10021435990</v>
      </c>
      <c r="E4012" t="s">
        <v>47</v>
      </c>
      <c r="F4012" t="s">
        <v>177</v>
      </c>
      <c r="G4012" t="s">
        <v>178</v>
      </c>
      <c r="H4012" t="s">
        <v>2283</v>
      </c>
      <c r="I4012" t="s">
        <v>2284</v>
      </c>
      <c r="J4012" t="s">
        <v>52</v>
      </c>
      <c r="K4012" s="3">
        <v>100132966068</v>
      </c>
      <c r="L4012" s="10">
        <v>40563</v>
      </c>
      <c r="M4012">
        <v>230.29</v>
      </c>
      <c r="N4012" s="11">
        <v>41</v>
      </c>
      <c r="O4012" s="12">
        <v>5.28</v>
      </c>
      <c r="P4012" s="12">
        <v>2.99</v>
      </c>
      <c r="Q4012" s="13">
        <v>14.484</v>
      </c>
      <c r="R4012" s="36" t="s">
        <v>385</v>
      </c>
      <c r="S4012" s="7">
        <f t="shared" si="339"/>
        <v>2</v>
      </c>
      <c r="T4012" s="15" t="str">
        <f>VLOOKUP(R4012,产品分类!$C$2:$D$1278,2,0)</f>
        <v>数码电子</v>
      </c>
    </row>
    <row r="4013" spans="1:20">
      <c r="A4013" s="8">
        <f>DATE(2012,12,31)-713</f>
        <v>40561</v>
      </c>
      <c r="B4013" s="8">
        <f>DATE(2012,12,31)-713</f>
        <v>40561</v>
      </c>
      <c r="C4013" s="9" t="s">
        <v>119</v>
      </c>
      <c r="D4013">
        <v>10021304792</v>
      </c>
      <c r="E4013" t="s">
        <v>47</v>
      </c>
      <c r="F4013" t="s">
        <v>61</v>
      </c>
      <c r="G4013" t="s">
        <v>62</v>
      </c>
      <c r="H4013" t="s">
        <v>2216</v>
      </c>
      <c r="I4013" t="s">
        <v>2217</v>
      </c>
      <c r="J4013" t="s">
        <v>52</v>
      </c>
      <c r="K4013" s="3">
        <v>100132794456</v>
      </c>
      <c r="L4013" s="10">
        <v>40563</v>
      </c>
      <c r="M4013">
        <v>1592.0415</v>
      </c>
      <c r="N4013" s="11">
        <v>27</v>
      </c>
      <c r="O4013" s="12">
        <v>65.99</v>
      </c>
      <c r="P4013" s="12">
        <v>19.99</v>
      </c>
      <c r="Q4013" s="13">
        <v>-52.701</v>
      </c>
      <c r="R4013" s="36" t="s">
        <v>257</v>
      </c>
      <c r="S4013" s="7">
        <f t="shared" si="339"/>
        <v>2</v>
      </c>
      <c r="T4013" s="15" t="str">
        <f>VLOOKUP(R4013,产品分类!$C$2:$D$1278,2,0)</f>
        <v>办公用品</v>
      </c>
    </row>
    <row r="4014" spans="1:20">
      <c r="A4014" s="8">
        <f>DATE(2012,12,31)-979</f>
        <v>40295</v>
      </c>
      <c r="B4014" s="8">
        <f>DATE(2012,12,31)-979</f>
        <v>40295</v>
      </c>
      <c r="C4014" s="9" t="s">
        <v>926</v>
      </c>
      <c r="D4014">
        <v>10021291731</v>
      </c>
      <c r="E4014" t="s">
        <v>47</v>
      </c>
      <c r="F4014" t="s">
        <v>91</v>
      </c>
      <c r="G4014" t="s">
        <v>92</v>
      </c>
      <c r="H4014" t="s">
        <v>2053</v>
      </c>
      <c r="I4014" t="s">
        <v>2054</v>
      </c>
      <c r="J4014" t="s">
        <v>52</v>
      </c>
      <c r="K4014" s="3">
        <v>100932790631</v>
      </c>
      <c r="L4014" s="10">
        <v>40296</v>
      </c>
      <c r="M4014">
        <v>659.5</v>
      </c>
      <c r="N4014" s="11">
        <v>16</v>
      </c>
      <c r="O4014" s="12">
        <v>41.94</v>
      </c>
      <c r="P4014" s="12">
        <v>2.99</v>
      </c>
      <c r="Q4014" s="13">
        <v>248.982</v>
      </c>
      <c r="R4014" s="36" t="s">
        <v>1548</v>
      </c>
      <c r="S4014" s="7">
        <f t="shared" si="339"/>
        <v>1</v>
      </c>
      <c r="T4014" s="15" t="str">
        <f>VLOOKUP(R4014,产品分类!$C$2:$D$1278,2,0)</f>
        <v>办公用品</v>
      </c>
    </row>
    <row r="4015" spans="1:20">
      <c r="A4015" s="8">
        <f>DATE(2012,12,31)-1388</f>
        <v>39886</v>
      </c>
      <c r="B4015" s="8">
        <f>DATE(2012,12,31)-1388</f>
        <v>39886</v>
      </c>
      <c r="C4015" s="9" t="s">
        <v>832</v>
      </c>
      <c r="D4015">
        <v>10021519532</v>
      </c>
      <c r="E4015" t="s">
        <v>47</v>
      </c>
      <c r="F4015" t="s">
        <v>97</v>
      </c>
      <c r="G4015" t="s">
        <v>98</v>
      </c>
      <c r="H4015" t="s">
        <v>99</v>
      </c>
      <c r="I4015" t="s">
        <v>98</v>
      </c>
      <c r="J4015" t="s">
        <v>52</v>
      </c>
      <c r="K4015" s="3">
        <v>100933078441</v>
      </c>
      <c r="L4015" s="10">
        <v>39887</v>
      </c>
      <c r="M4015">
        <v>5679.59</v>
      </c>
      <c r="N4015" s="11">
        <v>38</v>
      </c>
      <c r="O4015" s="12">
        <v>154.13</v>
      </c>
      <c r="P4015" s="12">
        <v>69</v>
      </c>
      <c r="Q4015" s="13">
        <v>-1763.7477</v>
      </c>
      <c r="R4015" s="36" t="s">
        <v>2042</v>
      </c>
      <c r="S4015" s="7">
        <f t="shared" si="339"/>
        <v>1</v>
      </c>
      <c r="T4015" s="15" t="str">
        <f>VLOOKUP(R4015,产品分类!$C$2:$D$1278,2,0)</f>
        <v>家具产品</v>
      </c>
    </row>
    <row r="4016" spans="1:20">
      <c r="A4016" s="8">
        <f>DATE(2012,12,31)-504</f>
        <v>40770</v>
      </c>
      <c r="B4016" s="8">
        <f>DATE(2012,12,31)-504</f>
        <v>40770</v>
      </c>
      <c r="C4016" s="9" t="s">
        <v>855</v>
      </c>
      <c r="D4016">
        <v>10021409960</v>
      </c>
      <c r="E4016" t="s">
        <v>47</v>
      </c>
      <c r="F4016" t="s">
        <v>122</v>
      </c>
      <c r="G4016" t="s">
        <v>123</v>
      </c>
      <c r="H4016" t="s">
        <v>2159</v>
      </c>
      <c r="I4016" t="s">
        <v>2160</v>
      </c>
      <c r="J4016" t="s">
        <v>52</v>
      </c>
      <c r="K4016" s="3">
        <v>100132951226</v>
      </c>
      <c r="L4016" s="10">
        <v>40771</v>
      </c>
      <c r="M4016">
        <v>161.96</v>
      </c>
      <c r="N4016" s="11">
        <v>26</v>
      </c>
      <c r="O4016" s="12">
        <v>5.78</v>
      </c>
      <c r="P4016" s="12">
        <v>5.67</v>
      </c>
      <c r="Q4016" s="13">
        <v>-51.12</v>
      </c>
      <c r="R4016" s="36" t="s">
        <v>591</v>
      </c>
      <c r="S4016" s="7">
        <f t="shared" si="339"/>
        <v>1</v>
      </c>
      <c r="T4016" s="15" t="str">
        <f>VLOOKUP(R4016,产品分类!$C$2:$D$1278,2,0)</f>
        <v>家具产品</v>
      </c>
    </row>
    <row r="4017" spans="1:20">
      <c r="A4017" s="8">
        <f>DATE(2012,12,31)-1180</f>
        <v>40094</v>
      </c>
      <c r="B4017" s="8">
        <f>DATE(2012,12,31)-1180</f>
        <v>40094</v>
      </c>
      <c r="C4017" s="9" t="s">
        <v>1276</v>
      </c>
      <c r="D4017">
        <v>10021278890</v>
      </c>
      <c r="E4017" t="s">
        <v>47</v>
      </c>
      <c r="F4017" t="s">
        <v>253</v>
      </c>
      <c r="G4017" t="s">
        <v>254</v>
      </c>
      <c r="H4017" t="s">
        <v>2287</v>
      </c>
      <c r="I4017" t="s">
        <v>2288</v>
      </c>
      <c r="J4017" t="s">
        <v>52</v>
      </c>
      <c r="K4017" s="3">
        <v>100132779976</v>
      </c>
      <c r="L4017" s="10">
        <v>40095</v>
      </c>
      <c r="M4017">
        <v>822.8425</v>
      </c>
      <c r="N4017" s="11">
        <v>15</v>
      </c>
      <c r="O4017" s="12">
        <v>65.99</v>
      </c>
      <c r="P4017" s="12">
        <v>5.92</v>
      </c>
      <c r="Q4017" s="13">
        <v>4.39200000000001</v>
      </c>
      <c r="R4017" s="36" t="s">
        <v>1189</v>
      </c>
      <c r="S4017" s="7">
        <f t="shared" si="339"/>
        <v>1</v>
      </c>
      <c r="T4017" s="15" t="str">
        <f>VLOOKUP(R4017,产品分类!$C$2:$D$1278,2,0)</f>
        <v>家具产品</v>
      </c>
    </row>
    <row r="4018" spans="1:20">
      <c r="A4018" s="8">
        <f>DATE(2012,12,31)-1350</f>
        <v>39924</v>
      </c>
      <c r="B4018" s="8">
        <f>DATE(2012,12,31)-1350</f>
        <v>39924</v>
      </c>
      <c r="C4018" s="9" t="s">
        <v>1254</v>
      </c>
      <c r="D4018">
        <v>10021571349</v>
      </c>
      <c r="E4018" t="s">
        <v>47</v>
      </c>
      <c r="F4018" t="s">
        <v>66</v>
      </c>
      <c r="G4018" t="s">
        <v>67</v>
      </c>
      <c r="H4018" t="s">
        <v>2244</v>
      </c>
      <c r="I4018" t="s">
        <v>2245</v>
      </c>
      <c r="J4018" t="s">
        <v>52</v>
      </c>
      <c r="K4018" s="3">
        <v>100333154329</v>
      </c>
      <c r="L4018" s="10">
        <v>39924</v>
      </c>
      <c r="M4018">
        <v>1029.29</v>
      </c>
      <c r="N4018" s="11">
        <v>26</v>
      </c>
      <c r="O4018" s="12">
        <v>40.99</v>
      </c>
      <c r="P4018" s="12">
        <v>17.48</v>
      </c>
      <c r="Q4018" s="13">
        <v>109.16</v>
      </c>
      <c r="R4018" s="36" t="s">
        <v>620</v>
      </c>
      <c r="S4018" s="7">
        <f t="shared" si="339"/>
        <v>0</v>
      </c>
      <c r="T4018" s="15" t="str">
        <f>VLOOKUP(R4018,产品分类!$C$2:$D$1278,2,0)</f>
        <v>数码电子</v>
      </c>
    </row>
    <row r="4019" spans="1:20">
      <c r="A4019" s="8">
        <f>DATE(2012,12,31)-455</f>
        <v>40819</v>
      </c>
      <c r="B4019" s="8">
        <f>DATE(2012,12,31)-455</f>
        <v>40819</v>
      </c>
      <c r="C4019" s="9" t="s">
        <v>158</v>
      </c>
      <c r="D4019">
        <v>10021489594</v>
      </c>
      <c r="E4019" t="s">
        <v>47</v>
      </c>
      <c r="F4019" t="s">
        <v>72</v>
      </c>
      <c r="G4019" t="s">
        <v>73</v>
      </c>
      <c r="H4019" t="s">
        <v>2008</v>
      </c>
      <c r="I4019" t="s">
        <v>2009</v>
      </c>
      <c r="J4019" t="s">
        <v>52</v>
      </c>
      <c r="K4019" s="3">
        <v>100433045924</v>
      </c>
      <c r="L4019" s="10">
        <v>40821</v>
      </c>
      <c r="M4019">
        <v>413.37</v>
      </c>
      <c r="N4019" s="11">
        <v>50</v>
      </c>
      <c r="O4019" s="12">
        <v>8.45</v>
      </c>
      <c r="P4019" s="12">
        <v>7.77</v>
      </c>
      <c r="Q4019" s="13">
        <v>-224.41</v>
      </c>
      <c r="R4019" s="36" t="s">
        <v>1973</v>
      </c>
      <c r="S4019" s="7">
        <f t="shared" si="339"/>
        <v>2</v>
      </c>
      <c r="T4019" s="15" t="str">
        <f>VLOOKUP(R4019,产品分类!$C$2:$D$1278,2,0)</f>
        <v>家具产品</v>
      </c>
    </row>
    <row r="4020" spans="1:20">
      <c r="A4020" s="8">
        <f>DATE(2012,12,31)-455</f>
        <v>40819</v>
      </c>
      <c r="B4020" s="8">
        <f>DATE(2012,12,31)-455</f>
        <v>40819</v>
      </c>
      <c r="C4020" s="9" t="s">
        <v>158</v>
      </c>
      <c r="D4020">
        <v>10021487245</v>
      </c>
      <c r="E4020" t="s">
        <v>47</v>
      </c>
      <c r="F4020" t="s">
        <v>91</v>
      </c>
      <c r="G4020" t="s">
        <v>92</v>
      </c>
      <c r="H4020" t="s">
        <v>2053</v>
      </c>
      <c r="I4020" t="s">
        <v>2054</v>
      </c>
      <c r="J4020" t="s">
        <v>52</v>
      </c>
      <c r="K4020" s="3">
        <v>100933040911</v>
      </c>
      <c r="L4020" s="10">
        <v>40821</v>
      </c>
      <c r="M4020">
        <v>1721.641</v>
      </c>
      <c r="N4020" s="11">
        <v>17</v>
      </c>
      <c r="O4020" s="12">
        <v>115.99</v>
      </c>
      <c r="P4020" s="12">
        <v>4.23</v>
      </c>
      <c r="Q4020" s="13">
        <v>242.442</v>
      </c>
      <c r="R4020" s="36" t="s">
        <v>221</v>
      </c>
      <c r="S4020" s="7">
        <f t="shared" si="339"/>
        <v>2</v>
      </c>
      <c r="T4020" s="15" t="str">
        <f>VLOOKUP(R4020,产品分类!$C$2:$D$1278,2,0)</f>
        <v>办公用品</v>
      </c>
    </row>
    <row r="4021" spans="1:20">
      <c r="A4021" s="16">
        <f>DATE(2012,12,31)-143</f>
        <v>41131</v>
      </c>
      <c r="B4021" s="16">
        <f>DATE(2012,12,31)-143</f>
        <v>41131</v>
      </c>
      <c r="C4021" s="9" t="s">
        <v>766</v>
      </c>
      <c r="D4021">
        <v>10021571520</v>
      </c>
      <c r="E4021" t="s">
        <v>47</v>
      </c>
      <c r="F4021" t="s">
        <v>91</v>
      </c>
      <c r="G4021" t="s">
        <v>92</v>
      </c>
      <c r="H4021" t="s">
        <v>2053</v>
      </c>
      <c r="I4021" t="s">
        <v>2054</v>
      </c>
      <c r="J4021" t="s">
        <v>52</v>
      </c>
      <c r="K4021" s="3">
        <v>100933154861</v>
      </c>
      <c r="L4021" s="10">
        <v>41133</v>
      </c>
      <c r="M4021">
        <v>23.54</v>
      </c>
      <c r="N4021" s="17">
        <v>2</v>
      </c>
      <c r="O4021" s="5">
        <v>8.6</v>
      </c>
      <c r="P4021" s="5">
        <v>6.19</v>
      </c>
      <c r="Q4021" s="6">
        <v>-14.467</v>
      </c>
      <c r="R4021" s="37" t="s">
        <v>443</v>
      </c>
      <c r="S4021" s="7">
        <f t="shared" si="339"/>
        <v>2</v>
      </c>
      <c r="T4021" s="15" t="str">
        <f>VLOOKUP(R4021,产品分类!$C$2:$D$1278,2,0)</f>
        <v>办公用品</v>
      </c>
    </row>
    <row r="4022" spans="1:20">
      <c r="A4022" s="16">
        <f>DATE(2012,12,31)-143</f>
        <v>41131</v>
      </c>
      <c r="B4022" s="16">
        <f>DATE(2012,12,31)-143</f>
        <v>41131</v>
      </c>
      <c r="C4022" s="9" t="s">
        <v>766</v>
      </c>
      <c r="D4022">
        <v>10021308403</v>
      </c>
      <c r="E4022" t="s">
        <v>47</v>
      </c>
      <c r="F4022" t="s">
        <v>132</v>
      </c>
      <c r="G4022" t="s">
        <v>133</v>
      </c>
      <c r="H4022" t="s">
        <v>134</v>
      </c>
      <c r="I4022" t="s">
        <v>133</v>
      </c>
      <c r="J4022" t="s">
        <v>52</v>
      </c>
      <c r="K4022" s="3">
        <v>100132080908</v>
      </c>
      <c r="L4022" s="10">
        <v>41132</v>
      </c>
      <c r="M4022">
        <v>1539.83</v>
      </c>
      <c r="N4022" s="17">
        <v>10</v>
      </c>
      <c r="O4022" s="5">
        <v>165.2</v>
      </c>
      <c r="P4022" s="5">
        <v>19.99</v>
      </c>
      <c r="Q4022" s="6">
        <v>34.85</v>
      </c>
      <c r="R4022" s="37" t="s">
        <v>812</v>
      </c>
      <c r="S4022" s="7">
        <f t="shared" si="339"/>
        <v>1</v>
      </c>
      <c r="T4022" s="15" t="str">
        <f>VLOOKUP(R4022,产品分类!$C$2:$D$1278,2,0)</f>
        <v>家具产品</v>
      </c>
    </row>
    <row r="4023" spans="1:20">
      <c r="A4023" s="8">
        <f>DATE(2012,12,31)-672</f>
        <v>40602</v>
      </c>
      <c r="B4023" s="8">
        <f>DATE(2012,12,31)-672</f>
        <v>40602</v>
      </c>
      <c r="C4023" s="9" t="s">
        <v>1558</v>
      </c>
      <c r="D4023">
        <v>10021401790</v>
      </c>
      <c r="E4023" t="s">
        <v>47</v>
      </c>
      <c r="F4023" t="s">
        <v>177</v>
      </c>
      <c r="G4023" t="s">
        <v>178</v>
      </c>
      <c r="H4023" t="s">
        <v>2283</v>
      </c>
      <c r="I4023" t="s">
        <v>2284</v>
      </c>
      <c r="J4023" t="s">
        <v>52</v>
      </c>
      <c r="K4023" s="3">
        <v>100932932821</v>
      </c>
      <c r="L4023" s="10">
        <v>40603</v>
      </c>
      <c r="M4023">
        <v>70.13</v>
      </c>
      <c r="N4023" s="11">
        <v>13</v>
      </c>
      <c r="O4023" s="12">
        <v>5.43</v>
      </c>
      <c r="P4023" s="12">
        <v>0.95</v>
      </c>
      <c r="Q4023" s="13">
        <v>21.51</v>
      </c>
      <c r="R4023" s="36" t="s">
        <v>1308</v>
      </c>
      <c r="S4023" s="7">
        <f t="shared" si="339"/>
        <v>1</v>
      </c>
      <c r="T4023" s="15" t="str">
        <f>VLOOKUP(R4023,产品分类!$C$2:$D$1278,2,0)</f>
        <v>办公用品</v>
      </c>
    </row>
    <row r="4024" spans="1:20">
      <c r="A4024" s="8">
        <f>DATE(2012,12,31)-672</f>
        <v>40602</v>
      </c>
      <c r="B4024" s="8">
        <f>DATE(2012,12,31)-672</f>
        <v>40602</v>
      </c>
      <c r="C4024" s="9" t="s">
        <v>1558</v>
      </c>
      <c r="D4024">
        <v>10021306142</v>
      </c>
      <c r="E4024" t="s">
        <v>47</v>
      </c>
      <c r="F4024" t="s">
        <v>171</v>
      </c>
      <c r="G4024" t="s">
        <v>172</v>
      </c>
      <c r="H4024" t="s">
        <v>2073</v>
      </c>
      <c r="I4024" t="s">
        <v>2074</v>
      </c>
      <c r="J4024" t="s">
        <v>52</v>
      </c>
      <c r="K4024" s="3">
        <v>100432799433</v>
      </c>
      <c r="L4024" s="10">
        <v>40603</v>
      </c>
      <c r="M4024">
        <v>59.76</v>
      </c>
      <c r="N4024" s="11">
        <v>5</v>
      </c>
      <c r="O4024" s="12">
        <v>10.98</v>
      </c>
      <c r="P4024" s="12">
        <v>3.37</v>
      </c>
      <c r="Q4024" s="13">
        <v>-10.34</v>
      </c>
      <c r="R4024" s="36" t="s">
        <v>1792</v>
      </c>
      <c r="S4024" s="7">
        <f t="shared" si="339"/>
        <v>1</v>
      </c>
      <c r="T4024" s="15" t="str">
        <f>VLOOKUP(R4024,产品分类!$C$2:$D$1278,2,0)</f>
        <v>办公用品</v>
      </c>
    </row>
    <row r="4025" spans="1:20">
      <c r="A4025" s="8">
        <f>DATE(2012,12,31)-246</f>
        <v>41028</v>
      </c>
      <c r="B4025" s="8">
        <f>DATE(2012,12,31)-246</f>
        <v>41028</v>
      </c>
      <c r="C4025" s="9" t="s">
        <v>1122</v>
      </c>
      <c r="D4025">
        <v>10021570825</v>
      </c>
      <c r="E4025" t="s">
        <v>47</v>
      </c>
      <c r="F4025" t="s">
        <v>171</v>
      </c>
      <c r="G4025" t="s">
        <v>172</v>
      </c>
      <c r="H4025" t="s">
        <v>2073</v>
      </c>
      <c r="I4025" t="s">
        <v>2074</v>
      </c>
      <c r="J4025" t="s">
        <v>52</v>
      </c>
      <c r="K4025" s="3">
        <v>100333152989</v>
      </c>
      <c r="L4025" s="10">
        <v>41028</v>
      </c>
      <c r="M4025">
        <v>587.92</v>
      </c>
      <c r="N4025" s="11">
        <v>35</v>
      </c>
      <c r="O4025" s="12">
        <v>16.91</v>
      </c>
      <c r="P4025" s="12">
        <v>6.25</v>
      </c>
      <c r="Q4025" s="13">
        <v>-7.92</v>
      </c>
      <c r="R4025" s="36" t="s">
        <v>1673</v>
      </c>
      <c r="S4025" s="7">
        <f t="shared" si="339"/>
        <v>0</v>
      </c>
      <c r="T4025" s="15" t="str">
        <f>VLOOKUP(R4025,产品分类!$C$2:$D$1278,2,0)</f>
        <v>家具产品</v>
      </c>
    </row>
    <row r="4026" spans="1:20">
      <c r="A4026" s="8">
        <f>DATE(2012,12,31)-246</f>
        <v>41028</v>
      </c>
      <c r="B4026" s="8">
        <f>DATE(2012,12,31)-246</f>
        <v>41028</v>
      </c>
      <c r="C4026" s="9" t="s">
        <v>1122</v>
      </c>
      <c r="D4026">
        <v>10021472317</v>
      </c>
      <c r="E4026" t="s">
        <v>47</v>
      </c>
      <c r="F4026" t="s">
        <v>91</v>
      </c>
      <c r="G4026" t="s">
        <v>92</v>
      </c>
      <c r="H4026" t="s">
        <v>2053</v>
      </c>
      <c r="I4026" t="s">
        <v>2054</v>
      </c>
      <c r="J4026" t="s">
        <v>52</v>
      </c>
      <c r="K4026" s="3">
        <v>100127072057</v>
      </c>
      <c r="L4026" s="10">
        <v>41035</v>
      </c>
      <c r="M4026">
        <v>2171.464</v>
      </c>
      <c r="N4026" s="11">
        <v>7</v>
      </c>
      <c r="O4026" s="12">
        <v>376.13</v>
      </c>
      <c r="P4026" s="12">
        <v>85.63</v>
      </c>
      <c r="Q4026" s="13">
        <v>-209.56</v>
      </c>
      <c r="R4026" s="36" t="s">
        <v>1213</v>
      </c>
      <c r="S4026" s="7">
        <f t="shared" si="339"/>
        <v>7</v>
      </c>
      <c r="T4026" s="15" t="str">
        <f>VLOOKUP(R4026,产品分类!$C$2:$D$1278,2,0)</f>
        <v>办公用品</v>
      </c>
    </row>
    <row r="4027" spans="1:20">
      <c r="A4027" s="8">
        <f>DATE(2012,12,31)-856</f>
        <v>40418</v>
      </c>
      <c r="B4027" s="8">
        <f>DATE(2012,12,31)-856</f>
        <v>40418</v>
      </c>
      <c r="C4027" s="9" t="s">
        <v>1700</v>
      </c>
      <c r="D4027">
        <v>10021480331</v>
      </c>
      <c r="E4027" t="s">
        <v>47</v>
      </c>
      <c r="F4027" t="s">
        <v>72</v>
      </c>
      <c r="G4027" t="s">
        <v>73</v>
      </c>
      <c r="H4027" t="s">
        <v>2008</v>
      </c>
      <c r="I4027" t="s">
        <v>2009</v>
      </c>
      <c r="J4027" t="s">
        <v>52</v>
      </c>
      <c r="K4027" s="3">
        <v>100932610611</v>
      </c>
      <c r="L4027" s="10">
        <v>40418</v>
      </c>
      <c r="M4027">
        <v>195.75</v>
      </c>
      <c r="N4027" s="11">
        <v>6</v>
      </c>
      <c r="O4027" s="12">
        <v>33.29</v>
      </c>
      <c r="P4027" s="12">
        <v>1.99</v>
      </c>
      <c r="Q4027" s="13">
        <v>-31.24</v>
      </c>
      <c r="R4027" s="36" t="s">
        <v>1847</v>
      </c>
      <c r="S4027" s="7">
        <f t="shared" si="339"/>
        <v>0</v>
      </c>
      <c r="T4027" s="15" t="str">
        <f>VLOOKUP(R4027,产品分类!$C$2:$D$1278,2,0)</f>
        <v>数码电子</v>
      </c>
    </row>
    <row r="4028" spans="1:20">
      <c r="A4028" s="8">
        <f>DATE(2012,12,31)-1424</f>
        <v>39850</v>
      </c>
      <c r="B4028" s="8">
        <f>DATE(2012,12,31)-1424</f>
        <v>39850</v>
      </c>
      <c r="C4028" s="9" t="s">
        <v>2296</v>
      </c>
      <c r="D4028">
        <v>10021582984</v>
      </c>
      <c r="E4028" t="s">
        <v>47</v>
      </c>
      <c r="F4028" t="s">
        <v>152</v>
      </c>
      <c r="G4028" t="s">
        <v>153</v>
      </c>
      <c r="H4028" t="s">
        <v>2200</v>
      </c>
      <c r="I4028" t="s">
        <v>2201</v>
      </c>
      <c r="J4028" t="s">
        <v>52</v>
      </c>
      <c r="K4028" s="3">
        <v>100926225751</v>
      </c>
      <c r="L4028" s="10">
        <v>39851</v>
      </c>
      <c r="M4028">
        <v>950.464</v>
      </c>
      <c r="N4028" s="11">
        <v>16</v>
      </c>
      <c r="O4028" s="12">
        <v>71.37</v>
      </c>
      <c r="P4028" s="12">
        <v>69</v>
      </c>
      <c r="Q4028" s="13">
        <v>-763.8</v>
      </c>
      <c r="R4028" s="36" t="s">
        <v>426</v>
      </c>
      <c r="S4028" s="7">
        <f t="shared" si="339"/>
        <v>1</v>
      </c>
      <c r="T4028" s="15" t="str">
        <f>VLOOKUP(R4028,产品分类!$C$2:$D$1278,2,0)</f>
        <v>家具产品</v>
      </c>
    </row>
    <row r="4029" spans="1:20">
      <c r="A4029" s="8">
        <f>DATE(2012,12,31)-1424</f>
        <v>39850</v>
      </c>
      <c r="B4029" s="8">
        <f>DATE(2012,12,31)-1424</f>
        <v>39850</v>
      </c>
      <c r="C4029" s="9" t="s">
        <v>2296</v>
      </c>
      <c r="D4029">
        <v>10021431817</v>
      </c>
      <c r="E4029" t="s">
        <v>47</v>
      </c>
      <c r="F4029" t="s">
        <v>152</v>
      </c>
      <c r="G4029" t="s">
        <v>153</v>
      </c>
      <c r="H4029" t="s">
        <v>2200</v>
      </c>
      <c r="I4029" t="s">
        <v>2201</v>
      </c>
      <c r="J4029" t="s">
        <v>52</v>
      </c>
      <c r="K4029" s="3">
        <v>100132262636</v>
      </c>
      <c r="L4029" s="10">
        <v>39852</v>
      </c>
      <c r="M4029">
        <v>705.687</v>
      </c>
      <c r="N4029" s="11">
        <v>4</v>
      </c>
      <c r="O4029" s="12">
        <v>205.99</v>
      </c>
      <c r="P4029" s="12">
        <v>8.99</v>
      </c>
      <c r="Q4029" s="13">
        <v>-803.077</v>
      </c>
      <c r="R4029" s="36" t="s">
        <v>930</v>
      </c>
      <c r="S4029" s="7">
        <f t="shared" si="339"/>
        <v>2</v>
      </c>
      <c r="T4029" s="15" t="str">
        <f>VLOOKUP(R4029,产品分类!$C$2:$D$1278,2,0)</f>
        <v>办公用品</v>
      </c>
    </row>
    <row r="4030" spans="1:20">
      <c r="A4030" s="8">
        <f>DATE(2012,12,31)-690</f>
        <v>40584</v>
      </c>
      <c r="B4030" s="8">
        <f>DATE(2012,12,31)-690</f>
        <v>40584</v>
      </c>
      <c r="C4030" s="9" t="s">
        <v>1198</v>
      </c>
      <c r="D4030">
        <v>10021425796</v>
      </c>
      <c r="E4030" t="s">
        <v>47</v>
      </c>
      <c r="F4030" t="s">
        <v>72</v>
      </c>
      <c r="G4030" t="s">
        <v>73</v>
      </c>
      <c r="H4030" t="s">
        <v>2008</v>
      </c>
      <c r="I4030" t="s">
        <v>2009</v>
      </c>
      <c r="J4030" t="s">
        <v>52</v>
      </c>
      <c r="K4030" s="3">
        <v>100729628805</v>
      </c>
      <c r="L4030" s="10">
        <v>40591</v>
      </c>
      <c r="M4030">
        <v>2174.419</v>
      </c>
      <c r="N4030" s="11">
        <v>48</v>
      </c>
      <c r="O4030" s="12">
        <v>55.99</v>
      </c>
      <c r="P4030" s="12">
        <v>5</v>
      </c>
      <c r="Q4030" s="13">
        <v>-211.695</v>
      </c>
      <c r="R4030" s="36" t="s">
        <v>1453</v>
      </c>
      <c r="S4030" s="7">
        <f t="shared" si="339"/>
        <v>7</v>
      </c>
      <c r="T4030" s="15" t="str">
        <f>VLOOKUP(R4030,产品分类!$C$2:$D$1278,2,0)</f>
        <v>办公用品</v>
      </c>
    </row>
    <row r="4031" spans="1:20">
      <c r="A4031" s="16">
        <f>DATE(2012,12,31)-1460</f>
        <v>39814</v>
      </c>
      <c r="B4031" s="16">
        <f>DATE(2012,12,31)-1460</f>
        <v>39814</v>
      </c>
      <c r="C4031" s="9" t="s">
        <v>1147</v>
      </c>
      <c r="D4031">
        <v>10021268683</v>
      </c>
      <c r="E4031" t="s">
        <v>47</v>
      </c>
      <c r="F4031" t="s">
        <v>55</v>
      </c>
      <c r="G4031" t="s">
        <v>56</v>
      </c>
      <c r="H4031" t="s">
        <v>2197</v>
      </c>
      <c r="I4031" t="s">
        <v>2198</v>
      </c>
      <c r="J4031" t="s">
        <v>52</v>
      </c>
      <c r="K4031" s="3">
        <v>100832407572</v>
      </c>
      <c r="L4031" s="10">
        <v>39815</v>
      </c>
      <c r="M4031">
        <v>180.36</v>
      </c>
      <c r="N4031" s="17">
        <v>32</v>
      </c>
      <c r="O4031" s="5">
        <v>5.98</v>
      </c>
      <c r="P4031" s="5">
        <v>4.69</v>
      </c>
      <c r="Q4031" s="6">
        <v>-111.8</v>
      </c>
      <c r="R4031" s="37" t="s">
        <v>854</v>
      </c>
      <c r="S4031" s="7">
        <f t="shared" si="339"/>
        <v>1</v>
      </c>
      <c r="T4031" s="15" t="str">
        <f>VLOOKUP(R4031,产品分类!$C$2:$D$1278,2,0)</f>
        <v>办公用品</v>
      </c>
    </row>
    <row r="4032" spans="1:20">
      <c r="A4032" s="8">
        <f t="shared" ref="A4032:B4034" si="343">DATE(2012,12,31)-788</f>
        <v>40486</v>
      </c>
      <c r="B4032" s="8">
        <f t="shared" si="343"/>
        <v>40486</v>
      </c>
      <c r="C4032" s="9" t="s">
        <v>207</v>
      </c>
      <c r="D4032">
        <v>10021431294</v>
      </c>
      <c r="E4032" t="s">
        <v>47</v>
      </c>
      <c r="F4032" t="s">
        <v>177</v>
      </c>
      <c r="G4032" t="s">
        <v>178</v>
      </c>
      <c r="H4032" t="s">
        <v>2283</v>
      </c>
      <c r="I4032" t="s">
        <v>2284</v>
      </c>
      <c r="J4032" t="s">
        <v>52</v>
      </c>
      <c r="K4032" s="3">
        <v>100432225213</v>
      </c>
      <c r="L4032" s="10">
        <v>40488</v>
      </c>
      <c r="M4032">
        <v>413.8</v>
      </c>
      <c r="N4032" s="11">
        <v>23</v>
      </c>
      <c r="O4032" s="12">
        <v>17.67</v>
      </c>
      <c r="P4032" s="12">
        <v>8.99</v>
      </c>
      <c r="Q4032" s="13">
        <v>51.36</v>
      </c>
      <c r="R4032" s="36" t="s">
        <v>491</v>
      </c>
      <c r="S4032" s="7">
        <f t="shared" si="339"/>
        <v>2</v>
      </c>
      <c r="T4032" s="15" t="str">
        <f>VLOOKUP(R4032,产品分类!$C$2:$D$1278,2,0)</f>
        <v>办公用品</v>
      </c>
    </row>
    <row r="4033" spans="1:20">
      <c r="A4033" s="8">
        <f t="shared" si="343"/>
        <v>40486</v>
      </c>
      <c r="B4033" s="8">
        <f t="shared" si="343"/>
        <v>40486</v>
      </c>
      <c r="C4033" s="9" t="s">
        <v>207</v>
      </c>
      <c r="D4033">
        <v>10021576898</v>
      </c>
      <c r="E4033" t="s">
        <v>47</v>
      </c>
      <c r="F4033" t="s">
        <v>61</v>
      </c>
      <c r="G4033" t="s">
        <v>62</v>
      </c>
      <c r="H4033" t="s">
        <v>2216</v>
      </c>
      <c r="I4033" t="s">
        <v>2217</v>
      </c>
      <c r="J4033" t="s">
        <v>52</v>
      </c>
      <c r="K4033" s="3">
        <v>100416608694</v>
      </c>
      <c r="L4033" s="10">
        <v>40489</v>
      </c>
      <c r="M4033">
        <v>336.25</v>
      </c>
      <c r="N4033" s="11">
        <v>36</v>
      </c>
      <c r="O4033" s="12">
        <v>8.34</v>
      </c>
      <c r="P4033" s="12">
        <v>4.82</v>
      </c>
      <c r="Q4033" s="13">
        <v>25.95</v>
      </c>
      <c r="R4033" s="36" t="s">
        <v>548</v>
      </c>
      <c r="S4033" s="7">
        <f t="shared" si="339"/>
        <v>3</v>
      </c>
      <c r="T4033" s="15" t="str">
        <f>VLOOKUP(R4033,产品分类!$C$2:$D$1278,2,0)</f>
        <v>办公用品</v>
      </c>
    </row>
    <row r="4034" spans="1:20">
      <c r="A4034" s="8">
        <f t="shared" si="343"/>
        <v>40486</v>
      </c>
      <c r="B4034" s="8">
        <f t="shared" si="343"/>
        <v>40486</v>
      </c>
      <c r="C4034" s="9" t="s">
        <v>207</v>
      </c>
      <c r="D4034">
        <v>10021492290</v>
      </c>
      <c r="E4034" t="s">
        <v>47</v>
      </c>
      <c r="F4034" t="s">
        <v>152</v>
      </c>
      <c r="G4034" t="s">
        <v>153</v>
      </c>
      <c r="H4034" t="s">
        <v>2200</v>
      </c>
      <c r="I4034" t="s">
        <v>2201</v>
      </c>
      <c r="J4034" t="s">
        <v>52</v>
      </c>
      <c r="K4034" s="3">
        <v>100432640483</v>
      </c>
      <c r="L4034" s="10">
        <v>40488</v>
      </c>
      <c r="M4034">
        <v>4001.4685</v>
      </c>
      <c r="N4034" s="11">
        <v>22</v>
      </c>
      <c r="O4034" s="12">
        <v>205.99</v>
      </c>
      <c r="P4034" s="12">
        <v>3</v>
      </c>
      <c r="Q4034" s="13">
        <v>884.907</v>
      </c>
      <c r="R4034" s="36" t="s">
        <v>2039</v>
      </c>
      <c r="S4034" s="7">
        <f t="shared" si="339"/>
        <v>2</v>
      </c>
      <c r="T4034" s="15" t="str">
        <f>VLOOKUP(R4034,产品分类!$C$2:$D$1278,2,0)</f>
        <v>办公用品</v>
      </c>
    </row>
    <row r="4035" spans="1:20">
      <c r="A4035" s="8">
        <f t="shared" ref="A4035:B4037" si="344">DATE(2012,12,31)-639</f>
        <v>40635</v>
      </c>
      <c r="B4035" s="8">
        <f t="shared" si="344"/>
        <v>40635</v>
      </c>
      <c r="C4035" s="9" t="s">
        <v>1389</v>
      </c>
      <c r="D4035">
        <v>10021516974</v>
      </c>
      <c r="E4035" t="s">
        <v>47</v>
      </c>
      <c r="F4035" t="s">
        <v>152</v>
      </c>
      <c r="G4035" t="s">
        <v>153</v>
      </c>
      <c r="H4035" t="s">
        <v>2200</v>
      </c>
      <c r="I4035" t="s">
        <v>2201</v>
      </c>
      <c r="J4035" t="s">
        <v>52</v>
      </c>
      <c r="K4035" s="3">
        <v>100117083236</v>
      </c>
      <c r="L4035" s="10">
        <v>40637</v>
      </c>
      <c r="M4035">
        <v>97.93</v>
      </c>
      <c r="N4035" s="11">
        <v>14</v>
      </c>
      <c r="O4035" s="12">
        <v>3.48</v>
      </c>
      <c r="P4035" s="12">
        <v>49</v>
      </c>
      <c r="Q4035" s="13">
        <v>-616.81</v>
      </c>
      <c r="R4035" s="36" t="s">
        <v>2255</v>
      </c>
      <c r="S4035" s="7">
        <f t="shared" ref="S4035:S4098" si="345">+L4035-B4035</f>
        <v>2</v>
      </c>
      <c r="T4035" s="15" t="str">
        <f>VLOOKUP(R4035,产品分类!$C$2:$D$1278,2,0)</f>
        <v>办公用品</v>
      </c>
    </row>
    <row r="4036" spans="1:20">
      <c r="A4036" s="8">
        <f t="shared" si="344"/>
        <v>40635</v>
      </c>
      <c r="B4036" s="8">
        <f t="shared" si="344"/>
        <v>40635</v>
      </c>
      <c r="C4036" s="9" t="s">
        <v>1389</v>
      </c>
      <c r="D4036">
        <v>10021274140</v>
      </c>
      <c r="E4036" t="s">
        <v>47</v>
      </c>
      <c r="F4036" t="s">
        <v>72</v>
      </c>
      <c r="G4036" t="s">
        <v>73</v>
      </c>
      <c r="H4036" t="s">
        <v>2008</v>
      </c>
      <c r="I4036" t="s">
        <v>2009</v>
      </c>
      <c r="J4036" t="s">
        <v>52</v>
      </c>
      <c r="K4036" s="3">
        <v>100110690806</v>
      </c>
      <c r="L4036" s="10">
        <v>40637</v>
      </c>
      <c r="M4036">
        <v>25.52</v>
      </c>
      <c r="N4036" s="11">
        <v>4</v>
      </c>
      <c r="O4036" s="12">
        <v>5.98</v>
      </c>
      <c r="P4036" s="12">
        <v>1.49</v>
      </c>
      <c r="Q4036" s="13">
        <v>-1.9895</v>
      </c>
      <c r="R4036" s="36" t="s">
        <v>392</v>
      </c>
      <c r="S4036" s="7">
        <f t="shared" si="345"/>
        <v>2</v>
      </c>
      <c r="T4036" s="15" t="str">
        <f>VLOOKUP(R4036,产品分类!$C$2:$D$1278,2,0)</f>
        <v>办公用品</v>
      </c>
    </row>
    <row r="4037" spans="1:20">
      <c r="A4037" s="8">
        <f t="shared" si="344"/>
        <v>40635</v>
      </c>
      <c r="B4037" s="8">
        <f t="shared" si="344"/>
        <v>40635</v>
      </c>
      <c r="C4037" s="9" t="s">
        <v>1389</v>
      </c>
      <c r="D4037">
        <v>10021278300</v>
      </c>
      <c r="E4037" t="s">
        <v>47</v>
      </c>
      <c r="F4037" t="s">
        <v>78</v>
      </c>
      <c r="G4037" t="s">
        <v>79</v>
      </c>
      <c r="H4037" t="s">
        <v>2105</v>
      </c>
      <c r="I4037" t="s">
        <v>2106</v>
      </c>
      <c r="J4037" t="s">
        <v>52</v>
      </c>
      <c r="K4037" s="3">
        <v>100110964488</v>
      </c>
      <c r="L4037" s="10">
        <v>40637</v>
      </c>
      <c r="M4037">
        <v>487.5</v>
      </c>
      <c r="N4037" s="11">
        <v>46</v>
      </c>
      <c r="O4037" s="12">
        <v>10.23</v>
      </c>
      <c r="P4037" s="12">
        <v>4.68</v>
      </c>
      <c r="Q4037" s="13">
        <v>-25.88</v>
      </c>
      <c r="R4037" s="36" t="s">
        <v>1222</v>
      </c>
      <c r="S4037" s="7">
        <f t="shared" si="345"/>
        <v>2</v>
      </c>
      <c r="T4037" s="15" t="str">
        <f>VLOOKUP(R4037,产品分类!$C$2:$D$1278,2,0)</f>
        <v>数码电子</v>
      </c>
    </row>
    <row r="4038" spans="1:20">
      <c r="A4038" s="8">
        <f>DATE(2012,12,31)-641</f>
        <v>40633</v>
      </c>
      <c r="B4038" s="8">
        <f>DATE(2012,12,31)-641</f>
        <v>40633</v>
      </c>
      <c r="C4038" s="9" t="s">
        <v>1672</v>
      </c>
      <c r="D4038">
        <v>10021276256</v>
      </c>
      <c r="E4038" t="s">
        <v>47</v>
      </c>
      <c r="F4038" t="s">
        <v>72</v>
      </c>
      <c r="G4038" t="s">
        <v>73</v>
      </c>
      <c r="H4038" t="s">
        <v>2008</v>
      </c>
      <c r="I4038" t="s">
        <v>2009</v>
      </c>
      <c r="J4038" t="s">
        <v>52</v>
      </c>
      <c r="K4038" s="3">
        <v>100431976383</v>
      </c>
      <c r="L4038" s="10">
        <v>40634</v>
      </c>
      <c r="M4038">
        <v>59.35</v>
      </c>
      <c r="N4038" s="11">
        <v>9</v>
      </c>
      <c r="O4038" s="12">
        <v>4.98</v>
      </c>
      <c r="P4038" s="12">
        <v>8.33</v>
      </c>
      <c r="Q4038" s="13">
        <v>-42.61</v>
      </c>
      <c r="R4038" s="36" t="s">
        <v>316</v>
      </c>
      <c r="S4038" s="7">
        <f t="shared" si="345"/>
        <v>1</v>
      </c>
      <c r="T4038" s="15" t="str">
        <f>VLOOKUP(R4038,产品分类!$C$2:$D$1278,2,0)</f>
        <v>家具产品</v>
      </c>
    </row>
    <row r="4039" spans="1:20">
      <c r="A4039" s="8">
        <f>DATE(2012,12,31)-829</f>
        <v>40445</v>
      </c>
      <c r="B4039" s="8">
        <f>DATE(2012,12,31)-829</f>
        <v>40445</v>
      </c>
      <c r="C4039" s="9" t="s">
        <v>1749</v>
      </c>
      <c r="D4039">
        <v>10021411256</v>
      </c>
      <c r="E4039" t="s">
        <v>47</v>
      </c>
      <c r="F4039" t="s">
        <v>114</v>
      </c>
      <c r="G4039" t="s">
        <v>115</v>
      </c>
      <c r="H4039" t="s">
        <v>2297</v>
      </c>
      <c r="I4039" t="s">
        <v>2298</v>
      </c>
      <c r="J4039" t="s">
        <v>52</v>
      </c>
      <c r="K4039" s="3">
        <v>100914534671</v>
      </c>
      <c r="L4039" s="10">
        <v>40446</v>
      </c>
      <c r="M4039">
        <v>1500.84</v>
      </c>
      <c r="N4039" s="11">
        <v>46</v>
      </c>
      <c r="O4039" s="12">
        <v>35.89</v>
      </c>
      <c r="P4039" s="12">
        <v>14.72</v>
      </c>
      <c r="Q4039" s="13">
        <v>91.56</v>
      </c>
      <c r="R4039" s="36" t="s">
        <v>1770</v>
      </c>
      <c r="S4039" s="7">
        <f t="shared" si="345"/>
        <v>1</v>
      </c>
      <c r="T4039" s="15" t="str">
        <f>VLOOKUP(R4039,产品分类!$C$2:$D$1278,2,0)</f>
        <v>数码电子</v>
      </c>
    </row>
    <row r="4040" spans="1:20">
      <c r="A4040" s="8">
        <f>DATE(2012,12,31)-829</f>
        <v>40445</v>
      </c>
      <c r="B4040" s="8">
        <f>DATE(2012,12,31)-829</f>
        <v>40445</v>
      </c>
      <c r="C4040" s="9" t="s">
        <v>1749</v>
      </c>
      <c r="D4040">
        <v>10021412329</v>
      </c>
      <c r="E4040" t="s">
        <v>47</v>
      </c>
      <c r="F4040" t="s">
        <v>122</v>
      </c>
      <c r="G4040" t="s">
        <v>123</v>
      </c>
      <c r="H4040" t="s">
        <v>2159</v>
      </c>
      <c r="I4040" t="s">
        <v>2160</v>
      </c>
      <c r="J4040" t="s">
        <v>52</v>
      </c>
      <c r="K4040" s="3">
        <v>10075567115</v>
      </c>
      <c r="L4040" s="10">
        <v>40447</v>
      </c>
      <c r="M4040">
        <v>98.64</v>
      </c>
      <c r="N4040" s="11">
        <v>45</v>
      </c>
      <c r="O4040" s="12">
        <v>2.08</v>
      </c>
      <c r="P4040" s="12">
        <v>1.49</v>
      </c>
      <c r="Q4040" s="13">
        <v>-9.361</v>
      </c>
      <c r="R4040" s="36" t="s">
        <v>2023</v>
      </c>
      <c r="S4040" s="7">
        <f t="shared" si="345"/>
        <v>2</v>
      </c>
      <c r="T4040" s="15" t="str">
        <f>VLOOKUP(R4040,产品分类!$C$2:$D$1278,2,0)</f>
        <v>数码电子</v>
      </c>
    </row>
    <row r="4041" spans="1:20">
      <c r="A4041" s="8">
        <f>DATE(2012,12,31)-275</f>
        <v>40999</v>
      </c>
      <c r="B4041" s="8">
        <f>DATE(2012,12,31)-275</f>
        <v>40999</v>
      </c>
      <c r="C4041" s="9" t="s">
        <v>1182</v>
      </c>
      <c r="D4041">
        <v>10021599624</v>
      </c>
      <c r="E4041" t="s">
        <v>47</v>
      </c>
      <c r="F4041" t="s">
        <v>91</v>
      </c>
      <c r="G4041" t="s">
        <v>92</v>
      </c>
      <c r="H4041" t="s">
        <v>2053</v>
      </c>
      <c r="I4041" t="s">
        <v>2054</v>
      </c>
      <c r="J4041" t="s">
        <v>52</v>
      </c>
      <c r="K4041" s="3">
        <v>10015013858</v>
      </c>
      <c r="L4041" s="10">
        <v>41001</v>
      </c>
      <c r="M4041">
        <v>184.18</v>
      </c>
      <c r="N4041" s="11">
        <v>1</v>
      </c>
      <c r="O4041" s="12">
        <v>178.47</v>
      </c>
      <c r="P4041" s="12">
        <v>19.99</v>
      </c>
      <c r="Q4041" s="13">
        <v>-112.44</v>
      </c>
      <c r="R4041" s="36" t="s">
        <v>249</v>
      </c>
      <c r="S4041" s="7">
        <f t="shared" si="345"/>
        <v>2</v>
      </c>
      <c r="T4041" s="15" t="str">
        <f>VLOOKUP(R4041,产品分类!$C$2:$D$1278,2,0)</f>
        <v>办公用品</v>
      </c>
    </row>
    <row r="4042" spans="1:20">
      <c r="A4042" s="8">
        <f>DATE(2012,12,31)-799</f>
        <v>40475</v>
      </c>
      <c r="B4042" s="8">
        <f>DATE(2012,12,31)-799</f>
        <v>40475</v>
      </c>
      <c r="C4042" s="9" t="s">
        <v>989</v>
      </c>
      <c r="D4042">
        <v>10021534362</v>
      </c>
      <c r="E4042" t="s">
        <v>47</v>
      </c>
      <c r="F4042" t="s">
        <v>91</v>
      </c>
      <c r="G4042" t="s">
        <v>92</v>
      </c>
      <c r="H4042" t="s">
        <v>2053</v>
      </c>
      <c r="I4042" t="s">
        <v>2054</v>
      </c>
      <c r="J4042" t="s">
        <v>52</v>
      </c>
      <c r="K4042" s="3">
        <v>100132807497</v>
      </c>
      <c r="L4042" s="10">
        <v>40476</v>
      </c>
      <c r="M4042">
        <v>8221.2935</v>
      </c>
      <c r="N4042" s="11">
        <v>50</v>
      </c>
      <c r="O4042" s="12">
        <v>195.99</v>
      </c>
      <c r="P4042" s="12">
        <v>4.2</v>
      </c>
      <c r="Q4042" s="13">
        <v>2342.214</v>
      </c>
      <c r="R4042" s="36" t="s">
        <v>1470</v>
      </c>
      <c r="S4042" s="7">
        <f t="shared" si="345"/>
        <v>1</v>
      </c>
      <c r="T4042" s="15" t="str">
        <f>VLOOKUP(R4042,产品分类!$C$2:$D$1278,2,0)</f>
        <v>数码电子</v>
      </c>
    </row>
    <row r="4043" spans="1:20">
      <c r="A4043" s="16">
        <f>DATE(2012,12,31)-799</f>
        <v>40475</v>
      </c>
      <c r="B4043" s="16">
        <f>DATE(2012,12,31)-799</f>
        <v>40475</v>
      </c>
      <c r="C4043" s="9" t="s">
        <v>989</v>
      </c>
      <c r="D4043">
        <v>10021272747</v>
      </c>
      <c r="E4043" t="s">
        <v>47</v>
      </c>
      <c r="F4043" t="s">
        <v>127</v>
      </c>
      <c r="G4043" t="s">
        <v>128</v>
      </c>
      <c r="H4043" t="s">
        <v>2189</v>
      </c>
      <c r="I4043" t="s">
        <v>2190</v>
      </c>
      <c r="J4043" t="s">
        <v>52</v>
      </c>
      <c r="K4043" s="3">
        <v>100417074803</v>
      </c>
      <c r="L4043" s="10">
        <v>40477</v>
      </c>
      <c r="M4043">
        <v>1158.26</v>
      </c>
      <c r="N4043" s="17">
        <v>7</v>
      </c>
      <c r="O4043" s="5">
        <v>172.99</v>
      </c>
      <c r="P4043" s="5">
        <v>19.99</v>
      </c>
      <c r="Q4043" s="6">
        <v>170.0765</v>
      </c>
      <c r="R4043" s="37" t="s">
        <v>1337</v>
      </c>
      <c r="S4043" s="7">
        <f t="shared" si="345"/>
        <v>2</v>
      </c>
      <c r="T4043" s="15" t="str">
        <f>VLOOKUP(R4043,产品分类!$C$2:$D$1278,2,0)</f>
        <v>办公用品</v>
      </c>
    </row>
    <row r="4044" spans="1:20">
      <c r="A4044" s="8">
        <f>DATE(2012,12,31)-1343</f>
        <v>39931</v>
      </c>
      <c r="B4044" s="8">
        <f>DATE(2012,12,31)-1343</f>
        <v>39931</v>
      </c>
      <c r="C4044" s="9" t="s">
        <v>848</v>
      </c>
      <c r="D4044">
        <v>10021324070</v>
      </c>
      <c r="E4044" t="s">
        <v>47</v>
      </c>
      <c r="F4044" t="s">
        <v>97</v>
      </c>
      <c r="G4044" t="s">
        <v>98</v>
      </c>
      <c r="H4044" t="s">
        <v>99</v>
      </c>
      <c r="I4044" t="s">
        <v>98</v>
      </c>
      <c r="J4044" t="s">
        <v>52</v>
      </c>
      <c r="K4044" s="3">
        <v>10015425518</v>
      </c>
      <c r="L4044" s="10">
        <v>39933</v>
      </c>
      <c r="M4044">
        <v>102.95</v>
      </c>
      <c r="N4044" s="11">
        <v>30</v>
      </c>
      <c r="O4044" s="12">
        <v>3.34</v>
      </c>
      <c r="P4044" s="12">
        <v>7.49</v>
      </c>
      <c r="Q4044" s="13">
        <v>-175.86</v>
      </c>
      <c r="R4044" s="36" t="s">
        <v>1943</v>
      </c>
      <c r="S4044" s="7">
        <f t="shared" si="345"/>
        <v>2</v>
      </c>
      <c r="T4044" s="15" t="str">
        <f>VLOOKUP(R4044,产品分类!$C$2:$D$1278,2,0)</f>
        <v>家具产品</v>
      </c>
    </row>
    <row r="4045" spans="1:20">
      <c r="A4045" s="8">
        <f t="shared" ref="A4045:B4047" si="346">DATE(2012,12,31)-528</f>
        <v>40746</v>
      </c>
      <c r="B4045" s="8">
        <f t="shared" si="346"/>
        <v>40746</v>
      </c>
      <c r="C4045" s="9" t="s">
        <v>781</v>
      </c>
      <c r="D4045">
        <v>10021307434</v>
      </c>
      <c r="E4045" t="s">
        <v>47</v>
      </c>
      <c r="F4045" t="s">
        <v>132</v>
      </c>
      <c r="G4045" t="s">
        <v>133</v>
      </c>
      <c r="H4045" t="s">
        <v>134</v>
      </c>
      <c r="I4045" t="s">
        <v>133</v>
      </c>
      <c r="J4045" t="s">
        <v>52</v>
      </c>
      <c r="K4045" s="3">
        <v>100732353455</v>
      </c>
      <c r="L4045" s="10">
        <v>40747</v>
      </c>
      <c r="M4045">
        <v>866.73</v>
      </c>
      <c r="N4045" s="11">
        <v>43</v>
      </c>
      <c r="O4045" s="12">
        <v>20.97</v>
      </c>
      <c r="P4045" s="12">
        <v>6.5</v>
      </c>
      <c r="Q4045" s="13">
        <v>-199.98</v>
      </c>
      <c r="R4045" s="36" t="s">
        <v>420</v>
      </c>
      <c r="S4045" s="7">
        <f t="shared" si="345"/>
        <v>1</v>
      </c>
      <c r="T4045" s="15" t="str">
        <f>VLOOKUP(R4045,产品分类!$C$2:$D$1278,2,0)</f>
        <v>数码电子</v>
      </c>
    </row>
    <row r="4046" spans="1:20">
      <c r="A4046" s="8">
        <f t="shared" si="346"/>
        <v>40746</v>
      </c>
      <c r="B4046" s="8">
        <f t="shared" si="346"/>
        <v>40746</v>
      </c>
      <c r="C4046" s="9" t="s">
        <v>781</v>
      </c>
      <c r="D4046">
        <v>10021634726</v>
      </c>
      <c r="E4046" t="s">
        <v>47</v>
      </c>
      <c r="F4046" t="s">
        <v>97</v>
      </c>
      <c r="G4046" t="s">
        <v>98</v>
      </c>
      <c r="H4046" t="s">
        <v>99</v>
      </c>
      <c r="I4046" t="s">
        <v>98</v>
      </c>
      <c r="J4046" t="s">
        <v>52</v>
      </c>
      <c r="K4046" s="3">
        <v>10015178676</v>
      </c>
      <c r="L4046" s="10">
        <v>40747</v>
      </c>
      <c r="M4046">
        <v>642.42</v>
      </c>
      <c r="N4046" s="11">
        <v>6</v>
      </c>
      <c r="O4046" s="12">
        <v>104.85</v>
      </c>
      <c r="P4046" s="12">
        <v>19.99</v>
      </c>
      <c r="Q4046" s="13">
        <v>80.01</v>
      </c>
      <c r="R4046" s="36" t="s">
        <v>2299</v>
      </c>
      <c r="S4046" s="7">
        <f t="shared" si="345"/>
        <v>1</v>
      </c>
      <c r="T4046" s="15" t="str">
        <f>VLOOKUP(R4046,产品分类!$C$2:$D$1278,2,0)</f>
        <v>数码电子</v>
      </c>
    </row>
    <row r="4047" spans="1:20">
      <c r="A4047" s="8">
        <f t="shared" si="346"/>
        <v>40746</v>
      </c>
      <c r="B4047" s="8">
        <f t="shared" si="346"/>
        <v>40746</v>
      </c>
      <c r="C4047" s="9" t="s">
        <v>781</v>
      </c>
      <c r="D4047">
        <v>10021515453</v>
      </c>
      <c r="E4047" t="s">
        <v>47</v>
      </c>
      <c r="F4047" t="s">
        <v>208</v>
      </c>
      <c r="G4047" t="s">
        <v>209</v>
      </c>
      <c r="H4047" t="s">
        <v>2300</v>
      </c>
      <c r="I4047" t="s">
        <v>2301</v>
      </c>
      <c r="J4047" t="s">
        <v>52</v>
      </c>
      <c r="K4047" s="3">
        <v>100413468684</v>
      </c>
      <c r="L4047" s="10">
        <v>40748</v>
      </c>
      <c r="M4047">
        <v>2169.7525</v>
      </c>
      <c r="N4047" s="11">
        <v>26</v>
      </c>
      <c r="O4047" s="12">
        <v>95.99</v>
      </c>
      <c r="P4047" s="12">
        <v>8.99</v>
      </c>
      <c r="Q4047" s="13">
        <v>374.751</v>
      </c>
      <c r="R4047" s="36" t="s">
        <v>1605</v>
      </c>
      <c r="S4047" s="7">
        <f t="shared" si="345"/>
        <v>2</v>
      </c>
      <c r="T4047" s="15" t="str">
        <f>VLOOKUP(R4047,产品分类!$C$2:$D$1278,2,0)</f>
        <v>家具产品</v>
      </c>
    </row>
    <row r="4048" spans="1:20">
      <c r="A4048" s="8">
        <f>DATE(2012,12,31)-270</f>
        <v>41004</v>
      </c>
      <c r="B4048" s="8">
        <f>DATE(2012,12,31)-270</f>
        <v>41004</v>
      </c>
      <c r="C4048" s="9" t="s">
        <v>1106</v>
      </c>
      <c r="D4048">
        <v>10021398142</v>
      </c>
      <c r="E4048" t="s">
        <v>47</v>
      </c>
      <c r="F4048" t="s">
        <v>137</v>
      </c>
      <c r="G4048" t="s">
        <v>138</v>
      </c>
      <c r="H4048" t="s">
        <v>139</v>
      </c>
      <c r="I4048" t="s">
        <v>601</v>
      </c>
      <c r="J4048" t="s">
        <v>52</v>
      </c>
      <c r="K4048" s="3">
        <v>100428086213</v>
      </c>
      <c r="L4048" s="10">
        <v>41005</v>
      </c>
      <c r="M4048">
        <v>204.49</v>
      </c>
      <c r="N4048" s="11">
        <v>30</v>
      </c>
      <c r="O4048" s="12">
        <v>6.48</v>
      </c>
      <c r="P4048" s="12">
        <v>8.73</v>
      </c>
      <c r="Q4048" s="13">
        <v>-142.3</v>
      </c>
      <c r="R4048" s="36" t="s">
        <v>924</v>
      </c>
      <c r="S4048" s="7">
        <f t="shared" si="345"/>
        <v>1</v>
      </c>
      <c r="T4048" s="15" t="str">
        <f>VLOOKUP(R4048,产品分类!$C$2:$D$1278,2,0)</f>
        <v>数码电子</v>
      </c>
    </row>
    <row r="4049" spans="1:20">
      <c r="A4049" s="8">
        <f>DATE(2012,12,31)-417</f>
        <v>40857</v>
      </c>
      <c r="B4049" s="8">
        <f>DATE(2012,12,31)-417</f>
        <v>40857</v>
      </c>
      <c r="C4049" s="9" t="s">
        <v>2084</v>
      </c>
      <c r="D4049">
        <v>10021316081</v>
      </c>
      <c r="E4049" t="s">
        <v>47</v>
      </c>
      <c r="F4049" t="s">
        <v>171</v>
      </c>
      <c r="G4049" t="s">
        <v>172</v>
      </c>
      <c r="H4049" t="s">
        <v>2073</v>
      </c>
      <c r="I4049" t="s">
        <v>2074</v>
      </c>
      <c r="J4049" t="s">
        <v>52</v>
      </c>
      <c r="K4049" s="3">
        <v>10036794419</v>
      </c>
      <c r="L4049" s="10">
        <v>40858</v>
      </c>
      <c r="M4049">
        <v>1154.89</v>
      </c>
      <c r="N4049" s="11">
        <v>27</v>
      </c>
      <c r="O4049" s="12">
        <v>40.98</v>
      </c>
      <c r="P4049" s="12">
        <v>6.5</v>
      </c>
      <c r="Q4049" s="13">
        <v>66.36</v>
      </c>
      <c r="R4049" s="36" t="s">
        <v>1481</v>
      </c>
      <c r="S4049" s="7">
        <f t="shared" si="345"/>
        <v>1</v>
      </c>
      <c r="T4049" s="15" t="str">
        <f>VLOOKUP(R4049,产品分类!$C$2:$D$1278,2,0)</f>
        <v>办公用品</v>
      </c>
    </row>
    <row r="4050" spans="1:20">
      <c r="A4050" s="8">
        <f>DATE(2012,12,31)-417</f>
        <v>40857</v>
      </c>
      <c r="B4050" s="8">
        <f>DATE(2012,12,31)-417</f>
        <v>40857</v>
      </c>
      <c r="C4050" s="9" t="s">
        <v>2084</v>
      </c>
      <c r="D4050">
        <v>10021375156</v>
      </c>
      <c r="E4050" t="s">
        <v>47</v>
      </c>
      <c r="F4050" t="s">
        <v>171</v>
      </c>
      <c r="G4050" t="s">
        <v>172</v>
      </c>
      <c r="H4050" t="s">
        <v>2073</v>
      </c>
      <c r="I4050" t="s">
        <v>2074</v>
      </c>
      <c r="J4050" t="s">
        <v>52</v>
      </c>
      <c r="K4050" s="3">
        <v>100132831878</v>
      </c>
      <c r="L4050" s="10">
        <v>40860</v>
      </c>
      <c r="M4050">
        <v>3310.9455</v>
      </c>
      <c r="N4050" s="11">
        <v>35</v>
      </c>
      <c r="O4050" s="12">
        <v>115.99</v>
      </c>
      <c r="P4050" s="12">
        <v>2.5</v>
      </c>
      <c r="Q4050" s="13">
        <v>822.402</v>
      </c>
      <c r="R4050" s="36" t="s">
        <v>914</v>
      </c>
      <c r="S4050" s="7">
        <f t="shared" si="345"/>
        <v>3</v>
      </c>
      <c r="T4050" s="15" t="str">
        <f>VLOOKUP(R4050,产品分类!$C$2:$D$1278,2,0)</f>
        <v>家具产品</v>
      </c>
    </row>
    <row r="4051" spans="1:20">
      <c r="A4051" s="8">
        <f>DATE(2012,12,31)-260</f>
        <v>41014</v>
      </c>
      <c r="B4051" s="8">
        <f>DATE(2012,12,31)-260</f>
        <v>41014</v>
      </c>
      <c r="C4051" s="9" t="s">
        <v>384</v>
      </c>
      <c r="D4051">
        <v>10021572500</v>
      </c>
      <c r="E4051" t="s">
        <v>47</v>
      </c>
      <c r="F4051" t="s">
        <v>171</v>
      </c>
      <c r="G4051" t="s">
        <v>172</v>
      </c>
      <c r="H4051" t="s">
        <v>2073</v>
      </c>
      <c r="I4051" t="s">
        <v>2074</v>
      </c>
      <c r="J4051" t="s">
        <v>52</v>
      </c>
      <c r="K4051" s="3">
        <v>100332966239</v>
      </c>
      <c r="L4051" s="10">
        <v>41014</v>
      </c>
      <c r="M4051">
        <v>55.02</v>
      </c>
      <c r="N4051" s="11">
        <v>10</v>
      </c>
      <c r="O4051" s="12">
        <v>5.02</v>
      </c>
      <c r="P4051" s="12">
        <v>5.14</v>
      </c>
      <c r="Q4051" s="13">
        <v>-56.12</v>
      </c>
      <c r="R4051" s="36" t="s">
        <v>597</v>
      </c>
      <c r="S4051" s="7">
        <f t="shared" si="345"/>
        <v>0</v>
      </c>
      <c r="T4051" s="15" t="str">
        <f>VLOOKUP(R4051,产品分类!$C$2:$D$1278,2,0)</f>
        <v>办公用品</v>
      </c>
    </row>
    <row r="4052" spans="1:20">
      <c r="A4052" s="8">
        <f>DATE(2012,12,31)-1225</f>
        <v>40049</v>
      </c>
      <c r="B4052" s="8">
        <f>DATE(2012,12,31)-1225</f>
        <v>40049</v>
      </c>
      <c r="C4052" s="9" t="s">
        <v>540</v>
      </c>
      <c r="D4052">
        <v>10021406893</v>
      </c>
      <c r="E4052" t="s">
        <v>47</v>
      </c>
      <c r="F4052" t="s">
        <v>177</v>
      </c>
      <c r="G4052" t="s">
        <v>178</v>
      </c>
      <c r="H4052" t="s">
        <v>2283</v>
      </c>
      <c r="I4052" t="s">
        <v>2284</v>
      </c>
      <c r="J4052" t="s">
        <v>52</v>
      </c>
      <c r="K4052" s="3">
        <v>10071903115</v>
      </c>
      <c r="L4052" s="10">
        <v>40051</v>
      </c>
      <c r="M4052">
        <v>146.15</v>
      </c>
      <c r="N4052" s="11">
        <v>35</v>
      </c>
      <c r="O4052" s="12">
        <v>4.06</v>
      </c>
      <c r="P4052" s="12">
        <v>6.89</v>
      </c>
      <c r="Q4052" s="13">
        <v>-180.26</v>
      </c>
      <c r="R4052" s="36" t="s">
        <v>1285</v>
      </c>
      <c r="S4052" s="7">
        <f t="shared" si="345"/>
        <v>2</v>
      </c>
      <c r="T4052" s="15" t="str">
        <f>VLOOKUP(R4052,产品分类!$C$2:$D$1278,2,0)</f>
        <v>办公用品</v>
      </c>
    </row>
    <row r="4053" spans="1:20">
      <c r="A4053" s="8">
        <f>DATE(2012,12,31)-1225</f>
        <v>40049</v>
      </c>
      <c r="B4053" s="8">
        <f>DATE(2012,12,31)-1225</f>
        <v>40049</v>
      </c>
      <c r="C4053" s="9" t="s">
        <v>540</v>
      </c>
      <c r="D4053">
        <v>10021569005</v>
      </c>
      <c r="E4053" t="s">
        <v>47</v>
      </c>
      <c r="F4053" t="s">
        <v>177</v>
      </c>
      <c r="G4053" t="s">
        <v>178</v>
      </c>
      <c r="H4053" t="s">
        <v>2283</v>
      </c>
      <c r="I4053" t="s">
        <v>2284</v>
      </c>
      <c r="J4053" t="s">
        <v>52</v>
      </c>
      <c r="K4053" s="3">
        <v>100424526894</v>
      </c>
      <c r="L4053" s="10">
        <v>40051</v>
      </c>
      <c r="M4053">
        <v>877.47</v>
      </c>
      <c r="N4053" s="11">
        <v>14</v>
      </c>
      <c r="O4053" s="12">
        <v>60.98</v>
      </c>
      <c r="P4053" s="12">
        <v>19.99</v>
      </c>
      <c r="Q4053" s="13">
        <v>151.24</v>
      </c>
      <c r="R4053" s="36" t="s">
        <v>1316</v>
      </c>
      <c r="S4053" s="7">
        <f t="shared" si="345"/>
        <v>2</v>
      </c>
      <c r="T4053" s="15" t="str">
        <f>VLOOKUP(R4053,产品分类!$C$2:$D$1278,2,0)</f>
        <v>办公用品</v>
      </c>
    </row>
    <row r="4054" spans="1:20">
      <c r="A4054" s="8">
        <f>DATE(2012,12,31)-583</f>
        <v>40691</v>
      </c>
      <c r="B4054" s="8">
        <f>DATE(2012,12,31)-583</f>
        <v>40691</v>
      </c>
      <c r="C4054" s="9" t="s">
        <v>1696</v>
      </c>
      <c r="D4054">
        <v>10021619567</v>
      </c>
      <c r="E4054" t="s">
        <v>47</v>
      </c>
      <c r="F4054" t="s">
        <v>61</v>
      </c>
      <c r="G4054" t="s">
        <v>62</v>
      </c>
      <c r="H4054" t="s">
        <v>2216</v>
      </c>
      <c r="I4054" t="s">
        <v>2217</v>
      </c>
      <c r="J4054" t="s">
        <v>52</v>
      </c>
      <c r="K4054" s="3">
        <v>100924883411</v>
      </c>
      <c r="L4054" s="10">
        <v>40691</v>
      </c>
      <c r="M4054">
        <v>246</v>
      </c>
      <c r="N4054" s="11">
        <v>44</v>
      </c>
      <c r="O4054" s="12">
        <v>5.78</v>
      </c>
      <c r="P4054" s="12">
        <v>7.96</v>
      </c>
      <c r="Q4054" s="13">
        <v>-207.36</v>
      </c>
      <c r="R4054" s="36" t="s">
        <v>1065</v>
      </c>
      <c r="S4054" s="7">
        <f t="shared" si="345"/>
        <v>0</v>
      </c>
      <c r="T4054" s="15" t="str">
        <f>VLOOKUP(R4054,产品分类!$C$2:$D$1278,2,0)</f>
        <v>办公用品</v>
      </c>
    </row>
    <row r="4055" spans="1:20">
      <c r="A4055" s="8">
        <f>DATE(2012,12,31)-200</f>
        <v>41074</v>
      </c>
      <c r="B4055" s="8">
        <f>DATE(2012,12,31)-200</f>
        <v>41074</v>
      </c>
      <c r="C4055" s="9" t="s">
        <v>466</v>
      </c>
      <c r="D4055">
        <v>10021401756</v>
      </c>
      <c r="E4055" t="s">
        <v>47</v>
      </c>
      <c r="F4055" t="s">
        <v>253</v>
      </c>
      <c r="G4055" t="s">
        <v>254</v>
      </c>
      <c r="H4055" t="s">
        <v>2287</v>
      </c>
      <c r="I4055" t="s">
        <v>2288</v>
      </c>
      <c r="J4055" t="s">
        <v>52</v>
      </c>
      <c r="K4055" s="3">
        <v>100432782503</v>
      </c>
      <c r="L4055" s="10">
        <v>41076</v>
      </c>
      <c r="M4055">
        <v>4488.2635</v>
      </c>
      <c r="N4055" s="11">
        <v>27</v>
      </c>
      <c r="O4055" s="12">
        <v>205.99</v>
      </c>
      <c r="P4055" s="12">
        <v>5</v>
      </c>
      <c r="Q4055" s="13">
        <v>750.546</v>
      </c>
      <c r="R4055" s="36" t="s">
        <v>1979</v>
      </c>
      <c r="S4055" s="7">
        <f t="shared" si="345"/>
        <v>2</v>
      </c>
      <c r="T4055" s="15" t="str">
        <f>VLOOKUP(R4055,产品分类!$C$2:$D$1278,2,0)</f>
        <v>办公用品</v>
      </c>
    </row>
    <row r="4056" spans="1:20">
      <c r="A4056" s="8">
        <f>DATE(2012,12,31)-203</f>
        <v>41071</v>
      </c>
      <c r="B4056" s="8">
        <f>DATE(2012,12,31)-203</f>
        <v>41071</v>
      </c>
      <c r="C4056" s="9" t="s">
        <v>555</v>
      </c>
      <c r="D4056">
        <v>10021602584</v>
      </c>
      <c r="E4056" t="s">
        <v>47</v>
      </c>
      <c r="F4056" t="s">
        <v>61</v>
      </c>
      <c r="G4056" t="s">
        <v>62</v>
      </c>
      <c r="H4056" t="s">
        <v>2216</v>
      </c>
      <c r="I4056" t="s">
        <v>2217</v>
      </c>
      <c r="J4056" t="s">
        <v>52</v>
      </c>
      <c r="K4056" s="3">
        <v>100725842405</v>
      </c>
      <c r="L4056" s="10">
        <v>41072</v>
      </c>
      <c r="M4056">
        <v>871.32</v>
      </c>
      <c r="N4056" s="11">
        <v>23</v>
      </c>
      <c r="O4056" s="12">
        <v>40.99</v>
      </c>
      <c r="P4056" s="12">
        <v>5.86</v>
      </c>
      <c r="Q4056" s="13">
        <v>315.16</v>
      </c>
      <c r="R4056" s="36" t="s">
        <v>2083</v>
      </c>
      <c r="S4056" s="7">
        <f t="shared" si="345"/>
        <v>1</v>
      </c>
      <c r="T4056" s="15" t="str">
        <f>VLOOKUP(R4056,产品分类!$C$2:$D$1278,2,0)</f>
        <v>家具产品</v>
      </c>
    </row>
    <row r="4057" spans="1:20">
      <c r="A4057" s="8">
        <f t="shared" ref="A4057:B4059" si="347">DATE(2012,12,31)-976</f>
        <v>40298</v>
      </c>
      <c r="B4057" s="8">
        <f t="shared" si="347"/>
        <v>40298</v>
      </c>
      <c r="C4057" s="9" t="s">
        <v>2007</v>
      </c>
      <c r="D4057">
        <v>10021637053</v>
      </c>
      <c r="E4057" t="s">
        <v>47</v>
      </c>
      <c r="F4057" t="s">
        <v>253</v>
      </c>
      <c r="G4057" t="s">
        <v>254</v>
      </c>
      <c r="H4057" t="s">
        <v>2287</v>
      </c>
      <c r="I4057" t="s">
        <v>2288</v>
      </c>
      <c r="J4057" t="s">
        <v>52</v>
      </c>
      <c r="K4057" s="3">
        <v>100416882023</v>
      </c>
      <c r="L4057" s="10">
        <v>40300</v>
      </c>
      <c r="M4057">
        <v>185.16</v>
      </c>
      <c r="N4057" s="11">
        <v>3</v>
      </c>
      <c r="O4057" s="12">
        <v>59.98</v>
      </c>
      <c r="P4057" s="12">
        <v>3.99</v>
      </c>
      <c r="Q4057" s="13">
        <v>-49.34</v>
      </c>
      <c r="R4057" s="36" t="s">
        <v>378</v>
      </c>
      <c r="S4057" s="7">
        <f t="shared" si="345"/>
        <v>2</v>
      </c>
      <c r="T4057" s="15" t="str">
        <f>VLOOKUP(R4057,产品分类!$C$2:$D$1278,2,0)</f>
        <v>数码电子</v>
      </c>
    </row>
    <row r="4058" spans="1:20">
      <c r="A4058" s="8">
        <f t="shared" si="347"/>
        <v>40298</v>
      </c>
      <c r="B4058" s="8">
        <f t="shared" si="347"/>
        <v>40298</v>
      </c>
      <c r="C4058" s="9" t="s">
        <v>2007</v>
      </c>
      <c r="D4058">
        <v>10021361956</v>
      </c>
      <c r="E4058" t="s">
        <v>47</v>
      </c>
      <c r="F4058" t="s">
        <v>72</v>
      </c>
      <c r="G4058" t="s">
        <v>73</v>
      </c>
      <c r="H4058" t="s">
        <v>2008</v>
      </c>
      <c r="I4058" t="s">
        <v>2009</v>
      </c>
      <c r="J4058" t="s">
        <v>52</v>
      </c>
      <c r="K4058" s="3">
        <v>100711184375</v>
      </c>
      <c r="L4058" s="10">
        <v>40298</v>
      </c>
      <c r="M4058">
        <v>5144.94</v>
      </c>
      <c r="N4058" s="11">
        <v>22</v>
      </c>
      <c r="O4058" s="12">
        <v>256.99</v>
      </c>
      <c r="P4058" s="12">
        <v>11.25</v>
      </c>
      <c r="Q4058" s="13">
        <v>729.06</v>
      </c>
      <c r="R4058" s="36" t="s">
        <v>2153</v>
      </c>
      <c r="S4058" s="7">
        <f t="shared" si="345"/>
        <v>0</v>
      </c>
      <c r="T4058" s="15" t="str">
        <f>VLOOKUP(R4058,产品分类!$C$2:$D$1278,2,0)</f>
        <v>数码电子</v>
      </c>
    </row>
    <row r="4059" spans="1:20">
      <c r="A4059" s="8">
        <f t="shared" si="347"/>
        <v>40298</v>
      </c>
      <c r="B4059" s="8">
        <f t="shared" si="347"/>
        <v>40298</v>
      </c>
      <c r="C4059" s="9" t="s">
        <v>2007</v>
      </c>
      <c r="D4059">
        <v>10021278451</v>
      </c>
      <c r="E4059" t="s">
        <v>47</v>
      </c>
      <c r="F4059" t="s">
        <v>253</v>
      </c>
      <c r="G4059" t="s">
        <v>254</v>
      </c>
      <c r="H4059" t="s">
        <v>2287</v>
      </c>
      <c r="I4059" t="s">
        <v>2288</v>
      </c>
      <c r="J4059" t="s">
        <v>52</v>
      </c>
      <c r="K4059" s="3">
        <v>100729343405</v>
      </c>
      <c r="L4059" s="10">
        <v>40300</v>
      </c>
      <c r="M4059">
        <v>1397.383</v>
      </c>
      <c r="N4059" s="11">
        <v>46</v>
      </c>
      <c r="O4059" s="12">
        <v>35.99</v>
      </c>
      <c r="P4059" s="12">
        <v>5</v>
      </c>
      <c r="Q4059" s="13">
        <v>-135.861</v>
      </c>
      <c r="R4059" s="36" t="s">
        <v>1724</v>
      </c>
      <c r="S4059" s="7">
        <f t="shared" si="345"/>
        <v>2</v>
      </c>
      <c r="T4059" s="15" t="str">
        <f>VLOOKUP(R4059,产品分类!$C$2:$D$1278,2,0)</f>
        <v>办公用品</v>
      </c>
    </row>
    <row r="4060" spans="1:20">
      <c r="A4060" s="8">
        <f>DATE(2012,12,31)-83</f>
        <v>41191</v>
      </c>
      <c r="B4060" s="8">
        <f>DATE(2012,12,31)-83</f>
        <v>41191</v>
      </c>
      <c r="C4060" s="9" t="s">
        <v>1616</v>
      </c>
      <c r="D4060">
        <v>10021525626</v>
      </c>
      <c r="E4060" t="s">
        <v>47</v>
      </c>
      <c r="F4060" t="s">
        <v>152</v>
      </c>
      <c r="G4060" t="s">
        <v>153</v>
      </c>
      <c r="H4060" t="s">
        <v>2200</v>
      </c>
      <c r="I4060" t="s">
        <v>2201</v>
      </c>
      <c r="J4060" t="s">
        <v>52</v>
      </c>
      <c r="K4060" s="3">
        <v>100122419976</v>
      </c>
      <c r="L4060" s="10">
        <v>41192</v>
      </c>
      <c r="M4060">
        <v>230.97</v>
      </c>
      <c r="N4060" s="11">
        <v>37</v>
      </c>
      <c r="O4060" s="12">
        <v>6.48</v>
      </c>
      <c r="P4060" s="12">
        <v>8.19</v>
      </c>
      <c r="Q4060" s="13">
        <v>-173.73</v>
      </c>
      <c r="R4060" s="36" t="s">
        <v>120</v>
      </c>
      <c r="S4060" s="7">
        <f t="shared" si="345"/>
        <v>1</v>
      </c>
      <c r="T4060" s="15" t="str">
        <f>VLOOKUP(R4060,产品分类!$C$2:$D$1278,2,0)</f>
        <v>家具产品</v>
      </c>
    </row>
    <row r="4061" spans="1:20">
      <c r="A4061" s="8">
        <f>DATE(2012,12,31)-83</f>
        <v>41191</v>
      </c>
      <c r="B4061" s="8">
        <f>DATE(2012,12,31)-83</f>
        <v>41191</v>
      </c>
      <c r="C4061" s="9" t="s">
        <v>1616</v>
      </c>
      <c r="D4061">
        <v>10021417809</v>
      </c>
      <c r="E4061" t="s">
        <v>47</v>
      </c>
      <c r="F4061" t="s">
        <v>48</v>
      </c>
      <c r="G4061" t="s">
        <v>49</v>
      </c>
      <c r="H4061" t="s">
        <v>2183</v>
      </c>
      <c r="I4061" t="s">
        <v>2184</v>
      </c>
      <c r="J4061" t="s">
        <v>52</v>
      </c>
      <c r="K4061" s="3">
        <v>100118001226</v>
      </c>
      <c r="L4061" s="10">
        <v>41193</v>
      </c>
      <c r="M4061">
        <v>723.17</v>
      </c>
      <c r="N4061" s="11">
        <v>46</v>
      </c>
      <c r="O4061" s="12">
        <v>16.98</v>
      </c>
      <c r="P4061" s="12">
        <v>12.39</v>
      </c>
      <c r="Q4061" s="13">
        <v>-154.11</v>
      </c>
      <c r="R4061" s="36" t="s">
        <v>1307</v>
      </c>
      <c r="S4061" s="7">
        <f t="shared" si="345"/>
        <v>2</v>
      </c>
      <c r="T4061" s="15" t="str">
        <f>VLOOKUP(R4061,产品分类!$C$2:$D$1278,2,0)</f>
        <v>办公用品</v>
      </c>
    </row>
    <row r="4062" spans="1:20">
      <c r="A4062" s="8">
        <f>DATE(2012,12,31)-894</f>
        <v>40380</v>
      </c>
      <c r="B4062" s="8">
        <f>DATE(2012,12,31)-894</f>
        <v>40380</v>
      </c>
      <c r="C4062" s="9" t="s">
        <v>2085</v>
      </c>
      <c r="D4062">
        <v>10021334229</v>
      </c>
      <c r="E4062" t="s">
        <v>47</v>
      </c>
      <c r="F4062" t="s">
        <v>66</v>
      </c>
      <c r="G4062" t="s">
        <v>67</v>
      </c>
      <c r="H4062" t="s">
        <v>2244</v>
      </c>
      <c r="I4062" t="s">
        <v>2245</v>
      </c>
      <c r="J4062" t="s">
        <v>52</v>
      </c>
      <c r="K4062" s="3">
        <v>10097685131</v>
      </c>
      <c r="L4062" s="10">
        <v>40380</v>
      </c>
      <c r="M4062">
        <v>269.57</v>
      </c>
      <c r="N4062" s="11">
        <v>24</v>
      </c>
      <c r="O4062" s="12">
        <v>10.4</v>
      </c>
      <c r="P4062" s="12">
        <v>5.4</v>
      </c>
      <c r="Q4062" s="13">
        <v>33.47</v>
      </c>
      <c r="R4062" s="36" t="s">
        <v>1514</v>
      </c>
      <c r="S4062" s="7">
        <f t="shared" si="345"/>
        <v>0</v>
      </c>
      <c r="T4062" s="15" t="str">
        <f>VLOOKUP(R4062,产品分类!$C$2:$D$1278,2,0)</f>
        <v>家具产品</v>
      </c>
    </row>
    <row r="4063" spans="1:20">
      <c r="A4063" s="8">
        <f>DATE(2012,12,31)-894</f>
        <v>40380</v>
      </c>
      <c r="B4063" s="8">
        <f>DATE(2012,12,31)-894</f>
        <v>40380</v>
      </c>
      <c r="C4063" s="9" t="s">
        <v>2085</v>
      </c>
      <c r="D4063">
        <v>10021434272</v>
      </c>
      <c r="E4063" t="s">
        <v>47</v>
      </c>
      <c r="F4063" t="s">
        <v>48</v>
      </c>
      <c r="G4063" t="s">
        <v>49</v>
      </c>
      <c r="H4063" t="s">
        <v>2183</v>
      </c>
      <c r="I4063" t="s">
        <v>2184</v>
      </c>
      <c r="J4063" t="s">
        <v>52</v>
      </c>
      <c r="K4063" s="3">
        <v>100132656026</v>
      </c>
      <c r="L4063" s="10">
        <v>40387</v>
      </c>
      <c r="M4063">
        <v>98.94</v>
      </c>
      <c r="N4063" s="11">
        <v>18</v>
      </c>
      <c r="O4063" s="12">
        <v>5.85</v>
      </c>
      <c r="P4063" s="12">
        <v>2.27</v>
      </c>
      <c r="Q4063" s="13">
        <v>-12.59</v>
      </c>
      <c r="R4063" s="36" t="s">
        <v>834</v>
      </c>
      <c r="S4063" s="7">
        <f t="shared" si="345"/>
        <v>7</v>
      </c>
      <c r="T4063" s="15" t="str">
        <f>VLOOKUP(R4063,产品分类!$C$2:$D$1278,2,0)</f>
        <v>家具产品</v>
      </c>
    </row>
    <row r="4064" spans="1:20">
      <c r="A4064" s="8">
        <f>DATE(2012,12,31)-1271</f>
        <v>40003</v>
      </c>
      <c r="B4064" s="8">
        <f>DATE(2012,12,31)-1271</f>
        <v>40003</v>
      </c>
      <c r="C4064" s="9" t="s">
        <v>1149</v>
      </c>
      <c r="D4064">
        <v>10021426591</v>
      </c>
      <c r="E4064" t="s">
        <v>47</v>
      </c>
      <c r="F4064" t="s">
        <v>66</v>
      </c>
      <c r="G4064" t="s">
        <v>67</v>
      </c>
      <c r="H4064" t="s">
        <v>2244</v>
      </c>
      <c r="I4064" t="s">
        <v>2245</v>
      </c>
      <c r="J4064" t="s">
        <v>52</v>
      </c>
      <c r="K4064" s="3">
        <v>100430235863</v>
      </c>
      <c r="L4064" s="10">
        <v>40004</v>
      </c>
      <c r="M4064">
        <v>11.16</v>
      </c>
      <c r="N4064" s="11">
        <v>1</v>
      </c>
      <c r="O4064" s="12">
        <v>5.58</v>
      </c>
      <c r="P4064" s="12">
        <v>5.3</v>
      </c>
      <c r="Q4064" s="13">
        <v>-7.25</v>
      </c>
      <c r="R4064" s="36" t="s">
        <v>892</v>
      </c>
      <c r="S4064" s="7">
        <f t="shared" si="345"/>
        <v>1</v>
      </c>
      <c r="T4064" s="15" t="str">
        <f>VLOOKUP(R4064,产品分类!$C$2:$D$1278,2,0)</f>
        <v>家具产品</v>
      </c>
    </row>
    <row r="4065" spans="1:20">
      <c r="A4065" s="8">
        <f>DATE(2012,12,31)-1271</f>
        <v>40003</v>
      </c>
      <c r="B4065" s="8">
        <f>DATE(2012,12,31)-1271</f>
        <v>40003</v>
      </c>
      <c r="C4065" s="9" t="s">
        <v>1149</v>
      </c>
      <c r="D4065">
        <v>10021416371</v>
      </c>
      <c r="E4065" t="s">
        <v>47</v>
      </c>
      <c r="F4065" t="s">
        <v>152</v>
      </c>
      <c r="G4065" t="s">
        <v>153</v>
      </c>
      <c r="H4065" t="s">
        <v>2302</v>
      </c>
      <c r="I4065" t="s">
        <v>2303</v>
      </c>
      <c r="J4065" t="s">
        <v>52</v>
      </c>
      <c r="K4065" s="3">
        <v>100114556676</v>
      </c>
      <c r="L4065" s="10">
        <v>40004</v>
      </c>
      <c r="M4065">
        <v>156.2</v>
      </c>
      <c r="N4065" s="11">
        <v>38</v>
      </c>
      <c r="O4065" s="12">
        <v>3.98</v>
      </c>
      <c r="P4065" s="12">
        <v>0.7</v>
      </c>
      <c r="Q4065" s="13">
        <v>43</v>
      </c>
      <c r="R4065" s="36" t="s">
        <v>1026</v>
      </c>
      <c r="S4065" s="7">
        <f t="shared" si="345"/>
        <v>1</v>
      </c>
      <c r="T4065" s="15" t="str">
        <f>VLOOKUP(R4065,产品分类!$C$2:$D$1278,2,0)</f>
        <v>数码电子</v>
      </c>
    </row>
    <row r="4066" spans="1:20">
      <c r="A4066" s="8">
        <f t="shared" ref="A4066:B4068" si="348">DATE(2012,12,31)-33</f>
        <v>41241</v>
      </c>
      <c r="B4066" s="8">
        <f t="shared" si="348"/>
        <v>41241</v>
      </c>
      <c r="C4066" s="9" t="s">
        <v>931</v>
      </c>
      <c r="D4066">
        <v>10021342321</v>
      </c>
      <c r="E4066" t="s">
        <v>47</v>
      </c>
      <c r="F4066" t="s">
        <v>152</v>
      </c>
      <c r="G4066" t="s">
        <v>153</v>
      </c>
      <c r="H4066" t="s">
        <v>2302</v>
      </c>
      <c r="I4066" t="s">
        <v>2303</v>
      </c>
      <c r="J4066" t="s">
        <v>52</v>
      </c>
      <c r="K4066" s="3">
        <v>100327654989</v>
      </c>
      <c r="L4066" s="10">
        <v>41242</v>
      </c>
      <c r="M4066">
        <v>1272.35</v>
      </c>
      <c r="N4066" s="11">
        <v>12</v>
      </c>
      <c r="O4066" s="12">
        <v>100.98</v>
      </c>
      <c r="P4066" s="12">
        <v>7.18</v>
      </c>
      <c r="Q4066" s="13">
        <v>297.57</v>
      </c>
      <c r="R4066" s="36" t="s">
        <v>1779</v>
      </c>
      <c r="S4066" s="7">
        <f t="shared" si="345"/>
        <v>1</v>
      </c>
      <c r="T4066" s="15" t="str">
        <f>VLOOKUP(R4066,产品分类!$C$2:$D$1278,2,0)</f>
        <v>家具产品</v>
      </c>
    </row>
    <row r="4067" spans="1:20">
      <c r="A4067" s="8">
        <f t="shared" si="348"/>
        <v>41241</v>
      </c>
      <c r="B4067" s="8">
        <f t="shared" si="348"/>
        <v>41241</v>
      </c>
      <c r="C4067" s="9" t="s">
        <v>931</v>
      </c>
      <c r="D4067">
        <v>10021591278</v>
      </c>
      <c r="E4067" t="s">
        <v>47</v>
      </c>
      <c r="F4067" t="s">
        <v>66</v>
      </c>
      <c r="G4067" t="s">
        <v>67</v>
      </c>
      <c r="H4067" t="s">
        <v>2244</v>
      </c>
      <c r="I4067" t="s">
        <v>2245</v>
      </c>
      <c r="J4067" t="s">
        <v>52</v>
      </c>
      <c r="K4067" s="3">
        <v>100731771885</v>
      </c>
      <c r="L4067" s="10">
        <v>41243</v>
      </c>
      <c r="M4067">
        <v>4000.35</v>
      </c>
      <c r="N4067" s="11">
        <v>26</v>
      </c>
      <c r="O4067" s="12">
        <v>160.98</v>
      </c>
      <c r="P4067" s="12">
        <v>30</v>
      </c>
      <c r="Q4067" s="13">
        <v>303.39</v>
      </c>
      <c r="R4067" s="36" t="s">
        <v>764</v>
      </c>
      <c r="S4067" s="7">
        <f t="shared" si="345"/>
        <v>2</v>
      </c>
      <c r="T4067" s="15" t="str">
        <f>VLOOKUP(R4067,产品分类!$C$2:$D$1278,2,0)</f>
        <v>家具产品</v>
      </c>
    </row>
    <row r="4068" spans="1:20">
      <c r="A4068" s="8">
        <f t="shared" si="348"/>
        <v>41241</v>
      </c>
      <c r="B4068" s="8">
        <f t="shared" si="348"/>
        <v>41241</v>
      </c>
      <c r="C4068" s="9" t="s">
        <v>931</v>
      </c>
      <c r="D4068">
        <v>10021501967</v>
      </c>
      <c r="E4068" t="s">
        <v>47</v>
      </c>
      <c r="F4068" t="s">
        <v>152</v>
      </c>
      <c r="G4068" t="s">
        <v>153</v>
      </c>
      <c r="H4068" t="s">
        <v>2302</v>
      </c>
      <c r="I4068" t="s">
        <v>2303</v>
      </c>
      <c r="J4068" t="s">
        <v>52</v>
      </c>
      <c r="K4068" s="3">
        <v>100427919633</v>
      </c>
      <c r="L4068" s="10">
        <v>41243</v>
      </c>
      <c r="M4068">
        <v>3356.92</v>
      </c>
      <c r="N4068" s="11">
        <v>26</v>
      </c>
      <c r="O4068" s="12">
        <v>120.97</v>
      </c>
      <c r="P4068" s="12">
        <v>7.11</v>
      </c>
      <c r="Q4068" s="13">
        <v>1555.9</v>
      </c>
      <c r="R4068" s="36" t="s">
        <v>1000</v>
      </c>
      <c r="S4068" s="7">
        <f t="shared" si="345"/>
        <v>2</v>
      </c>
      <c r="T4068" s="15" t="str">
        <f>VLOOKUP(R4068,产品分类!$C$2:$D$1278,2,0)</f>
        <v>家具产品</v>
      </c>
    </row>
    <row r="4069" spans="1:20">
      <c r="A4069" s="8">
        <f>DATE(2012,12,31)-393</f>
        <v>40881</v>
      </c>
      <c r="B4069" s="8">
        <f>DATE(2012,12,31)-393</f>
        <v>40881</v>
      </c>
      <c r="C4069" s="9" t="s">
        <v>1738</v>
      </c>
      <c r="D4069">
        <v>10021608795</v>
      </c>
      <c r="E4069" t="s">
        <v>47</v>
      </c>
      <c r="F4069" t="s">
        <v>66</v>
      </c>
      <c r="G4069" t="s">
        <v>67</v>
      </c>
      <c r="H4069" t="s">
        <v>2244</v>
      </c>
      <c r="I4069" t="s">
        <v>2245</v>
      </c>
      <c r="J4069" t="s">
        <v>52</v>
      </c>
      <c r="K4069" s="3">
        <v>100926828491</v>
      </c>
      <c r="L4069" s="10">
        <v>40883</v>
      </c>
      <c r="M4069">
        <v>6072.1875</v>
      </c>
      <c r="N4069" s="11">
        <v>37</v>
      </c>
      <c r="O4069" s="12">
        <v>205.99</v>
      </c>
      <c r="P4069" s="12">
        <v>2.5</v>
      </c>
      <c r="Q4069" s="13">
        <v>1372.086</v>
      </c>
      <c r="R4069" s="36" t="s">
        <v>1613</v>
      </c>
      <c r="S4069" s="7">
        <f t="shared" si="345"/>
        <v>2</v>
      </c>
      <c r="T4069" s="15" t="str">
        <f>VLOOKUP(R4069,产品分类!$C$2:$D$1278,2,0)</f>
        <v>数码电子</v>
      </c>
    </row>
    <row r="4070" spans="1:20">
      <c r="A4070" s="16">
        <f>DATE(2012,12,31)-469</f>
        <v>40805</v>
      </c>
      <c r="B4070" s="16">
        <f>DATE(2012,12,31)-469</f>
        <v>40805</v>
      </c>
      <c r="C4070" s="9" t="s">
        <v>113</v>
      </c>
      <c r="D4070">
        <v>10021529269</v>
      </c>
      <c r="E4070" t="s">
        <v>47</v>
      </c>
      <c r="F4070" t="s">
        <v>66</v>
      </c>
      <c r="G4070" t="s">
        <v>67</v>
      </c>
      <c r="H4070" t="s">
        <v>2244</v>
      </c>
      <c r="I4070" t="s">
        <v>2245</v>
      </c>
      <c r="J4070" t="s">
        <v>52</v>
      </c>
      <c r="K4070" s="3">
        <v>10019938948</v>
      </c>
      <c r="L4070" s="10">
        <v>40806</v>
      </c>
      <c r="M4070">
        <v>6863.95</v>
      </c>
      <c r="N4070" s="17">
        <v>41</v>
      </c>
      <c r="O4070" s="5">
        <v>178.47</v>
      </c>
      <c r="P4070" s="5">
        <v>19.99</v>
      </c>
      <c r="Q4070" s="6">
        <v>1662.92</v>
      </c>
      <c r="R4070" s="37" t="s">
        <v>249</v>
      </c>
      <c r="S4070" s="7">
        <f t="shared" si="345"/>
        <v>1</v>
      </c>
      <c r="T4070" s="15" t="str">
        <f>VLOOKUP(R4070,产品分类!$C$2:$D$1278,2,0)</f>
        <v>办公用品</v>
      </c>
    </row>
    <row r="4071" spans="1:20">
      <c r="A4071" s="16">
        <f>DATE(2012,12,31)-964</f>
        <v>40310</v>
      </c>
      <c r="B4071" s="16">
        <f>DATE(2012,12,31)-964</f>
        <v>40310</v>
      </c>
      <c r="C4071" s="9" t="s">
        <v>1666</v>
      </c>
      <c r="D4071">
        <v>10021575102</v>
      </c>
      <c r="E4071" t="s">
        <v>47</v>
      </c>
      <c r="F4071" t="s">
        <v>152</v>
      </c>
      <c r="G4071" t="s">
        <v>153</v>
      </c>
      <c r="H4071" t="s">
        <v>2302</v>
      </c>
      <c r="I4071" t="s">
        <v>2303</v>
      </c>
      <c r="J4071" t="s">
        <v>52</v>
      </c>
      <c r="K4071" s="3">
        <v>10043567603</v>
      </c>
      <c r="L4071" s="10">
        <v>40311</v>
      </c>
      <c r="M4071">
        <v>298.52</v>
      </c>
      <c r="N4071" s="17">
        <v>9</v>
      </c>
      <c r="O4071" s="5">
        <v>30.98</v>
      </c>
      <c r="P4071" s="5">
        <v>5.76</v>
      </c>
      <c r="Q4071" s="6">
        <v>73.19</v>
      </c>
      <c r="R4071" s="37" t="s">
        <v>751</v>
      </c>
      <c r="S4071" s="7">
        <f t="shared" si="345"/>
        <v>1</v>
      </c>
      <c r="T4071" s="15" t="str">
        <f>VLOOKUP(R4071,产品分类!$C$2:$D$1278,2,0)</f>
        <v>办公用品</v>
      </c>
    </row>
    <row r="4072" spans="1:20">
      <c r="A4072" s="16">
        <f>DATE(2012,12,31)-964</f>
        <v>40310</v>
      </c>
      <c r="B4072" s="16">
        <f>DATE(2012,12,31)-964</f>
        <v>40310</v>
      </c>
      <c r="C4072" s="9" t="s">
        <v>1666</v>
      </c>
      <c r="D4072">
        <v>10021433033</v>
      </c>
      <c r="E4072" t="s">
        <v>47</v>
      </c>
      <c r="F4072" t="s">
        <v>66</v>
      </c>
      <c r="G4072" t="s">
        <v>67</v>
      </c>
      <c r="H4072" t="s">
        <v>2244</v>
      </c>
      <c r="I4072" t="s">
        <v>2245</v>
      </c>
      <c r="J4072" t="s">
        <v>52</v>
      </c>
      <c r="K4072" s="3">
        <v>100932592171</v>
      </c>
      <c r="L4072" s="10">
        <v>40311</v>
      </c>
      <c r="M4072">
        <v>667.35</v>
      </c>
      <c r="N4072" s="17">
        <v>34</v>
      </c>
      <c r="O4072" s="5">
        <v>19.98</v>
      </c>
      <c r="P4072" s="5">
        <v>8.68</v>
      </c>
      <c r="Q4072" s="6">
        <v>80.92</v>
      </c>
      <c r="R4072" s="37" t="s">
        <v>1340</v>
      </c>
      <c r="S4072" s="7">
        <f t="shared" si="345"/>
        <v>1</v>
      </c>
      <c r="T4072" s="15" t="str">
        <f>VLOOKUP(R4072,产品分类!$C$2:$D$1278,2,0)</f>
        <v>办公用品</v>
      </c>
    </row>
    <row r="4073" spans="1:20">
      <c r="A4073" s="8">
        <f>DATE(2012,12,31)-1451</f>
        <v>39823</v>
      </c>
      <c r="B4073" s="8">
        <f>DATE(2012,12,31)-1451</f>
        <v>39823</v>
      </c>
      <c r="C4073" s="9" t="s">
        <v>1054</v>
      </c>
      <c r="D4073">
        <v>10021261964</v>
      </c>
      <c r="E4073" t="s">
        <v>47</v>
      </c>
      <c r="F4073" t="s">
        <v>72</v>
      </c>
      <c r="G4073" t="s">
        <v>73</v>
      </c>
      <c r="H4073" t="s">
        <v>2008</v>
      </c>
      <c r="I4073" t="s">
        <v>2009</v>
      </c>
      <c r="J4073" t="s">
        <v>52</v>
      </c>
      <c r="K4073" s="3">
        <v>100129755408</v>
      </c>
      <c r="L4073" s="10">
        <v>39824</v>
      </c>
      <c r="M4073">
        <v>1177.5</v>
      </c>
      <c r="N4073" s="11">
        <v>34</v>
      </c>
      <c r="O4073" s="12">
        <v>33.98</v>
      </c>
      <c r="P4073" s="12">
        <v>1.99</v>
      </c>
      <c r="Q4073" s="13">
        <v>420.05</v>
      </c>
      <c r="R4073" s="36" t="s">
        <v>1044</v>
      </c>
      <c r="S4073" s="7">
        <f t="shared" si="345"/>
        <v>1</v>
      </c>
      <c r="T4073" s="15" t="str">
        <f>VLOOKUP(R4073,产品分类!$C$2:$D$1278,2,0)</f>
        <v>办公用品</v>
      </c>
    </row>
    <row r="4074" spans="1:20">
      <c r="A4074" s="8">
        <f>DATE(2012,12,31)-695</f>
        <v>40579</v>
      </c>
      <c r="B4074" s="8">
        <f>DATE(2012,12,31)-695</f>
        <v>40579</v>
      </c>
      <c r="C4074" s="9" t="s">
        <v>1404</v>
      </c>
      <c r="D4074">
        <v>10021587386</v>
      </c>
      <c r="E4074" t="s">
        <v>47</v>
      </c>
      <c r="F4074" t="s">
        <v>72</v>
      </c>
      <c r="G4074" t="s">
        <v>73</v>
      </c>
      <c r="H4074" t="s">
        <v>2008</v>
      </c>
      <c r="I4074" t="s">
        <v>2009</v>
      </c>
      <c r="J4074" t="s">
        <v>52</v>
      </c>
      <c r="K4074" s="3">
        <v>100129755408</v>
      </c>
      <c r="L4074" s="10">
        <v>40581</v>
      </c>
      <c r="M4074">
        <v>17131.36</v>
      </c>
      <c r="N4074" s="11">
        <v>43</v>
      </c>
      <c r="O4074" s="12">
        <v>400.97</v>
      </c>
      <c r="P4074" s="12">
        <v>14.7</v>
      </c>
      <c r="Q4074" s="13">
        <v>4722.77</v>
      </c>
      <c r="R4074" s="36" t="s">
        <v>2304</v>
      </c>
      <c r="S4074" s="7">
        <f t="shared" si="345"/>
        <v>2</v>
      </c>
      <c r="T4074" s="15" t="str">
        <f>VLOOKUP(R4074,产品分类!$C$2:$D$1278,2,0)</f>
        <v>数码电子</v>
      </c>
    </row>
    <row r="4075" spans="1:20">
      <c r="A4075" s="8">
        <f>DATE(2012,12,31)-364</f>
        <v>40910</v>
      </c>
      <c r="B4075" s="8">
        <f>DATE(2012,12,31)-364</f>
        <v>40910</v>
      </c>
      <c r="C4075" s="9" t="s">
        <v>861</v>
      </c>
      <c r="D4075">
        <v>10021249968</v>
      </c>
      <c r="E4075" t="s">
        <v>47</v>
      </c>
      <c r="F4075" t="s">
        <v>78</v>
      </c>
      <c r="G4075" t="s">
        <v>79</v>
      </c>
      <c r="H4075" t="s">
        <v>2105</v>
      </c>
      <c r="I4075" t="s">
        <v>2106</v>
      </c>
      <c r="J4075" t="s">
        <v>52</v>
      </c>
      <c r="K4075" s="3">
        <v>100712956485</v>
      </c>
      <c r="L4075" s="10">
        <v>40911</v>
      </c>
      <c r="M4075">
        <v>192.58</v>
      </c>
      <c r="N4075" s="11">
        <v>10</v>
      </c>
      <c r="O4075" s="12">
        <v>19.84</v>
      </c>
      <c r="P4075" s="12">
        <v>4.1</v>
      </c>
      <c r="Q4075" s="13">
        <v>24.6</v>
      </c>
      <c r="R4075" s="36" t="s">
        <v>175</v>
      </c>
      <c r="S4075" s="7">
        <f t="shared" si="345"/>
        <v>1</v>
      </c>
      <c r="T4075" s="15" t="str">
        <f>VLOOKUP(R4075,产品分类!$C$2:$D$1278,2,0)</f>
        <v>办公用品</v>
      </c>
    </row>
    <row r="4076" spans="1:20">
      <c r="A4076" s="8">
        <f t="shared" ref="A4076:B4079" si="349">DATE(2012,12,31)-1093</f>
        <v>40181</v>
      </c>
      <c r="B4076" s="8">
        <f t="shared" si="349"/>
        <v>40181</v>
      </c>
      <c r="C4076" s="9" t="s">
        <v>147</v>
      </c>
      <c r="D4076">
        <v>10021416203</v>
      </c>
      <c r="E4076" t="s">
        <v>47</v>
      </c>
      <c r="F4076" t="s">
        <v>72</v>
      </c>
      <c r="G4076" t="s">
        <v>73</v>
      </c>
      <c r="H4076" t="s">
        <v>2008</v>
      </c>
      <c r="I4076" t="s">
        <v>2009</v>
      </c>
      <c r="J4076" t="s">
        <v>52</v>
      </c>
      <c r="K4076" s="3">
        <v>100913934181</v>
      </c>
      <c r="L4076" s="10">
        <v>40183</v>
      </c>
      <c r="M4076">
        <v>287.61</v>
      </c>
      <c r="N4076" s="11">
        <v>43</v>
      </c>
      <c r="O4076" s="12">
        <v>6.48</v>
      </c>
      <c r="P4076" s="12">
        <v>6.35</v>
      </c>
      <c r="Q4076" s="13">
        <v>-101.5</v>
      </c>
      <c r="R4076" s="36" t="s">
        <v>1175</v>
      </c>
      <c r="S4076" s="7">
        <f t="shared" si="345"/>
        <v>2</v>
      </c>
      <c r="T4076" s="15" t="str">
        <f>VLOOKUP(R4076,产品分类!$C$2:$D$1278,2,0)</f>
        <v>家具产品</v>
      </c>
    </row>
    <row r="4077" spans="1:20">
      <c r="A4077" s="8">
        <f t="shared" si="349"/>
        <v>40181</v>
      </c>
      <c r="B4077" s="8">
        <f t="shared" si="349"/>
        <v>40181</v>
      </c>
      <c r="C4077" s="9" t="s">
        <v>147</v>
      </c>
      <c r="D4077">
        <v>10021344753</v>
      </c>
      <c r="E4077" t="s">
        <v>47</v>
      </c>
      <c r="F4077" t="s">
        <v>72</v>
      </c>
      <c r="G4077" t="s">
        <v>73</v>
      </c>
      <c r="H4077" t="s">
        <v>2008</v>
      </c>
      <c r="I4077" t="s">
        <v>2009</v>
      </c>
      <c r="J4077" t="s">
        <v>52</v>
      </c>
      <c r="K4077" s="3">
        <v>100129810848</v>
      </c>
      <c r="L4077" s="10">
        <v>40182</v>
      </c>
      <c r="M4077">
        <v>128.52</v>
      </c>
      <c r="N4077" s="11">
        <v>23</v>
      </c>
      <c r="O4077" s="12">
        <v>5.84</v>
      </c>
      <c r="P4077" s="12">
        <v>1</v>
      </c>
      <c r="Q4077" s="13">
        <v>42.8</v>
      </c>
      <c r="R4077" s="36" t="s">
        <v>1202</v>
      </c>
      <c r="S4077" s="7">
        <f t="shared" si="345"/>
        <v>1</v>
      </c>
      <c r="T4077" s="15" t="str">
        <f>VLOOKUP(R4077,产品分类!$C$2:$D$1278,2,0)</f>
        <v>办公用品</v>
      </c>
    </row>
    <row r="4078" spans="1:20">
      <c r="A4078" s="8">
        <f t="shared" si="349"/>
        <v>40181</v>
      </c>
      <c r="B4078" s="8">
        <f t="shared" si="349"/>
        <v>40181</v>
      </c>
      <c r="C4078" s="9" t="s">
        <v>147</v>
      </c>
      <c r="D4078">
        <v>10021449610</v>
      </c>
      <c r="E4078" t="s">
        <v>47</v>
      </c>
      <c r="F4078" t="s">
        <v>78</v>
      </c>
      <c r="G4078" t="s">
        <v>79</v>
      </c>
      <c r="H4078" t="s">
        <v>2105</v>
      </c>
      <c r="I4078" t="s">
        <v>2106</v>
      </c>
      <c r="J4078" t="s">
        <v>52</v>
      </c>
      <c r="K4078" s="3">
        <v>10012003456</v>
      </c>
      <c r="L4078" s="10">
        <v>40181</v>
      </c>
      <c r="M4078">
        <v>1011.67</v>
      </c>
      <c r="N4078" s="11">
        <v>41</v>
      </c>
      <c r="O4078" s="12">
        <v>24.98</v>
      </c>
      <c r="P4078" s="12">
        <v>8.79</v>
      </c>
      <c r="Q4078" s="13">
        <v>-74.64</v>
      </c>
      <c r="R4078" s="36" t="s">
        <v>1704</v>
      </c>
      <c r="S4078" s="7">
        <f t="shared" si="345"/>
        <v>0</v>
      </c>
      <c r="T4078" s="15" t="str">
        <f>VLOOKUP(R4078,产品分类!$C$2:$D$1278,2,0)</f>
        <v>家具产品</v>
      </c>
    </row>
    <row r="4079" spans="1:20">
      <c r="A4079" s="8">
        <f t="shared" si="349"/>
        <v>40181</v>
      </c>
      <c r="B4079" s="8">
        <f t="shared" si="349"/>
        <v>40181</v>
      </c>
      <c r="C4079" s="9" t="s">
        <v>147</v>
      </c>
      <c r="D4079">
        <v>10021319757</v>
      </c>
      <c r="E4079" t="s">
        <v>47</v>
      </c>
      <c r="F4079" t="s">
        <v>78</v>
      </c>
      <c r="G4079" t="s">
        <v>79</v>
      </c>
      <c r="H4079" t="s">
        <v>2105</v>
      </c>
      <c r="I4079" t="s">
        <v>2106</v>
      </c>
      <c r="J4079" t="s">
        <v>52</v>
      </c>
      <c r="K4079" s="3">
        <v>100417010074</v>
      </c>
      <c r="L4079" s="10">
        <v>40183</v>
      </c>
      <c r="M4079">
        <v>28389.14</v>
      </c>
      <c r="N4079" s="11">
        <v>33</v>
      </c>
      <c r="O4079" s="12">
        <v>880.98</v>
      </c>
      <c r="P4079" s="12">
        <v>44.55</v>
      </c>
      <c r="Q4079" s="13">
        <v>7132.18</v>
      </c>
      <c r="R4079" s="36" t="s">
        <v>706</v>
      </c>
      <c r="S4079" s="7">
        <f t="shared" si="345"/>
        <v>2</v>
      </c>
      <c r="T4079" s="15" t="str">
        <f>VLOOKUP(R4079,产品分类!$C$2:$D$1278,2,0)</f>
        <v>办公用品</v>
      </c>
    </row>
    <row r="4080" spans="1:20">
      <c r="A4080" s="8">
        <f>DATE(2012,12,31)-350</f>
        <v>40924</v>
      </c>
      <c r="B4080" s="8">
        <f>DATE(2012,12,31)-350</f>
        <v>40924</v>
      </c>
      <c r="C4080" s="9" t="s">
        <v>937</v>
      </c>
      <c r="D4080">
        <v>10021319794</v>
      </c>
      <c r="E4080" t="s">
        <v>47</v>
      </c>
      <c r="F4080" t="s">
        <v>72</v>
      </c>
      <c r="G4080" t="s">
        <v>73</v>
      </c>
      <c r="H4080" t="s">
        <v>2008</v>
      </c>
      <c r="I4080" t="s">
        <v>2009</v>
      </c>
      <c r="J4080" t="s">
        <v>52</v>
      </c>
      <c r="K4080" s="3">
        <v>100117056407</v>
      </c>
      <c r="L4080" s="10">
        <v>40925</v>
      </c>
      <c r="M4080">
        <v>99.1</v>
      </c>
      <c r="N4080" s="11">
        <v>24</v>
      </c>
      <c r="O4080" s="12">
        <v>4.13</v>
      </c>
      <c r="P4080" s="12">
        <v>0.99</v>
      </c>
      <c r="Q4080" s="13">
        <v>28.42</v>
      </c>
      <c r="R4080" s="36" t="s">
        <v>971</v>
      </c>
      <c r="S4080" s="7">
        <f t="shared" si="345"/>
        <v>1</v>
      </c>
      <c r="T4080" s="15" t="str">
        <f>VLOOKUP(R4080,产品分类!$C$2:$D$1278,2,0)</f>
        <v>办公用品</v>
      </c>
    </row>
    <row r="4081" spans="1:20">
      <c r="A4081" s="8">
        <f>DATE(2012,12,31)-350</f>
        <v>40924</v>
      </c>
      <c r="B4081" s="8">
        <f>DATE(2012,12,31)-350</f>
        <v>40924</v>
      </c>
      <c r="C4081" s="9" t="s">
        <v>937</v>
      </c>
      <c r="D4081">
        <v>10021620024</v>
      </c>
      <c r="E4081" t="s">
        <v>47</v>
      </c>
      <c r="F4081" t="s">
        <v>78</v>
      </c>
      <c r="G4081" t="s">
        <v>79</v>
      </c>
      <c r="H4081" t="s">
        <v>2105</v>
      </c>
      <c r="I4081" t="s">
        <v>2106</v>
      </c>
      <c r="J4081" t="s">
        <v>52</v>
      </c>
      <c r="K4081" s="3">
        <v>10043976663</v>
      </c>
      <c r="L4081" s="10">
        <v>40924</v>
      </c>
      <c r="M4081">
        <v>380.34</v>
      </c>
      <c r="N4081" s="11">
        <v>36</v>
      </c>
      <c r="O4081" s="12">
        <v>10.48</v>
      </c>
      <c r="P4081" s="12">
        <v>6.91</v>
      </c>
      <c r="Q4081" s="13">
        <v>-108.2</v>
      </c>
      <c r="R4081" s="36" t="s">
        <v>2305</v>
      </c>
      <c r="S4081" s="7">
        <f t="shared" si="345"/>
        <v>0</v>
      </c>
      <c r="T4081" s="15" t="str">
        <f>VLOOKUP(R4081,产品分类!$C$2:$D$1278,2,0)</f>
        <v>家具产品</v>
      </c>
    </row>
    <row r="4082" spans="1:20">
      <c r="A4082" s="8">
        <f>DATE(2012,12,31)-664</f>
        <v>40610</v>
      </c>
      <c r="B4082" s="8">
        <f>DATE(2012,12,31)-664</f>
        <v>40610</v>
      </c>
      <c r="C4082" s="9" t="s">
        <v>1555</v>
      </c>
      <c r="D4082">
        <v>10021252153</v>
      </c>
      <c r="E4082" t="s">
        <v>47</v>
      </c>
      <c r="F4082" t="s">
        <v>72</v>
      </c>
      <c r="G4082" t="s">
        <v>73</v>
      </c>
      <c r="H4082" t="s">
        <v>2008</v>
      </c>
      <c r="I4082" t="s">
        <v>2009</v>
      </c>
      <c r="J4082" t="s">
        <v>52</v>
      </c>
      <c r="K4082" s="3">
        <v>10015215566</v>
      </c>
      <c r="L4082" s="10">
        <v>40611</v>
      </c>
      <c r="M4082">
        <v>291.67</v>
      </c>
      <c r="N4082" s="11">
        <v>40</v>
      </c>
      <c r="O4082" s="12">
        <v>6.75</v>
      </c>
      <c r="P4082" s="12">
        <v>2.99</v>
      </c>
      <c r="Q4082" s="13">
        <v>54.4595</v>
      </c>
      <c r="R4082" s="36" t="s">
        <v>1532</v>
      </c>
      <c r="S4082" s="7">
        <f t="shared" si="345"/>
        <v>1</v>
      </c>
      <c r="T4082" s="15" t="str">
        <f>VLOOKUP(R4082,产品分类!$C$2:$D$1278,2,0)</f>
        <v>办公用品</v>
      </c>
    </row>
    <row r="4083" spans="1:20">
      <c r="A4083" s="16">
        <f>DATE(2012,12,31)-964</f>
        <v>40310</v>
      </c>
      <c r="B4083" s="16">
        <f>DATE(2012,12,31)-964</f>
        <v>40310</v>
      </c>
      <c r="C4083" s="9" t="s">
        <v>609</v>
      </c>
      <c r="D4083">
        <v>10021335240</v>
      </c>
      <c r="E4083" t="s">
        <v>47</v>
      </c>
      <c r="F4083" t="s">
        <v>72</v>
      </c>
      <c r="G4083" t="s">
        <v>73</v>
      </c>
      <c r="H4083" t="s">
        <v>2008</v>
      </c>
      <c r="I4083" t="s">
        <v>2009</v>
      </c>
      <c r="J4083" t="s">
        <v>52</v>
      </c>
      <c r="K4083" s="3">
        <v>10048646673</v>
      </c>
      <c r="L4083" s="10">
        <v>40312</v>
      </c>
      <c r="M4083">
        <v>1677.27</v>
      </c>
      <c r="N4083" s="17">
        <v>43</v>
      </c>
      <c r="O4083" s="5">
        <v>40.98</v>
      </c>
      <c r="P4083" s="5">
        <v>7.47</v>
      </c>
      <c r="Q4083" s="6">
        <v>528.7935</v>
      </c>
      <c r="R4083" s="37" t="s">
        <v>416</v>
      </c>
      <c r="S4083" s="7">
        <f t="shared" si="345"/>
        <v>2</v>
      </c>
      <c r="T4083" s="15" t="str">
        <f>VLOOKUP(R4083,产品分类!$C$2:$D$1278,2,0)</f>
        <v>家具产品</v>
      </c>
    </row>
    <row r="4084" spans="1:20">
      <c r="A4084" s="8">
        <f>DATE(2012,12,31)-964</f>
        <v>40310</v>
      </c>
      <c r="B4084" s="8">
        <f>DATE(2012,12,31)-964</f>
        <v>40310</v>
      </c>
      <c r="C4084" s="9" t="s">
        <v>609</v>
      </c>
      <c r="D4084">
        <v>10021261157</v>
      </c>
      <c r="E4084" t="s">
        <v>47</v>
      </c>
      <c r="F4084" t="s">
        <v>230</v>
      </c>
      <c r="G4084" t="s">
        <v>231</v>
      </c>
      <c r="H4084" t="s">
        <v>2276</v>
      </c>
      <c r="I4084" t="s">
        <v>2277</v>
      </c>
      <c r="J4084" t="s">
        <v>52</v>
      </c>
      <c r="K4084" s="3">
        <v>100122019907</v>
      </c>
      <c r="L4084" s="10">
        <v>40315</v>
      </c>
      <c r="M4084">
        <v>1556.08</v>
      </c>
      <c r="N4084" s="11">
        <v>21</v>
      </c>
      <c r="O4084" s="12">
        <v>70.98</v>
      </c>
      <c r="P4084" s="12">
        <v>26.74</v>
      </c>
      <c r="Q4084" s="13">
        <v>-41.77</v>
      </c>
      <c r="R4084" s="36" t="s">
        <v>1300</v>
      </c>
      <c r="S4084" s="7">
        <f t="shared" si="345"/>
        <v>5</v>
      </c>
      <c r="T4084" s="15" t="str">
        <f>VLOOKUP(R4084,产品分类!$C$2:$D$1278,2,0)</f>
        <v>家具产品</v>
      </c>
    </row>
    <row r="4085" spans="1:20">
      <c r="A4085" s="8">
        <f>DATE(2012,12,31)-995</f>
        <v>40279</v>
      </c>
      <c r="B4085" s="8">
        <f>DATE(2012,12,31)-995</f>
        <v>40279</v>
      </c>
      <c r="C4085" s="9" t="s">
        <v>948</v>
      </c>
      <c r="D4085">
        <v>10021461574</v>
      </c>
      <c r="E4085" t="s">
        <v>47</v>
      </c>
      <c r="F4085" t="s">
        <v>78</v>
      </c>
      <c r="G4085" t="s">
        <v>79</v>
      </c>
      <c r="H4085" t="s">
        <v>2105</v>
      </c>
      <c r="I4085" t="s">
        <v>2106</v>
      </c>
      <c r="J4085" t="s">
        <v>52</v>
      </c>
      <c r="K4085" s="3">
        <v>100415780603</v>
      </c>
      <c r="L4085" s="10">
        <v>40281</v>
      </c>
      <c r="M4085">
        <v>3206.965</v>
      </c>
      <c r="N4085" s="11">
        <v>31</v>
      </c>
      <c r="O4085" s="12">
        <v>125.99</v>
      </c>
      <c r="P4085" s="12">
        <v>7.69</v>
      </c>
      <c r="Q4085" s="13">
        <v>575.334</v>
      </c>
      <c r="R4085" s="36" t="s">
        <v>903</v>
      </c>
      <c r="S4085" s="7">
        <f t="shared" si="345"/>
        <v>2</v>
      </c>
      <c r="T4085" s="15" t="str">
        <f>VLOOKUP(R4085,产品分类!$C$2:$D$1278,2,0)</f>
        <v>家具产品</v>
      </c>
    </row>
    <row r="4086" spans="1:20">
      <c r="A4086" s="8">
        <f>DATE(2012,12,31)-1371</f>
        <v>39903</v>
      </c>
      <c r="B4086" s="8">
        <f>DATE(2012,12,31)-1371</f>
        <v>39903</v>
      </c>
      <c r="C4086" s="9" t="s">
        <v>1900</v>
      </c>
      <c r="D4086">
        <v>10021336056</v>
      </c>
      <c r="E4086" t="s">
        <v>47</v>
      </c>
      <c r="F4086" t="s">
        <v>114</v>
      </c>
      <c r="G4086" t="s">
        <v>115</v>
      </c>
      <c r="H4086" t="s">
        <v>2297</v>
      </c>
      <c r="I4086" t="s">
        <v>2298</v>
      </c>
      <c r="J4086" t="s">
        <v>52</v>
      </c>
      <c r="K4086" s="3">
        <v>100110483518</v>
      </c>
      <c r="L4086" s="10">
        <v>39905</v>
      </c>
      <c r="M4086">
        <v>31.13</v>
      </c>
      <c r="N4086" s="11">
        <v>18</v>
      </c>
      <c r="O4086" s="12">
        <v>1.68</v>
      </c>
      <c r="P4086" s="12">
        <v>1</v>
      </c>
      <c r="Q4086" s="13">
        <v>-0.81</v>
      </c>
      <c r="R4086" s="36" t="s">
        <v>1873</v>
      </c>
      <c r="S4086" s="7">
        <f t="shared" si="345"/>
        <v>2</v>
      </c>
      <c r="T4086" s="15" t="str">
        <f>VLOOKUP(R4086,产品分类!$C$2:$D$1278,2,0)</f>
        <v>数码电子</v>
      </c>
    </row>
    <row r="4087" spans="1:20">
      <c r="A4087" s="8">
        <f>DATE(2012,12,31)-527</f>
        <v>40747</v>
      </c>
      <c r="B4087" s="8">
        <f>DATE(2012,12,31)-527</f>
        <v>40747</v>
      </c>
      <c r="C4087" s="9" t="s">
        <v>1110</v>
      </c>
      <c r="D4087">
        <v>10021593879</v>
      </c>
      <c r="E4087" t="s">
        <v>47</v>
      </c>
      <c r="F4087" t="s">
        <v>277</v>
      </c>
      <c r="G4087" t="s">
        <v>278</v>
      </c>
      <c r="H4087" t="s">
        <v>279</v>
      </c>
      <c r="I4087" t="s">
        <v>280</v>
      </c>
      <c r="J4087" t="s">
        <v>52</v>
      </c>
      <c r="K4087" s="3">
        <v>100932455911</v>
      </c>
      <c r="L4087" s="10">
        <v>40751</v>
      </c>
      <c r="M4087">
        <v>58.63</v>
      </c>
      <c r="N4087" s="11">
        <v>3</v>
      </c>
      <c r="O4087" s="12">
        <v>17.48</v>
      </c>
      <c r="P4087" s="12">
        <v>1.99</v>
      </c>
      <c r="Q4087" s="13">
        <v>-40.86</v>
      </c>
      <c r="R4087" s="36" t="s">
        <v>1327</v>
      </c>
      <c r="S4087" s="7">
        <f t="shared" si="345"/>
        <v>4</v>
      </c>
      <c r="T4087" s="15" t="str">
        <f>VLOOKUP(R4087,产品分类!$C$2:$D$1278,2,0)</f>
        <v>数码电子</v>
      </c>
    </row>
    <row r="4088" spans="1:20">
      <c r="A4088" s="8">
        <f>DATE(2012,12,31)-527</f>
        <v>40747</v>
      </c>
      <c r="B4088" s="8">
        <f>DATE(2012,12,31)-527</f>
        <v>40747</v>
      </c>
      <c r="C4088" s="9" t="s">
        <v>1110</v>
      </c>
      <c r="D4088">
        <v>10021344061</v>
      </c>
      <c r="E4088" t="s">
        <v>47</v>
      </c>
      <c r="F4088" t="s">
        <v>114</v>
      </c>
      <c r="G4088" t="s">
        <v>115</v>
      </c>
      <c r="H4088" t="s">
        <v>2297</v>
      </c>
      <c r="I4088" t="s">
        <v>2298</v>
      </c>
      <c r="J4088" t="s">
        <v>52</v>
      </c>
      <c r="K4088" s="3">
        <v>100124914118</v>
      </c>
      <c r="L4088" s="10">
        <v>40747</v>
      </c>
      <c r="M4088">
        <v>94.99</v>
      </c>
      <c r="N4088" s="11">
        <v>13</v>
      </c>
      <c r="O4088" s="12">
        <v>6.98</v>
      </c>
      <c r="P4088" s="12">
        <v>9.69</v>
      </c>
      <c r="Q4088" s="13">
        <v>-106.29</v>
      </c>
      <c r="R4088" s="36" t="s">
        <v>1965</v>
      </c>
      <c r="S4088" s="7">
        <f t="shared" si="345"/>
        <v>0</v>
      </c>
      <c r="T4088" s="15" t="str">
        <f>VLOOKUP(R4088,产品分类!$C$2:$D$1278,2,0)</f>
        <v>数码电子</v>
      </c>
    </row>
    <row r="4089" spans="1:20">
      <c r="A4089" s="8">
        <f>DATE(2012,12,31)-1041</f>
        <v>40233</v>
      </c>
      <c r="B4089" s="8">
        <f>DATE(2012,12,31)-1041</f>
        <v>40233</v>
      </c>
      <c r="C4089" s="9" t="s">
        <v>897</v>
      </c>
      <c r="D4089">
        <v>10021351683</v>
      </c>
      <c r="E4089" t="s">
        <v>47</v>
      </c>
      <c r="F4089" t="s">
        <v>434</v>
      </c>
      <c r="G4089" t="s">
        <v>435</v>
      </c>
      <c r="H4089" t="s">
        <v>436</v>
      </c>
      <c r="I4089" t="s">
        <v>437</v>
      </c>
      <c r="J4089" t="s">
        <v>52</v>
      </c>
      <c r="K4089" s="3">
        <v>100432495764</v>
      </c>
      <c r="L4089" s="10">
        <v>40238</v>
      </c>
      <c r="M4089">
        <v>208.77</v>
      </c>
      <c r="N4089" s="11">
        <v>10</v>
      </c>
      <c r="O4089" s="12">
        <v>20.97</v>
      </c>
      <c r="P4089" s="12">
        <v>4</v>
      </c>
      <c r="Q4089" s="13">
        <v>-76.58</v>
      </c>
      <c r="R4089" s="36" t="s">
        <v>420</v>
      </c>
      <c r="S4089" s="7">
        <f t="shared" si="345"/>
        <v>5</v>
      </c>
      <c r="T4089" s="15" t="str">
        <f>VLOOKUP(R4089,产品分类!$C$2:$D$1278,2,0)</f>
        <v>数码电子</v>
      </c>
    </row>
    <row r="4090" spans="1:20">
      <c r="A4090" s="8">
        <f>DATE(2012,12,31)-438</f>
        <v>40836</v>
      </c>
      <c r="B4090" s="8">
        <f>DATE(2012,12,31)-438</f>
        <v>40836</v>
      </c>
      <c r="C4090" s="9" t="s">
        <v>182</v>
      </c>
      <c r="D4090">
        <v>10021583207</v>
      </c>
      <c r="E4090" t="s">
        <v>47</v>
      </c>
      <c r="F4090" t="s">
        <v>277</v>
      </c>
      <c r="G4090" t="s">
        <v>278</v>
      </c>
      <c r="H4090" t="s">
        <v>279</v>
      </c>
      <c r="I4090" t="s">
        <v>280</v>
      </c>
      <c r="J4090" t="s">
        <v>52</v>
      </c>
      <c r="K4090" s="3">
        <v>100126352976</v>
      </c>
      <c r="L4090" s="10">
        <v>40837</v>
      </c>
      <c r="M4090">
        <v>2266.7</v>
      </c>
      <c r="N4090" s="11">
        <v>12</v>
      </c>
      <c r="O4090" s="12">
        <v>200.98</v>
      </c>
      <c r="P4090" s="12">
        <v>23.76</v>
      </c>
      <c r="Q4090" s="13">
        <v>180.8</v>
      </c>
      <c r="R4090" s="36" t="s">
        <v>1343</v>
      </c>
      <c r="S4090" s="7">
        <f t="shared" si="345"/>
        <v>1</v>
      </c>
      <c r="T4090" s="15" t="str">
        <f>VLOOKUP(R4090,产品分类!$C$2:$D$1278,2,0)</f>
        <v>办公用品</v>
      </c>
    </row>
    <row r="4091" spans="1:20">
      <c r="A4091" s="8">
        <f t="shared" ref="A4091:B4093" si="350">DATE(2012,12,31)-1076</f>
        <v>40198</v>
      </c>
      <c r="B4091" s="8">
        <f t="shared" si="350"/>
        <v>40198</v>
      </c>
      <c r="C4091" s="9" t="s">
        <v>1066</v>
      </c>
      <c r="D4091">
        <v>10021594473</v>
      </c>
      <c r="E4091" t="s">
        <v>47</v>
      </c>
      <c r="F4091" t="s">
        <v>91</v>
      </c>
      <c r="G4091" t="s">
        <v>92</v>
      </c>
      <c r="H4091" t="s">
        <v>2053</v>
      </c>
      <c r="I4091" t="s">
        <v>2054</v>
      </c>
      <c r="J4091" t="s">
        <v>52</v>
      </c>
      <c r="K4091" s="3">
        <v>100432749834</v>
      </c>
      <c r="L4091" s="10">
        <v>40199</v>
      </c>
      <c r="M4091">
        <v>468.49</v>
      </c>
      <c r="N4091" s="11">
        <v>8</v>
      </c>
      <c r="O4091" s="12">
        <v>56.96</v>
      </c>
      <c r="P4091" s="12">
        <v>13.22</v>
      </c>
      <c r="Q4091" s="13">
        <v>-6.37</v>
      </c>
      <c r="R4091" s="36" t="s">
        <v>949</v>
      </c>
      <c r="S4091" s="7">
        <f t="shared" si="345"/>
        <v>1</v>
      </c>
      <c r="T4091" s="15" t="str">
        <f>VLOOKUP(R4091,产品分类!$C$2:$D$1278,2,0)</f>
        <v>家具产品</v>
      </c>
    </row>
    <row r="4092" spans="1:20">
      <c r="A4092" s="8">
        <f t="shared" si="350"/>
        <v>40198</v>
      </c>
      <c r="B4092" s="8">
        <f t="shared" si="350"/>
        <v>40198</v>
      </c>
      <c r="C4092" s="9" t="s">
        <v>1066</v>
      </c>
      <c r="D4092">
        <v>10021523446</v>
      </c>
      <c r="E4092" t="s">
        <v>47</v>
      </c>
      <c r="F4092" t="s">
        <v>83</v>
      </c>
      <c r="G4092" t="s">
        <v>84</v>
      </c>
      <c r="H4092" t="s">
        <v>2231</v>
      </c>
      <c r="I4092" t="s">
        <v>2232</v>
      </c>
      <c r="J4092" t="s">
        <v>52</v>
      </c>
      <c r="K4092" s="3">
        <v>10098341671</v>
      </c>
      <c r="L4092" s="10">
        <v>40200</v>
      </c>
      <c r="M4092">
        <v>446.53</v>
      </c>
      <c r="N4092" s="11">
        <v>48</v>
      </c>
      <c r="O4092" s="12">
        <v>8.37</v>
      </c>
      <c r="P4092" s="12">
        <v>10.16</v>
      </c>
      <c r="Q4092" s="13">
        <v>-261.45</v>
      </c>
      <c r="R4092" s="36" t="s">
        <v>1599</v>
      </c>
      <c r="S4092" s="7">
        <f t="shared" si="345"/>
        <v>2</v>
      </c>
      <c r="T4092" s="15" t="str">
        <f>VLOOKUP(R4092,产品分类!$C$2:$D$1278,2,0)</f>
        <v>家具产品</v>
      </c>
    </row>
    <row r="4093" spans="1:20">
      <c r="A4093" s="8">
        <f t="shared" si="350"/>
        <v>40198</v>
      </c>
      <c r="B4093" s="8">
        <f t="shared" si="350"/>
        <v>40198</v>
      </c>
      <c r="C4093" s="9" t="s">
        <v>1066</v>
      </c>
      <c r="D4093">
        <v>10021340379</v>
      </c>
      <c r="E4093" t="s">
        <v>47</v>
      </c>
      <c r="F4093" t="s">
        <v>55</v>
      </c>
      <c r="G4093" t="s">
        <v>56</v>
      </c>
      <c r="H4093" t="s">
        <v>2197</v>
      </c>
      <c r="I4093" t="s">
        <v>2198</v>
      </c>
      <c r="J4093" t="s">
        <v>52</v>
      </c>
      <c r="K4093" s="3">
        <v>100326103279</v>
      </c>
      <c r="L4093" s="10">
        <v>40200</v>
      </c>
      <c r="M4093">
        <v>217.85</v>
      </c>
      <c r="N4093" s="11">
        <v>5</v>
      </c>
      <c r="O4093" s="12">
        <v>40.99</v>
      </c>
      <c r="P4093" s="12">
        <v>17.48</v>
      </c>
      <c r="Q4093" s="13">
        <v>-25.31</v>
      </c>
      <c r="R4093" s="36" t="s">
        <v>620</v>
      </c>
      <c r="S4093" s="7">
        <f t="shared" si="345"/>
        <v>2</v>
      </c>
      <c r="T4093" s="15" t="str">
        <f>VLOOKUP(R4093,产品分类!$C$2:$D$1278,2,0)</f>
        <v>数码电子</v>
      </c>
    </row>
    <row r="4094" spans="1:20">
      <c r="A4094" s="8">
        <f t="shared" ref="A4094:B4098" si="351">DATE(2012,12,31)-1249</f>
        <v>40025</v>
      </c>
      <c r="B4094" s="8">
        <f t="shared" si="351"/>
        <v>40025</v>
      </c>
      <c r="C4094" s="9" t="s">
        <v>525</v>
      </c>
      <c r="D4094">
        <v>10021352415</v>
      </c>
      <c r="E4094" t="s">
        <v>47</v>
      </c>
      <c r="F4094" t="s">
        <v>91</v>
      </c>
      <c r="G4094" t="s">
        <v>92</v>
      </c>
      <c r="H4094" t="s">
        <v>2053</v>
      </c>
      <c r="I4094" t="s">
        <v>2054</v>
      </c>
      <c r="J4094" t="s">
        <v>52</v>
      </c>
      <c r="K4094" s="3">
        <v>100132523627</v>
      </c>
      <c r="L4094" s="10">
        <v>40029</v>
      </c>
      <c r="M4094">
        <v>142.3</v>
      </c>
      <c r="N4094" s="11">
        <v>5</v>
      </c>
      <c r="O4094" s="12">
        <v>24.92</v>
      </c>
      <c r="P4094" s="12">
        <v>12.98</v>
      </c>
      <c r="Q4094" s="13">
        <v>-24.1845</v>
      </c>
      <c r="R4094" s="36" t="s">
        <v>187</v>
      </c>
      <c r="S4094" s="7">
        <f t="shared" si="345"/>
        <v>4</v>
      </c>
      <c r="T4094" s="15" t="str">
        <f>VLOOKUP(R4094,产品分类!$C$2:$D$1278,2,0)</f>
        <v>数码电子</v>
      </c>
    </row>
    <row r="4095" spans="1:20">
      <c r="A4095" s="8">
        <f t="shared" si="351"/>
        <v>40025</v>
      </c>
      <c r="B4095" s="8">
        <f t="shared" si="351"/>
        <v>40025</v>
      </c>
      <c r="C4095" s="9" t="s">
        <v>525</v>
      </c>
      <c r="D4095">
        <v>10021496160</v>
      </c>
      <c r="E4095" t="s">
        <v>47</v>
      </c>
      <c r="F4095" t="s">
        <v>91</v>
      </c>
      <c r="G4095" t="s">
        <v>92</v>
      </c>
      <c r="H4095" t="s">
        <v>2053</v>
      </c>
      <c r="I4095" t="s">
        <v>2054</v>
      </c>
      <c r="J4095" t="s">
        <v>52</v>
      </c>
      <c r="K4095" s="3">
        <v>1003556149</v>
      </c>
      <c r="L4095" s="10">
        <v>40029</v>
      </c>
      <c r="M4095">
        <v>21.93</v>
      </c>
      <c r="N4095" s="11">
        <v>8</v>
      </c>
      <c r="O4095" s="12">
        <v>2.16</v>
      </c>
      <c r="P4095" s="12">
        <v>6.05</v>
      </c>
      <c r="Q4095" s="13">
        <v>-37.789</v>
      </c>
      <c r="R4095" s="36" t="s">
        <v>507</v>
      </c>
      <c r="S4095" s="7">
        <f t="shared" si="345"/>
        <v>4</v>
      </c>
      <c r="T4095" s="15" t="str">
        <f>VLOOKUP(R4095,产品分类!$C$2:$D$1278,2,0)</f>
        <v>家具产品</v>
      </c>
    </row>
    <row r="4096" spans="1:20">
      <c r="A4096" s="8">
        <f t="shared" si="351"/>
        <v>40025</v>
      </c>
      <c r="B4096" s="8">
        <f t="shared" si="351"/>
        <v>40025</v>
      </c>
      <c r="C4096" s="9" t="s">
        <v>525</v>
      </c>
      <c r="D4096">
        <v>10021341983</v>
      </c>
      <c r="E4096" t="s">
        <v>47</v>
      </c>
      <c r="F4096" t="s">
        <v>55</v>
      </c>
      <c r="G4096" t="s">
        <v>56</v>
      </c>
      <c r="H4096" t="s">
        <v>2197</v>
      </c>
      <c r="I4096" t="s">
        <v>2198</v>
      </c>
      <c r="J4096" t="s">
        <v>52</v>
      </c>
      <c r="K4096" s="3">
        <v>100327602689</v>
      </c>
      <c r="L4096" s="10">
        <v>40032</v>
      </c>
      <c r="M4096">
        <v>26095.13</v>
      </c>
      <c r="N4096" s="11">
        <v>35</v>
      </c>
      <c r="O4096" s="12">
        <v>808.49</v>
      </c>
      <c r="P4096" s="12">
        <v>55.3</v>
      </c>
      <c r="Q4096" s="13">
        <v>12606.81</v>
      </c>
      <c r="R4096" s="36" t="s">
        <v>2171</v>
      </c>
      <c r="S4096" s="7">
        <f t="shared" si="345"/>
        <v>7</v>
      </c>
      <c r="T4096" s="15" t="str">
        <f>VLOOKUP(R4096,产品分类!$C$2:$D$1278,2,0)</f>
        <v>数码电子</v>
      </c>
    </row>
    <row r="4097" spans="1:20">
      <c r="A4097" s="8">
        <f t="shared" si="351"/>
        <v>40025</v>
      </c>
      <c r="B4097" s="8">
        <f t="shared" si="351"/>
        <v>40025</v>
      </c>
      <c r="C4097" s="9" t="s">
        <v>525</v>
      </c>
      <c r="D4097">
        <v>10021469719</v>
      </c>
      <c r="E4097" t="s">
        <v>47</v>
      </c>
      <c r="F4097" t="s">
        <v>91</v>
      </c>
      <c r="G4097" t="s">
        <v>92</v>
      </c>
      <c r="H4097" t="s">
        <v>2053</v>
      </c>
      <c r="I4097" t="s">
        <v>2054</v>
      </c>
      <c r="J4097" t="s">
        <v>52</v>
      </c>
      <c r="K4097" s="3">
        <v>100932298791</v>
      </c>
      <c r="L4097" s="10">
        <v>40032</v>
      </c>
      <c r="M4097">
        <v>75.58</v>
      </c>
      <c r="N4097" s="11">
        <v>10</v>
      </c>
      <c r="O4097" s="12">
        <v>6.48</v>
      </c>
      <c r="P4097" s="12">
        <v>8.19</v>
      </c>
      <c r="Q4097" s="13">
        <v>-43.26</v>
      </c>
      <c r="R4097" s="36" t="s">
        <v>120</v>
      </c>
      <c r="S4097" s="7">
        <f t="shared" si="345"/>
        <v>7</v>
      </c>
      <c r="T4097" s="15" t="str">
        <f>VLOOKUP(R4097,产品分类!$C$2:$D$1278,2,0)</f>
        <v>家具产品</v>
      </c>
    </row>
    <row r="4098" spans="1:20">
      <c r="A4098" s="8">
        <f t="shared" si="351"/>
        <v>40025</v>
      </c>
      <c r="B4098" s="8">
        <f t="shared" si="351"/>
        <v>40025</v>
      </c>
      <c r="C4098" s="9" t="s">
        <v>525</v>
      </c>
      <c r="D4098">
        <v>10021344108</v>
      </c>
      <c r="E4098" t="s">
        <v>47</v>
      </c>
      <c r="F4098" t="s">
        <v>55</v>
      </c>
      <c r="G4098" t="s">
        <v>56</v>
      </c>
      <c r="H4098" t="s">
        <v>2197</v>
      </c>
      <c r="I4098" t="s">
        <v>2198</v>
      </c>
      <c r="J4098" t="s">
        <v>52</v>
      </c>
      <c r="K4098" s="3">
        <v>100729239555</v>
      </c>
      <c r="L4098" s="10">
        <v>40029</v>
      </c>
      <c r="M4098">
        <v>477.53</v>
      </c>
      <c r="N4098" s="11">
        <v>42</v>
      </c>
      <c r="O4098" s="12">
        <v>10.98</v>
      </c>
      <c r="P4098" s="12">
        <v>3.37</v>
      </c>
      <c r="Q4098" s="13">
        <v>51.17</v>
      </c>
      <c r="R4098" s="36" t="s">
        <v>1792</v>
      </c>
      <c r="S4098" s="7">
        <f t="shared" si="345"/>
        <v>4</v>
      </c>
      <c r="T4098" s="15" t="str">
        <f>VLOOKUP(R4098,产品分类!$C$2:$D$1278,2,0)</f>
        <v>办公用品</v>
      </c>
    </row>
    <row r="4099" spans="1:20">
      <c r="A4099" s="8">
        <f>DATE(2012,12,31)-186</f>
        <v>41088</v>
      </c>
      <c r="B4099" s="8">
        <f>DATE(2012,12,31)-186</f>
        <v>41088</v>
      </c>
      <c r="C4099" s="9" t="s">
        <v>160</v>
      </c>
      <c r="D4099">
        <v>10021266492</v>
      </c>
      <c r="E4099" t="s">
        <v>47</v>
      </c>
      <c r="F4099" t="s">
        <v>91</v>
      </c>
      <c r="G4099" t="s">
        <v>92</v>
      </c>
      <c r="H4099" t="s">
        <v>2053</v>
      </c>
      <c r="I4099" t="s">
        <v>2054</v>
      </c>
      <c r="J4099" t="s">
        <v>52</v>
      </c>
      <c r="K4099" s="3">
        <v>100131787437</v>
      </c>
      <c r="L4099" s="10">
        <v>41089</v>
      </c>
      <c r="M4099">
        <v>7201.89</v>
      </c>
      <c r="N4099" s="11">
        <v>26</v>
      </c>
      <c r="O4099" s="12">
        <v>296.18</v>
      </c>
      <c r="P4099" s="12">
        <v>54.12</v>
      </c>
      <c r="Q4099" s="13">
        <v>-650.11</v>
      </c>
      <c r="R4099" s="36" t="s">
        <v>372</v>
      </c>
      <c r="S4099" s="7">
        <f t="shared" ref="S4099:S4162" si="352">+L4099-B4099</f>
        <v>1</v>
      </c>
      <c r="T4099" s="15" t="str">
        <f>VLOOKUP(R4099,产品分类!$C$2:$D$1278,2,0)</f>
        <v>办公用品</v>
      </c>
    </row>
    <row r="4100" spans="1:20">
      <c r="A4100" s="8">
        <f>DATE(2012,12,31)-2</f>
        <v>41272</v>
      </c>
      <c r="B4100" s="8">
        <f>DATE(2012,12,31)-2</f>
        <v>41272</v>
      </c>
      <c r="C4100" s="9" t="s">
        <v>1761</v>
      </c>
      <c r="D4100">
        <v>10021396138</v>
      </c>
      <c r="E4100" t="s">
        <v>47</v>
      </c>
      <c r="F4100" t="s">
        <v>55</v>
      </c>
      <c r="G4100" t="s">
        <v>56</v>
      </c>
      <c r="H4100" t="s">
        <v>2197</v>
      </c>
      <c r="I4100" t="s">
        <v>2198</v>
      </c>
      <c r="J4100" t="s">
        <v>52</v>
      </c>
      <c r="K4100" s="3">
        <v>100317939759</v>
      </c>
      <c r="L4100" s="10">
        <v>41273</v>
      </c>
      <c r="M4100">
        <v>1936.45</v>
      </c>
      <c r="N4100" s="11">
        <v>46</v>
      </c>
      <c r="O4100" s="12">
        <v>43.22</v>
      </c>
      <c r="P4100" s="12">
        <v>4</v>
      </c>
      <c r="Q4100" s="13">
        <v>307.17</v>
      </c>
      <c r="R4100" s="36" t="s">
        <v>1525</v>
      </c>
      <c r="S4100" s="7">
        <f t="shared" si="352"/>
        <v>1</v>
      </c>
      <c r="T4100" s="15" t="str">
        <f>VLOOKUP(R4100,产品分类!$C$2:$D$1278,2,0)</f>
        <v>数码电子</v>
      </c>
    </row>
    <row r="4101" spans="1:20">
      <c r="A4101" s="8">
        <f>DATE(2012,12,31)-2</f>
        <v>41272</v>
      </c>
      <c r="B4101" s="8">
        <f>DATE(2012,12,31)-2</f>
        <v>41272</v>
      </c>
      <c r="C4101" s="9" t="s">
        <v>1761</v>
      </c>
      <c r="D4101">
        <v>10021294444</v>
      </c>
      <c r="E4101" t="s">
        <v>47</v>
      </c>
      <c r="F4101" t="s">
        <v>122</v>
      </c>
      <c r="G4101" t="s">
        <v>123</v>
      </c>
      <c r="H4101" t="s">
        <v>2159</v>
      </c>
      <c r="I4101" t="s">
        <v>2160</v>
      </c>
      <c r="J4101" t="s">
        <v>52</v>
      </c>
      <c r="K4101" s="3">
        <v>100414071773</v>
      </c>
      <c r="L4101" s="10">
        <v>41273</v>
      </c>
      <c r="M4101">
        <v>3711.04</v>
      </c>
      <c r="N4101" s="11">
        <v>17</v>
      </c>
      <c r="O4101" s="12">
        <v>218.75</v>
      </c>
      <c r="P4101" s="12">
        <v>69.64</v>
      </c>
      <c r="Q4101" s="13">
        <v>-773.78</v>
      </c>
      <c r="R4101" s="36" t="s">
        <v>456</v>
      </c>
      <c r="S4101" s="7">
        <f t="shared" si="352"/>
        <v>1</v>
      </c>
      <c r="T4101" s="15" t="str">
        <f>VLOOKUP(R4101,产品分类!$C$2:$D$1278,2,0)</f>
        <v>办公用品</v>
      </c>
    </row>
    <row r="4102" spans="1:20">
      <c r="A4102" s="8">
        <f t="shared" ref="A4102:B4104" si="353">DATE(2012,12,31)-216</f>
        <v>41058</v>
      </c>
      <c r="B4102" s="8">
        <f t="shared" si="353"/>
        <v>41058</v>
      </c>
      <c r="C4102" s="9" t="s">
        <v>1523</v>
      </c>
      <c r="D4102">
        <v>10021621244</v>
      </c>
      <c r="E4102" t="s">
        <v>47</v>
      </c>
      <c r="F4102" t="s">
        <v>83</v>
      </c>
      <c r="G4102" t="s">
        <v>84</v>
      </c>
      <c r="H4102" t="s">
        <v>2231</v>
      </c>
      <c r="I4102" t="s">
        <v>2232</v>
      </c>
      <c r="J4102" t="s">
        <v>52</v>
      </c>
      <c r="K4102" s="3">
        <v>100313233459</v>
      </c>
      <c r="L4102" s="10">
        <v>41058</v>
      </c>
      <c r="M4102">
        <v>1823.02</v>
      </c>
      <c r="N4102" s="11">
        <v>19</v>
      </c>
      <c r="O4102" s="12">
        <v>92.23</v>
      </c>
      <c r="P4102" s="12">
        <v>39.61</v>
      </c>
      <c r="Q4102" s="13">
        <v>80.8</v>
      </c>
      <c r="R4102" s="36" t="s">
        <v>1164</v>
      </c>
      <c r="S4102" s="7">
        <f t="shared" si="352"/>
        <v>0</v>
      </c>
      <c r="T4102" s="15" t="str">
        <f>VLOOKUP(R4102,产品分类!$C$2:$D$1278,2,0)</f>
        <v>数码电子</v>
      </c>
    </row>
    <row r="4103" spans="1:20">
      <c r="A4103" s="8">
        <f t="shared" si="353"/>
        <v>41058</v>
      </c>
      <c r="B4103" s="8">
        <f t="shared" si="353"/>
        <v>41058</v>
      </c>
      <c r="C4103" s="9" t="s">
        <v>1523</v>
      </c>
      <c r="D4103">
        <v>10021459971</v>
      </c>
      <c r="E4103" t="s">
        <v>47</v>
      </c>
      <c r="F4103" t="s">
        <v>91</v>
      </c>
      <c r="G4103" t="s">
        <v>92</v>
      </c>
      <c r="H4103" t="s">
        <v>2053</v>
      </c>
      <c r="I4103" t="s">
        <v>2054</v>
      </c>
      <c r="J4103" t="s">
        <v>52</v>
      </c>
      <c r="K4103" s="3">
        <v>10096227021</v>
      </c>
      <c r="L4103" s="10">
        <v>41058</v>
      </c>
      <c r="M4103">
        <v>74.02</v>
      </c>
      <c r="N4103" s="11">
        <v>26</v>
      </c>
      <c r="O4103" s="12">
        <v>2.88</v>
      </c>
      <c r="P4103" s="12">
        <v>0.7</v>
      </c>
      <c r="Q4103" s="13">
        <v>8.13</v>
      </c>
      <c r="R4103" s="36" t="s">
        <v>100</v>
      </c>
      <c r="S4103" s="7">
        <f t="shared" si="352"/>
        <v>0</v>
      </c>
      <c r="T4103" s="15" t="str">
        <f>VLOOKUP(R4103,产品分类!$C$2:$D$1278,2,0)</f>
        <v>数码电子</v>
      </c>
    </row>
    <row r="4104" spans="1:20">
      <c r="A4104" s="8">
        <f t="shared" si="353"/>
        <v>41058</v>
      </c>
      <c r="B4104" s="8">
        <f t="shared" si="353"/>
        <v>41058</v>
      </c>
      <c r="C4104" s="9" t="s">
        <v>1523</v>
      </c>
      <c r="D4104">
        <v>10021386849</v>
      </c>
      <c r="E4104" t="s">
        <v>47</v>
      </c>
      <c r="F4104" t="s">
        <v>55</v>
      </c>
      <c r="G4104" t="s">
        <v>56</v>
      </c>
      <c r="H4104" t="s">
        <v>2197</v>
      </c>
      <c r="I4104" t="s">
        <v>2198</v>
      </c>
      <c r="J4104" t="s">
        <v>52</v>
      </c>
      <c r="K4104" s="3">
        <v>100810104482</v>
      </c>
      <c r="L4104" s="10">
        <v>41060</v>
      </c>
      <c r="M4104">
        <v>2252.976</v>
      </c>
      <c r="N4104" s="11">
        <v>13</v>
      </c>
      <c r="O4104" s="12">
        <v>205.99</v>
      </c>
      <c r="P4104" s="12">
        <v>8.99</v>
      </c>
      <c r="Q4104" s="13">
        <v>-54.362</v>
      </c>
      <c r="R4104" s="36" t="s">
        <v>799</v>
      </c>
      <c r="S4104" s="7">
        <f t="shared" si="352"/>
        <v>2</v>
      </c>
      <c r="T4104" s="15" t="str">
        <f>VLOOKUP(R4104,产品分类!$C$2:$D$1278,2,0)</f>
        <v>家具产品</v>
      </c>
    </row>
    <row r="4105" spans="1:20">
      <c r="A4105" s="8">
        <f>DATE(2012,12,31)-1361</f>
        <v>39913</v>
      </c>
      <c r="B4105" s="8">
        <f>DATE(2012,12,31)-1361</f>
        <v>39913</v>
      </c>
      <c r="C4105" s="9" t="s">
        <v>2051</v>
      </c>
      <c r="D4105">
        <v>10021264923</v>
      </c>
      <c r="E4105" t="s">
        <v>47</v>
      </c>
      <c r="F4105" t="s">
        <v>122</v>
      </c>
      <c r="G4105" t="s">
        <v>123</v>
      </c>
      <c r="H4105" t="s">
        <v>2159</v>
      </c>
      <c r="I4105" t="s">
        <v>2160</v>
      </c>
      <c r="J4105" t="s">
        <v>52</v>
      </c>
      <c r="K4105" s="3">
        <v>100831241892</v>
      </c>
      <c r="L4105" s="10">
        <v>39914</v>
      </c>
      <c r="M4105">
        <v>203.4</v>
      </c>
      <c r="N4105" s="11">
        <v>29</v>
      </c>
      <c r="O4105" s="12">
        <v>7.08</v>
      </c>
      <c r="P4105" s="12">
        <v>2.35</v>
      </c>
      <c r="Q4105" s="13">
        <v>24.59</v>
      </c>
      <c r="R4105" s="36" t="s">
        <v>1940</v>
      </c>
      <c r="S4105" s="7">
        <f t="shared" si="352"/>
        <v>1</v>
      </c>
      <c r="T4105" s="15" t="str">
        <f>VLOOKUP(R4105,产品分类!$C$2:$D$1278,2,0)</f>
        <v>数码电子</v>
      </c>
    </row>
    <row r="4106" spans="1:20">
      <c r="A4106" s="8">
        <f>DATE(2012,12,31)-2</f>
        <v>41272</v>
      </c>
      <c r="B4106" s="8">
        <f>DATE(2012,12,31)-2</f>
        <v>41272</v>
      </c>
      <c r="C4106" s="9" t="s">
        <v>877</v>
      </c>
      <c r="D4106">
        <v>10021506662</v>
      </c>
      <c r="E4106" t="s">
        <v>47</v>
      </c>
      <c r="F4106" t="s">
        <v>122</v>
      </c>
      <c r="G4106" t="s">
        <v>123</v>
      </c>
      <c r="H4106" t="s">
        <v>2159</v>
      </c>
      <c r="I4106" t="s">
        <v>2160</v>
      </c>
      <c r="J4106" t="s">
        <v>52</v>
      </c>
      <c r="K4106" s="3">
        <v>100931485631</v>
      </c>
      <c r="L4106" s="10">
        <v>41272</v>
      </c>
      <c r="M4106">
        <v>12690.33</v>
      </c>
      <c r="N4106" s="11">
        <v>36</v>
      </c>
      <c r="O4106" s="12">
        <v>367.99</v>
      </c>
      <c r="P4106" s="12">
        <v>19.99</v>
      </c>
      <c r="Q4106" s="13">
        <v>5045.3025</v>
      </c>
      <c r="R4106" s="36" t="s">
        <v>2165</v>
      </c>
      <c r="S4106" s="7">
        <f t="shared" si="352"/>
        <v>0</v>
      </c>
      <c r="T4106" s="15" t="str">
        <f>VLOOKUP(R4106,产品分类!$C$2:$D$1278,2,0)</f>
        <v>办公用品</v>
      </c>
    </row>
    <row r="4107" spans="1:20">
      <c r="A4107" s="8">
        <f>DATE(2012,12,31)-216</f>
        <v>41058</v>
      </c>
      <c r="B4107" s="8">
        <f>DATE(2012,12,31)-216</f>
        <v>41058</v>
      </c>
      <c r="C4107" s="9" t="s">
        <v>728</v>
      </c>
      <c r="D4107">
        <v>10021387774</v>
      </c>
      <c r="E4107" t="s">
        <v>47</v>
      </c>
      <c r="F4107" t="s">
        <v>91</v>
      </c>
      <c r="G4107" t="s">
        <v>92</v>
      </c>
      <c r="H4107" t="s">
        <v>2053</v>
      </c>
      <c r="I4107" t="s">
        <v>2054</v>
      </c>
      <c r="J4107" t="s">
        <v>52</v>
      </c>
      <c r="K4107" s="3">
        <v>1001816708</v>
      </c>
      <c r="L4107" s="10">
        <v>41061</v>
      </c>
      <c r="M4107">
        <v>325.33</v>
      </c>
      <c r="N4107" s="11">
        <v>41</v>
      </c>
      <c r="O4107" s="12">
        <v>7.64</v>
      </c>
      <c r="P4107" s="12">
        <v>5.83</v>
      </c>
      <c r="Q4107" s="13">
        <v>-41.75</v>
      </c>
      <c r="R4107" s="36" t="s">
        <v>202</v>
      </c>
      <c r="S4107" s="7">
        <f t="shared" si="352"/>
        <v>3</v>
      </c>
      <c r="T4107" s="15" t="str">
        <f>VLOOKUP(R4107,产品分类!$C$2:$D$1278,2,0)</f>
        <v>办公用品</v>
      </c>
    </row>
    <row r="4108" spans="1:20">
      <c r="A4108" s="8">
        <f>DATE(2012,12,31)-346</f>
        <v>40928</v>
      </c>
      <c r="B4108" s="8">
        <f>DATE(2012,12,31)-346</f>
        <v>40928</v>
      </c>
      <c r="C4108" s="9" t="s">
        <v>1512</v>
      </c>
      <c r="D4108">
        <v>10021465391</v>
      </c>
      <c r="E4108" t="s">
        <v>47</v>
      </c>
      <c r="F4108" t="s">
        <v>122</v>
      </c>
      <c r="G4108" t="s">
        <v>123</v>
      </c>
      <c r="H4108" t="s">
        <v>2159</v>
      </c>
      <c r="I4108" t="s">
        <v>2160</v>
      </c>
      <c r="J4108" t="s">
        <v>52</v>
      </c>
      <c r="K4108" s="3">
        <v>10071964785</v>
      </c>
      <c r="L4108" s="10">
        <v>40930</v>
      </c>
      <c r="M4108">
        <v>24701.12</v>
      </c>
      <c r="N4108" s="11">
        <v>48</v>
      </c>
      <c r="O4108" s="12">
        <v>500.98</v>
      </c>
      <c r="P4108" s="12">
        <v>26</v>
      </c>
      <c r="Q4108" s="13">
        <v>8022.94</v>
      </c>
      <c r="R4108" s="36" t="s">
        <v>614</v>
      </c>
      <c r="S4108" s="7">
        <f t="shared" si="352"/>
        <v>2</v>
      </c>
      <c r="T4108" s="15" t="str">
        <f>VLOOKUP(R4108,产品分类!$C$2:$D$1278,2,0)</f>
        <v>办公用品</v>
      </c>
    </row>
    <row r="4109" spans="1:20">
      <c r="A4109" s="8">
        <f>DATE(2012,12,31)-567</f>
        <v>40707</v>
      </c>
      <c r="B4109" s="8">
        <f>DATE(2012,12,31)-567</f>
        <v>40707</v>
      </c>
      <c r="C4109" s="9" t="s">
        <v>2306</v>
      </c>
      <c r="D4109">
        <v>10021268377</v>
      </c>
      <c r="E4109" t="s">
        <v>47</v>
      </c>
      <c r="F4109" t="s">
        <v>122</v>
      </c>
      <c r="G4109" t="s">
        <v>123</v>
      </c>
      <c r="H4109" t="s">
        <v>2159</v>
      </c>
      <c r="I4109" t="s">
        <v>2160</v>
      </c>
      <c r="J4109" t="s">
        <v>52</v>
      </c>
      <c r="K4109" s="3">
        <v>100832395422</v>
      </c>
      <c r="L4109" s="10">
        <v>40711</v>
      </c>
      <c r="M4109">
        <v>3156.6</v>
      </c>
      <c r="N4109" s="11">
        <v>12</v>
      </c>
      <c r="O4109" s="12">
        <v>276.2</v>
      </c>
      <c r="P4109" s="12">
        <v>24.49</v>
      </c>
      <c r="Q4109" s="13">
        <v>454.26</v>
      </c>
      <c r="R4109" s="36" t="s">
        <v>559</v>
      </c>
      <c r="S4109" s="7">
        <f t="shared" si="352"/>
        <v>4</v>
      </c>
      <c r="T4109" s="15" t="str">
        <f>VLOOKUP(R4109,产品分类!$C$2:$D$1278,2,0)</f>
        <v>家具产品</v>
      </c>
    </row>
    <row r="4110" spans="1:20">
      <c r="A4110" s="8">
        <f>DATE(2012,12,31)-567</f>
        <v>40707</v>
      </c>
      <c r="B4110" s="8">
        <f>DATE(2012,12,31)-567</f>
        <v>40707</v>
      </c>
      <c r="C4110" s="9" t="s">
        <v>2306</v>
      </c>
      <c r="D4110">
        <v>10021496274</v>
      </c>
      <c r="E4110" t="s">
        <v>47</v>
      </c>
      <c r="F4110" t="s">
        <v>91</v>
      </c>
      <c r="G4110" t="s">
        <v>92</v>
      </c>
      <c r="H4110" t="s">
        <v>2053</v>
      </c>
      <c r="I4110" t="s">
        <v>2054</v>
      </c>
      <c r="J4110" t="s">
        <v>52</v>
      </c>
      <c r="K4110" s="3">
        <v>10098123691</v>
      </c>
      <c r="L4110" s="10">
        <v>40712</v>
      </c>
      <c r="M4110">
        <v>302.69</v>
      </c>
      <c r="N4110" s="11">
        <v>47</v>
      </c>
      <c r="O4110" s="12">
        <v>6.35</v>
      </c>
      <c r="P4110" s="12">
        <v>1.02</v>
      </c>
      <c r="Q4110" s="13">
        <v>125.65</v>
      </c>
      <c r="R4110" s="36" t="s">
        <v>1265</v>
      </c>
      <c r="S4110" s="7">
        <f t="shared" si="352"/>
        <v>5</v>
      </c>
      <c r="T4110" s="15" t="str">
        <f>VLOOKUP(R4110,产品分类!$C$2:$D$1278,2,0)</f>
        <v>家具产品</v>
      </c>
    </row>
    <row r="4111" spans="1:20">
      <c r="A4111" s="8">
        <f>DATE(2012,12,31)-1243</f>
        <v>40031</v>
      </c>
      <c r="B4111" s="8">
        <f>DATE(2012,12,31)-1243</f>
        <v>40031</v>
      </c>
      <c r="C4111" s="9" t="s">
        <v>848</v>
      </c>
      <c r="D4111">
        <v>10021501661</v>
      </c>
      <c r="E4111" t="s">
        <v>47</v>
      </c>
      <c r="F4111" t="s">
        <v>91</v>
      </c>
      <c r="G4111" t="s">
        <v>92</v>
      </c>
      <c r="H4111" t="s">
        <v>2053</v>
      </c>
      <c r="I4111" t="s">
        <v>2054</v>
      </c>
      <c r="J4111" t="s">
        <v>52</v>
      </c>
      <c r="K4111" s="3">
        <v>100427397624</v>
      </c>
      <c r="L4111" s="10">
        <v>40035</v>
      </c>
      <c r="M4111">
        <v>65.81</v>
      </c>
      <c r="N4111" s="11">
        <v>9</v>
      </c>
      <c r="O4111" s="12">
        <v>6.48</v>
      </c>
      <c r="P4111" s="12">
        <v>5.19</v>
      </c>
      <c r="Q4111" s="13">
        <v>-15.44</v>
      </c>
      <c r="R4111" s="36" t="s">
        <v>2199</v>
      </c>
      <c r="S4111" s="7">
        <f t="shared" si="352"/>
        <v>4</v>
      </c>
      <c r="T4111" s="15" t="str">
        <f>VLOOKUP(R4111,产品分类!$C$2:$D$1278,2,0)</f>
        <v>办公用品</v>
      </c>
    </row>
    <row r="4112" spans="1:20">
      <c r="A4112" s="8">
        <f>DATE(2012,12,31)-394</f>
        <v>40880</v>
      </c>
      <c r="B4112" s="8">
        <f>DATE(2012,12,31)-394</f>
        <v>40880</v>
      </c>
      <c r="C4112" s="9" t="s">
        <v>675</v>
      </c>
      <c r="D4112">
        <v>10021622658</v>
      </c>
      <c r="E4112" t="s">
        <v>47</v>
      </c>
      <c r="F4112" t="s">
        <v>122</v>
      </c>
      <c r="G4112" t="s">
        <v>123</v>
      </c>
      <c r="H4112" t="s">
        <v>2159</v>
      </c>
      <c r="I4112" t="s">
        <v>2160</v>
      </c>
      <c r="J4112" t="s">
        <v>52</v>
      </c>
      <c r="K4112" s="3">
        <v>100114647648</v>
      </c>
      <c r="L4112" s="10">
        <v>40884</v>
      </c>
      <c r="M4112">
        <v>617.219</v>
      </c>
      <c r="N4112" s="11">
        <v>11</v>
      </c>
      <c r="O4112" s="12">
        <v>65.99</v>
      </c>
      <c r="P4112" s="12">
        <v>8.99</v>
      </c>
      <c r="Q4112" s="13">
        <v>-136.092</v>
      </c>
      <c r="R4112" s="36" t="s">
        <v>1298</v>
      </c>
      <c r="S4112" s="7">
        <f t="shared" si="352"/>
        <v>4</v>
      </c>
      <c r="T4112" s="15" t="str">
        <f>VLOOKUP(R4112,产品分类!$C$2:$D$1278,2,0)</f>
        <v>办公用品</v>
      </c>
    </row>
    <row r="4113" spans="1:20">
      <c r="A4113" s="8">
        <f>DATE(2012,12,31)-278</f>
        <v>40996</v>
      </c>
      <c r="B4113" s="8">
        <f>DATE(2012,12,31)-278</f>
        <v>40996</v>
      </c>
      <c r="C4113" s="9" t="s">
        <v>721</v>
      </c>
      <c r="D4113">
        <v>10021429200</v>
      </c>
      <c r="E4113" t="s">
        <v>47</v>
      </c>
      <c r="F4113" t="s">
        <v>253</v>
      </c>
      <c r="G4113" t="s">
        <v>254</v>
      </c>
      <c r="H4113" t="s">
        <v>2287</v>
      </c>
      <c r="I4113" t="s">
        <v>2288</v>
      </c>
      <c r="J4113" t="s">
        <v>52</v>
      </c>
      <c r="K4113" s="3">
        <v>100831389042</v>
      </c>
      <c r="L4113" s="10">
        <v>40997</v>
      </c>
      <c r="M4113">
        <v>238.35</v>
      </c>
      <c r="N4113" s="11">
        <v>19</v>
      </c>
      <c r="O4113" s="12">
        <v>11.66</v>
      </c>
      <c r="P4113" s="12">
        <v>7.95</v>
      </c>
      <c r="Q4113" s="13">
        <v>-64.51</v>
      </c>
      <c r="R4113" s="36" t="s">
        <v>1583</v>
      </c>
      <c r="S4113" s="7">
        <f t="shared" si="352"/>
        <v>1</v>
      </c>
      <c r="T4113" s="15" t="str">
        <f>VLOOKUP(R4113,产品分类!$C$2:$D$1278,2,0)</f>
        <v>办公用品</v>
      </c>
    </row>
    <row r="4114" spans="1:20">
      <c r="A4114" s="8">
        <f>DATE(2012,12,31)-278</f>
        <v>40996</v>
      </c>
      <c r="B4114" s="8">
        <f>DATE(2012,12,31)-278</f>
        <v>40996</v>
      </c>
      <c r="C4114" s="9" t="s">
        <v>721</v>
      </c>
      <c r="D4114">
        <v>10021263208</v>
      </c>
      <c r="E4114" t="s">
        <v>47</v>
      </c>
      <c r="F4114" t="s">
        <v>91</v>
      </c>
      <c r="G4114" t="s">
        <v>92</v>
      </c>
      <c r="H4114" t="s">
        <v>2053</v>
      </c>
      <c r="I4114" t="s">
        <v>2054</v>
      </c>
      <c r="J4114" t="s">
        <v>52</v>
      </c>
      <c r="K4114" s="3">
        <v>100129380297</v>
      </c>
      <c r="L4114" s="10">
        <v>40997</v>
      </c>
      <c r="M4114">
        <v>856.34</v>
      </c>
      <c r="N4114" s="11">
        <v>30</v>
      </c>
      <c r="O4114" s="12">
        <v>28.38</v>
      </c>
      <c r="P4114" s="12">
        <v>1.99</v>
      </c>
      <c r="Q4114" s="13">
        <v>248.91</v>
      </c>
      <c r="R4114" s="36" t="s">
        <v>2307</v>
      </c>
      <c r="S4114" s="7">
        <f t="shared" si="352"/>
        <v>1</v>
      </c>
      <c r="T4114" s="15" t="str">
        <f>VLOOKUP(R4114,产品分类!$C$2:$D$1278,2,0)</f>
        <v>办公用品</v>
      </c>
    </row>
    <row r="4115" spans="1:20">
      <c r="A4115" s="8">
        <f>DATE(2012,12,31)-33</f>
        <v>41241</v>
      </c>
      <c r="B4115" s="8">
        <f>DATE(2012,12,31)-33</f>
        <v>41241</v>
      </c>
      <c r="C4115" s="9" t="s">
        <v>1816</v>
      </c>
      <c r="D4115">
        <v>10021421630</v>
      </c>
      <c r="E4115" t="s">
        <v>47</v>
      </c>
      <c r="F4115" t="s">
        <v>55</v>
      </c>
      <c r="G4115" t="s">
        <v>56</v>
      </c>
      <c r="H4115" t="s">
        <v>2197</v>
      </c>
      <c r="I4115" t="s">
        <v>2198</v>
      </c>
      <c r="J4115" t="s">
        <v>52</v>
      </c>
      <c r="K4115" s="3">
        <v>100926029921</v>
      </c>
      <c r="L4115" s="10">
        <v>41243</v>
      </c>
      <c r="M4115">
        <v>34.27</v>
      </c>
      <c r="N4115" s="11">
        <v>4</v>
      </c>
      <c r="O4115" s="12">
        <v>6.48</v>
      </c>
      <c r="P4115" s="12">
        <v>9.54</v>
      </c>
      <c r="Q4115" s="13">
        <v>-26.44</v>
      </c>
      <c r="R4115" s="36" t="s">
        <v>722</v>
      </c>
      <c r="S4115" s="7">
        <f t="shared" si="352"/>
        <v>2</v>
      </c>
      <c r="T4115" s="15" t="str">
        <f>VLOOKUP(R4115,产品分类!$C$2:$D$1278,2,0)</f>
        <v>办公用品</v>
      </c>
    </row>
    <row r="4116" spans="1:20">
      <c r="A4116" s="8">
        <f>DATE(2012,12,31)-1361</f>
        <v>39913</v>
      </c>
      <c r="B4116" s="8">
        <f>DATE(2012,12,31)-1361</f>
        <v>39913</v>
      </c>
      <c r="C4116" s="9" t="s">
        <v>366</v>
      </c>
      <c r="D4116">
        <v>10021592999</v>
      </c>
      <c r="E4116" t="s">
        <v>47</v>
      </c>
      <c r="F4116" t="s">
        <v>127</v>
      </c>
      <c r="G4116" t="s">
        <v>128</v>
      </c>
      <c r="H4116" t="s">
        <v>2189</v>
      </c>
      <c r="I4116" t="s">
        <v>2190</v>
      </c>
      <c r="J4116" t="s">
        <v>52</v>
      </c>
      <c r="K4116" s="3">
        <v>100432405123</v>
      </c>
      <c r="L4116" s="10">
        <v>39915</v>
      </c>
      <c r="M4116">
        <v>6449.056</v>
      </c>
      <c r="N4116" s="11">
        <v>20</v>
      </c>
      <c r="O4116" s="12">
        <v>400.98</v>
      </c>
      <c r="P4116" s="12">
        <v>42.52</v>
      </c>
      <c r="Q4116" s="13">
        <v>1116.02</v>
      </c>
      <c r="R4116" s="36" t="s">
        <v>1048</v>
      </c>
      <c r="S4116" s="7">
        <f t="shared" si="352"/>
        <v>2</v>
      </c>
      <c r="T4116" s="15" t="str">
        <f>VLOOKUP(R4116,产品分类!$C$2:$D$1278,2,0)</f>
        <v>办公用品</v>
      </c>
    </row>
    <row r="4117" spans="1:20">
      <c r="A4117" s="8">
        <f>DATE(2012,12,31)-1252</f>
        <v>40022</v>
      </c>
      <c r="B4117" s="8">
        <f>DATE(2012,12,31)-1252</f>
        <v>40022</v>
      </c>
      <c r="C4117" s="9" t="s">
        <v>913</v>
      </c>
      <c r="D4117">
        <v>10021263833</v>
      </c>
      <c r="E4117" t="s">
        <v>47</v>
      </c>
      <c r="F4117" t="s">
        <v>97</v>
      </c>
      <c r="G4117" t="s">
        <v>98</v>
      </c>
      <c r="H4117" t="s">
        <v>99</v>
      </c>
      <c r="I4117" t="s">
        <v>98</v>
      </c>
      <c r="J4117" t="s">
        <v>52</v>
      </c>
      <c r="K4117" s="3">
        <v>100430845703</v>
      </c>
      <c r="L4117" s="10">
        <v>40024</v>
      </c>
      <c r="M4117">
        <v>13070.2</v>
      </c>
      <c r="N4117" s="11">
        <v>4</v>
      </c>
      <c r="O4117" s="12">
        <v>3502.14</v>
      </c>
      <c r="P4117" s="12">
        <v>8.73</v>
      </c>
      <c r="Q4117" s="13">
        <v>-6923.5992</v>
      </c>
      <c r="R4117" s="36" t="s">
        <v>650</v>
      </c>
      <c r="S4117" s="7">
        <f t="shared" si="352"/>
        <v>2</v>
      </c>
      <c r="T4117" s="15" t="str">
        <f>VLOOKUP(R4117,产品分类!$C$2:$D$1278,2,0)</f>
        <v>家具产品</v>
      </c>
    </row>
    <row r="4118" spans="1:20">
      <c r="A4118" s="8">
        <f>DATE(2012,12,31)-1278</f>
        <v>39996</v>
      </c>
      <c r="B4118" s="8">
        <f>DATE(2012,12,31)-1278</f>
        <v>39996</v>
      </c>
      <c r="C4118" s="9" t="s">
        <v>773</v>
      </c>
      <c r="D4118">
        <v>10021502540</v>
      </c>
      <c r="E4118" t="s">
        <v>47</v>
      </c>
      <c r="F4118" t="s">
        <v>97</v>
      </c>
      <c r="G4118" t="s">
        <v>98</v>
      </c>
      <c r="H4118" t="s">
        <v>99</v>
      </c>
      <c r="I4118" t="s">
        <v>98</v>
      </c>
      <c r="J4118" t="s">
        <v>52</v>
      </c>
      <c r="K4118" s="3">
        <v>100428613424</v>
      </c>
      <c r="L4118" s="10">
        <v>39998</v>
      </c>
      <c r="M4118">
        <v>281.39</v>
      </c>
      <c r="N4118" s="11">
        <v>50</v>
      </c>
      <c r="O4118" s="12">
        <v>5.74</v>
      </c>
      <c r="P4118" s="12">
        <v>5.01</v>
      </c>
      <c r="Q4118" s="13">
        <v>-106.398</v>
      </c>
      <c r="R4118" s="36" t="s">
        <v>876</v>
      </c>
      <c r="S4118" s="7">
        <f t="shared" si="352"/>
        <v>2</v>
      </c>
      <c r="T4118" s="15" t="str">
        <f>VLOOKUP(R4118,产品分类!$C$2:$D$1278,2,0)</f>
        <v>办公用品</v>
      </c>
    </row>
    <row r="4119" spans="1:20">
      <c r="A4119" s="8">
        <f>DATE(2012,12,31)-1278</f>
        <v>39996</v>
      </c>
      <c r="B4119" s="8">
        <f>DATE(2012,12,31)-1278</f>
        <v>39996</v>
      </c>
      <c r="C4119" s="9" t="s">
        <v>773</v>
      </c>
      <c r="D4119">
        <v>10021445972</v>
      </c>
      <c r="E4119" t="s">
        <v>47</v>
      </c>
      <c r="F4119" t="s">
        <v>132</v>
      </c>
      <c r="G4119" t="s">
        <v>133</v>
      </c>
      <c r="H4119" t="s">
        <v>134</v>
      </c>
      <c r="I4119" t="s">
        <v>133</v>
      </c>
      <c r="J4119" t="s">
        <v>52</v>
      </c>
      <c r="K4119" s="3">
        <v>100815639042</v>
      </c>
      <c r="L4119" s="10">
        <v>39998</v>
      </c>
      <c r="M4119">
        <v>12593.91</v>
      </c>
      <c r="N4119" s="11">
        <v>49</v>
      </c>
      <c r="O4119" s="12">
        <v>270.97</v>
      </c>
      <c r="P4119" s="12">
        <v>28.06</v>
      </c>
      <c r="Q4119" s="13">
        <v>2699.67</v>
      </c>
      <c r="R4119" s="36" t="s">
        <v>1975</v>
      </c>
      <c r="S4119" s="7">
        <f t="shared" si="352"/>
        <v>2</v>
      </c>
      <c r="T4119" s="15" t="str">
        <f>VLOOKUP(R4119,产品分类!$C$2:$D$1278,2,0)</f>
        <v>办公用品</v>
      </c>
    </row>
    <row r="4120" spans="1:20">
      <c r="A4120" s="8">
        <f t="shared" ref="A4120:B4122" si="354">DATE(2012,12,31)-456</f>
        <v>40818</v>
      </c>
      <c r="B4120" s="8">
        <f t="shared" si="354"/>
        <v>40818</v>
      </c>
      <c r="C4120" s="9" t="s">
        <v>558</v>
      </c>
      <c r="D4120">
        <v>10021293185</v>
      </c>
      <c r="E4120" t="s">
        <v>47</v>
      </c>
      <c r="F4120" t="s">
        <v>132</v>
      </c>
      <c r="G4120" t="s">
        <v>133</v>
      </c>
      <c r="H4120" t="s">
        <v>134</v>
      </c>
      <c r="I4120" t="s">
        <v>133</v>
      </c>
      <c r="J4120" t="s">
        <v>52</v>
      </c>
      <c r="K4120" s="3">
        <v>10095127501</v>
      </c>
      <c r="L4120" s="10">
        <v>40820</v>
      </c>
      <c r="M4120">
        <v>7789.63</v>
      </c>
      <c r="N4120" s="11">
        <v>40</v>
      </c>
      <c r="O4120" s="12">
        <v>200.98</v>
      </c>
      <c r="P4120" s="12">
        <v>23.76</v>
      </c>
      <c r="Q4120" s="13">
        <v>1774.53</v>
      </c>
      <c r="R4120" s="36" t="s">
        <v>1343</v>
      </c>
      <c r="S4120" s="7">
        <f t="shared" si="352"/>
        <v>2</v>
      </c>
      <c r="T4120" s="15" t="str">
        <f>VLOOKUP(R4120,产品分类!$C$2:$D$1278,2,0)</f>
        <v>办公用品</v>
      </c>
    </row>
    <row r="4121" spans="1:20">
      <c r="A4121" s="8">
        <f t="shared" si="354"/>
        <v>40818</v>
      </c>
      <c r="B4121" s="8">
        <f t="shared" si="354"/>
        <v>40818</v>
      </c>
      <c r="C4121" s="9" t="s">
        <v>558</v>
      </c>
      <c r="D4121">
        <v>10021333318</v>
      </c>
      <c r="E4121" t="s">
        <v>47</v>
      </c>
      <c r="F4121" t="s">
        <v>132</v>
      </c>
      <c r="G4121" t="s">
        <v>133</v>
      </c>
      <c r="H4121" t="s">
        <v>134</v>
      </c>
      <c r="I4121" t="s">
        <v>133</v>
      </c>
      <c r="J4121" t="s">
        <v>52</v>
      </c>
      <c r="K4121" s="3">
        <v>10049798403</v>
      </c>
      <c r="L4121" s="10">
        <v>40819</v>
      </c>
      <c r="M4121">
        <v>15703.82</v>
      </c>
      <c r="N4121" s="11">
        <v>20</v>
      </c>
      <c r="O4121" s="12">
        <v>810.98</v>
      </c>
      <c r="P4121" s="12">
        <v>16.06</v>
      </c>
      <c r="Q4121" s="13">
        <v>3055.72</v>
      </c>
      <c r="R4121" s="36" t="s">
        <v>1967</v>
      </c>
      <c r="S4121" s="7">
        <f t="shared" si="352"/>
        <v>1</v>
      </c>
      <c r="T4121" s="15" t="str">
        <f>VLOOKUP(R4121,产品分类!$C$2:$D$1278,2,0)</f>
        <v>数码电子</v>
      </c>
    </row>
    <row r="4122" spans="1:20">
      <c r="A4122" s="8">
        <f t="shared" si="354"/>
        <v>40818</v>
      </c>
      <c r="B4122" s="8">
        <f t="shared" si="354"/>
        <v>40818</v>
      </c>
      <c r="C4122" s="9" t="s">
        <v>558</v>
      </c>
      <c r="D4122">
        <v>10021444028</v>
      </c>
      <c r="E4122" t="s">
        <v>47</v>
      </c>
      <c r="F4122" t="s">
        <v>97</v>
      </c>
      <c r="G4122" t="s">
        <v>98</v>
      </c>
      <c r="H4122" t="s">
        <v>99</v>
      </c>
      <c r="I4122" t="s">
        <v>98</v>
      </c>
      <c r="J4122" t="s">
        <v>52</v>
      </c>
      <c r="K4122" s="3">
        <v>10014156176</v>
      </c>
      <c r="L4122" s="10">
        <v>40818</v>
      </c>
      <c r="M4122">
        <v>140.69</v>
      </c>
      <c r="N4122" s="11">
        <v>31</v>
      </c>
      <c r="O4122" s="12">
        <v>4.71</v>
      </c>
      <c r="P4122" s="12">
        <v>0.7</v>
      </c>
      <c r="Q4122" s="13">
        <v>-14.54</v>
      </c>
      <c r="R4122" s="36" t="s">
        <v>819</v>
      </c>
      <c r="S4122" s="7">
        <f t="shared" si="352"/>
        <v>0</v>
      </c>
      <c r="T4122" s="15" t="str">
        <f>VLOOKUP(R4122,产品分类!$C$2:$D$1278,2,0)</f>
        <v>家具产品</v>
      </c>
    </row>
    <row r="4123" spans="1:20">
      <c r="A4123" s="16">
        <f>DATE(2012,12,31)-550</f>
        <v>40724</v>
      </c>
      <c r="B4123" s="16">
        <f>DATE(2012,12,31)-550</f>
        <v>40724</v>
      </c>
      <c r="C4123" s="9" t="s">
        <v>945</v>
      </c>
      <c r="D4123">
        <v>10021319668</v>
      </c>
      <c r="E4123" t="s">
        <v>47</v>
      </c>
      <c r="F4123" t="s">
        <v>208</v>
      </c>
      <c r="G4123" t="s">
        <v>209</v>
      </c>
      <c r="H4123" t="s">
        <v>2300</v>
      </c>
      <c r="I4123" t="s">
        <v>2301</v>
      </c>
      <c r="J4123" t="s">
        <v>52</v>
      </c>
      <c r="K4123" s="3">
        <v>100416916854</v>
      </c>
      <c r="L4123" s="10">
        <v>40725</v>
      </c>
      <c r="M4123">
        <v>2954.14</v>
      </c>
      <c r="N4123" s="17">
        <v>21</v>
      </c>
      <c r="O4123" s="5">
        <v>138.14</v>
      </c>
      <c r="P4123" s="5">
        <v>35</v>
      </c>
      <c r="Q4123" s="6">
        <v>-522.94</v>
      </c>
      <c r="R4123" s="37" t="s">
        <v>308</v>
      </c>
      <c r="S4123" s="7">
        <f t="shared" si="352"/>
        <v>1</v>
      </c>
      <c r="T4123" s="15" t="str">
        <f>VLOOKUP(R4123,产品分类!$C$2:$D$1278,2,0)</f>
        <v>家具产品</v>
      </c>
    </row>
    <row r="4124" spans="1:20">
      <c r="A4124" s="8">
        <f>DATE(2012,12,31)-550</f>
        <v>40724</v>
      </c>
      <c r="B4124" s="8">
        <f>DATE(2012,12,31)-550</f>
        <v>40724</v>
      </c>
      <c r="C4124" s="9" t="s">
        <v>945</v>
      </c>
      <c r="D4124">
        <v>10021260288</v>
      </c>
      <c r="E4124" t="s">
        <v>47</v>
      </c>
      <c r="F4124" t="s">
        <v>304</v>
      </c>
      <c r="G4124" t="s">
        <v>305</v>
      </c>
      <c r="H4124" t="s">
        <v>2015</v>
      </c>
      <c r="I4124" t="s">
        <v>2016</v>
      </c>
      <c r="J4124" t="s">
        <v>52</v>
      </c>
      <c r="K4124" s="3">
        <v>100128562908</v>
      </c>
      <c r="L4124" s="10">
        <v>40725</v>
      </c>
      <c r="M4124">
        <v>3375.3075</v>
      </c>
      <c r="N4124" s="11">
        <v>34</v>
      </c>
      <c r="O4124" s="12">
        <v>125.99</v>
      </c>
      <c r="P4124" s="12">
        <v>8.08</v>
      </c>
      <c r="Q4124" s="13">
        <v>562.131</v>
      </c>
      <c r="R4124" s="36" t="s">
        <v>190</v>
      </c>
      <c r="S4124" s="7">
        <f t="shared" si="352"/>
        <v>1</v>
      </c>
      <c r="T4124" s="15" t="str">
        <f>VLOOKUP(R4124,产品分类!$C$2:$D$1278,2,0)</f>
        <v>家具产品</v>
      </c>
    </row>
    <row r="4125" spans="1:20">
      <c r="A4125" s="8">
        <f>DATE(2012,12,31)-1437</f>
        <v>39837</v>
      </c>
      <c r="B4125" s="8">
        <f>DATE(2012,12,31)-1437</f>
        <v>39837</v>
      </c>
      <c r="C4125" s="9" t="s">
        <v>1168</v>
      </c>
      <c r="D4125">
        <v>10021413889</v>
      </c>
      <c r="E4125" t="s">
        <v>47</v>
      </c>
      <c r="F4125" t="s">
        <v>304</v>
      </c>
      <c r="G4125" t="s">
        <v>305</v>
      </c>
      <c r="H4125" t="s">
        <v>2015</v>
      </c>
      <c r="I4125" t="s">
        <v>2016</v>
      </c>
      <c r="J4125" t="s">
        <v>52</v>
      </c>
      <c r="K4125" s="3">
        <v>10013268146</v>
      </c>
      <c r="L4125" s="10">
        <v>39839</v>
      </c>
      <c r="M4125">
        <v>6654.39</v>
      </c>
      <c r="N4125" s="11">
        <v>30</v>
      </c>
      <c r="O4125" s="12">
        <v>238.4</v>
      </c>
      <c r="P4125" s="12">
        <v>24.49</v>
      </c>
      <c r="Q4125" s="13">
        <v>1151.69</v>
      </c>
      <c r="R4125" s="36" t="s">
        <v>2308</v>
      </c>
      <c r="S4125" s="7">
        <f t="shared" si="352"/>
        <v>2</v>
      </c>
      <c r="T4125" s="15" t="str">
        <f>VLOOKUP(R4125,产品分类!$C$2:$D$1278,2,0)</f>
        <v>办公用品</v>
      </c>
    </row>
    <row r="4126" spans="1:20">
      <c r="A4126" s="8">
        <f>DATE(2012,12,31)-1437</f>
        <v>39837</v>
      </c>
      <c r="B4126" s="8">
        <f>DATE(2012,12,31)-1437</f>
        <v>39837</v>
      </c>
      <c r="C4126" s="9" t="s">
        <v>1168</v>
      </c>
      <c r="D4126">
        <v>10021434444</v>
      </c>
      <c r="E4126" t="s">
        <v>47</v>
      </c>
      <c r="F4126" t="s">
        <v>102</v>
      </c>
      <c r="G4126" t="s">
        <v>103</v>
      </c>
      <c r="H4126" t="s">
        <v>2236</v>
      </c>
      <c r="I4126" t="s">
        <v>2237</v>
      </c>
      <c r="J4126" t="s">
        <v>52</v>
      </c>
      <c r="K4126" s="3">
        <v>100132662948</v>
      </c>
      <c r="L4126" s="10">
        <v>39839</v>
      </c>
      <c r="M4126">
        <v>4429.69</v>
      </c>
      <c r="N4126" s="11">
        <v>21</v>
      </c>
      <c r="O4126" s="12">
        <v>199.99</v>
      </c>
      <c r="P4126" s="12">
        <v>24.49</v>
      </c>
      <c r="Q4126" s="13">
        <v>983.55</v>
      </c>
      <c r="R4126" s="36" t="s">
        <v>2092</v>
      </c>
      <c r="S4126" s="7">
        <f t="shared" si="352"/>
        <v>2</v>
      </c>
      <c r="T4126" s="15" t="str">
        <f>VLOOKUP(R4126,产品分类!$C$2:$D$1278,2,0)</f>
        <v>办公用品</v>
      </c>
    </row>
    <row r="4127" spans="1:20">
      <c r="A4127" s="8">
        <f>DATE(2012,12,31)-1233</f>
        <v>40041</v>
      </c>
      <c r="B4127" s="8">
        <f>DATE(2012,12,31)-1233</f>
        <v>40041</v>
      </c>
      <c r="C4127" s="9" t="s">
        <v>1964</v>
      </c>
      <c r="D4127">
        <v>10021494036</v>
      </c>
      <c r="E4127" t="s">
        <v>47</v>
      </c>
      <c r="F4127" t="s">
        <v>102</v>
      </c>
      <c r="G4127" t="s">
        <v>103</v>
      </c>
      <c r="H4127" t="s">
        <v>2236</v>
      </c>
      <c r="I4127" t="s">
        <v>2237</v>
      </c>
      <c r="J4127" t="s">
        <v>52</v>
      </c>
      <c r="K4127" s="3">
        <v>10099645961</v>
      </c>
      <c r="L4127" s="10">
        <v>40045</v>
      </c>
      <c r="M4127">
        <v>29.06</v>
      </c>
      <c r="N4127" s="11">
        <v>2</v>
      </c>
      <c r="O4127" s="12">
        <v>11.58</v>
      </c>
      <c r="P4127" s="12">
        <v>6.97</v>
      </c>
      <c r="Q4127" s="13">
        <v>-16.15</v>
      </c>
      <c r="R4127" s="36" t="s">
        <v>1022</v>
      </c>
      <c r="S4127" s="7">
        <f t="shared" si="352"/>
        <v>4</v>
      </c>
      <c r="T4127" s="15" t="str">
        <f>VLOOKUP(R4127,产品分类!$C$2:$D$1278,2,0)</f>
        <v>办公用品</v>
      </c>
    </row>
    <row r="4128" spans="1:20">
      <c r="A4128" s="8">
        <f>DATE(2012,12,31)-141</f>
        <v>41133</v>
      </c>
      <c r="B4128" s="8">
        <f>DATE(2012,12,31)-141</f>
        <v>41133</v>
      </c>
      <c r="C4128" s="9" t="s">
        <v>448</v>
      </c>
      <c r="D4128">
        <v>10021262271</v>
      </c>
      <c r="E4128" t="s">
        <v>47</v>
      </c>
      <c r="F4128" t="s">
        <v>137</v>
      </c>
      <c r="G4128" t="s">
        <v>138</v>
      </c>
      <c r="H4128" t="s">
        <v>139</v>
      </c>
      <c r="I4128" t="s">
        <v>601</v>
      </c>
      <c r="J4128" t="s">
        <v>52</v>
      </c>
      <c r="K4128" s="3">
        <v>100829914302</v>
      </c>
      <c r="L4128" s="10">
        <v>41135</v>
      </c>
      <c r="M4128">
        <v>2040.39</v>
      </c>
      <c r="N4128" s="11">
        <v>50</v>
      </c>
      <c r="O4128" s="12">
        <v>40.99</v>
      </c>
      <c r="P4128" s="12">
        <v>19.99</v>
      </c>
      <c r="Q4128" s="13">
        <v>221.09</v>
      </c>
      <c r="R4128" s="36" t="s">
        <v>656</v>
      </c>
      <c r="S4128" s="7">
        <f t="shared" si="352"/>
        <v>2</v>
      </c>
      <c r="T4128" s="15" t="str">
        <f>VLOOKUP(R4128,产品分类!$C$2:$D$1278,2,0)</f>
        <v>家具产品</v>
      </c>
    </row>
    <row r="4129" spans="1:20">
      <c r="A4129" s="8">
        <f>DATE(2012,12,31)-935</f>
        <v>40339</v>
      </c>
      <c r="B4129" s="8">
        <f>DATE(2012,12,31)-935</f>
        <v>40339</v>
      </c>
      <c r="C4129" s="9" t="s">
        <v>1846</v>
      </c>
      <c r="D4129">
        <v>10021388290</v>
      </c>
      <c r="E4129" t="s">
        <v>47</v>
      </c>
      <c r="F4129" t="s">
        <v>137</v>
      </c>
      <c r="G4129" t="s">
        <v>138</v>
      </c>
      <c r="H4129" t="s">
        <v>139</v>
      </c>
      <c r="I4129" t="s">
        <v>140</v>
      </c>
      <c r="J4129" t="s">
        <v>52</v>
      </c>
      <c r="K4129" s="3">
        <v>100327201549</v>
      </c>
      <c r="L4129" s="10">
        <v>40341</v>
      </c>
      <c r="M4129">
        <v>2526.54</v>
      </c>
      <c r="N4129" s="11">
        <v>46</v>
      </c>
      <c r="O4129" s="12">
        <v>65.99</v>
      </c>
      <c r="P4129" s="12">
        <v>2.5</v>
      </c>
      <c r="Q4129" s="13">
        <v>772.11</v>
      </c>
      <c r="R4129" s="36" t="s">
        <v>1303</v>
      </c>
      <c r="S4129" s="7">
        <f t="shared" si="352"/>
        <v>2</v>
      </c>
      <c r="T4129" s="15" t="str">
        <f>VLOOKUP(R4129,产品分类!$C$2:$D$1278,2,0)</f>
        <v>办公用品</v>
      </c>
    </row>
    <row r="4130" spans="1:20">
      <c r="A4130" s="16">
        <f>DATE(2012,12,31)-935</f>
        <v>40339</v>
      </c>
      <c r="B4130" s="16">
        <f>DATE(2012,12,31)-935</f>
        <v>40339</v>
      </c>
      <c r="C4130" s="9" t="s">
        <v>1846</v>
      </c>
      <c r="D4130">
        <v>10021352630</v>
      </c>
      <c r="E4130" t="s">
        <v>47</v>
      </c>
      <c r="F4130" t="s">
        <v>102</v>
      </c>
      <c r="G4130" t="s">
        <v>103</v>
      </c>
      <c r="H4130" t="s">
        <v>2236</v>
      </c>
      <c r="I4130" t="s">
        <v>2237</v>
      </c>
      <c r="J4130" t="s">
        <v>52</v>
      </c>
      <c r="K4130" s="3">
        <v>100432533824</v>
      </c>
      <c r="L4130" s="10">
        <v>40341</v>
      </c>
      <c r="M4130">
        <v>162.39</v>
      </c>
      <c r="N4130" s="17">
        <v>33</v>
      </c>
      <c r="O4130" s="5">
        <v>5.28</v>
      </c>
      <c r="P4130" s="5">
        <v>5.57</v>
      </c>
      <c r="Q4130" s="6">
        <v>-101.68</v>
      </c>
      <c r="R4130" s="37" t="s">
        <v>447</v>
      </c>
      <c r="S4130" s="7">
        <f t="shared" si="352"/>
        <v>2</v>
      </c>
      <c r="T4130" s="15" t="str">
        <f>VLOOKUP(R4130,产品分类!$C$2:$D$1278,2,0)</f>
        <v>数码电子</v>
      </c>
    </row>
    <row r="4131" spans="1:20">
      <c r="A4131" s="16">
        <f t="shared" ref="A4131:B4133" si="355">DATE(2012,12,31)-1224</f>
        <v>40050</v>
      </c>
      <c r="B4131" s="16">
        <f t="shared" si="355"/>
        <v>40050</v>
      </c>
      <c r="C4131" s="9" t="s">
        <v>667</v>
      </c>
      <c r="D4131">
        <v>10021249277</v>
      </c>
      <c r="E4131" t="s">
        <v>47</v>
      </c>
      <c r="F4131" t="s">
        <v>171</v>
      </c>
      <c r="G4131" t="s">
        <v>172</v>
      </c>
      <c r="H4131" t="s">
        <v>2073</v>
      </c>
      <c r="I4131" t="s">
        <v>2074</v>
      </c>
      <c r="J4131" t="s">
        <v>52</v>
      </c>
      <c r="K4131" s="3">
        <v>10015198278</v>
      </c>
      <c r="L4131" s="10">
        <v>40052</v>
      </c>
      <c r="M4131">
        <v>2519.55</v>
      </c>
      <c r="N4131" s="17">
        <v>47</v>
      </c>
      <c r="O4131" s="5">
        <v>52.4</v>
      </c>
      <c r="P4131" s="5">
        <v>16.11</v>
      </c>
      <c r="Q4131" s="6">
        <v>592.5265</v>
      </c>
      <c r="R4131" s="37" t="s">
        <v>1899</v>
      </c>
      <c r="S4131" s="7">
        <f t="shared" si="352"/>
        <v>2</v>
      </c>
      <c r="T4131" s="15" t="str">
        <f>VLOOKUP(R4131,产品分类!$C$2:$D$1278,2,0)</f>
        <v>家具产品</v>
      </c>
    </row>
    <row r="4132" spans="1:20">
      <c r="A4132" s="8">
        <f t="shared" si="355"/>
        <v>40050</v>
      </c>
      <c r="B4132" s="8">
        <f t="shared" si="355"/>
        <v>40050</v>
      </c>
      <c r="C4132" s="9" t="s">
        <v>667</v>
      </c>
      <c r="D4132">
        <v>10021268532</v>
      </c>
      <c r="E4132" t="s">
        <v>47</v>
      </c>
      <c r="F4132" t="s">
        <v>171</v>
      </c>
      <c r="G4132" t="s">
        <v>172</v>
      </c>
      <c r="H4132" t="s">
        <v>2073</v>
      </c>
      <c r="I4132" t="s">
        <v>2074</v>
      </c>
      <c r="J4132" t="s">
        <v>52</v>
      </c>
      <c r="K4132" s="3">
        <v>100432401433</v>
      </c>
      <c r="L4132" s="10">
        <v>40053</v>
      </c>
      <c r="M4132">
        <v>150.33</v>
      </c>
      <c r="N4132" s="11">
        <v>10</v>
      </c>
      <c r="O4132" s="12">
        <v>15.14</v>
      </c>
      <c r="P4132" s="12">
        <v>4.53</v>
      </c>
      <c r="Q4132" s="13">
        <v>-47.88</v>
      </c>
      <c r="R4132" s="36" t="s">
        <v>836</v>
      </c>
      <c r="S4132" s="7">
        <f t="shared" si="352"/>
        <v>3</v>
      </c>
      <c r="T4132" s="15" t="str">
        <f>VLOOKUP(R4132,产品分类!$C$2:$D$1278,2,0)</f>
        <v>办公用品</v>
      </c>
    </row>
    <row r="4133" spans="1:20">
      <c r="A4133" s="16">
        <f t="shared" si="355"/>
        <v>40050</v>
      </c>
      <c r="B4133" s="16">
        <f t="shared" si="355"/>
        <v>40050</v>
      </c>
      <c r="C4133" s="9" t="s">
        <v>667</v>
      </c>
      <c r="D4133">
        <v>10021281537</v>
      </c>
      <c r="E4133" t="s">
        <v>47</v>
      </c>
      <c r="F4133" t="s">
        <v>527</v>
      </c>
      <c r="G4133" t="s">
        <v>528</v>
      </c>
      <c r="H4133" t="s">
        <v>2293</v>
      </c>
      <c r="I4133" t="s">
        <v>2294</v>
      </c>
      <c r="J4133" t="s">
        <v>52</v>
      </c>
      <c r="K4133" s="3">
        <v>100421996913</v>
      </c>
      <c r="L4133" s="10">
        <v>40051</v>
      </c>
      <c r="M4133">
        <v>1634.17</v>
      </c>
      <c r="N4133" s="17">
        <v>46</v>
      </c>
      <c r="O4133" s="5">
        <v>36.55</v>
      </c>
      <c r="P4133" s="5">
        <v>13.89</v>
      </c>
      <c r="Q4133" s="6">
        <v>232.8</v>
      </c>
      <c r="R4133" s="37" t="s">
        <v>159</v>
      </c>
      <c r="S4133" s="7">
        <f t="shared" si="352"/>
        <v>1</v>
      </c>
      <c r="T4133" s="15" t="str">
        <f>VLOOKUP(R4133,产品分类!$C$2:$D$1278,2,0)</f>
        <v>数码电子</v>
      </c>
    </row>
    <row r="4134" spans="1:20">
      <c r="A4134" s="8">
        <f>DATE(2012,12,31)-455</f>
        <v>40819</v>
      </c>
      <c r="B4134" s="8">
        <f>DATE(2012,12,31)-455</f>
        <v>40819</v>
      </c>
      <c r="C4134" s="9" t="s">
        <v>370</v>
      </c>
      <c r="D4134">
        <v>10021469399</v>
      </c>
      <c r="E4134" t="s">
        <v>47</v>
      </c>
      <c r="F4134" t="s">
        <v>171</v>
      </c>
      <c r="G4134" t="s">
        <v>172</v>
      </c>
      <c r="H4134" t="s">
        <v>2073</v>
      </c>
      <c r="I4134" t="s">
        <v>2074</v>
      </c>
      <c r="J4134" t="s">
        <v>52</v>
      </c>
      <c r="K4134" s="3">
        <v>100132062197</v>
      </c>
      <c r="L4134" s="10">
        <v>40821</v>
      </c>
      <c r="M4134">
        <v>5122.61</v>
      </c>
      <c r="N4134" s="11">
        <v>17</v>
      </c>
      <c r="O4134" s="12">
        <v>304.99</v>
      </c>
      <c r="P4134" s="12">
        <v>19.99</v>
      </c>
      <c r="Q4134" s="13">
        <v>1784.0395</v>
      </c>
      <c r="R4134" s="36" t="s">
        <v>782</v>
      </c>
      <c r="S4134" s="7">
        <f t="shared" si="352"/>
        <v>2</v>
      </c>
      <c r="T4134" s="15" t="str">
        <f>VLOOKUP(R4134,产品分类!$C$2:$D$1278,2,0)</f>
        <v>办公用品</v>
      </c>
    </row>
    <row r="4135" spans="1:20">
      <c r="A4135" s="16">
        <f>DATE(2012,12,31)-142</f>
        <v>41132</v>
      </c>
      <c r="B4135" s="16">
        <f>DATE(2012,12,31)-142</f>
        <v>41132</v>
      </c>
      <c r="C4135" s="9" t="s">
        <v>1410</v>
      </c>
      <c r="D4135">
        <v>10021588334</v>
      </c>
      <c r="E4135" t="s">
        <v>47</v>
      </c>
      <c r="F4135" t="s">
        <v>171</v>
      </c>
      <c r="G4135" t="s">
        <v>172</v>
      </c>
      <c r="H4135" t="s">
        <v>2073</v>
      </c>
      <c r="I4135" t="s">
        <v>2074</v>
      </c>
      <c r="J4135" t="s">
        <v>52</v>
      </c>
      <c r="K4135" s="3">
        <v>100130446706</v>
      </c>
      <c r="L4135" s="10">
        <v>41134</v>
      </c>
      <c r="M4135">
        <v>2850.31</v>
      </c>
      <c r="N4135" s="17">
        <v>20</v>
      </c>
      <c r="O4135" s="5">
        <v>155.06</v>
      </c>
      <c r="P4135" s="5">
        <v>7.07</v>
      </c>
      <c r="Q4135" s="6">
        <v>569.08</v>
      </c>
      <c r="R4135" s="37" t="s">
        <v>1160</v>
      </c>
      <c r="S4135" s="7">
        <f t="shared" si="352"/>
        <v>2</v>
      </c>
      <c r="T4135" s="15" t="str">
        <f>VLOOKUP(R4135,产品分类!$C$2:$D$1278,2,0)</f>
        <v>数码电子</v>
      </c>
    </row>
    <row r="4136" spans="1:20">
      <c r="A4136" s="8">
        <f>DATE(2012,12,31)-1344</f>
        <v>39930</v>
      </c>
      <c r="B4136" s="8">
        <f>DATE(2012,12,31)-1344</f>
        <v>39930</v>
      </c>
      <c r="C4136" s="9" t="s">
        <v>1120</v>
      </c>
      <c r="D4136">
        <v>10021576816</v>
      </c>
      <c r="E4136" t="s">
        <v>47</v>
      </c>
      <c r="F4136" t="s">
        <v>127</v>
      </c>
      <c r="G4136" t="s">
        <v>128</v>
      </c>
      <c r="H4136" t="s">
        <v>2189</v>
      </c>
      <c r="I4136" t="s">
        <v>2190</v>
      </c>
      <c r="J4136" t="s">
        <v>52</v>
      </c>
      <c r="K4136" s="3">
        <v>100416212864</v>
      </c>
      <c r="L4136" s="10">
        <v>39931</v>
      </c>
      <c r="M4136">
        <v>150.13</v>
      </c>
      <c r="N4136" s="11">
        <v>13</v>
      </c>
      <c r="O4136" s="12">
        <v>12.28</v>
      </c>
      <c r="P4136" s="12">
        <v>4.86</v>
      </c>
      <c r="Q4136" s="13">
        <v>1.73</v>
      </c>
      <c r="R4136" s="36" t="s">
        <v>2280</v>
      </c>
      <c r="S4136" s="7">
        <f t="shared" si="352"/>
        <v>1</v>
      </c>
      <c r="T4136" s="15" t="str">
        <f>VLOOKUP(R4136,产品分类!$C$2:$D$1278,2,0)</f>
        <v>数码电子</v>
      </c>
    </row>
    <row r="4137" spans="1:20">
      <c r="A4137" s="16">
        <f>DATE(2012,12,31)-775</f>
        <v>40499</v>
      </c>
      <c r="B4137" s="16">
        <f>DATE(2012,12,31)-775</f>
        <v>40499</v>
      </c>
      <c r="C4137" s="9" t="s">
        <v>1764</v>
      </c>
      <c r="D4137">
        <v>10021252182</v>
      </c>
      <c r="E4137" t="s">
        <v>47</v>
      </c>
      <c r="F4137" t="s">
        <v>167</v>
      </c>
      <c r="G4137" t="s">
        <v>168</v>
      </c>
      <c r="H4137" t="s">
        <v>169</v>
      </c>
      <c r="I4137" t="s">
        <v>168</v>
      </c>
      <c r="J4137" t="s">
        <v>52</v>
      </c>
      <c r="K4137" s="3">
        <v>10017559518</v>
      </c>
      <c r="L4137" s="10">
        <v>40502</v>
      </c>
      <c r="M4137">
        <v>239.35</v>
      </c>
      <c r="N4137" s="17">
        <v>42</v>
      </c>
      <c r="O4137" s="5">
        <v>5.68</v>
      </c>
      <c r="P4137" s="5">
        <v>1.39</v>
      </c>
      <c r="Q4137" s="6">
        <v>78.96</v>
      </c>
      <c r="R4137" s="37" t="s">
        <v>217</v>
      </c>
      <c r="S4137" s="7">
        <f t="shared" si="352"/>
        <v>3</v>
      </c>
      <c r="T4137" s="15" t="str">
        <f>VLOOKUP(R4137,产品分类!$C$2:$D$1278,2,0)</f>
        <v>办公用品</v>
      </c>
    </row>
    <row r="4138" spans="1:20">
      <c r="A4138" s="8">
        <f>DATE(2012,12,31)-775</f>
        <v>40499</v>
      </c>
      <c r="B4138" s="8">
        <f>DATE(2012,12,31)-775</f>
        <v>40499</v>
      </c>
      <c r="C4138" s="9" t="s">
        <v>1764</v>
      </c>
      <c r="D4138">
        <v>10021461668</v>
      </c>
      <c r="E4138" t="s">
        <v>47</v>
      </c>
      <c r="F4138" t="s">
        <v>127</v>
      </c>
      <c r="G4138" t="s">
        <v>128</v>
      </c>
      <c r="H4138" t="s">
        <v>2189</v>
      </c>
      <c r="I4138" t="s">
        <v>2190</v>
      </c>
      <c r="J4138" t="s">
        <v>52</v>
      </c>
      <c r="K4138" s="3">
        <v>100916295881</v>
      </c>
      <c r="L4138" s="10">
        <v>40501</v>
      </c>
      <c r="M4138">
        <v>684.66</v>
      </c>
      <c r="N4138" s="11">
        <v>34</v>
      </c>
      <c r="O4138" s="12">
        <v>19.98</v>
      </c>
      <c r="P4138" s="12">
        <v>10.49</v>
      </c>
      <c r="Q4138" s="13">
        <v>35.09</v>
      </c>
      <c r="R4138" s="36" t="s">
        <v>932</v>
      </c>
      <c r="S4138" s="7">
        <f t="shared" si="352"/>
        <v>2</v>
      </c>
      <c r="T4138" s="15" t="str">
        <f>VLOOKUP(R4138,产品分类!$C$2:$D$1278,2,0)</f>
        <v>数码电子</v>
      </c>
    </row>
    <row r="4139" spans="1:20">
      <c r="A4139" s="8">
        <f t="shared" ref="A4139:B4142" si="356">DATE(2012,12,31)-409</f>
        <v>40865</v>
      </c>
      <c r="B4139" s="8">
        <f t="shared" si="356"/>
        <v>40865</v>
      </c>
      <c r="C4139" s="9" t="s">
        <v>394</v>
      </c>
      <c r="D4139">
        <v>10021248296</v>
      </c>
      <c r="E4139" t="s">
        <v>47</v>
      </c>
      <c r="F4139" t="s">
        <v>177</v>
      </c>
      <c r="G4139" t="s">
        <v>178</v>
      </c>
      <c r="H4139" t="s">
        <v>2283</v>
      </c>
      <c r="I4139" t="s">
        <v>2284</v>
      </c>
      <c r="J4139" t="s">
        <v>52</v>
      </c>
      <c r="K4139" s="3">
        <v>10091268391</v>
      </c>
      <c r="L4139" s="10">
        <v>40867</v>
      </c>
      <c r="M4139">
        <v>157.13</v>
      </c>
      <c r="N4139" s="11">
        <v>20</v>
      </c>
      <c r="O4139" s="12">
        <v>8.32</v>
      </c>
      <c r="P4139" s="12">
        <v>2.38</v>
      </c>
      <c r="Q4139" s="13">
        <v>-46.89</v>
      </c>
      <c r="R4139" s="36" t="s">
        <v>920</v>
      </c>
      <c r="S4139" s="7">
        <f t="shared" si="352"/>
        <v>2</v>
      </c>
      <c r="T4139" s="15" t="str">
        <f>VLOOKUP(R4139,产品分类!$C$2:$D$1278,2,0)</f>
        <v>家具产品</v>
      </c>
    </row>
    <row r="4140" spans="1:20">
      <c r="A4140" s="16">
        <f t="shared" si="356"/>
        <v>40865</v>
      </c>
      <c r="B4140" s="16">
        <f t="shared" si="356"/>
        <v>40865</v>
      </c>
      <c r="C4140" s="9" t="s">
        <v>394</v>
      </c>
      <c r="D4140">
        <v>10021504225</v>
      </c>
      <c r="E4140" t="s">
        <v>47</v>
      </c>
      <c r="F4140" t="s">
        <v>177</v>
      </c>
      <c r="G4140" t="s">
        <v>178</v>
      </c>
      <c r="H4140" t="s">
        <v>2283</v>
      </c>
      <c r="I4140" t="s">
        <v>2284</v>
      </c>
      <c r="J4140" t="s">
        <v>52</v>
      </c>
      <c r="K4140" s="3">
        <v>100719549705</v>
      </c>
      <c r="L4140" s="10">
        <v>40866</v>
      </c>
      <c r="M4140">
        <v>195.11</v>
      </c>
      <c r="N4140" s="17">
        <v>28</v>
      </c>
      <c r="O4140" s="5">
        <v>6.48</v>
      </c>
      <c r="P4140" s="5">
        <v>8.73</v>
      </c>
      <c r="Q4140" s="6">
        <v>-129.42</v>
      </c>
      <c r="R4140" s="37" t="s">
        <v>924</v>
      </c>
      <c r="S4140" s="7">
        <f t="shared" si="352"/>
        <v>1</v>
      </c>
      <c r="T4140" s="15" t="str">
        <f>VLOOKUP(R4140,产品分类!$C$2:$D$1278,2,0)</f>
        <v>数码电子</v>
      </c>
    </row>
    <row r="4141" spans="1:20">
      <c r="A4141" s="8">
        <f t="shared" si="356"/>
        <v>40865</v>
      </c>
      <c r="B4141" s="8">
        <f t="shared" si="356"/>
        <v>40865</v>
      </c>
      <c r="C4141" s="9" t="s">
        <v>394</v>
      </c>
      <c r="D4141">
        <v>10021248519</v>
      </c>
      <c r="E4141" t="s">
        <v>47</v>
      </c>
      <c r="F4141" t="s">
        <v>61</v>
      </c>
      <c r="G4141" t="s">
        <v>62</v>
      </c>
      <c r="H4141" t="s">
        <v>2216</v>
      </c>
      <c r="I4141" t="s">
        <v>2217</v>
      </c>
      <c r="J4141" t="s">
        <v>52</v>
      </c>
      <c r="K4141" s="3">
        <v>10042587864</v>
      </c>
      <c r="L4141" s="10">
        <v>40867</v>
      </c>
      <c r="M4141">
        <v>2738.785</v>
      </c>
      <c r="N4141" s="11">
        <v>29</v>
      </c>
      <c r="O4141" s="12">
        <v>115.99</v>
      </c>
      <c r="P4141" s="12">
        <v>2.5</v>
      </c>
      <c r="Q4141" s="13">
        <v>556.83</v>
      </c>
      <c r="R4141" s="36" t="s">
        <v>2127</v>
      </c>
      <c r="S4141" s="7">
        <f t="shared" si="352"/>
        <v>2</v>
      </c>
      <c r="T4141" s="15" t="str">
        <f>VLOOKUP(R4141,产品分类!$C$2:$D$1278,2,0)</f>
        <v>家具产品</v>
      </c>
    </row>
    <row r="4142" spans="1:20">
      <c r="A4142" s="8">
        <f t="shared" si="356"/>
        <v>40865</v>
      </c>
      <c r="B4142" s="8">
        <f t="shared" si="356"/>
        <v>40865</v>
      </c>
      <c r="C4142" s="9" t="s">
        <v>394</v>
      </c>
      <c r="D4142">
        <v>10021445504</v>
      </c>
      <c r="E4142" t="s">
        <v>47</v>
      </c>
      <c r="F4142" t="s">
        <v>342</v>
      </c>
      <c r="G4142" t="s">
        <v>343</v>
      </c>
      <c r="H4142" t="s">
        <v>2309</v>
      </c>
      <c r="I4142" t="s">
        <v>2310</v>
      </c>
      <c r="J4142" t="s">
        <v>52</v>
      </c>
      <c r="K4142" s="3">
        <v>100713956835</v>
      </c>
      <c r="L4142" s="10">
        <v>40866</v>
      </c>
      <c r="M4142">
        <v>217.42</v>
      </c>
      <c r="N4142" s="11">
        <v>30</v>
      </c>
      <c r="O4142" s="12">
        <v>7.59</v>
      </c>
      <c r="P4142" s="12">
        <v>4</v>
      </c>
      <c r="Q4142" s="13">
        <v>16.97</v>
      </c>
      <c r="R4142" s="36" t="s">
        <v>996</v>
      </c>
      <c r="S4142" s="7">
        <f t="shared" si="352"/>
        <v>1</v>
      </c>
      <c r="T4142" s="15" t="str">
        <f>VLOOKUP(R4142,产品分类!$C$2:$D$1278,2,0)</f>
        <v>家具产品</v>
      </c>
    </row>
    <row r="4143" spans="1:20">
      <c r="A4143" s="8">
        <f>DATE(2012,12,31)-974</f>
        <v>40300</v>
      </c>
      <c r="B4143" s="8">
        <f>DATE(2012,12,31)-974</f>
        <v>40300</v>
      </c>
      <c r="C4143" s="9" t="s">
        <v>826</v>
      </c>
      <c r="D4143">
        <v>10021586016</v>
      </c>
      <c r="E4143" t="s">
        <v>47</v>
      </c>
      <c r="F4143" t="s">
        <v>342</v>
      </c>
      <c r="G4143" t="s">
        <v>343</v>
      </c>
      <c r="H4143" t="s">
        <v>2309</v>
      </c>
      <c r="I4143" t="s">
        <v>2310</v>
      </c>
      <c r="J4143" t="s">
        <v>52</v>
      </c>
      <c r="K4143" s="3">
        <v>10073234035</v>
      </c>
      <c r="L4143" s="10">
        <v>40301</v>
      </c>
      <c r="M4143">
        <v>4260.73</v>
      </c>
      <c r="N4143" s="11">
        <v>44</v>
      </c>
      <c r="O4143" s="12">
        <v>119.99</v>
      </c>
      <c r="P4143" s="12">
        <v>56.14</v>
      </c>
      <c r="Q4143" s="13">
        <v>251.58</v>
      </c>
      <c r="R4143" s="36" t="s">
        <v>1626</v>
      </c>
      <c r="S4143" s="7">
        <f t="shared" si="352"/>
        <v>1</v>
      </c>
      <c r="T4143" s="15" t="str">
        <f>VLOOKUP(R4143,产品分类!$C$2:$D$1278,2,0)</f>
        <v>办公用品</v>
      </c>
    </row>
    <row r="4144" spans="1:20">
      <c r="A4144" s="8">
        <f>DATE(2012,12,31)-718</f>
        <v>40556</v>
      </c>
      <c r="B4144" s="8">
        <f>DATE(2012,12,31)-718</f>
        <v>40556</v>
      </c>
      <c r="C4144" s="9" t="s">
        <v>462</v>
      </c>
      <c r="D4144">
        <v>10021497016</v>
      </c>
      <c r="E4144" t="s">
        <v>47</v>
      </c>
      <c r="F4144" t="s">
        <v>61</v>
      </c>
      <c r="G4144" t="s">
        <v>62</v>
      </c>
      <c r="H4144" t="s">
        <v>2216</v>
      </c>
      <c r="I4144" t="s">
        <v>2217</v>
      </c>
      <c r="J4144" t="s">
        <v>52</v>
      </c>
      <c r="K4144" s="3">
        <v>100316483369</v>
      </c>
      <c r="L4144" s="10">
        <v>40558</v>
      </c>
      <c r="M4144">
        <v>38.99</v>
      </c>
      <c r="N4144" s="11">
        <v>23</v>
      </c>
      <c r="O4144" s="12">
        <v>1.7</v>
      </c>
      <c r="P4144" s="12">
        <v>1.99</v>
      </c>
      <c r="Q4144" s="13">
        <v>-33.52</v>
      </c>
      <c r="R4144" s="36" t="s">
        <v>1962</v>
      </c>
      <c r="S4144" s="7">
        <f t="shared" si="352"/>
        <v>2</v>
      </c>
      <c r="T4144" s="15" t="str">
        <f>VLOOKUP(R4144,产品分类!$C$2:$D$1278,2,0)</f>
        <v>数码电子</v>
      </c>
    </row>
    <row r="4145" spans="1:20">
      <c r="A4145" s="8">
        <f>DATE(2012,12,31)-1201</f>
        <v>40073</v>
      </c>
      <c r="B4145" s="8">
        <f>DATE(2012,12,31)-1201</f>
        <v>40073</v>
      </c>
      <c r="C4145" s="9" t="s">
        <v>2030</v>
      </c>
      <c r="D4145">
        <v>10021253024</v>
      </c>
      <c r="E4145" t="s">
        <v>47</v>
      </c>
      <c r="F4145" t="s">
        <v>61</v>
      </c>
      <c r="G4145" t="s">
        <v>62</v>
      </c>
      <c r="H4145" t="s">
        <v>2216</v>
      </c>
      <c r="I4145" t="s">
        <v>2217</v>
      </c>
      <c r="J4145" t="s">
        <v>52</v>
      </c>
      <c r="K4145" s="3">
        <v>100917495041</v>
      </c>
      <c r="L4145" s="10">
        <v>40073</v>
      </c>
      <c r="M4145">
        <v>4186.53</v>
      </c>
      <c r="N4145" s="11">
        <v>35</v>
      </c>
      <c r="O4145" s="12">
        <v>120.97</v>
      </c>
      <c r="P4145" s="12">
        <v>7.11</v>
      </c>
      <c r="Q4145" s="13">
        <v>1929.58</v>
      </c>
      <c r="R4145" s="36" t="s">
        <v>1000</v>
      </c>
      <c r="S4145" s="7">
        <f t="shared" si="352"/>
        <v>0</v>
      </c>
      <c r="T4145" s="15" t="str">
        <f>VLOOKUP(R4145,产品分类!$C$2:$D$1278,2,0)</f>
        <v>家具产品</v>
      </c>
    </row>
    <row r="4146" spans="1:20">
      <c r="A4146" s="8">
        <f>DATE(2012,12,31)-1201</f>
        <v>40073</v>
      </c>
      <c r="B4146" s="8">
        <f>DATE(2012,12,31)-1201</f>
        <v>40073</v>
      </c>
      <c r="C4146" s="9" t="s">
        <v>2030</v>
      </c>
      <c r="D4146">
        <v>10021495635</v>
      </c>
      <c r="E4146" t="s">
        <v>47</v>
      </c>
      <c r="F4146" t="s">
        <v>61</v>
      </c>
      <c r="G4146" t="s">
        <v>62</v>
      </c>
      <c r="H4146" t="s">
        <v>2216</v>
      </c>
      <c r="I4146" t="s">
        <v>2217</v>
      </c>
      <c r="J4146" t="s">
        <v>52</v>
      </c>
      <c r="K4146" s="3">
        <v>100110730027</v>
      </c>
      <c r="L4146" s="10">
        <v>40075</v>
      </c>
      <c r="M4146">
        <v>6057.27</v>
      </c>
      <c r="N4146" s="11">
        <v>36</v>
      </c>
      <c r="O4146" s="12">
        <v>195.99</v>
      </c>
      <c r="P4146" s="12">
        <v>4.2</v>
      </c>
      <c r="Q4146" s="13">
        <v>1585.503</v>
      </c>
      <c r="R4146" s="36" t="s">
        <v>1470</v>
      </c>
      <c r="S4146" s="7">
        <f t="shared" si="352"/>
        <v>2</v>
      </c>
      <c r="T4146" s="15" t="str">
        <f>VLOOKUP(R4146,产品分类!$C$2:$D$1278,2,0)</f>
        <v>数码电子</v>
      </c>
    </row>
    <row r="4147" spans="1:20">
      <c r="A4147" s="8">
        <f t="shared" ref="A4147:B4150" si="357">DATE(2012,12,31)-269</f>
        <v>41005</v>
      </c>
      <c r="B4147" s="8">
        <f t="shared" si="357"/>
        <v>41005</v>
      </c>
      <c r="C4147" s="9" t="s">
        <v>1922</v>
      </c>
      <c r="D4147">
        <v>10021592548</v>
      </c>
      <c r="E4147" t="s">
        <v>47</v>
      </c>
      <c r="F4147" t="s">
        <v>83</v>
      </c>
      <c r="G4147" t="s">
        <v>84</v>
      </c>
      <c r="H4147" t="s">
        <v>2231</v>
      </c>
      <c r="I4147" t="s">
        <v>2232</v>
      </c>
      <c r="J4147" t="s">
        <v>52</v>
      </c>
      <c r="K4147" s="3">
        <v>100932122371</v>
      </c>
      <c r="L4147" s="10">
        <v>41006</v>
      </c>
      <c r="M4147">
        <v>67.87</v>
      </c>
      <c r="N4147" s="11">
        <v>29</v>
      </c>
      <c r="O4147" s="12">
        <v>2.22</v>
      </c>
      <c r="P4147" s="12">
        <v>5</v>
      </c>
      <c r="Q4147" s="13">
        <v>-112.54</v>
      </c>
      <c r="R4147" s="36" t="s">
        <v>2311</v>
      </c>
      <c r="S4147" s="7">
        <f t="shared" si="352"/>
        <v>1</v>
      </c>
      <c r="T4147" s="15" t="str">
        <f>VLOOKUP(R4147,产品分类!$C$2:$D$1278,2,0)</f>
        <v>家具产品</v>
      </c>
    </row>
    <row r="4148" spans="1:20">
      <c r="A4148" s="8">
        <f t="shared" si="357"/>
        <v>41005</v>
      </c>
      <c r="B4148" s="8">
        <f t="shared" si="357"/>
        <v>41005</v>
      </c>
      <c r="C4148" s="9" t="s">
        <v>1922</v>
      </c>
      <c r="D4148">
        <v>10021369225</v>
      </c>
      <c r="E4148" t="s">
        <v>47</v>
      </c>
      <c r="F4148" t="s">
        <v>61</v>
      </c>
      <c r="G4148" t="s">
        <v>62</v>
      </c>
      <c r="H4148" t="s">
        <v>2216</v>
      </c>
      <c r="I4148" t="s">
        <v>2217</v>
      </c>
      <c r="J4148" t="s">
        <v>52</v>
      </c>
      <c r="K4148" s="3">
        <v>100929897141</v>
      </c>
      <c r="L4148" s="10">
        <v>41006</v>
      </c>
      <c r="M4148">
        <v>542.24</v>
      </c>
      <c r="N4148" s="11">
        <v>33</v>
      </c>
      <c r="O4148" s="12">
        <v>15.67</v>
      </c>
      <c r="P4148" s="12">
        <v>1.39</v>
      </c>
      <c r="Q4148" s="13">
        <v>268.53</v>
      </c>
      <c r="R4148" s="36" t="s">
        <v>1012</v>
      </c>
      <c r="S4148" s="7">
        <f t="shared" si="352"/>
        <v>1</v>
      </c>
      <c r="T4148" s="15" t="str">
        <f>VLOOKUP(R4148,产品分类!$C$2:$D$1278,2,0)</f>
        <v>家具产品</v>
      </c>
    </row>
    <row r="4149" spans="1:20">
      <c r="A4149" s="8">
        <f t="shared" si="357"/>
        <v>41005</v>
      </c>
      <c r="B4149" s="8">
        <f t="shared" si="357"/>
        <v>41005</v>
      </c>
      <c r="C4149" s="9" t="s">
        <v>1922</v>
      </c>
      <c r="D4149">
        <v>10021346464</v>
      </c>
      <c r="E4149" t="s">
        <v>47</v>
      </c>
      <c r="F4149" t="s">
        <v>61</v>
      </c>
      <c r="G4149" t="s">
        <v>62</v>
      </c>
      <c r="H4149" t="s">
        <v>2216</v>
      </c>
      <c r="I4149" t="s">
        <v>2217</v>
      </c>
      <c r="J4149" t="s">
        <v>52</v>
      </c>
      <c r="K4149" s="3">
        <v>100130600038</v>
      </c>
      <c r="L4149" s="10">
        <v>41005</v>
      </c>
      <c r="M4149">
        <v>15174.95</v>
      </c>
      <c r="N4149" s="11">
        <v>38</v>
      </c>
      <c r="O4149" s="12">
        <v>400.97</v>
      </c>
      <c r="P4149" s="12">
        <v>48.26</v>
      </c>
      <c r="Q4149" s="13">
        <v>7251.92</v>
      </c>
      <c r="R4149" s="36" t="s">
        <v>2058</v>
      </c>
      <c r="S4149" s="7">
        <f t="shared" si="352"/>
        <v>0</v>
      </c>
      <c r="T4149" s="15" t="str">
        <f>VLOOKUP(R4149,产品分类!$C$2:$D$1278,2,0)</f>
        <v>数码电子</v>
      </c>
    </row>
    <row r="4150" spans="1:20">
      <c r="A4150" s="8">
        <f t="shared" si="357"/>
        <v>41005</v>
      </c>
      <c r="B4150" s="8">
        <f t="shared" si="357"/>
        <v>41005</v>
      </c>
      <c r="C4150" s="9" t="s">
        <v>1922</v>
      </c>
      <c r="D4150">
        <v>10021292865</v>
      </c>
      <c r="E4150" t="s">
        <v>47</v>
      </c>
      <c r="F4150" t="s">
        <v>61</v>
      </c>
      <c r="G4150" t="s">
        <v>62</v>
      </c>
      <c r="H4150" t="s">
        <v>2216</v>
      </c>
      <c r="I4150" t="s">
        <v>2217</v>
      </c>
      <c r="J4150" t="s">
        <v>52</v>
      </c>
      <c r="K4150" s="3">
        <v>10082601452</v>
      </c>
      <c r="L4150" s="10">
        <v>41005</v>
      </c>
      <c r="M4150">
        <v>1084.12</v>
      </c>
      <c r="N4150" s="11">
        <v>45</v>
      </c>
      <c r="O4150" s="12">
        <v>23.99</v>
      </c>
      <c r="P4150" s="12">
        <v>6.3</v>
      </c>
      <c r="Q4150" s="13">
        <v>294.43</v>
      </c>
      <c r="R4150" s="36" t="s">
        <v>1267</v>
      </c>
      <c r="S4150" s="7">
        <f t="shared" si="352"/>
        <v>0</v>
      </c>
      <c r="T4150" s="15" t="str">
        <f>VLOOKUP(R4150,产品分类!$C$2:$D$1278,2,0)</f>
        <v>数码电子</v>
      </c>
    </row>
    <row r="4151" spans="1:20">
      <c r="A4151" s="8">
        <f>DATE(2012,12,31)-824</f>
        <v>40450</v>
      </c>
      <c r="B4151" s="8">
        <f>DATE(2012,12,31)-824</f>
        <v>40450</v>
      </c>
      <c r="C4151" s="9" t="s">
        <v>311</v>
      </c>
      <c r="D4151">
        <v>10021338316</v>
      </c>
      <c r="E4151" t="s">
        <v>47</v>
      </c>
      <c r="F4151" t="s">
        <v>61</v>
      </c>
      <c r="G4151" t="s">
        <v>62</v>
      </c>
      <c r="H4151" t="s">
        <v>2216</v>
      </c>
      <c r="I4151" t="s">
        <v>2217</v>
      </c>
      <c r="J4151" t="s">
        <v>52</v>
      </c>
      <c r="K4151" s="3">
        <v>100423842993</v>
      </c>
      <c r="L4151" s="10">
        <v>40452</v>
      </c>
      <c r="M4151">
        <v>2531.35</v>
      </c>
      <c r="N4151" s="11">
        <v>28</v>
      </c>
      <c r="O4151" s="12">
        <v>90.97</v>
      </c>
      <c r="P4151" s="12">
        <v>28</v>
      </c>
      <c r="Q4151" s="13">
        <v>415.55</v>
      </c>
      <c r="R4151" s="36" t="s">
        <v>1519</v>
      </c>
      <c r="S4151" s="7">
        <f t="shared" si="352"/>
        <v>2</v>
      </c>
      <c r="T4151" s="15" t="str">
        <f>VLOOKUP(R4151,产品分类!$C$2:$D$1278,2,0)</f>
        <v>办公用品</v>
      </c>
    </row>
    <row r="4152" spans="1:20">
      <c r="A4152" s="8">
        <f>DATE(2012,12,31)-320</f>
        <v>40954</v>
      </c>
      <c r="B4152" s="8">
        <f>DATE(2012,12,31)-320</f>
        <v>40954</v>
      </c>
      <c r="C4152" s="9" t="s">
        <v>615</v>
      </c>
      <c r="D4152">
        <v>10021286919</v>
      </c>
      <c r="E4152" t="s">
        <v>47</v>
      </c>
      <c r="F4152" t="s">
        <v>61</v>
      </c>
      <c r="G4152" t="s">
        <v>62</v>
      </c>
      <c r="H4152" t="s">
        <v>2216</v>
      </c>
      <c r="I4152" t="s">
        <v>2217</v>
      </c>
      <c r="J4152" t="s">
        <v>52</v>
      </c>
      <c r="K4152" s="3">
        <v>100431209023</v>
      </c>
      <c r="L4152" s="10">
        <v>40955</v>
      </c>
      <c r="M4152">
        <v>13367.82</v>
      </c>
      <c r="N4152" s="11">
        <v>40</v>
      </c>
      <c r="O4152" s="12">
        <v>320.64</v>
      </c>
      <c r="P4152" s="12">
        <v>29.2</v>
      </c>
      <c r="Q4152" s="13">
        <v>-774.890688</v>
      </c>
      <c r="R4152" s="36" t="s">
        <v>1346</v>
      </c>
      <c r="S4152" s="7">
        <f t="shared" si="352"/>
        <v>1</v>
      </c>
      <c r="T4152" s="15" t="str">
        <f>VLOOKUP(R4152,产品分类!$C$2:$D$1278,2,0)</f>
        <v>办公用品</v>
      </c>
    </row>
    <row r="4153" spans="1:20">
      <c r="A4153" s="8">
        <f>DATE(2012,12,31)-320</f>
        <v>40954</v>
      </c>
      <c r="B4153" s="8">
        <f>DATE(2012,12,31)-320</f>
        <v>40954</v>
      </c>
      <c r="C4153" s="9" t="s">
        <v>615</v>
      </c>
      <c r="D4153">
        <v>10021418343</v>
      </c>
      <c r="E4153" t="s">
        <v>47</v>
      </c>
      <c r="F4153" t="s">
        <v>61</v>
      </c>
      <c r="G4153" t="s">
        <v>62</v>
      </c>
      <c r="H4153" t="s">
        <v>2216</v>
      </c>
      <c r="I4153" t="s">
        <v>2217</v>
      </c>
      <c r="J4153" t="s">
        <v>52</v>
      </c>
      <c r="K4153" s="3">
        <v>100420988814</v>
      </c>
      <c r="L4153" s="10">
        <v>40956</v>
      </c>
      <c r="M4153">
        <v>206.2865</v>
      </c>
      <c r="N4153" s="11">
        <v>31</v>
      </c>
      <c r="O4153" s="12">
        <v>7.99</v>
      </c>
      <c r="P4153" s="12">
        <v>5.03</v>
      </c>
      <c r="Q4153" s="13">
        <v>-111.98</v>
      </c>
      <c r="R4153" s="36" t="s">
        <v>71</v>
      </c>
      <c r="S4153" s="7">
        <f t="shared" si="352"/>
        <v>2</v>
      </c>
      <c r="T4153" s="15" t="str">
        <f>VLOOKUP(R4153,产品分类!$C$2:$D$1278,2,0)</f>
        <v>办公用品</v>
      </c>
    </row>
    <row r="4154" spans="1:20">
      <c r="A4154" s="8">
        <f>DATE(2012,12,31)-1043</f>
        <v>40231</v>
      </c>
      <c r="B4154" s="8">
        <f>DATE(2012,12,31)-1043</f>
        <v>40231</v>
      </c>
      <c r="C4154" s="9" t="s">
        <v>837</v>
      </c>
      <c r="D4154">
        <v>10021331418</v>
      </c>
      <c r="E4154" t="s">
        <v>47</v>
      </c>
      <c r="F4154" t="s">
        <v>61</v>
      </c>
      <c r="G4154" t="s">
        <v>62</v>
      </c>
      <c r="H4154" t="s">
        <v>2216</v>
      </c>
      <c r="I4154" t="s">
        <v>2217</v>
      </c>
      <c r="J4154" t="s">
        <v>52</v>
      </c>
      <c r="K4154" s="3">
        <v>10032973649</v>
      </c>
      <c r="L4154" s="10">
        <v>40233</v>
      </c>
      <c r="M4154">
        <v>235.12</v>
      </c>
      <c r="N4154" s="11">
        <v>49</v>
      </c>
      <c r="O4154" s="12">
        <v>4.91</v>
      </c>
      <c r="P4154" s="12">
        <v>3.05</v>
      </c>
      <c r="Q4154" s="13">
        <v>-29.62</v>
      </c>
      <c r="R4154" s="36" t="s">
        <v>2230</v>
      </c>
      <c r="S4154" s="7">
        <f t="shared" si="352"/>
        <v>2</v>
      </c>
      <c r="T4154" s="15" t="str">
        <f>VLOOKUP(R4154,产品分类!$C$2:$D$1278,2,0)</f>
        <v>办公用品</v>
      </c>
    </row>
    <row r="4155" spans="1:20">
      <c r="A4155" s="8">
        <f>DATE(2012,12,31)-1043</f>
        <v>40231</v>
      </c>
      <c r="B4155" s="8">
        <f>DATE(2012,12,31)-1043</f>
        <v>40231</v>
      </c>
      <c r="C4155" s="9" t="s">
        <v>837</v>
      </c>
      <c r="D4155">
        <v>10021280915</v>
      </c>
      <c r="E4155" t="s">
        <v>47</v>
      </c>
      <c r="F4155" t="s">
        <v>253</v>
      </c>
      <c r="G4155" t="s">
        <v>254</v>
      </c>
      <c r="H4155" t="s">
        <v>2287</v>
      </c>
      <c r="I4155" t="s">
        <v>2288</v>
      </c>
      <c r="J4155" t="s">
        <v>52</v>
      </c>
      <c r="K4155" s="3">
        <v>100117940766</v>
      </c>
      <c r="L4155" s="10">
        <v>40234</v>
      </c>
      <c r="M4155">
        <v>1814.82</v>
      </c>
      <c r="N4155" s="11">
        <v>2</v>
      </c>
      <c r="O4155" s="12">
        <v>880.98</v>
      </c>
      <c r="P4155" s="12">
        <v>44.55</v>
      </c>
      <c r="Q4155" s="13">
        <v>-1128.66</v>
      </c>
      <c r="R4155" s="36" t="s">
        <v>706</v>
      </c>
      <c r="S4155" s="7">
        <f t="shared" si="352"/>
        <v>3</v>
      </c>
      <c r="T4155" s="15" t="str">
        <f>VLOOKUP(R4155,产品分类!$C$2:$D$1278,2,0)</f>
        <v>办公用品</v>
      </c>
    </row>
    <row r="4156" spans="1:20">
      <c r="A4156" s="8">
        <f>DATE(2012,12,31)-997</f>
        <v>40277</v>
      </c>
      <c r="B4156" s="8">
        <f>DATE(2012,12,31)-997</f>
        <v>40277</v>
      </c>
      <c r="C4156" s="9" t="s">
        <v>1390</v>
      </c>
      <c r="D4156">
        <v>10021294195</v>
      </c>
      <c r="E4156" t="s">
        <v>47</v>
      </c>
      <c r="F4156" t="s">
        <v>61</v>
      </c>
      <c r="G4156" t="s">
        <v>62</v>
      </c>
      <c r="H4156" t="s">
        <v>2216</v>
      </c>
      <c r="I4156" t="s">
        <v>2217</v>
      </c>
      <c r="J4156" t="s">
        <v>52</v>
      </c>
      <c r="K4156" s="3">
        <v>100911309061</v>
      </c>
      <c r="L4156" s="10">
        <v>40280</v>
      </c>
      <c r="M4156">
        <v>272.8925</v>
      </c>
      <c r="N4156" s="11">
        <v>15</v>
      </c>
      <c r="O4156" s="12">
        <v>20.99</v>
      </c>
      <c r="P4156" s="12">
        <v>0.99</v>
      </c>
      <c r="Q4156" s="13">
        <v>19.611</v>
      </c>
      <c r="R4156" s="36" t="s">
        <v>1707</v>
      </c>
      <c r="S4156" s="7">
        <f t="shared" si="352"/>
        <v>3</v>
      </c>
      <c r="T4156" s="15" t="str">
        <f>VLOOKUP(R4156,产品分类!$C$2:$D$1278,2,0)</f>
        <v>办公用品</v>
      </c>
    </row>
    <row r="4157" spans="1:20">
      <c r="A4157" s="8">
        <f>DATE(2012,12,31)-830</f>
        <v>40444</v>
      </c>
      <c r="B4157" s="8">
        <f>DATE(2012,12,31)-830</f>
        <v>40444</v>
      </c>
      <c r="C4157" s="9" t="s">
        <v>2312</v>
      </c>
      <c r="D4157">
        <v>10021248525</v>
      </c>
      <c r="E4157" t="s">
        <v>47</v>
      </c>
      <c r="F4157" t="s">
        <v>61</v>
      </c>
      <c r="G4157" t="s">
        <v>62</v>
      </c>
      <c r="H4157" t="s">
        <v>2313</v>
      </c>
      <c r="I4157" t="s">
        <v>2314</v>
      </c>
      <c r="J4157" t="s">
        <v>52</v>
      </c>
      <c r="K4157" s="3">
        <v>10012615286</v>
      </c>
      <c r="L4157" s="10">
        <v>40446</v>
      </c>
      <c r="M4157">
        <v>1485.06</v>
      </c>
      <c r="N4157" s="11">
        <v>20</v>
      </c>
      <c r="O4157" s="12">
        <v>70.98</v>
      </c>
      <c r="P4157" s="12">
        <v>26.85</v>
      </c>
      <c r="Q4157" s="13">
        <v>25.32</v>
      </c>
      <c r="R4157" s="36" t="s">
        <v>2315</v>
      </c>
      <c r="S4157" s="7">
        <f t="shared" si="352"/>
        <v>2</v>
      </c>
      <c r="T4157" s="15" t="str">
        <f>VLOOKUP(R4157,产品分类!$C$2:$D$1278,2,0)</f>
        <v>家具产品</v>
      </c>
    </row>
    <row r="4158" spans="1:20">
      <c r="A4158" s="16">
        <f>DATE(2012,12,31)-830</f>
        <v>40444</v>
      </c>
      <c r="B4158" s="16">
        <f>DATE(2012,12,31)-830</f>
        <v>40444</v>
      </c>
      <c r="C4158" s="9" t="s">
        <v>2312</v>
      </c>
      <c r="D4158">
        <v>10021344444</v>
      </c>
      <c r="E4158" t="s">
        <v>47</v>
      </c>
      <c r="F4158" t="s">
        <v>61</v>
      </c>
      <c r="G4158" t="s">
        <v>62</v>
      </c>
      <c r="H4158" t="s">
        <v>2313</v>
      </c>
      <c r="I4158" t="s">
        <v>2314</v>
      </c>
      <c r="J4158" t="s">
        <v>52</v>
      </c>
      <c r="K4158" s="3">
        <v>100929530921</v>
      </c>
      <c r="L4158" s="10">
        <v>40444</v>
      </c>
      <c r="M4158">
        <v>1211.18</v>
      </c>
      <c r="N4158" s="17">
        <v>34</v>
      </c>
      <c r="O4158" s="5">
        <v>38.76</v>
      </c>
      <c r="P4158" s="5">
        <v>13.26</v>
      </c>
      <c r="Q4158" s="6">
        <v>208.4</v>
      </c>
      <c r="R4158" s="37" t="s">
        <v>758</v>
      </c>
      <c r="S4158" s="7">
        <f t="shared" si="352"/>
        <v>0</v>
      </c>
      <c r="T4158" s="15" t="str">
        <f>VLOOKUP(R4158,产品分类!$C$2:$D$1278,2,0)</f>
        <v>家具产品</v>
      </c>
    </row>
    <row r="4159" spans="1:20">
      <c r="A4159" s="8">
        <f>DATE(2012,12,31)-4</f>
        <v>41270</v>
      </c>
      <c r="B4159" s="8">
        <f>DATE(2012,12,31)-4</f>
        <v>41270</v>
      </c>
      <c r="C4159" s="9" t="s">
        <v>158</v>
      </c>
      <c r="D4159">
        <v>10021579966</v>
      </c>
      <c r="E4159" t="s">
        <v>47</v>
      </c>
      <c r="F4159" t="s">
        <v>61</v>
      </c>
      <c r="G4159" t="s">
        <v>62</v>
      </c>
      <c r="H4159" t="s">
        <v>2313</v>
      </c>
      <c r="I4159" t="s">
        <v>2314</v>
      </c>
      <c r="J4159" t="s">
        <v>52</v>
      </c>
      <c r="K4159" s="3">
        <v>100921892891</v>
      </c>
      <c r="L4159" s="10">
        <v>41271</v>
      </c>
      <c r="M4159">
        <v>45.21</v>
      </c>
      <c r="N4159" s="11">
        <v>22</v>
      </c>
      <c r="O4159" s="12">
        <v>1.76</v>
      </c>
      <c r="P4159" s="12">
        <v>0.7</v>
      </c>
      <c r="Q4159" s="13">
        <v>4.61</v>
      </c>
      <c r="R4159" s="36" t="s">
        <v>318</v>
      </c>
      <c r="S4159" s="7">
        <f t="shared" si="352"/>
        <v>1</v>
      </c>
      <c r="T4159" s="15" t="str">
        <f>VLOOKUP(R4159,产品分类!$C$2:$D$1278,2,0)</f>
        <v>办公用品</v>
      </c>
    </row>
    <row r="4160" spans="1:20">
      <c r="A4160" s="8">
        <f>DATE(2012,12,31)-566</f>
        <v>40708</v>
      </c>
      <c r="B4160" s="8">
        <f>DATE(2012,12,31)-566</f>
        <v>40708</v>
      </c>
      <c r="C4160" s="9" t="s">
        <v>991</v>
      </c>
      <c r="D4160">
        <v>10021468449</v>
      </c>
      <c r="E4160" t="s">
        <v>47</v>
      </c>
      <c r="F4160" t="s">
        <v>61</v>
      </c>
      <c r="G4160" t="s">
        <v>62</v>
      </c>
      <c r="H4160" t="s">
        <v>2313</v>
      </c>
      <c r="I4160" t="s">
        <v>2314</v>
      </c>
      <c r="J4160" t="s">
        <v>52</v>
      </c>
      <c r="K4160" s="3">
        <v>100112355446</v>
      </c>
      <c r="L4160" s="10">
        <v>40710</v>
      </c>
      <c r="M4160">
        <v>221.13</v>
      </c>
      <c r="N4160" s="11">
        <v>46</v>
      </c>
      <c r="O4160" s="12">
        <v>4.55</v>
      </c>
      <c r="P4160" s="12">
        <v>1.49</v>
      </c>
      <c r="Q4160" s="13">
        <v>59.704</v>
      </c>
      <c r="R4160" s="36" t="s">
        <v>1668</v>
      </c>
      <c r="S4160" s="7">
        <f t="shared" si="352"/>
        <v>2</v>
      </c>
      <c r="T4160" s="15" t="str">
        <f>VLOOKUP(R4160,产品分类!$C$2:$D$1278,2,0)</f>
        <v>办公用品</v>
      </c>
    </row>
    <row r="4161" spans="1:20">
      <c r="A4161" s="8">
        <f>DATE(2012,12,31)-566</f>
        <v>40708</v>
      </c>
      <c r="B4161" s="8">
        <f>DATE(2012,12,31)-566</f>
        <v>40708</v>
      </c>
      <c r="C4161" s="9" t="s">
        <v>991</v>
      </c>
      <c r="D4161">
        <v>10021352283</v>
      </c>
      <c r="E4161" t="s">
        <v>47</v>
      </c>
      <c r="F4161" t="s">
        <v>61</v>
      </c>
      <c r="G4161" t="s">
        <v>62</v>
      </c>
      <c r="H4161" t="s">
        <v>2313</v>
      </c>
      <c r="I4161" t="s">
        <v>2314</v>
      </c>
      <c r="J4161" t="s">
        <v>52</v>
      </c>
      <c r="K4161" s="3">
        <v>100432519253</v>
      </c>
      <c r="L4161" s="10">
        <v>40709</v>
      </c>
      <c r="M4161">
        <v>16.35</v>
      </c>
      <c r="N4161" s="11">
        <v>8</v>
      </c>
      <c r="O4161" s="12">
        <v>1.88</v>
      </c>
      <c r="P4161" s="12">
        <v>1.49</v>
      </c>
      <c r="Q4161" s="13">
        <v>-5.6235</v>
      </c>
      <c r="R4161" s="36" t="s">
        <v>1426</v>
      </c>
      <c r="S4161" s="7">
        <f t="shared" si="352"/>
        <v>1</v>
      </c>
      <c r="T4161" s="15" t="str">
        <f>VLOOKUP(R4161,产品分类!$C$2:$D$1278,2,0)</f>
        <v>办公用品</v>
      </c>
    </row>
    <row r="4162" spans="1:20">
      <c r="A4162" s="8">
        <f>DATE(2012,12,31)-326</f>
        <v>40948</v>
      </c>
      <c r="B4162" s="8">
        <f>DATE(2012,12,31)-326</f>
        <v>40948</v>
      </c>
      <c r="C4162" s="9" t="s">
        <v>675</v>
      </c>
      <c r="D4162">
        <v>10021522314</v>
      </c>
      <c r="E4162" t="s">
        <v>47</v>
      </c>
      <c r="F4162" t="s">
        <v>61</v>
      </c>
      <c r="G4162" t="s">
        <v>62</v>
      </c>
      <c r="H4162" t="s">
        <v>2313</v>
      </c>
      <c r="I4162" t="s">
        <v>2314</v>
      </c>
      <c r="J4162" t="s">
        <v>52</v>
      </c>
      <c r="K4162" s="3">
        <v>10014331658</v>
      </c>
      <c r="L4162" s="10">
        <v>40950</v>
      </c>
      <c r="M4162">
        <v>3049.632</v>
      </c>
      <c r="N4162" s="11">
        <v>14</v>
      </c>
      <c r="O4162" s="12">
        <v>280.98</v>
      </c>
      <c r="P4162" s="12">
        <v>35.67</v>
      </c>
      <c r="Q4162" s="13">
        <v>-679.044366</v>
      </c>
      <c r="R4162" s="36" t="s">
        <v>395</v>
      </c>
      <c r="S4162" s="7">
        <f t="shared" si="352"/>
        <v>2</v>
      </c>
      <c r="T4162" s="15" t="str">
        <f>VLOOKUP(R4162,产品分类!$C$2:$D$1278,2,0)</f>
        <v>数码电子</v>
      </c>
    </row>
    <row r="4163" spans="1:20">
      <c r="A4163" s="8">
        <f>DATE(2012,12,31)-326</f>
        <v>40948</v>
      </c>
      <c r="B4163" s="8">
        <f>DATE(2012,12,31)-326</f>
        <v>40948</v>
      </c>
      <c r="C4163" s="9" t="s">
        <v>675</v>
      </c>
      <c r="D4163">
        <v>10021416028</v>
      </c>
      <c r="E4163" t="s">
        <v>47</v>
      </c>
      <c r="F4163" t="s">
        <v>61</v>
      </c>
      <c r="G4163" t="s">
        <v>62</v>
      </c>
      <c r="H4163" t="s">
        <v>2313</v>
      </c>
      <c r="I4163" t="s">
        <v>2314</v>
      </c>
      <c r="J4163" t="s">
        <v>52</v>
      </c>
      <c r="K4163" s="3">
        <v>100413189693</v>
      </c>
      <c r="L4163" s="10">
        <v>40953</v>
      </c>
      <c r="M4163">
        <v>1274.949</v>
      </c>
      <c r="N4163" s="11">
        <v>41</v>
      </c>
      <c r="O4163" s="12">
        <v>35.99</v>
      </c>
      <c r="P4163" s="12">
        <v>1.1</v>
      </c>
      <c r="Q4163" s="13">
        <v>416.988</v>
      </c>
      <c r="R4163" s="36" t="s">
        <v>537</v>
      </c>
      <c r="S4163" s="7">
        <f t="shared" ref="S4163:S4226" si="358">+L4163-B4163</f>
        <v>5</v>
      </c>
      <c r="T4163" s="15" t="str">
        <f>VLOOKUP(R4163,产品分类!$C$2:$D$1278,2,0)</f>
        <v>办公用品</v>
      </c>
    </row>
    <row r="4164" spans="1:20">
      <c r="A4164" s="8">
        <f>DATE(2012,12,31)-626</f>
        <v>40648</v>
      </c>
      <c r="B4164" s="8">
        <f>DATE(2012,12,31)-626</f>
        <v>40648</v>
      </c>
      <c r="C4164" s="9" t="s">
        <v>513</v>
      </c>
      <c r="D4164">
        <v>10021459941</v>
      </c>
      <c r="E4164" t="s">
        <v>47</v>
      </c>
      <c r="F4164" t="s">
        <v>61</v>
      </c>
      <c r="G4164" t="s">
        <v>62</v>
      </c>
      <c r="H4164" t="s">
        <v>2313</v>
      </c>
      <c r="I4164" t="s">
        <v>2314</v>
      </c>
      <c r="J4164" t="s">
        <v>52</v>
      </c>
      <c r="K4164" s="3">
        <v>10016026277</v>
      </c>
      <c r="L4164" s="10">
        <v>40650</v>
      </c>
      <c r="M4164">
        <v>6123.94</v>
      </c>
      <c r="N4164" s="11">
        <v>22</v>
      </c>
      <c r="O4164" s="12">
        <v>260.98</v>
      </c>
      <c r="P4164" s="12">
        <v>41.91</v>
      </c>
      <c r="Q4164" s="13">
        <v>1292.44</v>
      </c>
      <c r="R4164" s="36" t="s">
        <v>725</v>
      </c>
      <c r="S4164" s="7">
        <f t="shared" si="358"/>
        <v>2</v>
      </c>
      <c r="T4164" s="15" t="str">
        <f>VLOOKUP(R4164,产品分类!$C$2:$D$1278,2,0)</f>
        <v>家具产品</v>
      </c>
    </row>
    <row r="4165" spans="1:20">
      <c r="A4165" s="8">
        <f t="shared" ref="A4165:B4167" si="359">DATE(2012,12,31)-115</f>
        <v>41159</v>
      </c>
      <c r="B4165" s="8">
        <f t="shared" si="359"/>
        <v>41159</v>
      </c>
      <c r="C4165" s="9" t="s">
        <v>823</v>
      </c>
      <c r="D4165">
        <v>10021624630</v>
      </c>
      <c r="E4165" t="s">
        <v>47</v>
      </c>
      <c r="F4165" t="s">
        <v>61</v>
      </c>
      <c r="G4165" t="s">
        <v>62</v>
      </c>
      <c r="H4165" t="s">
        <v>2313</v>
      </c>
      <c r="I4165" t="s">
        <v>2314</v>
      </c>
      <c r="J4165" t="s">
        <v>52</v>
      </c>
      <c r="K4165" s="3">
        <v>100114763928</v>
      </c>
      <c r="L4165" s="10">
        <v>41161</v>
      </c>
      <c r="M4165">
        <v>495.32</v>
      </c>
      <c r="N4165" s="11">
        <v>5</v>
      </c>
      <c r="O4165" s="12">
        <v>100.98</v>
      </c>
      <c r="P4165" s="12">
        <v>15.66</v>
      </c>
      <c r="Q4165" s="13">
        <v>-72.73</v>
      </c>
      <c r="R4165" s="36" t="s">
        <v>890</v>
      </c>
      <c r="S4165" s="7">
        <f t="shared" si="358"/>
        <v>2</v>
      </c>
      <c r="T4165" s="15" t="str">
        <f>VLOOKUP(R4165,产品分类!$C$2:$D$1278,2,0)</f>
        <v>办公用品</v>
      </c>
    </row>
    <row r="4166" spans="1:20">
      <c r="A4166" s="8">
        <f t="shared" si="359"/>
        <v>41159</v>
      </c>
      <c r="B4166" s="8">
        <f t="shared" si="359"/>
        <v>41159</v>
      </c>
      <c r="C4166" s="9" t="s">
        <v>823</v>
      </c>
      <c r="D4166">
        <v>10021500181</v>
      </c>
      <c r="E4166" t="s">
        <v>47</v>
      </c>
      <c r="F4166" t="s">
        <v>61</v>
      </c>
      <c r="G4166" t="s">
        <v>62</v>
      </c>
      <c r="H4166" t="s">
        <v>2313</v>
      </c>
      <c r="I4166" t="s">
        <v>2314</v>
      </c>
      <c r="J4166" t="s">
        <v>52</v>
      </c>
      <c r="K4166" s="3">
        <v>10015168857</v>
      </c>
      <c r="L4166" s="10">
        <v>41161</v>
      </c>
      <c r="M4166">
        <v>2483.53</v>
      </c>
      <c r="N4166" s="11">
        <v>11</v>
      </c>
      <c r="O4166" s="12">
        <v>220.98</v>
      </c>
      <c r="P4166" s="12">
        <v>64.66</v>
      </c>
      <c r="Q4166" s="13">
        <v>-176.77</v>
      </c>
      <c r="R4166" s="36" t="s">
        <v>480</v>
      </c>
      <c r="S4166" s="7">
        <f t="shared" si="358"/>
        <v>2</v>
      </c>
      <c r="T4166" s="15" t="str">
        <f>VLOOKUP(R4166,产品分类!$C$2:$D$1278,2,0)</f>
        <v>办公用品</v>
      </c>
    </row>
    <row r="4167" spans="1:20">
      <c r="A4167" s="8">
        <f t="shared" si="359"/>
        <v>41159</v>
      </c>
      <c r="B4167" s="8">
        <f t="shared" si="359"/>
        <v>41159</v>
      </c>
      <c r="C4167" s="9" t="s">
        <v>823</v>
      </c>
      <c r="D4167">
        <v>10021401714</v>
      </c>
      <c r="E4167" t="s">
        <v>47</v>
      </c>
      <c r="F4167" t="s">
        <v>72</v>
      </c>
      <c r="G4167" t="s">
        <v>73</v>
      </c>
      <c r="H4167" t="s">
        <v>2008</v>
      </c>
      <c r="I4167" t="s">
        <v>2009</v>
      </c>
      <c r="J4167" t="s">
        <v>52</v>
      </c>
      <c r="K4167" s="3">
        <v>100131963107</v>
      </c>
      <c r="L4167" s="10">
        <v>41161</v>
      </c>
      <c r="M4167">
        <v>967.41</v>
      </c>
      <c r="N4167" s="11">
        <v>26</v>
      </c>
      <c r="O4167" s="12">
        <v>35.44</v>
      </c>
      <c r="P4167" s="12">
        <v>19.99</v>
      </c>
      <c r="Q4167" s="13">
        <v>26.64</v>
      </c>
      <c r="R4167" s="36" t="s">
        <v>1146</v>
      </c>
      <c r="S4167" s="7">
        <f t="shared" si="358"/>
        <v>2</v>
      </c>
      <c r="T4167" s="15" t="str">
        <f>VLOOKUP(R4167,产品分类!$C$2:$D$1278,2,0)</f>
        <v>数码电子</v>
      </c>
    </row>
    <row r="4168" spans="1:20">
      <c r="A4168" s="8">
        <f>DATE(2012,12,31)-103</f>
        <v>41171</v>
      </c>
      <c r="B4168" s="8">
        <f>DATE(2012,12,31)-103</f>
        <v>41171</v>
      </c>
      <c r="C4168" s="9" t="s">
        <v>2316</v>
      </c>
      <c r="D4168">
        <v>10021277051</v>
      </c>
      <c r="E4168" t="s">
        <v>47</v>
      </c>
      <c r="F4168" t="s">
        <v>55</v>
      </c>
      <c r="G4168" t="s">
        <v>56</v>
      </c>
      <c r="H4168" t="s">
        <v>2197</v>
      </c>
      <c r="I4168" t="s">
        <v>2198</v>
      </c>
      <c r="J4168" t="s">
        <v>52</v>
      </c>
      <c r="K4168" s="3">
        <v>100129010936</v>
      </c>
      <c r="L4168" s="10">
        <v>41180</v>
      </c>
      <c r="M4168">
        <v>318.56</v>
      </c>
      <c r="N4168" s="11">
        <v>30</v>
      </c>
      <c r="O4168" s="12">
        <v>10.89</v>
      </c>
      <c r="P4168" s="12">
        <v>4.5</v>
      </c>
      <c r="Q4168" s="13">
        <v>-30.97</v>
      </c>
      <c r="R4168" s="36" t="s">
        <v>269</v>
      </c>
      <c r="S4168" s="7">
        <f t="shared" si="358"/>
        <v>9</v>
      </c>
      <c r="T4168" s="15" t="str">
        <f>VLOOKUP(R4168,产品分类!$C$2:$D$1278,2,0)</f>
        <v>办公用品</v>
      </c>
    </row>
    <row r="4169" spans="1:20">
      <c r="A4169" s="16">
        <f>DATE(2012,12,31)-618</f>
        <v>40656</v>
      </c>
      <c r="B4169" s="16">
        <f>DATE(2012,12,31)-618</f>
        <v>40656</v>
      </c>
      <c r="C4169" s="9" t="s">
        <v>1049</v>
      </c>
      <c r="D4169">
        <v>10021263205</v>
      </c>
      <c r="E4169" t="s">
        <v>47</v>
      </c>
      <c r="F4169" t="s">
        <v>55</v>
      </c>
      <c r="G4169" t="s">
        <v>56</v>
      </c>
      <c r="H4169" t="s">
        <v>2197</v>
      </c>
      <c r="I4169" t="s">
        <v>2198</v>
      </c>
      <c r="J4169" t="s">
        <v>52</v>
      </c>
      <c r="K4169" s="3">
        <v>100129305588</v>
      </c>
      <c r="L4169" s="10">
        <v>40657</v>
      </c>
      <c r="M4169">
        <v>223.2</v>
      </c>
      <c r="N4169" s="17">
        <v>24</v>
      </c>
      <c r="O4169" s="5">
        <v>9.78</v>
      </c>
      <c r="P4169" s="5">
        <v>1.39</v>
      </c>
      <c r="Q4169" s="6">
        <v>78.74</v>
      </c>
      <c r="R4169" s="37" t="s">
        <v>962</v>
      </c>
      <c r="S4169" s="7">
        <f t="shared" si="358"/>
        <v>1</v>
      </c>
      <c r="T4169" s="15" t="str">
        <f>VLOOKUP(R4169,产品分类!$C$2:$D$1278,2,0)</f>
        <v>家具产品</v>
      </c>
    </row>
    <row r="4170" spans="1:20">
      <c r="A4170" s="8">
        <f>DATE(2012,12,31)-547</f>
        <v>40727</v>
      </c>
      <c r="B4170" s="8">
        <f>DATE(2012,12,31)-547</f>
        <v>40727</v>
      </c>
      <c r="C4170" s="9" t="s">
        <v>823</v>
      </c>
      <c r="D4170">
        <v>10021329165</v>
      </c>
      <c r="E4170" t="s">
        <v>47</v>
      </c>
      <c r="F4170" t="s">
        <v>97</v>
      </c>
      <c r="G4170" t="s">
        <v>98</v>
      </c>
      <c r="H4170" t="s">
        <v>99</v>
      </c>
      <c r="I4170" t="s">
        <v>98</v>
      </c>
      <c r="J4170" t="s">
        <v>52</v>
      </c>
      <c r="K4170" s="3">
        <v>100430258994</v>
      </c>
      <c r="L4170" s="10">
        <v>40728</v>
      </c>
      <c r="M4170">
        <v>27720.98</v>
      </c>
      <c r="N4170" s="11">
        <v>46</v>
      </c>
      <c r="O4170" s="12">
        <v>599.99</v>
      </c>
      <c r="P4170" s="12">
        <v>24.49</v>
      </c>
      <c r="Q4170" s="13">
        <v>11984.395</v>
      </c>
      <c r="R4170" s="36" t="s">
        <v>634</v>
      </c>
      <c r="S4170" s="7">
        <f t="shared" si="358"/>
        <v>1</v>
      </c>
      <c r="T4170" s="15" t="str">
        <f>VLOOKUP(R4170,产品分类!$C$2:$D$1278,2,0)</f>
        <v>办公用品</v>
      </c>
    </row>
    <row r="4171" spans="1:20">
      <c r="A4171" s="8">
        <f>DATE(2012,12,31)-547</f>
        <v>40727</v>
      </c>
      <c r="B4171" s="8">
        <f>DATE(2012,12,31)-547</f>
        <v>40727</v>
      </c>
      <c r="C4171" s="9" t="s">
        <v>823</v>
      </c>
      <c r="D4171">
        <v>10021439915</v>
      </c>
      <c r="E4171" t="s">
        <v>47</v>
      </c>
      <c r="F4171" t="s">
        <v>66</v>
      </c>
      <c r="G4171" t="s">
        <v>67</v>
      </c>
      <c r="H4171" t="s">
        <v>2244</v>
      </c>
      <c r="I4171" t="s">
        <v>2245</v>
      </c>
      <c r="J4171" t="s">
        <v>52</v>
      </c>
      <c r="K4171" s="3">
        <v>100723676015</v>
      </c>
      <c r="L4171" s="10">
        <v>40729</v>
      </c>
      <c r="M4171">
        <v>520.13</v>
      </c>
      <c r="N4171" s="11">
        <v>29</v>
      </c>
      <c r="O4171" s="12">
        <v>18.97</v>
      </c>
      <c r="P4171" s="12">
        <v>5.21</v>
      </c>
      <c r="Q4171" s="13">
        <v>127.55</v>
      </c>
      <c r="R4171" s="36" t="s">
        <v>1516</v>
      </c>
      <c r="S4171" s="7">
        <f t="shared" si="358"/>
        <v>2</v>
      </c>
      <c r="T4171" s="15" t="str">
        <f>VLOOKUP(R4171,产品分类!$C$2:$D$1278,2,0)</f>
        <v>办公用品</v>
      </c>
    </row>
    <row r="4172" spans="1:20">
      <c r="A4172" s="8">
        <f>DATE(2012,12,31)-942</f>
        <v>40332</v>
      </c>
      <c r="B4172" s="8">
        <f>DATE(2012,12,31)-942</f>
        <v>40332</v>
      </c>
      <c r="C4172" s="9" t="s">
        <v>596</v>
      </c>
      <c r="D4172">
        <v>10021571828</v>
      </c>
      <c r="E4172" t="s">
        <v>47</v>
      </c>
      <c r="F4172" t="s">
        <v>152</v>
      </c>
      <c r="G4172" t="s">
        <v>153</v>
      </c>
      <c r="H4172" t="s">
        <v>2302</v>
      </c>
      <c r="I4172" t="s">
        <v>2303</v>
      </c>
      <c r="J4172" t="s">
        <v>52</v>
      </c>
      <c r="K4172" s="3">
        <v>100716066335</v>
      </c>
      <c r="L4172" s="10">
        <v>40333</v>
      </c>
      <c r="M4172">
        <v>2657.56</v>
      </c>
      <c r="N4172" s="11">
        <v>18</v>
      </c>
      <c r="O4172" s="12">
        <v>150.98</v>
      </c>
      <c r="P4172" s="12">
        <v>16.01</v>
      </c>
      <c r="Q4172" s="13">
        <v>126.27855</v>
      </c>
      <c r="R4172" s="36" t="s">
        <v>986</v>
      </c>
      <c r="S4172" s="7">
        <f t="shared" si="358"/>
        <v>1</v>
      </c>
      <c r="T4172" s="15" t="str">
        <f>VLOOKUP(R4172,产品分类!$C$2:$D$1278,2,0)</f>
        <v>办公用品</v>
      </c>
    </row>
    <row r="4173" spans="1:20">
      <c r="A4173" s="8">
        <f>DATE(2012,12,31)-350</f>
        <v>40924</v>
      </c>
      <c r="B4173" s="8">
        <f>DATE(2012,12,31)-350</f>
        <v>40924</v>
      </c>
      <c r="C4173" s="9" t="s">
        <v>143</v>
      </c>
      <c r="D4173">
        <v>10021484848</v>
      </c>
      <c r="E4173" t="s">
        <v>47</v>
      </c>
      <c r="F4173" t="s">
        <v>152</v>
      </c>
      <c r="G4173" t="s">
        <v>153</v>
      </c>
      <c r="H4173" t="s">
        <v>2302</v>
      </c>
      <c r="I4173" t="s">
        <v>2303</v>
      </c>
      <c r="J4173" t="s">
        <v>52</v>
      </c>
      <c r="K4173" s="3">
        <v>100914993221</v>
      </c>
      <c r="L4173" s="10">
        <v>40926</v>
      </c>
      <c r="M4173">
        <v>792.21</v>
      </c>
      <c r="N4173" s="11">
        <v>43</v>
      </c>
      <c r="O4173" s="12">
        <v>18.97</v>
      </c>
      <c r="P4173" s="12">
        <v>9.54</v>
      </c>
      <c r="Q4173" s="13">
        <v>42.24</v>
      </c>
      <c r="R4173" s="36" t="s">
        <v>302</v>
      </c>
      <c r="S4173" s="7">
        <f t="shared" si="358"/>
        <v>2</v>
      </c>
      <c r="T4173" s="15" t="str">
        <f>VLOOKUP(R4173,产品分类!$C$2:$D$1278,2,0)</f>
        <v>家具产品</v>
      </c>
    </row>
    <row r="4174" spans="1:20">
      <c r="A4174" s="16">
        <f>DATE(2012,12,31)-293</f>
        <v>40981</v>
      </c>
      <c r="B4174" s="16">
        <f>DATE(2012,12,31)-293</f>
        <v>40981</v>
      </c>
      <c r="C4174" s="9" t="s">
        <v>286</v>
      </c>
      <c r="D4174">
        <v>10021438074</v>
      </c>
      <c r="E4174" t="s">
        <v>47</v>
      </c>
      <c r="F4174" t="s">
        <v>72</v>
      </c>
      <c r="G4174" t="s">
        <v>73</v>
      </c>
      <c r="H4174" t="s">
        <v>2008</v>
      </c>
      <c r="I4174" t="s">
        <v>2009</v>
      </c>
      <c r="J4174" t="s">
        <v>52</v>
      </c>
      <c r="K4174" s="3">
        <v>100110629426</v>
      </c>
      <c r="L4174" s="10">
        <v>40983</v>
      </c>
      <c r="M4174">
        <v>240.74</v>
      </c>
      <c r="N4174" s="17">
        <v>20</v>
      </c>
      <c r="O4174" s="5">
        <v>12.28</v>
      </c>
      <c r="P4174" s="5">
        <v>5.09</v>
      </c>
      <c r="Q4174" s="6">
        <v>21.05</v>
      </c>
      <c r="R4174" s="37" t="s">
        <v>2081</v>
      </c>
      <c r="S4174" s="7">
        <f t="shared" si="358"/>
        <v>2</v>
      </c>
      <c r="T4174" s="15" t="str">
        <f>VLOOKUP(R4174,产品分类!$C$2:$D$1278,2,0)</f>
        <v>办公用品</v>
      </c>
    </row>
    <row r="4175" spans="1:20">
      <c r="A4175" s="8">
        <f>DATE(2012,12,31)-1288</f>
        <v>39986</v>
      </c>
      <c r="B4175" s="8">
        <f>DATE(2012,12,31)-1288</f>
        <v>39986</v>
      </c>
      <c r="C4175" s="9" t="s">
        <v>991</v>
      </c>
      <c r="D4175">
        <v>10021435108</v>
      </c>
      <c r="E4175" t="s">
        <v>47</v>
      </c>
      <c r="F4175" t="s">
        <v>91</v>
      </c>
      <c r="G4175" t="s">
        <v>92</v>
      </c>
      <c r="H4175" t="s">
        <v>2053</v>
      </c>
      <c r="I4175" t="s">
        <v>2054</v>
      </c>
      <c r="J4175" t="s">
        <v>52</v>
      </c>
      <c r="K4175" s="3">
        <v>100332713149</v>
      </c>
      <c r="L4175" s="10">
        <v>39987</v>
      </c>
      <c r="M4175">
        <v>96.01</v>
      </c>
      <c r="N4175" s="11">
        <v>11</v>
      </c>
      <c r="O4175" s="12">
        <v>7.98</v>
      </c>
      <c r="P4175" s="12">
        <v>6.5</v>
      </c>
      <c r="Q4175" s="13">
        <v>-43.24</v>
      </c>
      <c r="R4175" s="36" t="s">
        <v>1029</v>
      </c>
      <c r="S4175" s="7">
        <f t="shared" si="358"/>
        <v>1</v>
      </c>
      <c r="T4175" s="15" t="str">
        <f>VLOOKUP(R4175,产品分类!$C$2:$D$1278,2,0)</f>
        <v>家具产品</v>
      </c>
    </row>
    <row r="4176" spans="1:20">
      <c r="A4176" s="8">
        <f>DATE(2012,12,31)-1316</f>
        <v>39958</v>
      </c>
      <c r="B4176" s="8">
        <f>DATE(2012,12,31)-1316</f>
        <v>39958</v>
      </c>
      <c r="C4176" s="9" t="s">
        <v>1541</v>
      </c>
      <c r="D4176">
        <v>10021560125</v>
      </c>
      <c r="E4176" t="s">
        <v>47</v>
      </c>
      <c r="F4176" t="s">
        <v>55</v>
      </c>
      <c r="G4176" t="s">
        <v>56</v>
      </c>
      <c r="H4176" t="s">
        <v>2197</v>
      </c>
      <c r="I4176" t="s">
        <v>2198</v>
      </c>
      <c r="J4176" t="s">
        <v>52</v>
      </c>
      <c r="K4176" s="3">
        <v>100132776708</v>
      </c>
      <c r="L4176" s="10">
        <v>39960</v>
      </c>
      <c r="M4176">
        <v>598.19</v>
      </c>
      <c r="N4176" s="11">
        <v>34</v>
      </c>
      <c r="O4176" s="12">
        <v>17.98</v>
      </c>
      <c r="P4176" s="12">
        <v>8.51</v>
      </c>
      <c r="Q4176" s="13">
        <v>-6.61200000000001</v>
      </c>
      <c r="R4176" s="36" t="s">
        <v>1430</v>
      </c>
      <c r="S4176" s="7">
        <f t="shared" si="358"/>
        <v>2</v>
      </c>
      <c r="T4176" s="15" t="str">
        <f>VLOOKUP(R4176,产品分类!$C$2:$D$1278,2,0)</f>
        <v>办公用品</v>
      </c>
    </row>
    <row r="4177" spans="1:20">
      <c r="A4177" s="8">
        <f>DATE(2012,12,31)-624</f>
        <v>40650</v>
      </c>
      <c r="B4177" s="8">
        <f>DATE(2012,12,31)-624</f>
        <v>40650</v>
      </c>
      <c r="C4177" s="9" t="s">
        <v>712</v>
      </c>
      <c r="D4177">
        <v>10021619508</v>
      </c>
      <c r="E4177" t="s">
        <v>47</v>
      </c>
      <c r="F4177" t="s">
        <v>55</v>
      </c>
      <c r="G4177" t="s">
        <v>56</v>
      </c>
      <c r="H4177" t="s">
        <v>2197</v>
      </c>
      <c r="I4177" t="s">
        <v>2198</v>
      </c>
      <c r="J4177" t="s">
        <v>52</v>
      </c>
      <c r="K4177" s="3">
        <v>100310368679</v>
      </c>
      <c r="L4177" s="10">
        <v>40652</v>
      </c>
      <c r="M4177">
        <v>22.37</v>
      </c>
      <c r="N4177" s="11">
        <v>8</v>
      </c>
      <c r="O4177" s="12">
        <v>2.6</v>
      </c>
      <c r="P4177" s="12">
        <v>2.4</v>
      </c>
      <c r="Q4177" s="13">
        <v>-14.09</v>
      </c>
      <c r="R4177" s="36" t="s">
        <v>1884</v>
      </c>
      <c r="S4177" s="7">
        <f t="shared" si="358"/>
        <v>2</v>
      </c>
      <c r="T4177" s="15" t="str">
        <f>VLOOKUP(R4177,产品分类!$C$2:$D$1278,2,0)</f>
        <v>数码电子</v>
      </c>
    </row>
    <row r="4178" spans="1:20">
      <c r="A4178" s="8">
        <f>DATE(2012,12,31)-367</f>
        <v>40907</v>
      </c>
      <c r="B4178" s="8">
        <f>DATE(2012,12,31)-367</f>
        <v>40907</v>
      </c>
      <c r="C4178" s="9" t="s">
        <v>520</v>
      </c>
      <c r="D4178">
        <v>10021571784</v>
      </c>
      <c r="E4178" t="s">
        <v>47</v>
      </c>
      <c r="F4178" t="s">
        <v>527</v>
      </c>
      <c r="G4178" t="s">
        <v>528</v>
      </c>
      <c r="H4178" t="s">
        <v>2293</v>
      </c>
      <c r="I4178" t="s">
        <v>2294</v>
      </c>
      <c r="J4178" t="s">
        <v>52</v>
      </c>
      <c r="K4178" s="3">
        <v>10011531488</v>
      </c>
      <c r="L4178" s="10">
        <v>40909</v>
      </c>
      <c r="M4178">
        <v>362.75</v>
      </c>
      <c r="N4178" s="11">
        <v>44</v>
      </c>
      <c r="O4178" s="12">
        <v>8.32</v>
      </c>
      <c r="P4178" s="12">
        <v>2.38</v>
      </c>
      <c r="Q4178" s="13">
        <v>-54.47</v>
      </c>
      <c r="R4178" s="36" t="s">
        <v>920</v>
      </c>
      <c r="S4178" s="7">
        <f t="shared" si="358"/>
        <v>2</v>
      </c>
      <c r="T4178" s="15" t="str">
        <f>VLOOKUP(R4178,产品分类!$C$2:$D$1278,2,0)</f>
        <v>家具产品</v>
      </c>
    </row>
    <row r="4179" spans="1:20">
      <c r="A4179" s="8">
        <f>DATE(2012,12,31)-367</f>
        <v>40907</v>
      </c>
      <c r="B4179" s="8">
        <f>DATE(2012,12,31)-367</f>
        <v>40907</v>
      </c>
      <c r="C4179" s="9" t="s">
        <v>520</v>
      </c>
      <c r="D4179">
        <v>10021570339</v>
      </c>
      <c r="E4179" t="s">
        <v>47</v>
      </c>
      <c r="F4179" t="s">
        <v>171</v>
      </c>
      <c r="G4179" t="s">
        <v>172</v>
      </c>
      <c r="H4179" t="s">
        <v>2073</v>
      </c>
      <c r="I4179" t="s">
        <v>2074</v>
      </c>
      <c r="J4179" t="s">
        <v>52</v>
      </c>
      <c r="K4179" s="3">
        <v>100816790052</v>
      </c>
      <c r="L4179" s="10">
        <v>40908</v>
      </c>
      <c r="M4179">
        <v>155.86</v>
      </c>
      <c r="N4179" s="11">
        <v>29</v>
      </c>
      <c r="O4179" s="12">
        <v>5.28</v>
      </c>
      <c r="P4179" s="12">
        <v>8.16</v>
      </c>
      <c r="Q4179" s="13">
        <v>-152.59</v>
      </c>
      <c r="R4179" s="36" t="s">
        <v>2089</v>
      </c>
      <c r="S4179" s="7">
        <f t="shared" si="358"/>
        <v>1</v>
      </c>
      <c r="T4179" s="15" t="str">
        <f>VLOOKUP(R4179,产品分类!$C$2:$D$1278,2,0)</f>
        <v>家具产品</v>
      </c>
    </row>
    <row r="4180" spans="1:20">
      <c r="A4180" s="16">
        <f>DATE(2012,12,31)-1256</f>
        <v>40018</v>
      </c>
      <c r="B4180" s="16">
        <f>DATE(2012,12,31)-1256</f>
        <v>40018</v>
      </c>
      <c r="C4180" s="9" t="s">
        <v>1246</v>
      </c>
      <c r="D4180">
        <v>10021409548</v>
      </c>
      <c r="E4180" t="s">
        <v>47</v>
      </c>
      <c r="F4180" t="s">
        <v>61</v>
      </c>
      <c r="G4180" t="s">
        <v>62</v>
      </c>
      <c r="H4180" t="s">
        <v>2313</v>
      </c>
      <c r="I4180" t="s">
        <v>2314</v>
      </c>
      <c r="J4180" t="s">
        <v>52</v>
      </c>
      <c r="K4180" s="3">
        <v>10085800412</v>
      </c>
      <c r="L4180" s="10">
        <v>40019</v>
      </c>
      <c r="M4180">
        <v>215.31</v>
      </c>
      <c r="N4180" s="17">
        <v>14</v>
      </c>
      <c r="O4180" s="5">
        <v>15.28</v>
      </c>
      <c r="P4180" s="5">
        <v>10.91</v>
      </c>
      <c r="Q4180" s="6">
        <v>-51.75</v>
      </c>
      <c r="R4180" s="37" t="s">
        <v>1624</v>
      </c>
      <c r="S4180" s="7">
        <f t="shared" si="358"/>
        <v>1</v>
      </c>
      <c r="T4180" s="15" t="str">
        <f>VLOOKUP(R4180,产品分类!$C$2:$D$1278,2,0)</f>
        <v>办公用品</v>
      </c>
    </row>
    <row r="4181" spans="1:20">
      <c r="A4181" s="8">
        <f>DATE(2012,12,31)-1015</f>
        <v>40259</v>
      </c>
      <c r="B4181" s="8">
        <f>DATE(2012,12,31)-1015</f>
        <v>40259</v>
      </c>
      <c r="C4181" s="9" t="s">
        <v>313</v>
      </c>
      <c r="D4181">
        <v>10021373612</v>
      </c>
      <c r="E4181" t="s">
        <v>47</v>
      </c>
      <c r="F4181" t="s">
        <v>61</v>
      </c>
      <c r="G4181" t="s">
        <v>62</v>
      </c>
      <c r="H4181" t="s">
        <v>2313</v>
      </c>
      <c r="I4181" t="s">
        <v>2314</v>
      </c>
      <c r="J4181" t="s">
        <v>52</v>
      </c>
      <c r="K4181" s="3">
        <v>100932748871</v>
      </c>
      <c r="L4181" s="10">
        <v>40260</v>
      </c>
      <c r="M4181">
        <v>1511.7</v>
      </c>
      <c r="N4181" s="11">
        <v>43</v>
      </c>
      <c r="O4181" s="12">
        <v>34.99</v>
      </c>
      <c r="P4181" s="12">
        <v>7.73</v>
      </c>
      <c r="Q4181" s="13">
        <v>221.63</v>
      </c>
      <c r="R4181" s="36" t="s">
        <v>2267</v>
      </c>
      <c r="S4181" s="7">
        <f t="shared" si="358"/>
        <v>1</v>
      </c>
      <c r="T4181" s="15" t="str">
        <f>VLOOKUP(R4181,产品分类!$C$2:$D$1278,2,0)</f>
        <v>数码电子</v>
      </c>
    </row>
    <row r="4182" spans="1:20">
      <c r="A4182" s="8">
        <f>DATE(2012,12,31)-1000</f>
        <v>40274</v>
      </c>
      <c r="B4182" s="8">
        <f>DATE(2012,12,31)-1000</f>
        <v>40274</v>
      </c>
      <c r="C4182" s="9" t="s">
        <v>667</v>
      </c>
      <c r="D4182">
        <v>10021489898</v>
      </c>
      <c r="E4182" t="s">
        <v>47</v>
      </c>
      <c r="F4182" t="s">
        <v>91</v>
      </c>
      <c r="G4182" t="s">
        <v>92</v>
      </c>
      <c r="H4182" t="s">
        <v>2053</v>
      </c>
      <c r="I4182" t="s">
        <v>2054</v>
      </c>
      <c r="J4182" t="s">
        <v>52</v>
      </c>
      <c r="K4182" s="3">
        <v>100827952492</v>
      </c>
      <c r="L4182" s="10">
        <v>40275</v>
      </c>
      <c r="M4182">
        <v>30.35</v>
      </c>
      <c r="N4182" s="11">
        <v>9</v>
      </c>
      <c r="O4182" s="12">
        <v>3.08</v>
      </c>
      <c r="P4182" s="12">
        <v>0.99</v>
      </c>
      <c r="Q4182" s="13">
        <v>5.02</v>
      </c>
      <c r="R4182" s="36" t="s">
        <v>283</v>
      </c>
      <c r="S4182" s="7">
        <f t="shared" si="358"/>
        <v>1</v>
      </c>
      <c r="T4182" s="15" t="str">
        <f>VLOOKUP(R4182,产品分类!$C$2:$D$1278,2,0)</f>
        <v>办公用品</v>
      </c>
    </row>
    <row r="4183" spans="1:20">
      <c r="A4183" s="8">
        <f>DATE(2012,12,31)-929</f>
        <v>40345</v>
      </c>
      <c r="B4183" s="8">
        <f>DATE(2012,12,31)-929</f>
        <v>40345</v>
      </c>
      <c r="C4183" s="9" t="s">
        <v>286</v>
      </c>
      <c r="D4183">
        <v>10021519495</v>
      </c>
      <c r="E4183" t="s">
        <v>47</v>
      </c>
      <c r="F4183" t="s">
        <v>102</v>
      </c>
      <c r="G4183" t="s">
        <v>103</v>
      </c>
      <c r="H4183" t="s">
        <v>2236</v>
      </c>
      <c r="I4183" t="s">
        <v>2237</v>
      </c>
      <c r="J4183" t="s">
        <v>52</v>
      </c>
      <c r="K4183" s="3">
        <v>10079775615</v>
      </c>
      <c r="L4183" s="10">
        <v>40347</v>
      </c>
      <c r="M4183">
        <v>3072.86</v>
      </c>
      <c r="N4183" s="11">
        <v>21</v>
      </c>
      <c r="O4183" s="12">
        <v>150.98</v>
      </c>
      <c r="P4183" s="12">
        <v>39.25</v>
      </c>
      <c r="Q4183" s="13">
        <v>-364.873366</v>
      </c>
      <c r="R4183" s="36" t="s">
        <v>986</v>
      </c>
      <c r="S4183" s="7">
        <f t="shared" si="358"/>
        <v>2</v>
      </c>
      <c r="T4183" s="15" t="str">
        <f>VLOOKUP(R4183,产品分类!$C$2:$D$1278,2,0)</f>
        <v>办公用品</v>
      </c>
    </row>
    <row r="4184" spans="1:20">
      <c r="A4184" s="8">
        <f t="shared" ref="A4184:B4186" si="360">DATE(2012,12,31)-181</f>
        <v>41093</v>
      </c>
      <c r="B4184" s="8">
        <f t="shared" si="360"/>
        <v>41093</v>
      </c>
      <c r="C4184" s="9" t="s">
        <v>1703</v>
      </c>
      <c r="D4184">
        <v>10021604169</v>
      </c>
      <c r="E4184" t="s">
        <v>47</v>
      </c>
      <c r="F4184" t="s">
        <v>527</v>
      </c>
      <c r="G4184" t="s">
        <v>528</v>
      </c>
      <c r="H4184" t="s">
        <v>2293</v>
      </c>
      <c r="I4184" t="s">
        <v>2294</v>
      </c>
      <c r="J4184" t="s">
        <v>52</v>
      </c>
      <c r="K4184" s="3">
        <v>10041147944</v>
      </c>
      <c r="L4184" s="10">
        <v>41094</v>
      </c>
      <c r="M4184">
        <v>1463.105</v>
      </c>
      <c r="N4184" s="11">
        <v>48</v>
      </c>
      <c r="O4184" s="12">
        <v>35.99</v>
      </c>
      <c r="P4184" s="12">
        <v>1.25</v>
      </c>
      <c r="Q4184" s="13">
        <v>446.994</v>
      </c>
      <c r="R4184" s="36" t="s">
        <v>718</v>
      </c>
      <c r="S4184" s="7">
        <f t="shared" si="358"/>
        <v>1</v>
      </c>
      <c r="T4184" s="15" t="str">
        <f>VLOOKUP(R4184,产品分类!$C$2:$D$1278,2,0)</f>
        <v>数码电子</v>
      </c>
    </row>
    <row r="4185" spans="1:20">
      <c r="A4185" s="8">
        <f t="shared" si="360"/>
        <v>41093</v>
      </c>
      <c r="B4185" s="8">
        <f t="shared" si="360"/>
        <v>41093</v>
      </c>
      <c r="C4185" s="9" t="s">
        <v>1703</v>
      </c>
      <c r="D4185">
        <v>10021581636</v>
      </c>
      <c r="E4185" t="s">
        <v>47</v>
      </c>
      <c r="F4185" t="s">
        <v>152</v>
      </c>
      <c r="G4185" t="s">
        <v>153</v>
      </c>
      <c r="H4185" t="s">
        <v>2302</v>
      </c>
      <c r="I4185" t="s">
        <v>2303</v>
      </c>
      <c r="J4185" t="s">
        <v>52</v>
      </c>
      <c r="K4185" s="3">
        <v>100424817693</v>
      </c>
      <c r="L4185" s="10">
        <v>41096</v>
      </c>
      <c r="M4185">
        <v>1085.4</v>
      </c>
      <c r="N4185" s="11">
        <v>42</v>
      </c>
      <c r="O4185" s="12">
        <v>25.98</v>
      </c>
      <c r="P4185" s="12">
        <v>5.37</v>
      </c>
      <c r="Q4185" s="13">
        <v>262.32</v>
      </c>
      <c r="R4185" s="36" t="s">
        <v>1173</v>
      </c>
      <c r="S4185" s="7">
        <f t="shared" si="358"/>
        <v>3</v>
      </c>
      <c r="T4185" s="15" t="str">
        <f>VLOOKUP(R4185,产品分类!$C$2:$D$1278,2,0)</f>
        <v>家具产品</v>
      </c>
    </row>
    <row r="4186" spans="1:20">
      <c r="A4186" s="8">
        <f t="shared" si="360"/>
        <v>41093</v>
      </c>
      <c r="B4186" s="8">
        <f t="shared" si="360"/>
        <v>41093</v>
      </c>
      <c r="C4186" s="9" t="s">
        <v>1703</v>
      </c>
      <c r="D4186">
        <v>10021577017</v>
      </c>
      <c r="E4186" t="s">
        <v>47</v>
      </c>
      <c r="F4186" t="s">
        <v>66</v>
      </c>
      <c r="G4186" t="s">
        <v>67</v>
      </c>
      <c r="H4186" t="s">
        <v>2244</v>
      </c>
      <c r="I4186" t="s">
        <v>2245</v>
      </c>
      <c r="J4186" t="s">
        <v>52</v>
      </c>
      <c r="K4186" s="3">
        <v>10091307181</v>
      </c>
      <c r="L4186" s="10">
        <v>41095</v>
      </c>
      <c r="M4186">
        <v>123.67</v>
      </c>
      <c r="N4186" s="11">
        <v>19</v>
      </c>
      <c r="O4186" s="12">
        <v>6.24</v>
      </c>
      <c r="P4186" s="12">
        <v>5.22</v>
      </c>
      <c r="Q4186" s="13">
        <v>-34.17</v>
      </c>
      <c r="R4186" s="36" t="s">
        <v>368</v>
      </c>
      <c r="S4186" s="7">
        <f t="shared" si="358"/>
        <v>2</v>
      </c>
      <c r="T4186" s="15" t="str">
        <f>VLOOKUP(R4186,产品分类!$C$2:$D$1278,2,0)</f>
        <v>办公用品</v>
      </c>
    </row>
    <row r="4187" spans="1:20">
      <c r="A4187" s="16">
        <f>DATE(2012,12,31)-881</f>
        <v>40393</v>
      </c>
      <c r="B4187" s="16">
        <f>DATE(2012,12,31)-881</f>
        <v>40393</v>
      </c>
      <c r="C4187" s="9" t="s">
        <v>734</v>
      </c>
      <c r="D4187">
        <v>10021416676</v>
      </c>
      <c r="E4187" t="s">
        <v>47</v>
      </c>
      <c r="F4187" t="s">
        <v>152</v>
      </c>
      <c r="G4187" t="s">
        <v>153</v>
      </c>
      <c r="H4187" t="s">
        <v>2302</v>
      </c>
      <c r="I4187" t="s">
        <v>2303</v>
      </c>
      <c r="J4187" t="s">
        <v>52</v>
      </c>
      <c r="K4187" s="3">
        <v>100411735904</v>
      </c>
      <c r="L4187" s="10">
        <v>40395</v>
      </c>
      <c r="M4187">
        <v>22.45</v>
      </c>
      <c r="N4187" s="17">
        <v>15</v>
      </c>
      <c r="O4187" s="5">
        <v>1.48</v>
      </c>
      <c r="P4187" s="5">
        <v>0.7</v>
      </c>
      <c r="Q4187" s="6">
        <v>0.78</v>
      </c>
      <c r="R4187" s="37" t="s">
        <v>1220</v>
      </c>
      <c r="S4187" s="7">
        <f t="shared" si="358"/>
        <v>2</v>
      </c>
      <c r="T4187" s="15" t="str">
        <f>VLOOKUP(R4187,产品分类!$C$2:$D$1278,2,0)</f>
        <v>家具产品</v>
      </c>
    </row>
    <row r="4188" spans="1:20">
      <c r="A4188" s="8">
        <f>DATE(2012,12,31)-881</f>
        <v>40393</v>
      </c>
      <c r="B4188" s="8">
        <f>DATE(2012,12,31)-881</f>
        <v>40393</v>
      </c>
      <c r="C4188" s="9" t="s">
        <v>734</v>
      </c>
      <c r="D4188">
        <v>10021417534</v>
      </c>
      <c r="E4188" t="s">
        <v>47</v>
      </c>
      <c r="F4188" t="s">
        <v>66</v>
      </c>
      <c r="G4188" t="s">
        <v>67</v>
      </c>
      <c r="H4188" t="s">
        <v>2244</v>
      </c>
      <c r="I4188" t="s">
        <v>2245</v>
      </c>
      <c r="J4188" t="s">
        <v>52</v>
      </c>
      <c r="K4188" s="3">
        <v>100412764244</v>
      </c>
      <c r="L4188" s="10">
        <v>40394</v>
      </c>
      <c r="M4188">
        <v>3268.56</v>
      </c>
      <c r="N4188" s="11">
        <v>33</v>
      </c>
      <c r="O4188" s="12">
        <v>95.95</v>
      </c>
      <c r="P4188" s="12">
        <v>74.35</v>
      </c>
      <c r="Q4188" s="13">
        <v>-1181.71</v>
      </c>
      <c r="R4188" s="36" t="s">
        <v>574</v>
      </c>
      <c r="S4188" s="7">
        <f t="shared" si="358"/>
        <v>1</v>
      </c>
      <c r="T4188" s="15" t="str">
        <f>VLOOKUP(R4188,产品分类!$C$2:$D$1278,2,0)</f>
        <v>办公用品</v>
      </c>
    </row>
    <row r="4189" spans="1:20">
      <c r="A4189" s="8">
        <f>DATE(2012,12,31)-162</f>
        <v>41112</v>
      </c>
      <c r="B4189" s="8">
        <f>DATE(2012,12,31)-162</f>
        <v>41112</v>
      </c>
      <c r="C4189" s="9" t="s">
        <v>500</v>
      </c>
      <c r="D4189">
        <v>10021512103</v>
      </c>
      <c r="E4189" t="s">
        <v>47</v>
      </c>
      <c r="F4189" t="s">
        <v>66</v>
      </c>
      <c r="G4189" t="s">
        <v>67</v>
      </c>
      <c r="H4189" t="s">
        <v>2244</v>
      </c>
      <c r="I4189" t="s">
        <v>2245</v>
      </c>
      <c r="J4189" t="s">
        <v>52</v>
      </c>
      <c r="K4189" s="3">
        <v>100932753461</v>
      </c>
      <c r="L4189" s="10">
        <v>41113</v>
      </c>
      <c r="M4189">
        <v>165.09</v>
      </c>
      <c r="N4189" s="11">
        <v>10</v>
      </c>
      <c r="O4189" s="12">
        <v>15.01</v>
      </c>
      <c r="P4189" s="12">
        <v>8.4</v>
      </c>
      <c r="Q4189" s="13">
        <v>-8.5905</v>
      </c>
      <c r="R4189" s="36" t="s">
        <v>1374</v>
      </c>
      <c r="S4189" s="7">
        <f t="shared" si="358"/>
        <v>1</v>
      </c>
      <c r="T4189" s="15" t="str">
        <f>VLOOKUP(R4189,产品分类!$C$2:$D$1278,2,0)</f>
        <v>办公用品</v>
      </c>
    </row>
    <row r="4190" spans="1:20">
      <c r="A4190" s="8">
        <f>DATE(2012,12,31)-1381</f>
        <v>39893</v>
      </c>
      <c r="B4190" s="8">
        <f>DATE(2012,12,31)-1381</f>
        <v>39893</v>
      </c>
      <c r="C4190" s="9" t="s">
        <v>136</v>
      </c>
      <c r="D4190">
        <v>10021396651</v>
      </c>
      <c r="E4190" t="s">
        <v>47</v>
      </c>
      <c r="F4190" t="s">
        <v>152</v>
      </c>
      <c r="G4190" t="s">
        <v>153</v>
      </c>
      <c r="H4190" t="s">
        <v>2302</v>
      </c>
      <c r="I4190" t="s">
        <v>2303</v>
      </c>
      <c r="J4190" t="s">
        <v>52</v>
      </c>
      <c r="K4190" s="3">
        <v>100423358874</v>
      </c>
      <c r="L4190" s="10">
        <v>39894</v>
      </c>
      <c r="M4190">
        <v>89061.05</v>
      </c>
      <c r="N4190" s="11">
        <v>13</v>
      </c>
      <c r="O4190" s="12">
        <v>6783.02</v>
      </c>
      <c r="P4190" s="12">
        <v>24.49</v>
      </c>
      <c r="Q4190" s="13">
        <v>27220.69</v>
      </c>
      <c r="R4190" s="36" t="s">
        <v>790</v>
      </c>
      <c r="S4190" s="7">
        <f t="shared" si="358"/>
        <v>1</v>
      </c>
      <c r="T4190" s="15" t="str">
        <f>VLOOKUP(R4190,产品分类!$C$2:$D$1278,2,0)</f>
        <v>数码电子</v>
      </c>
    </row>
    <row r="4191" spans="1:20">
      <c r="A4191" s="8">
        <f>DATE(2012,12,31)-1381</f>
        <v>39893</v>
      </c>
      <c r="B4191" s="8">
        <f>DATE(2012,12,31)-1381</f>
        <v>39893</v>
      </c>
      <c r="C4191" s="9" t="s">
        <v>136</v>
      </c>
      <c r="D4191">
        <v>10021264974</v>
      </c>
      <c r="E4191" t="s">
        <v>47</v>
      </c>
      <c r="F4191" t="s">
        <v>66</v>
      </c>
      <c r="G4191" t="s">
        <v>67</v>
      </c>
      <c r="H4191" t="s">
        <v>2244</v>
      </c>
      <c r="I4191" t="s">
        <v>2245</v>
      </c>
      <c r="J4191" t="s">
        <v>52</v>
      </c>
      <c r="K4191" s="3">
        <v>100431246644</v>
      </c>
      <c r="L4191" s="10">
        <v>39893</v>
      </c>
      <c r="M4191">
        <v>6636.664</v>
      </c>
      <c r="N4191" s="11">
        <v>40</v>
      </c>
      <c r="O4191" s="12">
        <v>205.99</v>
      </c>
      <c r="P4191" s="12">
        <v>8.99</v>
      </c>
      <c r="Q4191" s="13">
        <v>1623.699</v>
      </c>
      <c r="R4191" s="36" t="s">
        <v>1543</v>
      </c>
      <c r="S4191" s="7">
        <f t="shared" si="358"/>
        <v>0</v>
      </c>
      <c r="T4191" s="15" t="str">
        <f>VLOOKUP(R4191,产品分类!$C$2:$D$1278,2,0)</f>
        <v>家具产品</v>
      </c>
    </row>
    <row r="4192" spans="1:20">
      <c r="A4192" s="8">
        <f>DATE(2012,12,31)-695</f>
        <v>40579</v>
      </c>
      <c r="B4192" s="8">
        <f>DATE(2012,12,31)-695</f>
        <v>40579</v>
      </c>
      <c r="C4192" s="9" t="s">
        <v>1424</v>
      </c>
      <c r="D4192">
        <v>10021260665</v>
      </c>
      <c r="E4192" t="s">
        <v>47</v>
      </c>
      <c r="F4192" t="s">
        <v>66</v>
      </c>
      <c r="G4192" t="s">
        <v>67</v>
      </c>
      <c r="H4192" t="s">
        <v>2244</v>
      </c>
      <c r="I4192" t="s">
        <v>2245</v>
      </c>
      <c r="J4192" t="s">
        <v>52</v>
      </c>
      <c r="K4192" s="3">
        <v>100428890094</v>
      </c>
      <c r="L4192" s="10">
        <v>40580</v>
      </c>
      <c r="M4192">
        <v>4153.06</v>
      </c>
      <c r="N4192" s="11">
        <v>48</v>
      </c>
      <c r="O4192" s="12">
        <v>90.24</v>
      </c>
      <c r="P4192" s="12">
        <v>0.99</v>
      </c>
      <c r="Q4192" s="13">
        <v>1499.41</v>
      </c>
      <c r="R4192" s="36" t="s">
        <v>735</v>
      </c>
      <c r="S4192" s="7">
        <f t="shared" si="358"/>
        <v>1</v>
      </c>
      <c r="T4192" s="15" t="str">
        <f>VLOOKUP(R4192,产品分类!$C$2:$D$1278,2,0)</f>
        <v>数码电子</v>
      </c>
    </row>
    <row r="4193" spans="1:20">
      <c r="A4193" s="8">
        <f>DATE(2012,12,31)-402</f>
        <v>40872</v>
      </c>
      <c r="B4193" s="8">
        <f>DATE(2012,12,31)-402</f>
        <v>40872</v>
      </c>
      <c r="C4193" s="9" t="s">
        <v>653</v>
      </c>
      <c r="D4193">
        <v>10021395340</v>
      </c>
      <c r="E4193" t="s">
        <v>47</v>
      </c>
      <c r="F4193" t="s">
        <v>66</v>
      </c>
      <c r="G4193" t="s">
        <v>67</v>
      </c>
      <c r="H4193" t="s">
        <v>2244</v>
      </c>
      <c r="I4193" t="s">
        <v>2245</v>
      </c>
      <c r="J4193" t="s">
        <v>52</v>
      </c>
      <c r="K4193" s="3">
        <v>10019777587</v>
      </c>
      <c r="L4193" s="10">
        <v>40873</v>
      </c>
      <c r="M4193">
        <v>19325.2</v>
      </c>
      <c r="N4193" s="11">
        <v>49</v>
      </c>
      <c r="O4193" s="12">
        <v>387.99</v>
      </c>
      <c r="P4193" s="12">
        <v>19.99</v>
      </c>
      <c r="Q4193" s="13">
        <v>8793.539</v>
      </c>
      <c r="R4193" s="36" t="s">
        <v>1742</v>
      </c>
      <c r="S4193" s="7">
        <f t="shared" si="358"/>
        <v>1</v>
      </c>
      <c r="T4193" s="15" t="str">
        <f>VLOOKUP(R4193,产品分类!$C$2:$D$1278,2,0)</f>
        <v>家具产品</v>
      </c>
    </row>
    <row r="4194" spans="1:20">
      <c r="A4194" s="8">
        <f>DATE(2012,12,31)-402</f>
        <v>40872</v>
      </c>
      <c r="B4194" s="8">
        <f>DATE(2012,12,31)-402</f>
        <v>40872</v>
      </c>
      <c r="C4194" s="9" t="s">
        <v>653</v>
      </c>
      <c r="D4194">
        <v>10021365024</v>
      </c>
      <c r="E4194" t="s">
        <v>47</v>
      </c>
      <c r="F4194" t="s">
        <v>48</v>
      </c>
      <c r="G4194" t="s">
        <v>49</v>
      </c>
      <c r="H4194" t="s">
        <v>2183</v>
      </c>
      <c r="I4194" t="s">
        <v>2184</v>
      </c>
      <c r="J4194" t="s">
        <v>52</v>
      </c>
      <c r="K4194" s="3">
        <v>100418464584</v>
      </c>
      <c r="L4194" s="10">
        <v>40873</v>
      </c>
      <c r="M4194">
        <v>8380.22</v>
      </c>
      <c r="N4194" s="11">
        <v>48</v>
      </c>
      <c r="O4194" s="12">
        <v>160.98</v>
      </c>
      <c r="P4194" s="12">
        <v>35.02</v>
      </c>
      <c r="Q4194" s="13">
        <v>813.83</v>
      </c>
      <c r="R4194" s="36" t="s">
        <v>484</v>
      </c>
      <c r="S4194" s="7">
        <f t="shared" si="358"/>
        <v>1</v>
      </c>
      <c r="T4194" s="15" t="str">
        <f>VLOOKUP(R4194,产品分类!$C$2:$D$1278,2,0)</f>
        <v>数码电子</v>
      </c>
    </row>
    <row r="4195" spans="1:20">
      <c r="A4195" s="8">
        <f>DATE(2012,12,31)-919</f>
        <v>40355</v>
      </c>
      <c r="B4195" s="8">
        <f>DATE(2012,12,31)-919</f>
        <v>40355</v>
      </c>
      <c r="C4195" s="9" t="s">
        <v>1323</v>
      </c>
      <c r="D4195">
        <v>10021494730</v>
      </c>
      <c r="E4195" t="s">
        <v>47</v>
      </c>
      <c r="F4195" t="s">
        <v>66</v>
      </c>
      <c r="G4195" t="s">
        <v>67</v>
      </c>
      <c r="H4195" t="s">
        <v>2244</v>
      </c>
      <c r="I4195" t="s">
        <v>2245</v>
      </c>
      <c r="J4195" t="s">
        <v>52</v>
      </c>
      <c r="K4195" s="3">
        <v>10019920578</v>
      </c>
      <c r="L4195" s="10">
        <v>40357</v>
      </c>
      <c r="M4195">
        <v>742.05</v>
      </c>
      <c r="N4195" s="11">
        <v>50</v>
      </c>
      <c r="O4195" s="12">
        <v>14.89</v>
      </c>
      <c r="P4195" s="12">
        <v>13.56</v>
      </c>
      <c r="Q4195" s="13">
        <v>-337.98</v>
      </c>
      <c r="R4195" s="36" t="s">
        <v>1931</v>
      </c>
      <c r="S4195" s="7">
        <f t="shared" si="358"/>
        <v>2</v>
      </c>
      <c r="T4195" s="15" t="str">
        <f>VLOOKUP(R4195,产品分类!$C$2:$D$1278,2,0)</f>
        <v>办公用品</v>
      </c>
    </row>
    <row r="4196" spans="1:20">
      <c r="A4196" s="8">
        <f>DATE(2012,12,31)-1194</f>
        <v>40080</v>
      </c>
      <c r="B4196" s="8">
        <f>DATE(2012,12,31)-1194</f>
        <v>40080</v>
      </c>
      <c r="C4196" s="9" t="s">
        <v>840</v>
      </c>
      <c r="D4196">
        <v>10021495666</v>
      </c>
      <c r="E4196" t="s">
        <v>47</v>
      </c>
      <c r="F4196" t="s">
        <v>152</v>
      </c>
      <c r="G4196" t="s">
        <v>153</v>
      </c>
      <c r="H4196" t="s">
        <v>2302</v>
      </c>
      <c r="I4196" t="s">
        <v>2303</v>
      </c>
      <c r="J4196" t="s">
        <v>52</v>
      </c>
      <c r="K4196" s="3">
        <v>100310754779</v>
      </c>
      <c r="L4196" s="10">
        <v>40081</v>
      </c>
      <c r="M4196">
        <v>157.63</v>
      </c>
      <c r="N4196" s="11">
        <v>9</v>
      </c>
      <c r="O4196" s="12">
        <v>17.98</v>
      </c>
      <c r="P4196" s="12">
        <v>4</v>
      </c>
      <c r="Q4196" s="13">
        <v>-78.13</v>
      </c>
      <c r="R4196" s="36" t="s">
        <v>1584</v>
      </c>
      <c r="S4196" s="7">
        <f t="shared" si="358"/>
        <v>1</v>
      </c>
      <c r="T4196" s="15" t="str">
        <f>VLOOKUP(R4196,产品分类!$C$2:$D$1278,2,0)</f>
        <v>办公用品</v>
      </c>
    </row>
    <row r="4197" spans="1:20">
      <c r="A4197" s="8">
        <f>DATE(2012,12,31)-536</f>
        <v>40738</v>
      </c>
      <c r="B4197" s="8">
        <f>DATE(2012,12,31)-536</f>
        <v>40738</v>
      </c>
      <c r="C4197" s="9" t="s">
        <v>823</v>
      </c>
      <c r="D4197">
        <v>10021395751</v>
      </c>
      <c r="E4197" t="s">
        <v>47</v>
      </c>
      <c r="F4197" t="s">
        <v>66</v>
      </c>
      <c r="G4197" t="s">
        <v>67</v>
      </c>
      <c r="H4197" t="s">
        <v>2244</v>
      </c>
      <c r="I4197" t="s">
        <v>2245</v>
      </c>
      <c r="J4197" t="s">
        <v>52</v>
      </c>
      <c r="K4197" s="3">
        <v>100114508426</v>
      </c>
      <c r="L4197" s="10">
        <v>40739</v>
      </c>
      <c r="M4197">
        <v>926.65</v>
      </c>
      <c r="N4197" s="11">
        <v>35</v>
      </c>
      <c r="O4197" s="12">
        <v>26.31</v>
      </c>
      <c r="P4197" s="12">
        <v>5.89</v>
      </c>
      <c r="Q4197" s="13">
        <v>-75.38</v>
      </c>
      <c r="R4197" s="36" t="s">
        <v>1352</v>
      </c>
      <c r="S4197" s="7">
        <f t="shared" si="358"/>
        <v>1</v>
      </c>
      <c r="T4197" s="15" t="str">
        <f>VLOOKUP(R4197,产品分类!$C$2:$D$1278,2,0)</f>
        <v>数码电子</v>
      </c>
    </row>
    <row r="4198" spans="1:20">
      <c r="A4198" s="8">
        <f>DATE(2012,12,31)-277</f>
        <v>40997</v>
      </c>
      <c r="B4198" s="8">
        <f>DATE(2012,12,31)-277</f>
        <v>40997</v>
      </c>
      <c r="C4198" s="9" t="s">
        <v>673</v>
      </c>
      <c r="D4198">
        <v>10021310782</v>
      </c>
      <c r="E4198" t="s">
        <v>47</v>
      </c>
      <c r="F4198" t="s">
        <v>78</v>
      </c>
      <c r="G4198" t="s">
        <v>79</v>
      </c>
      <c r="H4198" t="s">
        <v>2105</v>
      </c>
      <c r="I4198" t="s">
        <v>2106</v>
      </c>
      <c r="J4198" t="s">
        <v>52</v>
      </c>
      <c r="K4198" s="3">
        <v>10095330171</v>
      </c>
      <c r="L4198" s="10">
        <v>40998</v>
      </c>
      <c r="M4198">
        <v>2175.22</v>
      </c>
      <c r="N4198" s="11">
        <v>29</v>
      </c>
      <c r="O4198" s="12">
        <v>68.81</v>
      </c>
      <c r="P4198" s="12">
        <v>60</v>
      </c>
      <c r="Q4198" s="13">
        <v>-520.55</v>
      </c>
      <c r="R4198" s="36" t="s">
        <v>390</v>
      </c>
      <c r="S4198" s="7">
        <f t="shared" si="358"/>
        <v>1</v>
      </c>
      <c r="T4198" s="15" t="str">
        <f>VLOOKUP(R4198,产品分类!$C$2:$D$1278,2,0)</f>
        <v>办公用品</v>
      </c>
    </row>
    <row r="4199" spans="1:20">
      <c r="A4199" s="8">
        <f>DATE(2012,12,31)-206</f>
        <v>41068</v>
      </c>
      <c r="B4199" s="8">
        <f>DATE(2012,12,31)-206</f>
        <v>41068</v>
      </c>
      <c r="C4199" s="9" t="s">
        <v>849</v>
      </c>
      <c r="D4199">
        <v>10021579039</v>
      </c>
      <c r="E4199" t="s">
        <v>47</v>
      </c>
      <c r="F4199" t="s">
        <v>72</v>
      </c>
      <c r="G4199" t="s">
        <v>73</v>
      </c>
      <c r="H4199" t="s">
        <v>2008</v>
      </c>
      <c r="I4199" t="s">
        <v>2009</v>
      </c>
      <c r="J4199" t="s">
        <v>52</v>
      </c>
      <c r="K4199" s="3">
        <v>10086412872</v>
      </c>
      <c r="L4199" s="10">
        <v>41071</v>
      </c>
      <c r="M4199">
        <v>115.54</v>
      </c>
      <c r="N4199" s="11">
        <v>24</v>
      </c>
      <c r="O4199" s="12">
        <v>4.98</v>
      </c>
      <c r="P4199" s="12">
        <v>0.8</v>
      </c>
      <c r="Q4199" s="13">
        <v>43.35</v>
      </c>
      <c r="R4199" s="36" t="s">
        <v>521</v>
      </c>
      <c r="S4199" s="7">
        <f t="shared" si="358"/>
        <v>3</v>
      </c>
      <c r="T4199" s="15" t="str">
        <f>VLOOKUP(R4199,产品分类!$C$2:$D$1278,2,0)</f>
        <v>家具产品</v>
      </c>
    </row>
    <row r="4200" spans="1:20">
      <c r="A4200" s="8">
        <f>DATE(2012,12,31)-1115</f>
        <v>40159</v>
      </c>
      <c r="B4200" s="8">
        <f>DATE(2012,12,31)-1115</f>
        <v>40159</v>
      </c>
      <c r="C4200" s="9" t="s">
        <v>1881</v>
      </c>
      <c r="D4200">
        <v>10021417172</v>
      </c>
      <c r="E4200" t="s">
        <v>47</v>
      </c>
      <c r="F4200" t="s">
        <v>72</v>
      </c>
      <c r="G4200" t="s">
        <v>73</v>
      </c>
      <c r="H4200" t="s">
        <v>2008</v>
      </c>
      <c r="I4200" t="s">
        <v>2009</v>
      </c>
      <c r="J4200" t="s">
        <v>52</v>
      </c>
      <c r="K4200" s="3">
        <v>100916021731</v>
      </c>
      <c r="L4200" s="10">
        <v>40161</v>
      </c>
      <c r="M4200">
        <v>5572.92</v>
      </c>
      <c r="N4200" s="11">
        <v>41</v>
      </c>
      <c r="O4200" s="12">
        <v>140.98</v>
      </c>
      <c r="P4200" s="12">
        <v>36.09</v>
      </c>
      <c r="Q4200" s="13">
        <v>-639.47</v>
      </c>
      <c r="R4200" s="36" t="s">
        <v>1090</v>
      </c>
      <c r="S4200" s="7">
        <f t="shared" si="358"/>
        <v>2</v>
      </c>
      <c r="T4200" s="15" t="str">
        <f>VLOOKUP(R4200,产品分类!$C$2:$D$1278,2,0)</f>
        <v>办公用品</v>
      </c>
    </row>
    <row r="4201" spans="1:20">
      <c r="A4201" s="8">
        <f>DATE(2012,12,31)-1205</f>
        <v>40069</v>
      </c>
      <c r="B4201" s="8">
        <f>DATE(2012,12,31)-1205</f>
        <v>40069</v>
      </c>
      <c r="C4201" s="9" t="s">
        <v>1176</v>
      </c>
      <c r="D4201">
        <v>10021431515</v>
      </c>
      <c r="E4201" t="s">
        <v>47</v>
      </c>
      <c r="F4201" t="s">
        <v>72</v>
      </c>
      <c r="G4201" t="s">
        <v>73</v>
      </c>
      <c r="H4201" t="s">
        <v>2008</v>
      </c>
      <c r="I4201" t="s">
        <v>2009</v>
      </c>
      <c r="J4201" t="s">
        <v>52</v>
      </c>
      <c r="K4201" s="3">
        <v>100432238543</v>
      </c>
      <c r="L4201" s="10">
        <v>40072</v>
      </c>
      <c r="M4201">
        <v>8295.29</v>
      </c>
      <c r="N4201" s="11">
        <v>48</v>
      </c>
      <c r="O4201" s="12">
        <v>178.47</v>
      </c>
      <c r="P4201" s="12">
        <v>19.99</v>
      </c>
      <c r="Q4201" s="13">
        <v>2267.22</v>
      </c>
      <c r="R4201" s="36" t="s">
        <v>249</v>
      </c>
      <c r="S4201" s="7">
        <f t="shared" si="358"/>
        <v>3</v>
      </c>
      <c r="T4201" s="15" t="str">
        <f>VLOOKUP(R4201,产品分类!$C$2:$D$1278,2,0)</f>
        <v>办公用品</v>
      </c>
    </row>
    <row r="4202" spans="1:20">
      <c r="A4202" s="8">
        <f>DATE(2012,12,31)-250</f>
        <v>41024</v>
      </c>
      <c r="B4202" s="8">
        <f>DATE(2012,12,31)-250</f>
        <v>41024</v>
      </c>
      <c r="C4202" s="9" t="s">
        <v>816</v>
      </c>
      <c r="D4202">
        <v>10021422994</v>
      </c>
      <c r="E4202" t="s">
        <v>47</v>
      </c>
      <c r="F4202" t="s">
        <v>72</v>
      </c>
      <c r="G4202" t="s">
        <v>73</v>
      </c>
      <c r="H4202" t="s">
        <v>2008</v>
      </c>
      <c r="I4202" t="s">
        <v>2009</v>
      </c>
      <c r="J4202" t="s">
        <v>52</v>
      </c>
      <c r="K4202" s="3">
        <v>100927663511</v>
      </c>
      <c r="L4202" s="10">
        <v>41025</v>
      </c>
      <c r="M4202">
        <v>35.17</v>
      </c>
      <c r="N4202" s="11">
        <v>11</v>
      </c>
      <c r="O4202" s="12">
        <v>3.08</v>
      </c>
      <c r="P4202" s="12">
        <v>0.99</v>
      </c>
      <c r="Q4202" s="13">
        <v>5.58</v>
      </c>
      <c r="R4202" s="36" t="s">
        <v>283</v>
      </c>
      <c r="S4202" s="7">
        <f t="shared" si="358"/>
        <v>1</v>
      </c>
      <c r="T4202" s="15" t="str">
        <f>VLOOKUP(R4202,产品分类!$C$2:$D$1278,2,0)</f>
        <v>办公用品</v>
      </c>
    </row>
    <row r="4203" spans="1:20">
      <c r="A4203" s="8">
        <f>DATE(2012,12,31)-561</f>
        <v>40713</v>
      </c>
      <c r="B4203" s="8">
        <f>DATE(2012,12,31)-561</f>
        <v>40713</v>
      </c>
      <c r="C4203" s="9" t="s">
        <v>151</v>
      </c>
      <c r="D4203">
        <v>10021424256</v>
      </c>
      <c r="E4203" t="s">
        <v>47</v>
      </c>
      <c r="F4203" t="s">
        <v>72</v>
      </c>
      <c r="G4203" t="s">
        <v>73</v>
      </c>
      <c r="H4203" t="s">
        <v>2008</v>
      </c>
      <c r="I4203" t="s">
        <v>2009</v>
      </c>
      <c r="J4203" t="s">
        <v>52</v>
      </c>
      <c r="K4203" s="3">
        <v>100128793498</v>
      </c>
      <c r="L4203" s="10">
        <v>40715</v>
      </c>
      <c r="M4203">
        <v>214.64</v>
      </c>
      <c r="N4203" s="11">
        <v>34</v>
      </c>
      <c r="O4203" s="12">
        <v>6.48</v>
      </c>
      <c r="P4203" s="12">
        <v>5.86</v>
      </c>
      <c r="Q4203" s="13">
        <v>-76.88</v>
      </c>
      <c r="R4203" s="36" t="s">
        <v>738</v>
      </c>
      <c r="S4203" s="7">
        <f t="shared" si="358"/>
        <v>2</v>
      </c>
      <c r="T4203" s="15" t="str">
        <f>VLOOKUP(R4203,产品分类!$C$2:$D$1278,2,0)</f>
        <v>数码电子</v>
      </c>
    </row>
    <row r="4204" spans="1:20">
      <c r="A4204" s="16">
        <f>DATE(2012,12,31)-1123</f>
        <v>40151</v>
      </c>
      <c r="B4204" s="16">
        <f>DATE(2012,12,31)-1123</f>
        <v>40151</v>
      </c>
      <c r="C4204" s="9" t="s">
        <v>1010</v>
      </c>
      <c r="D4204">
        <v>10021477210</v>
      </c>
      <c r="E4204" t="s">
        <v>47</v>
      </c>
      <c r="F4204" t="s">
        <v>72</v>
      </c>
      <c r="G4204" t="s">
        <v>73</v>
      </c>
      <c r="H4204" t="s">
        <v>2008</v>
      </c>
      <c r="I4204" t="s">
        <v>2009</v>
      </c>
      <c r="J4204" t="s">
        <v>52</v>
      </c>
      <c r="K4204" s="3">
        <v>100128776307</v>
      </c>
      <c r="L4204" s="10">
        <v>40154</v>
      </c>
      <c r="M4204">
        <v>243.5</v>
      </c>
      <c r="N4204" s="17">
        <v>44</v>
      </c>
      <c r="O4204" s="5">
        <v>5.98</v>
      </c>
      <c r="P4204" s="5">
        <v>1.67</v>
      </c>
      <c r="Q4204" s="6">
        <v>23.87</v>
      </c>
      <c r="R4204" s="37" t="s">
        <v>2317</v>
      </c>
      <c r="S4204" s="7">
        <f t="shared" si="358"/>
        <v>3</v>
      </c>
      <c r="T4204" s="15" t="str">
        <f>VLOOKUP(R4204,产品分类!$C$2:$D$1278,2,0)</f>
        <v>家具产品</v>
      </c>
    </row>
    <row r="4205" spans="1:20">
      <c r="A4205" s="8">
        <f>DATE(2012,12,31)-198</f>
        <v>41076</v>
      </c>
      <c r="B4205" s="8">
        <f>DATE(2012,12,31)-198</f>
        <v>41076</v>
      </c>
      <c r="C4205" s="9" t="s">
        <v>995</v>
      </c>
      <c r="D4205">
        <v>10021349151</v>
      </c>
      <c r="E4205" t="s">
        <v>47</v>
      </c>
      <c r="F4205" t="s">
        <v>78</v>
      </c>
      <c r="G4205" t="s">
        <v>79</v>
      </c>
      <c r="H4205" t="s">
        <v>2105</v>
      </c>
      <c r="I4205" t="s">
        <v>2106</v>
      </c>
      <c r="J4205" t="s">
        <v>52</v>
      </c>
      <c r="K4205" s="3">
        <v>100131833228</v>
      </c>
      <c r="L4205" s="10">
        <v>41077</v>
      </c>
      <c r="M4205">
        <v>5452.9</v>
      </c>
      <c r="N4205" s="11">
        <v>24</v>
      </c>
      <c r="O4205" s="12">
        <v>225.02</v>
      </c>
      <c r="P4205" s="12">
        <v>28.66</v>
      </c>
      <c r="Q4205" s="13">
        <v>426.67</v>
      </c>
      <c r="R4205" s="36" t="s">
        <v>760</v>
      </c>
      <c r="S4205" s="7">
        <f t="shared" si="358"/>
        <v>1</v>
      </c>
      <c r="T4205" s="15" t="str">
        <f>VLOOKUP(R4205,产品分类!$C$2:$D$1278,2,0)</f>
        <v>办公用品</v>
      </c>
    </row>
    <row r="4206" spans="1:20">
      <c r="A4206" s="8">
        <f>DATE(2012,12,31)-846</f>
        <v>40428</v>
      </c>
      <c r="B4206" s="8">
        <f>DATE(2012,12,31)-846</f>
        <v>40428</v>
      </c>
      <c r="C4206" s="9" t="s">
        <v>1669</v>
      </c>
      <c r="D4206">
        <v>10021522317</v>
      </c>
      <c r="E4206" t="s">
        <v>47</v>
      </c>
      <c r="F4206" t="s">
        <v>230</v>
      </c>
      <c r="G4206" t="s">
        <v>231</v>
      </c>
      <c r="H4206" t="s">
        <v>2276</v>
      </c>
      <c r="I4206" t="s">
        <v>2277</v>
      </c>
      <c r="J4206" t="s">
        <v>52</v>
      </c>
      <c r="K4206" s="3">
        <v>10084501352</v>
      </c>
      <c r="L4206" s="10">
        <v>40437</v>
      </c>
      <c r="M4206">
        <v>606.98</v>
      </c>
      <c r="N4206" s="11">
        <v>43</v>
      </c>
      <c r="O4206" s="12">
        <v>13.73</v>
      </c>
      <c r="P4206" s="12">
        <v>6.85</v>
      </c>
      <c r="Q4206" s="13">
        <v>21.08</v>
      </c>
      <c r="R4206" s="36" t="s">
        <v>387</v>
      </c>
      <c r="S4206" s="7">
        <f t="shared" si="358"/>
        <v>9</v>
      </c>
      <c r="T4206" s="15" t="str">
        <f>VLOOKUP(R4206,产品分类!$C$2:$D$1278,2,0)</f>
        <v>家具产品</v>
      </c>
    </row>
    <row r="4207" spans="1:20">
      <c r="A4207" s="16">
        <f>DATE(2012,12,31)-846</f>
        <v>40428</v>
      </c>
      <c r="B4207" s="16">
        <f>DATE(2012,12,31)-846</f>
        <v>40428</v>
      </c>
      <c r="C4207" s="9" t="s">
        <v>1669</v>
      </c>
      <c r="D4207">
        <v>10021250271</v>
      </c>
      <c r="E4207" t="s">
        <v>47</v>
      </c>
      <c r="F4207" t="s">
        <v>473</v>
      </c>
      <c r="G4207" t="s">
        <v>474</v>
      </c>
      <c r="H4207" t="s">
        <v>2142</v>
      </c>
      <c r="I4207" t="s">
        <v>2143</v>
      </c>
      <c r="J4207" t="s">
        <v>52</v>
      </c>
      <c r="K4207" s="3">
        <v>10096199401</v>
      </c>
      <c r="L4207" s="10">
        <v>40437</v>
      </c>
      <c r="M4207">
        <v>301.62</v>
      </c>
      <c r="N4207" s="17">
        <v>48</v>
      </c>
      <c r="O4207" s="5">
        <v>6.68</v>
      </c>
      <c r="P4207" s="5">
        <v>6.92</v>
      </c>
      <c r="Q4207" s="6">
        <v>-162.54</v>
      </c>
      <c r="R4207" s="37" t="s">
        <v>922</v>
      </c>
      <c r="S4207" s="7">
        <f t="shared" si="358"/>
        <v>9</v>
      </c>
      <c r="T4207" s="15" t="str">
        <f>VLOOKUP(R4207,产品分类!$C$2:$D$1278,2,0)</f>
        <v>家具产品</v>
      </c>
    </row>
    <row r="4208" spans="1:20">
      <c r="A4208" s="8">
        <f>DATE(2012,12,31)-803</f>
        <v>40471</v>
      </c>
      <c r="B4208" s="8">
        <f>DATE(2012,12,31)-803</f>
        <v>40471</v>
      </c>
      <c r="C4208" s="9" t="s">
        <v>1844</v>
      </c>
      <c r="D4208">
        <v>10021296433</v>
      </c>
      <c r="E4208" t="s">
        <v>47</v>
      </c>
      <c r="F4208" t="s">
        <v>114</v>
      </c>
      <c r="G4208" t="s">
        <v>115</v>
      </c>
      <c r="H4208" t="s">
        <v>2297</v>
      </c>
      <c r="I4208" t="s">
        <v>2298</v>
      </c>
      <c r="J4208" t="s">
        <v>52</v>
      </c>
      <c r="K4208" s="3">
        <v>100421952434</v>
      </c>
      <c r="L4208" s="10">
        <v>40472</v>
      </c>
      <c r="M4208">
        <v>7286.65</v>
      </c>
      <c r="N4208" s="11">
        <v>43</v>
      </c>
      <c r="O4208" s="12">
        <v>160.98</v>
      </c>
      <c r="P4208" s="12">
        <v>35.02</v>
      </c>
      <c r="Q4208" s="13">
        <v>474.89</v>
      </c>
      <c r="R4208" s="36" t="s">
        <v>484</v>
      </c>
      <c r="S4208" s="7">
        <f t="shared" si="358"/>
        <v>1</v>
      </c>
      <c r="T4208" s="15" t="str">
        <f>VLOOKUP(R4208,产品分类!$C$2:$D$1278,2,0)</f>
        <v>数码电子</v>
      </c>
    </row>
    <row r="4209" spans="1:20">
      <c r="A4209" s="8">
        <f>DATE(2012,12,31)-283</f>
        <v>40991</v>
      </c>
      <c r="B4209" s="8">
        <f>DATE(2012,12,31)-283</f>
        <v>40991</v>
      </c>
      <c r="C4209" s="9" t="s">
        <v>197</v>
      </c>
      <c r="D4209">
        <v>10021248483</v>
      </c>
      <c r="E4209" t="s">
        <v>47</v>
      </c>
      <c r="F4209" t="s">
        <v>114</v>
      </c>
      <c r="G4209" t="s">
        <v>115</v>
      </c>
      <c r="H4209" t="s">
        <v>2297</v>
      </c>
      <c r="I4209" t="s">
        <v>2298</v>
      </c>
      <c r="J4209" t="s">
        <v>52</v>
      </c>
      <c r="K4209" s="3">
        <v>10042462394</v>
      </c>
      <c r="L4209" s="10">
        <v>40993</v>
      </c>
      <c r="M4209">
        <v>3977.97</v>
      </c>
      <c r="N4209" s="11">
        <v>33</v>
      </c>
      <c r="O4209" s="12">
        <v>120.98</v>
      </c>
      <c r="P4209" s="12">
        <v>9.07</v>
      </c>
      <c r="Q4209" s="13">
        <v>1733.473</v>
      </c>
      <c r="R4209" s="36" t="s">
        <v>1524</v>
      </c>
      <c r="S4209" s="7">
        <f t="shared" si="358"/>
        <v>2</v>
      </c>
      <c r="T4209" s="15" t="str">
        <f>VLOOKUP(R4209,产品分类!$C$2:$D$1278,2,0)</f>
        <v>办公用品</v>
      </c>
    </row>
    <row r="4210" spans="1:20">
      <c r="A4210" s="8">
        <f>DATE(2012,12,31)-284</f>
        <v>40990</v>
      </c>
      <c r="B4210" s="8">
        <f>DATE(2012,12,31)-284</f>
        <v>40990</v>
      </c>
      <c r="C4210" s="9" t="s">
        <v>571</v>
      </c>
      <c r="D4210">
        <v>10021613053</v>
      </c>
      <c r="E4210" t="s">
        <v>47</v>
      </c>
      <c r="F4210" t="s">
        <v>122</v>
      </c>
      <c r="G4210" t="s">
        <v>123</v>
      </c>
      <c r="H4210" t="s">
        <v>2159</v>
      </c>
      <c r="I4210" t="s">
        <v>2160</v>
      </c>
      <c r="J4210" t="s">
        <v>52</v>
      </c>
      <c r="K4210" s="3">
        <v>10043393444</v>
      </c>
      <c r="L4210" s="10">
        <v>40992</v>
      </c>
      <c r="M4210">
        <v>20.21</v>
      </c>
      <c r="N4210" s="11">
        <v>9</v>
      </c>
      <c r="O4210" s="12">
        <v>2.08</v>
      </c>
      <c r="P4210" s="12">
        <v>1.49</v>
      </c>
      <c r="Q4210" s="13">
        <v>-5.1405</v>
      </c>
      <c r="R4210" s="36" t="s">
        <v>2023</v>
      </c>
      <c r="S4210" s="7">
        <f t="shared" si="358"/>
        <v>2</v>
      </c>
      <c r="T4210" s="15" t="str">
        <f>VLOOKUP(R4210,产品分类!$C$2:$D$1278,2,0)</f>
        <v>数码电子</v>
      </c>
    </row>
    <row r="4211" spans="1:20">
      <c r="A4211" s="8">
        <f>DATE(2012,12,31)-54</f>
        <v>41220</v>
      </c>
      <c r="B4211" s="8">
        <f>DATE(2012,12,31)-54</f>
        <v>41220</v>
      </c>
      <c r="C4211" s="9" t="s">
        <v>956</v>
      </c>
      <c r="D4211">
        <v>10021460597</v>
      </c>
      <c r="E4211" t="s">
        <v>47</v>
      </c>
      <c r="F4211" t="s">
        <v>91</v>
      </c>
      <c r="G4211" t="s">
        <v>92</v>
      </c>
      <c r="H4211" t="s">
        <v>2053</v>
      </c>
      <c r="I4211" t="s">
        <v>2054</v>
      </c>
      <c r="J4211" t="s">
        <v>52</v>
      </c>
      <c r="K4211" s="3">
        <v>10089467202</v>
      </c>
      <c r="L4211" s="10">
        <v>41221</v>
      </c>
      <c r="M4211">
        <v>257.97</v>
      </c>
      <c r="N4211" s="11">
        <v>19</v>
      </c>
      <c r="O4211" s="12">
        <v>12.95</v>
      </c>
      <c r="P4211" s="12">
        <v>4.98</v>
      </c>
      <c r="Q4211" s="13">
        <v>33.1755</v>
      </c>
      <c r="R4211" s="36" t="s">
        <v>312</v>
      </c>
      <c r="S4211" s="7">
        <f t="shared" si="358"/>
        <v>1</v>
      </c>
      <c r="T4211" s="15" t="str">
        <f>VLOOKUP(R4211,产品分类!$C$2:$D$1278,2,0)</f>
        <v>数码电子</v>
      </c>
    </row>
    <row r="4212" spans="1:20">
      <c r="A4212" s="8">
        <f>DATE(2012,12,31)-693</f>
        <v>40581</v>
      </c>
      <c r="B4212" s="8">
        <f>DATE(2012,12,31)-693</f>
        <v>40581</v>
      </c>
      <c r="C4212" s="9" t="s">
        <v>1924</v>
      </c>
      <c r="D4212">
        <v>10021250847</v>
      </c>
      <c r="E4212" t="s">
        <v>47</v>
      </c>
      <c r="F4212" t="s">
        <v>91</v>
      </c>
      <c r="G4212" t="s">
        <v>92</v>
      </c>
      <c r="H4212" t="s">
        <v>2053</v>
      </c>
      <c r="I4212" t="s">
        <v>2054</v>
      </c>
      <c r="J4212" t="s">
        <v>52</v>
      </c>
      <c r="K4212" s="3">
        <v>100716099285</v>
      </c>
      <c r="L4212" s="10">
        <v>40584</v>
      </c>
      <c r="M4212">
        <v>619.77</v>
      </c>
      <c r="N4212" s="11">
        <v>42</v>
      </c>
      <c r="O4212" s="12">
        <v>14.45</v>
      </c>
      <c r="P4212" s="12">
        <v>7.17</v>
      </c>
      <c r="Q4212" s="13">
        <v>50.2435</v>
      </c>
      <c r="R4212" s="36" t="s">
        <v>1317</v>
      </c>
      <c r="S4212" s="7">
        <f t="shared" si="358"/>
        <v>3</v>
      </c>
      <c r="T4212" s="15" t="str">
        <f>VLOOKUP(R4212,产品分类!$C$2:$D$1278,2,0)</f>
        <v>家具产品</v>
      </c>
    </row>
    <row r="4213" spans="1:20">
      <c r="A4213" s="8">
        <f>DATE(2012,12,31)-1235</f>
        <v>40039</v>
      </c>
      <c r="B4213" s="8">
        <f>DATE(2012,12,31)-1235</f>
        <v>40039</v>
      </c>
      <c r="C4213" s="9" t="s">
        <v>838</v>
      </c>
      <c r="D4213">
        <v>10021341946</v>
      </c>
      <c r="E4213" t="s">
        <v>47</v>
      </c>
      <c r="F4213" t="s">
        <v>55</v>
      </c>
      <c r="G4213" t="s">
        <v>56</v>
      </c>
      <c r="H4213" t="s">
        <v>2197</v>
      </c>
      <c r="I4213" t="s">
        <v>2198</v>
      </c>
      <c r="J4213" t="s">
        <v>52</v>
      </c>
      <c r="K4213" s="3">
        <v>100927591421</v>
      </c>
      <c r="L4213" s="10">
        <v>40040</v>
      </c>
      <c r="M4213">
        <v>80.33</v>
      </c>
      <c r="N4213" s="11">
        <v>48</v>
      </c>
      <c r="O4213" s="12">
        <v>1.82</v>
      </c>
      <c r="P4213" s="12">
        <v>0.83</v>
      </c>
      <c r="Q4213" s="13">
        <v>-12.95</v>
      </c>
      <c r="R4213" s="36" t="s">
        <v>1835</v>
      </c>
      <c r="S4213" s="7">
        <f t="shared" si="358"/>
        <v>1</v>
      </c>
      <c r="T4213" s="15" t="str">
        <f>VLOOKUP(R4213,产品分类!$C$2:$D$1278,2,0)</f>
        <v>家具产品</v>
      </c>
    </row>
    <row r="4214" spans="1:20">
      <c r="A4214" s="8">
        <f>DATE(2012,12,31)-1024</f>
        <v>40250</v>
      </c>
      <c r="B4214" s="8">
        <f>DATE(2012,12,31)-1024</f>
        <v>40250</v>
      </c>
      <c r="C4214" s="9" t="s">
        <v>1606</v>
      </c>
      <c r="D4214">
        <v>10021586527</v>
      </c>
      <c r="E4214" t="s">
        <v>47</v>
      </c>
      <c r="F4214" t="s">
        <v>91</v>
      </c>
      <c r="G4214" t="s">
        <v>92</v>
      </c>
      <c r="H4214" t="s">
        <v>2053</v>
      </c>
      <c r="I4214" t="s">
        <v>2054</v>
      </c>
      <c r="J4214" t="s">
        <v>52</v>
      </c>
      <c r="K4214" s="3">
        <v>100129120286</v>
      </c>
      <c r="L4214" s="10">
        <v>40251</v>
      </c>
      <c r="M4214">
        <v>2555.37</v>
      </c>
      <c r="N4214" s="11">
        <v>28</v>
      </c>
      <c r="O4214" s="12">
        <v>95.98</v>
      </c>
      <c r="P4214" s="12">
        <v>58.2</v>
      </c>
      <c r="Q4214" s="13">
        <v>-824.91</v>
      </c>
      <c r="R4214" s="36" t="s">
        <v>1341</v>
      </c>
      <c r="S4214" s="7">
        <f t="shared" si="358"/>
        <v>1</v>
      </c>
      <c r="T4214" s="15" t="str">
        <f>VLOOKUP(R4214,产品分类!$C$2:$D$1278,2,0)</f>
        <v>办公用品</v>
      </c>
    </row>
    <row r="4215" spans="1:20">
      <c r="A4215" s="16">
        <f>DATE(2012,12,31)-1024</f>
        <v>40250</v>
      </c>
      <c r="B4215" s="16">
        <f>DATE(2012,12,31)-1024</f>
        <v>40250</v>
      </c>
      <c r="C4215" s="9" t="s">
        <v>1606</v>
      </c>
      <c r="D4215">
        <v>10021352049</v>
      </c>
      <c r="E4215" t="s">
        <v>47</v>
      </c>
      <c r="F4215" t="s">
        <v>55</v>
      </c>
      <c r="G4215" t="s">
        <v>56</v>
      </c>
      <c r="H4215" t="s">
        <v>2197</v>
      </c>
      <c r="I4215" t="s">
        <v>2198</v>
      </c>
      <c r="J4215" t="s">
        <v>52</v>
      </c>
      <c r="K4215" s="3">
        <v>100325634389</v>
      </c>
      <c r="L4215" s="10">
        <v>40251</v>
      </c>
      <c r="M4215">
        <v>1447.62</v>
      </c>
      <c r="N4215" s="17">
        <v>31</v>
      </c>
      <c r="O4215" s="5">
        <v>48.04</v>
      </c>
      <c r="P4215" s="5">
        <v>7.23</v>
      </c>
      <c r="Q4215" s="6">
        <v>576.39</v>
      </c>
      <c r="R4215" s="37" t="s">
        <v>936</v>
      </c>
      <c r="S4215" s="7">
        <f t="shared" si="358"/>
        <v>1</v>
      </c>
      <c r="T4215" s="15" t="str">
        <f>VLOOKUP(R4215,产品分类!$C$2:$D$1278,2,0)</f>
        <v>办公用品</v>
      </c>
    </row>
    <row r="4216" spans="1:20">
      <c r="A4216" s="8">
        <f>DATE(2012,12,31)-725</f>
        <v>40549</v>
      </c>
      <c r="B4216" s="8">
        <f>DATE(2012,12,31)-725</f>
        <v>40549</v>
      </c>
      <c r="C4216" s="9" t="s">
        <v>500</v>
      </c>
      <c r="D4216">
        <v>10021505957</v>
      </c>
      <c r="E4216" t="s">
        <v>47</v>
      </c>
      <c r="F4216" t="s">
        <v>91</v>
      </c>
      <c r="G4216" t="s">
        <v>92</v>
      </c>
      <c r="H4216" t="s">
        <v>2053</v>
      </c>
      <c r="I4216" t="s">
        <v>2054</v>
      </c>
      <c r="J4216" t="s">
        <v>52</v>
      </c>
      <c r="K4216" s="3">
        <v>100731157535</v>
      </c>
      <c r="L4216" s="10">
        <v>40550</v>
      </c>
      <c r="M4216">
        <v>307.57</v>
      </c>
      <c r="N4216" s="11">
        <v>47</v>
      </c>
      <c r="O4216" s="12">
        <v>6.37</v>
      </c>
      <c r="P4216" s="12">
        <v>5.19</v>
      </c>
      <c r="Q4216" s="13">
        <v>-72.3005</v>
      </c>
      <c r="R4216" s="36" t="s">
        <v>410</v>
      </c>
      <c r="S4216" s="7">
        <f t="shared" si="358"/>
        <v>1</v>
      </c>
      <c r="T4216" s="15" t="str">
        <f>VLOOKUP(R4216,产品分类!$C$2:$D$1278,2,0)</f>
        <v>数码电子</v>
      </c>
    </row>
    <row r="4217" spans="1:20">
      <c r="A4217" s="8">
        <f>DATE(2012,12,31)-725</f>
        <v>40549</v>
      </c>
      <c r="B4217" s="8">
        <f>DATE(2012,12,31)-725</f>
        <v>40549</v>
      </c>
      <c r="C4217" s="9" t="s">
        <v>500</v>
      </c>
      <c r="D4217">
        <v>10021506285</v>
      </c>
      <c r="E4217" t="s">
        <v>47</v>
      </c>
      <c r="F4217" t="s">
        <v>122</v>
      </c>
      <c r="G4217" t="s">
        <v>123</v>
      </c>
      <c r="H4217" t="s">
        <v>2159</v>
      </c>
      <c r="I4217" t="s">
        <v>2160</v>
      </c>
      <c r="J4217" t="s">
        <v>52</v>
      </c>
      <c r="K4217" s="3">
        <v>100131353807</v>
      </c>
      <c r="L4217" s="10">
        <v>40551</v>
      </c>
      <c r="M4217">
        <v>14861.07</v>
      </c>
      <c r="N4217" s="11">
        <v>32</v>
      </c>
      <c r="O4217" s="12">
        <v>500.98</v>
      </c>
      <c r="P4217" s="12">
        <v>26</v>
      </c>
      <c r="Q4217" s="13">
        <v>3408.29</v>
      </c>
      <c r="R4217" s="36" t="s">
        <v>614</v>
      </c>
      <c r="S4217" s="7">
        <f t="shared" si="358"/>
        <v>2</v>
      </c>
      <c r="T4217" s="15" t="str">
        <f>VLOOKUP(R4217,产品分类!$C$2:$D$1278,2,0)</f>
        <v>办公用品</v>
      </c>
    </row>
    <row r="4218" spans="1:20">
      <c r="A4218" s="16">
        <f>DATE(2012,12,31)-173</f>
        <v>41101</v>
      </c>
      <c r="B4218" s="16">
        <f>DATE(2012,12,31)-173</f>
        <v>41101</v>
      </c>
      <c r="C4218" s="9" t="s">
        <v>1088</v>
      </c>
      <c r="D4218">
        <v>10021498540</v>
      </c>
      <c r="E4218" t="s">
        <v>47</v>
      </c>
      <c r="F4218" t="s">
        <v>83</v>
      </c>
      <c r="G4218" t="s">
        <v>84</v>
      </c>
      <c r="H4218" t="s">
        <v>2231</v>
      </c>
      <c r="I4218" t="s">
        <v>2232</v>
      </c>
      <c r="J4218" t="s">
        <v>52</v>
      </c>
      <c r="K4218" s="3">
        <v>100422580094</v>
      </c>
      <c r="L4218" s="10">
        <v>41103</v>
      </c>
      <c r="M4218">
        <v>24.51</v>
      </c>
      <c r="N4218" s="17">
        <v>2</v>
      </c>
      <c r="O4218" s="5">
        <v>8.04</v>
      </c>
      <c r="P4218" s="5">
        <v>8.94</v>
      </c>
      <c r="Q4218" s="6">
        <v>-18.262</v>
      </c>
      <c r="R4218" s="37" t="s">
        <v>1042</v>
      </c>
      <c r="S4218" s="7">
        <f t="shared" si="358"/>
        <v>2</v>
      </c>
      <c r="T4218" s="15" t="str">
        <f>VLOOKUP(R4218,产品分类!$C$2:$D$1278,2,0)</f>
        <v>家具产品</v>
      </c>
    </row>
    <row r="4219" spans="1:20">
      <c r="A4219" s="8">
        <f>DATE(2012,12,31)-173</f>
        <v>41101</v>
      </c>
      <c r="B4219" s="8">
        <f>DATE(2012,12,31)-173</f>
        <v>41101</v>
      </c>
      <c r="C4219" s="9" t="s">
        <v>1589</v>
      </c>
      <c r="D4219">
        <v>10021502649</v>
      </c>
      <c r="E4219" t="s">
        <v>47</v>
      </c>
      <c r="F4219" t="s">
        <v>55</v>
      </c>
      <c r="G4219" t="s">
        <v>56</v>
      </c>
      <c r="H4219" t="s">
        <v>2197</v>
      </c>
      <c r="I4219" t="s">
        <v>2198</v>
      </c>
      <c r="J4219" t="s">
        <v>52</v>
      </c>
      <c r="K4219" s="3">
        <v>100128914998</v>
      </c>
      <c r="L4219" s="10">
        <v>41102</v>
      </c>
      <c r="M4219">
        <v>196.75</v>
      </c>
      <c r="N4219" s="11">
        <v>22</v>
      </c>
      <c r="O4219" s="12">
        <v>7.96</v>
      </c>
      <c r="P4219" s="12">
        <v>4.95</v>
      </c>
      <c r="Q4219" s="13">
        <v>0.13</v>
      </c>
      <c r="R4219" s="36" t="s">
        <v>1167</v>
      </c>
      <c r="S4219" s="7">
        <f t="shared" si="358"/>
        <v>1</v>
      </c>
      <c r="T4219" s="15" t="str">
        <f>VLOOKUP(R4219,产品分类!$C$2:$D$1278,2,0)</f>
        <v>家具产品</v>
      </c>
    </row>
    <row r="4220" spans="1:20">
      <c r="A4220" s="8">
        <f>DATE(2012,12,31)-547</f>
        <v>40727</v>
      </c>
      <c r="B4220" s="8">
        <f>DATE(2012,12,31)-547</f>
        <v>40727</v>
      </c>
      <c r="C4220" s="9" t="s">
        <v>1066</v>
      </c>
      <c r="D4220">
        <v>10021341282</v>
      </c>
      <c r="E4220" t="s">
        <v>47</v>
      </c>
      <c r="F4220" t="s">
        <v>55</v>
      </c>
      <c r="G4220" t="s">
        <v>56</v>
      </c>
      <c r="H4220" t="s">
        <v>2197</v>
      </c>
      <c r="I4220" t="s">
        <v>2198</v>
      </c>
      <c r="J4220" t="s">
        <v>52</v>
      </c>
      <c r="K4220" s="3">
        <v>100927013511</v>
      </c>
      <c r="L4220" s="10">
        <v>40727</v>
      </c>
      <c r="M4220">
        <v>1477.39</v>
      </c>
      <c r="N4220" s="11">
        <v>40</v>
      </c>
      <c r="O4220" s="12">
        <v>37.7</v>
      </c>
      <c r="P4220" s="12">
        <v>2.99</v>
      </c>
      <c r="Q4220" s="13">
        <v>641.4015</v>
      </c>
      <c r="R4220" s="36" t="s">
        <v>418</v>
      </c>
      <c r="S4220" s="7">
        <f t="shared" si="358"/>
        <v>0</v>
      </c>
      <c r="T4220" s="15" t="str">
        <f>VLOOKUP(R4220,产品分类!$C$2:$D$1278,2,0)</f>
        <v>数码电子</v>
      </c>
    </row>
    <row r="4221" spans="1:20">
      <c r="A4221" s="8">
        <f>DATE(2012,12,31)-1298</f>
        <v>39976</v>
      </c>
      <c r="B4221" s="8">
        <f>DATE(2012,12,31)-1298</f>
        <v>39976</v>
      </c>
      <c r="C4221" s="9" t="s">
        <v>1206</v>
      </c>
      <c r="D4221">
        <v>10021347235</v>
      </c>
      <c r="E4221" t="s">
        <v>47</v>
      </c>
      <c r="F4221" t="s">
        <v>91</v>
      </c>
      <c r="G4221" t="s">
        <v>92</v>
      </c>
      <c r="H4221" t="s">
        <v>2053</v>
      </c>
      <c r="I4221" t="s">
        <v>2054</v>
      </c>
      <c r="J4221" t="s">
        <v>52</v>
      </c>
      <c r="K4221" s="3">
        <v>100730981225</v>
      </c>
      <c r="L4221" s="10">
        <v>39978</v>
      </c>
      <c r="M4221">
        <v>5177.4</v>
      </c>
      <c r="N4221" s="11">
        <v>12</v>
      </c>
      <c r="O4221" s="12">
        <v>449.99</v>
      </c>
      <c r="P4221" s="12">
        <v>49</v>
      </c>
      <c r="Q4221" s="13">
        <v>287.5</v>
      </c>
      <c r="R4221" s="36" t="s">
        <v>545</v>
      </c>
      <c r="S4221" s="7">
        <f t="shared" si="358"/>
        <v>2</v>
      </c>
      <c r="T4221" s="15" t="str">
        <f>VLOOKUP(R4221,产品分类!$C$2:$D$1278,2,0)</f>
        <v>办公用品</v>
      </c>
    </row>
    <row r="4222" spans="1:20">
      <c r="A4222" s="8">
        <f>DATE(2012,12,31)-87</f>
        <v>41187</v>
      </c>
      <c r="B4222" s="8">
        <f>DATE(2012,12,31)-87</f>
        <v>41187</v>
      </c>
      <c r="C4222" s="9" t="s">
        <v>1001</v>
      </c>
      <c r="D4222">
        <v>10021342223</v>
      </c>
      <c r="E4222" t="s">
        <v>47</v>
      </c>
      <c r="F4222" t="s">
        <v>91</v>
      </c>
      <c r="G4222" t="s">
        <v>92</v>
      </c>
      <c r="H4222" t="s">
        <v>2053</v>
      </c>
      <c r="I4222" t="s">
        <v>2054</v>
      </c>
      <c r="J4222" t="s">
        <v>52</v>
      </c>
      <c r="K4222" s="3">
        <v>100727629545</v>
      </c>
      <c r="L4222" s="10">
        <v>41189</v>
      </c>
      <c r="M4222">
        <v>123.11</v>
      </c>
      <c r="N4222" s="11">
        <v>41</v>
      </c>
      <c r="O4222" s="12">
        <v>3.15</v>
      </c>
      <c r="P4222" s="12">
        <v>0.49</v>
      </c>
      <c r="Q4222" s="13">
        <v>48.93</v>
      </c>
      <c r="R4222" s="36" t="s">
        <v>888</v>
      </c>
      <c r="S4222" s="7">
        <f t="shared" si="358"/>
        <v>2</v>
      </c>
      <c r="T4222" s="15" t="str">
        <f>VLOOKUP(R4222,产品分类!$C$2:$D$1278,2,0)</f>
        <v>办公用品</v>
      </c>
    </row>
    <row r="4223" spans="1:20">
      <c r="A4223" s="16">
        <f>DATE(2012,12,31)-1458</f>
        <v>39816</v>
      </c>
      <c r="B4223" s="16">
        <f>DATE(2012,12,31)-1458</f>
        <v>39816</v>
      </c>
      <c r="C4223" s="9" t="s">
        <v>1678</v>
      </c>
      <c r="D4223">
        <v>10021574527</v>
      </c>
      <c r="E4223" t="s">
        <v>47</v>
      </c>
      <c r="F4223" t="s">
        <v>91</v>
      </c>
      <c r="G4223" t="s">
        <v>92</v>
      </c>
      <c r="H4223" t="s">
        <v>2053</v>
      </c>
      <c r="I4223" t="s">
        <v>2054</v>
      </c>
      <c r="J4223" t="s">
        <v>52</v>
      </c>
      <c r="K4223" s="3">
        <v>10083416312</v>
      </c>
      <c r="L4223" s="10">
        <v>39818</v>
      </c>
      <c r="M4223">
        <v>85.56</v>
      </c>
      <c r="N4223" s="17">
        <v>15</v>
      </c>
      <c r="O4223" s="5">
        <v>5.28</v>
      </c>
      <c r="P4223" s="5">
        <v>5.66</v>
      </c>
      <c r="Q4223" s="6">
        <v>-41.58</v>
      </c>
      <c r="R4223" s="37" t="s">
        <v>2318</v>
      </c>
      <c r="S4223" s="7">
        <f t="shared" si="358"/>
        <v>2</v>
      </c>
      <c r="T4223" s="15" t="str">
        <f>VLOOKUP(R4223,产品分类!$C$2:$D$1278,2,0)</f>
        <v>家具产品</v>
      </c>
    </row>
    <row r="4224" spans="1:20">
      <c r="A4224" s="8">
        <f>DATE(2012,12,31)-1458</f>
        <v>39816</v>
      </c>
      <c r="B4224" s="8">
        <f>DATE(2012,12,31)-1458</f>
        <v>39816</v>
      </c>
      <c r="C4224" s="9" t="s">
        <v>1678</v>
      </c>
      <c r="D4224">
        <v>10021507174</v>
      </c>
      <c r="E4224" t="s">
        <v>47</v>
      </c>
      <c r="F4224" t="s">
        <v>83</v>
      </c>
      <c r="G4224" t="s">
        <v>84</v>
      </c>
      <c r="H4224" t="s">
        <v>2231</v>
      </c>
      <c r="I4224" t="s">
        <v>2232</v>
      </c>
      <c r="J4224" t="s">
        <v>52</v>
      </c>
      <c r="K4224" s="3">
        <v>10093190971</v>
      </c>
      <c r="L4224" s="10">
        <v>39819</v>
      </c>
      <c r="M4224">
        <v>754.6555</v>
      </c>
      <c r="N4224" s="11">
        <v>8</v>
      </c>
      <c r="O4224" s="12">
        <v>110.99</v>
      </c>
      <c r="P4224" s="12">
        <v>2.5</v>
      </c>
      <c r="Q4224" s="13">
        <v>-212.553</v>
      </c>
      <c r="R4224" s="36" t="s">
        <v>1056</v>
      </c>
      <c r="S4224" s="7">
        <f t="shared" si="358"/>
        <v>3</v>
      </c>
      <c r="T4224" s="15" t="str">
        <f>VLOOKUP(R4224,产品分类!$C$2:$D$1278,2,0)</f>
        <v>家具产品</v>
      </c>
    </row>
    <row r="4225" spans="1:20">
      <c r="A4225" s="8">
        <f t="shared" ref="A4225:B4228" si="361">DATE(2012,12,31)-808</f>
        <v>40466</v>
      </c>
      <c r="B4225" s="8">
        <f t="shared" si="361"/>
        <v>40466</v>
      </c>
      <c r="C4225" s="9" t="s">
        <v>1054</v>
      </c>
      <c r="D4225">
        <v>10021370570</v>
      </c>
      <c r="E4225" t="s">
        <v>47</v>
      </c>
      <c r="F4225" t="s">
        <v>122</v>
      </c>
      <c r="G4225" t="s">
        <v>123</v>
      </c>
      <c r="H4225" t="s">
        <v>2159</v>
      </c>
      <c r="I4225" t="s">
        <v>2160</v>
      </c>
      <c r="J4225" t="s">
        <v>52</v>
      </c>
      <c r="K4225" s="3">
        <v>100124234636</v>
      </c>
      <c r="L4225" s="10">
        <v>40470</v>
      </c>
      <c r="M4225">
        <v>16193.16</v>
      </c>
      <c r="N4225" s="11">
        <v>34</v>
      </c>
      <c r="O4225" s="12">
        <v>449.99</v>
      </c>
      <c r="P4225" s="12">
        <v>49</v>
      </c>
      <c r="Q4225" s="13">
        <v>6463.34</v>
      </c>
      <c r="R4225" s="36" t="s">
        <v>545</v>
      </c>
      <c r="S4225" s="7">
        <f t="shared" si="358"/>
        <v>4</v>
      </c>
      <c r="T4225" s="15" t="str">
        <f>VLOOKUP(R4225,产品分类!$C$2:$D$1278,2,0)</f>
        <v>办公用品</v>
      </c>
    </row>
    <row r="4226" spans="1:20">
      <c r="A4226" s="16">
        <f t="shared" si="361"/>
        <v>40466</v>
      </c>
      <c r="B4226" s="16">
        <f t="shared" si="361"/>
        <v>40466</v>
      </c>
      <c r="C4226" s="9" t="s">
        <v>1054</v>
      </c>
      <c r="D4226">
        <v>10021336958</v>
      </c>
      <c r="E4226" t="s">
        <v>47</v>
      </c>
      <c r="F4226" t="s">
        <v>171</v>
      </c>
      <c r="G4226" t="s">
        <v>172</v>
      </c>
      <c r="H4226" t="s">
        <v>2073</v>
      </c>
      <c r="I4226" t="s">
        <v>2074</v>
      </c>
      <c r="J4226" t="s">
        <v>52</v>
      </c>
      <c r="K4226" s="3">
        <v>100820982982</v>
      </c>
      <c r="L4226" s="10">
        <v>40475</v>
      </c>
      <c r="M4226">
        <v>157.33</v>
      </c>
      <c r="N4226" s="17">
        <v>14</v>
      </c>
      <c r="O4226" s="5">
        <v>11.35</v>
      </c>
      <c r="P4226" s="5">
        <v>8.6</v>
      </c>
      <c r="Q4226" s="6">
        <v>-76.34</v>
      </c>
      <c r="R4226" s="37" t="s">
        <v>1735</v>
      </c>
      <c r="S4226" s="7">
        <f t="shared" si="358"/>
        <v>9</v>
      </c>
      <c r="T4226" s="15" t="str">
        <f>VLOOKUP(R4226,产品分类!$C$2:$D$1278,2,0)</f>
        <v>办公用品</v>
      </c>
    </row>
    <row r="4227" spans="1:20">
      <c r="A4227" s="8">
        <f t="shared" si="361"/>
        <v>40466</v>
      </c>
      <c r="B4227" s="8">
        <f t="shared" si="361"/>
        <v>40466</v>
      </c>
      <c r="C4227" s="9" t="s">
        <v>1054</v>
      </c>
      <c r="D4227">
        <v>10021261494</v>
      </c>
      <c r="E4227" t="s">
        <v>47</v>
      </c>
      <c r="F4227" t="s">
        <v>132</v>
      </c>
      <c r="G4227" t="s">
        <v>133</v>
      </c>
      <c r="H4227" t="s">
        <v>134</v>
      </c>
      <c r="I4227" t="s">
        <v>133</v>
      </c>
      <c r="J4227" t="s">
        <v>52</v>
      </c>
      <c r="K4227" s="3">
        <v>100929450731</v>
      </c>
      <c r="L4227" s="10">
        <v>40468</v>
      </c>
      <c r="M4227">
        <v>10253.75</v>
      </c>
      <c r="N4227" s="11">
        <v>28</v>
      </c>
      <c r="O4227" s="12">
        <v>400.97</v>
      </c>
      <c r="P4227" s="12">
        <v>48.26</v>
      </c>
      <c r="Q4227" s="13">
        <v>3256.81</v>
      </c>
      <c r="R4227" s="36" t="s">
        <v>2058</v>
      </c>
      <c r="S4227" s="7">
        <f t="shared" ref="S4227:S4290" si="362">+L4227-B4227</f>
        <v>2</v>
      </c>
      <c r="T4227" s="15" t="str">
        <f>VLOOKUP(R4227,产品分类!$C$2:$D$1278,2,0)</f>
        <v>数码电子</v>
      </c>
    </row>
    <row r="4228" spans="1:20">
      <c r="A4228" s="8">
        <f t="shared" si="361"/>
        <v>40466</v>
      </c>
      <c r="B4228" s="8">
        <f t="shared" si="361"/>
        <v>40466</v>
      </c>
      <c r="C4228" s="9" t="s">
        <v>1054</v>
      </c>
      <c r="D4228">
        <v>10021336045</v>
      </c>
      <c r="E4228" t="s">
        <v>47</v>
      </c>
      <c r="F4228" t="s">
        <v>132</v>
      </c>
      <c r="G4228" t="s">
        <v>133</v>
      </c>
      <c r="H4228" t="s">
        <v>134</v>
      </c>
      <c r="I4228" t="s">
        <v>133</v>
      </c>
      <c r="J4228" t="s">
        <v>52</v>
      </c>
      <c r="K4228" s="3">
        <v>10019617908</v>
      </c>
      <c r="L4228" s="10">
        <v>40466</v>
      </c>
      <c r="M4228">
        <v>840.24</v>
      </c>
      <c r="N4228" s="11">
        <v>36</v>
      </c>
      <c r="O4228" s="12">
        <v>21.38</v>
      </c>
      <c r="P4228" s="12">
        <v>8.99</v>
      </c>
      <c r="Q4228" s="13">
        <v>19.73</v>
      </c>
      <c r="R4228" s="36" t="s">
        <v>993</v>
      </c>
      <c r="S4228" s="7">
        <f t="shared" si="362"/>
        <v>0</v>
      </c>
      <c r="T4228" s="15" t="str">
        <f>VLOOKUP(R4228,产品分类!$C$2:$D$1278,2,0)</f>
        <v>数码电子</v>
      </c>
    </row>
    <row r="4229" spans="1:20">
      <c r="A4229" s="16">
        <f>DATE(2012,12,31)-567</f>
        <v>40707</v>
      </c>
      <c r="B4229" s="16">
        <f>DATE(2012,12,31)-567</f>
        <v>40707</v>
      </c>
      <c r="C4229" s="9" t="s">
        <v>334</v>
      </c>
      <c r="D4229">
        <v>10021459911</v>
      </c>
      <c r="E4229" t="s">
        <v>47</v>
      </c>
      <c r="F4229" t="s">
        <v>97</v>
      </c>
      <c r="G4229" t="s">
        <v>98</v>
      </c>
      <c r="H4229" t="s">
        <v>99</v>
      </c>
      <c r="I4229" t="s">
        <v>98</v>
      </c>
      <c r="J4229" t="s">
        <v>52</v>
      </c>
      <c r="K4229" s="3">
        <v>10015561968</v>
      </c>
      <c r="L4229" s="10">
        <v>40709</v>
      </c>
      <c r="M4229">
        <v>7765.13</v>
      </c>
      <c r="N4229" s="17">
        <v>44</v>
      </c>
      <c r="O4229" s="5">
        <v>180.98</v>
      </c>
      <c r="P4229" s="5">
        <v>55.24</v>
      </c>
      <c r="Q4229" s="6">
        <v>433.63</v>
      </c>
      <c r="R4229" s="37" t="s">
        <v>1499</v>
      </c>
      <c r="S4229" s="7">
        <f t="shared" si="362"/>
        <v>2</v>
      </c>
      <c r="T4229" s="15" t="str">
        <f>VLOOKUP(R4229,产品分类!$C$2:$D$1278,2,0)</f>
        <v>办公用品</v>
      </c>
    </row>
    <row r="4230" spans="1:20">
      <c r="A4230" s="8">
        <f>DATE(2012,12,31)-286</f>
        <v>40988</v>
      </c>
      <c r="B4230" s="8">
        <f>DATE(2012,12,31)-286</f>
        <v>40988</v>
      </c>
      <c r="C4230" s="9" t="s">
        <v>2149</v>
      </c>
      <c r="D4230">
        <v>10021446543</v>
      </c>
      <c r="E4230" t="s">
        <v>47</v>
      </c>
      <c r="F4230" t="s">
        <v>137</v>
      </c>
      <c r="G4230" t="s">
        <v>138</v>
      </c>
      <c r="H4230" t="s">
        <v>139</v>
      </c>
      <c r="I4230" t="s">
        <v>601</v>
      </c>
      <c r="J4230" t="s">
        <v>52</v>
      </c>
      <c r="K4230" s="3">
        <v>100419830973</v>
      </c>
      <c r="L4230" s="10">
        <v>40989</v>
      </c>
      <c r="M4230">
        <v>243.06</v>
      </c>
      <c r="N4230" s="11">
        <v>42</v>
      </c>
      <c r="O4230" s="12">
        <v>5.85</v>
      </c>
      <c r="P4230" s="12">
        <v>2.27</v>
      </c>
      <c r="Q4230" s="13">
        <v>-1.57</v>
      </c>
      <c r="R4230" s="36" t="s">
        <v>834</v>
      </c>
      <c r="S4230" s="7">
        <f t="shared" si="362"/>
        <v>1</v>
      </c>
      <c r="T4230" s="15" t="str">
        <f>VLOOKUP(R4230,产品分类!$C$2:$D$1278,2,0)</f>
        <v>家具产品</v>
      </c>
    </row>
    <row r="4231" spans="1:20">
      <c r="A4231" s="8">
        <f>DATE(2012,12,31)-1429</f>
        <v>39845</v>
      </c>
      <c r="B4231" s="8">
        <f>DATE(2012,12,31)-1429</f>
        <v>39845</v>
      </c>
      <c r="C4231" s="9" t="s">
        <v>1404</v>
      </c>
      <c r="D4231">
        <v>10021343228</v>
      </c>
      <c r="E4231" t="s">
        <v>47</v>
      </c>
      <c r="F4231" t="s">
        <v>208</v>
      </c>
      <c r="G4231" t="s">
        <v>209</v>
      </c>
      <c r="H4231" t="s">
        <v>2300</v>
      </c>
      <c r="I4231" t="s">
        <v>2301</v>
      </c>
      <c r="J4231" t="s">
        <v>52</v>
      </c>
      <c r="K4231" s="3">
        <v>100928715061</v>
      </c>
      <c r="L4231" s="10">
        <v>39847</v>
      </c>
      <c r="M4231">
        <v>3279.01</v>
      </c>
      <c r="N4231" s="11">
        <v>41</v>
      </c>
      <c r="O4231" s="12">
        <v>80.97</v>
      </c>
      <c r="P4231" s="12">
        <v>33.6</v>
      </c>
      <c r="Q4231" s="13">
        <v>349.22</v>
      </c>
      <c r="R4231" s="36" t="s">
        <v>1183</v>
      </c>
      <c r="S4231" s="7">
        <f t="shared" si="362"/>
        <v>2</v>
      </c>
      <c r="T4231" s="15" t="str">
        <f>VLOOKUP(R4231,产品分类!$C$2:$D$1278,2,0)</f>
        <v>办公用品</v>
      </c>
    </row>
    <row r="4232" spans="1:20">
      <c r="A4232" s="8">
        <f>DATE(2012,12,31)-121</f>
        <v>41153</v>
      </c>
      <c r="B4232" s="8">
        <f>DATE(2012,12,31)-121</f>
        <v>41153</v>
      </c>
      <c r="C4232" s="9" t="s">
        <v>586</v>
      </c>
      <c r="D4232">
        <v>10021334047</v>
      </c>
      <c r="E4232" t="s">
        <v>47</v>
      </c>
      <c r="F4232" t="s">
        <v>208</v>
      </c>
      <c r="G4232" t="s">
        <v>209</v>
      </c>
      <c r="H4232" t="s">
        <v>2300</v>
      </c>
      <c r="I4232" t="s">
        <v>2301</v>
      </c>
      <c r="J4232" t="s">
        <v>52</v>
      </c>
      <c r="K4232" s="3">
        <v>10016916387</v>
      </c>
      <c r="L4232" s="10">
        <v>41155</v>
      </c>
      <c r="M4232">
        <v>311.19</v>
      </c>
      <c r="N4232" s="11">
        <v>33</v>
      </c>
      <c r="O4232" s="12">
        <v>9.38</v>
      </c>
      <c r="P4232" s="12">
        <v>4.93</v>
      </c>
      <c r="Q4232" s="13">
        <v>-9.18</v>
      </c>
      <c r="R4232" s="36" t="s">
        <v>627</v>
      </c>
      <c r="S4232" s="7">
        <f t="shared" si="362"/>
        <v>2</v>
      </c>
      <c r="T4232" s="15" t="str">
        <f>VLOOKUP(R4232,产品分类!$C$2:$D$1278,2,0)</f>
        <v>家具产品</v>
      </c>
    </row>
    <row r="4233" spans="1:20">
      <c r="A4233" s="8">
        <f>DATE(2012,12,31)-380</f>
        <v>40894</v>
      </c>
      <c r="B4233" s="8">
        <f>DATE(2012,12,31)-380</f>
        <v>40894</v>
      </c>
      <c r="C4233" s="9" t="s">
        <v>897</v>
      </c>
      <c r="D4233">
        <v>10021579450</v>
      </c>
      <c r="E4233" t="s">
        <v>47</v>
      </c>
      <c r="F4233" t="s">
        <v>102</v>
      </c>
      <c r="G4233" t="s">
        <v>103</v>
      </c>
      <c r="H4233" t="s">
        <v>2236</v>
      </c>
      <c r="I4233" t="s">
        <v>2237</v>
      </c>
      <c r="J4233" t="s">
        <v>52</v>
      </c>
      <c r="K4233" s="3">
        <v>100120308377</v>
      </c>
      <c r="L4233" s="10">
        <v>40896</v>
      </c>
      <c r="M4233">
        <v>213.49</v>
      </c>
      <c r="N4233" s="11">
        <v>26</v>
      </c>
      <c r="O4233" s="12">
        <v>8.04</v>
      </c>
      <c r="P4233" s="12">
        <v>8.94</v>
      </c>
      <c r="Q4233" s="13">
        <v>-136.4475</v>
      </c>
      <c r="R4233" s="36" t="s">
        <v>1042</v>
      </c>
      <c r="S4233" s="7">
        <f t="shared" si="362"/>
        <v>2</v>
      </c>
      <c r="T4233" s="15" t="str">
        <f>VLOOKUP(R4233,产品分类!$C$2:$D$1278,2,0)</f>
        <v>家具产品</v>
      </c>
    </row>
    <row r="4234" spans="1:20">
      <c r="A4234" s="8">
        <f>DATE(2012,12,31)-1453</f>
        <v>39821</v>
      </c>
      <c r="B4234" s="8">
        <f>DATE(2012,12,31)-1453</f>
        <v>39821</v>
      </c>
      <c r="C4234" s="9" t="s">
        <v>754</v>
      </c>
      <c r="D4234">
        <v>10021257908</v>
      </c>
      <c r="E4234" t="s">
        <v>47</v>
      </c>
      <c r="F4234" t="s">
        <v>102</v>
      </c>
      <c r="G4234" t="s">
        <v>103</v>
      </c>
      <c r="H4234" t="s">
        <v>2236</v>
      </c>
      <c r="I4234" t="s">
        <v>2237</v>
      </c>
      <c r="J4234" t="s">
        <v>52</v>
      </c>
      <c r="K4234" s="3">
        <v>100726870665</v>
      </c>
      <c r="L4234" s="10">
        <v>39822</v>
      </c>
      <c r="M4234">
        <v>324.28</v>
      </c>
      <c r="N4234" s="11">
        <v>23</v>
      </c>
      <c r="O4234" s="12">
        <v>14.56</v>
      </c>
      <c r="P4234" s="12">
        <v>3.5</v>
      </c>
      <c r="Q4234" s="13">
        <v>20.43</v>
      </c>
      <c r="R4234" s="36" t="s">
        <v>1017</v>
      </c>
      <c r="S4234" s="7">
        <f t="shared" si="362"/>
        <v>1</v>
      </c>
      <c r="T4234" s="15" t="str">
        <f>VLOOKUP(R4234,产品分类!$C$2:$D$1278,2,0)</f>
        <v>家具产品</v>
      </c>
    </row>
    <row r="4235" spans="1:20">
      <c r="A4235" s="8">
        <f>DATE(2012,12,31)-868</f>
        <v>40406</v>
      </c>
      <c r="B4235" s="8">
        <f>DATE(2012,12,31)-868</f>
        <v>40406</v>
      </c>
      <c r="C4235" s="9" t="s">
        <v>323</v>
      </c>
      <c r="D4235">
        <v>10021496072</v>
      </c>
      <c r="E4235" t="s">
        <v>47</v>
      </c>
      <c r="F4235" t="s">
        <v>102</v>
      </c>
      <c r="G4235" t="s">
        <v>103</v>
      </c>
      <c r="H4235" t="s">
        <v>2236</v>
      </c>
      <c r="I4235" t="s">
        <v>2237</v>
      </c>
      <c r="J4235" t="s">
        <v>52</v>
      </c>
      <c r="K4235" s="3">
        <v>100914902771</v>
      </c>
      <c r="L4235" s="10">
        <v>40413</v>
      </c>
      <c r="M4235">
        <v>4667.28</v>
      </c>
      <c r="N4235" s="11">
        <v>7</v>
      </c>
      <c r="O4235" s="12">
        <v>699.99</v>
      </c>
      <c r="P4235" s="12">
        <v>24.49</v>
      </c>
      <c r="Q4235" s="13">
        <v>-362.88</v>
      </c>
      <c r="R4235" s="36" t="s">
        <v>493</v>
      </c>
      <c r="S4235" s="7">
        <f t="shared" si="362"/>
        <v>7</v>
      </c>
      <c r="T4235" s="15" t="str">
        <f>VLOOKUP(R4235,产品分类!$C$2:$D$1278,2,0)</f>
        <v>办公用品</v>
      </c>
    </row>
    <row r="4236" spans="1:20">
      <c r="A4236" s="8">
        <f>DATE(2012,12,31)-513</f>
        <v>40761</v>
      </c>
      <c r="B4236" s="8">
        <f>DATE(2012,12,31)-513</f>
        <v>40761</v>
      </c>
      <c r="C4236" s="9" t="s">
        <v>579</v>
      </c>
      <c r="D4236">
        <v>10021340809</v>
      </c>
      <c r="E4236" t="s">
        <v>47</v>
      </c>
      <c r="F4236" t="s">
        <v>208</v>
      </c>
      <c r="G4236" t="s">
        <v>209</v>
      </c>
      <c r="H4236" t="s">
        <v>2300</v>
      </c>
      <c r="I4236" t="s">
        <v>2301</v>
      </c>
      <c r="J4236" t="s">
        <v>52</v>
      </c>
      <c r="K4236" s="3">
        <v>100826742432</v>
      </c>
      <c r="L4236" s="10">
        <v>40766</v>
      </c>
      <c r="M4236">
        <v>5503.39</v>
      </c>
      <c r="N4236" s="11">
        <v>25</v>
      </c>
      <c r="O4236" s="12">
        <v>218.75</v>
      </c>
      <c r="P4236" s="12">
        <v>69.64</v>
      </c>
      <c r="Q4236" s="13">
        <v>-528.653125</v>
      </c>
      <c r="R4236" s="36" t="s">
        <v>456</v>
      </c>
      <c r="S4236" s="7">
        <f t="shared" si="362"/>
        <v>5</v>
      </c>
      <c r="T4236" s="15" t="str">
        <f>VLOOKUP(R4236,产品分类!$C$2:$D$1278,2,0)</f>
        <v>办公用品</v>
      </c>
    </row>
    <row r="4237" spans="1:20">
      <c r="A4237" s="8">
        <f>DATE(2012,12,31)-197</f>
        <v>41077</v>
      </c>
      <c r="B4237" s="8">
        <f>DATE(2012,12,31)-197</f>
        <v>41077</v>
      </c>
      <c r="C4237" s="9" t="s">
        <v>840</v>
      </c>
      <c r="D4237">
        <v>10021342643</v>
      </c>
      <c r="E4237" t="s">
        <v>47</v>
      </c>
      <c r="F4237" t="s">
        <v>527</v>
      </c>
      <c r="G4237" t="s">
        <v>528</v>
      </c>
      <c r="H4237" t="s">
        <v>2293</v>
      </c>
      <c r="I4237" t="s">
        <v>2294</v>
      </c>
      <c r="J4237" t="s">
        <v>52</v>
      </c>
      <c r="K4237" s="3">
        <v>100828189552</v>
      </c>
      <c r="L4237" s="10">
        <v>41079</v>
      </c>
      <c r="M4237">
        <v>740.14</v>
      </c>
      <c r="N4237" s="11">
        <v>37</v>
      </c>
      <c r="O4237" s="12">
        <v>19.98</v>
      </c>
      <c r="P4237" s="12">
        <v>10.49</v>
      </c>
      <c r="Q4237" s="13">
        <v>29.73</v>
      </c>
      <c r="R4237" s="36" t="s">
        <v>932</v>
      </c>
      <c r="S4237" s="7">
        <f t="shared" si="362"/>
        <v>2</v>
      </c>
      <c r="T4237" s="15" t="str">
        <f>VLOOKUP(R4237,产品分类!$C$2:$D$1278,2,0)</f>
        <v>数码电子</v>
      </c>
    </row>
    <row r="4238" spans="1:20">
      <c r="A4238" s="8">
        <f t="shared" ref="A4238:B4240" si="363">DATE(2012,12,31)-750</f>
        <v>40524</v>
      </c>
      <c r="B4238" s="8">
        <f t="shared" si="363"/>
        <v>40524</v>
      </c>
      <c r="C4238" s="9" t="s">
        <v>1696</v>
      </c>
      <c r="D4238">
        <v>10021337641</v>
      </c>
      <c r="E4238" t="s">
        <v>47</v>
      </c>
      <c r="F4238" t="s">
        <v>171</v>
      </c>
      <c r="G4238" t="s">
        <v>172</v>
      </c>
      <c r="H4238" t="s">
        <v>2073</v>
      </c>
      <c r="I4238" t="s">
        <v>2074</v>
      </c>
      <c r="J4238" t="s">
        <v>52</v>
      </c>
      <c r="K4238" s="3">
        <v>100122616067</v>
      </c>
      <c r="L4238" s="10">
        <v>40525</v>
      </c>
      <c r="M4238">
        <v>16.47</v>
      </c>
      <c r="N4238" s="11">
        <v>8</v>
      </c>
      <c r="O4238" s="12">
        <v>2.08</v>
      </c>
      <c r="P4238" s="12">
        <v>1.49</v>
      </c>
      <c r="Q4238" s="13">
        <v>-6.8195</v>
      </c>
      <c r="R4238" s="36" t="s">
        <v>2023</v>
      </c>
      <c r="S4238" s="7">
        <f t="shared" si="362"/>
        <v>1</v>
      </c>
      <c r="T4238" s="15" t="str">
        <f>VLOOKUP(R4238,产品分类!$C$2:$D$1278,2,0)</f>
        <v>数码电子</v>
      </c>
    </row>
    <row r="4239" spans="1:20">
      <c r="A4239" s="8">
        <f t="shared" si="363"/>
        <v>40524</v>
      </c>
      <c r="B4239" s="8">
        <f t="shared" si="363"/>
        <v>40524</v>
      </c>
      <c r="C4239" s="9" t="s">
        <v>1696</v>
      </c>
      <c r="D4239">
        <v>10021349640</v>
      </c>
      <c r="E4239" t="s">
        <v>47</v>
      </c>
      <c r="F4239" t="s">
        <v>171</v>
      </c>
      <c r="G4239" t="s">
        <v>172</v>
      </c>
      <c r="H4239" t="s">
        <v>2073</v>
      </c>
      <c r="I4239" t="s">
        <v>2074</v>
      </c>
      <c r="J4239" t="s">
        <v>52</v>
      </c>
      <c r="K4239" s="3">
        <v>100431884574</v>
      </c>
      <c r="L4239" s="10">
        <v>40526</v>
      </c>
      <c r="M4239">
        <v>173.62</v>
      </c>
      <c r="N4239" s="11">
        <v>5</v>
      </c>
      <c r="O4239" s="12">
        <v>33.94</v>
      </c>
      <c r="P4239" s="12">
        <v>19.19</v>
      </c>
      <c r="Q4239" s="13">
        <v>-88.64</v>
      </c>
      <c r="R4239" s="36" t="s">
        <v>2185</v>
      </c>
      <c r="S4239" s="7">
        <f t="shared" si="362"/>
        <v>2</v>
      </c>
      <c r="T4239" s="15" t="str">
        <f>VLOOKUP(R4239,产品分类!$C$2:$D$1278,2,0)</f>
        <v>办公用品</v>
      </c>
    </row>
    <row r="4240" spans="1:20">
      <c r="A4240" s="8">
        <f t="shared" si="363"/>
        <v>40524</v>
      </c>
      <c r="B4240" s="8">
        <f t="shared" si="363"/>
        <v>40524</v>
      </c>
      <c r="C4240" s="9" t="s">
        <v>1696</v>
      </c>
      <c r="D4240">
        <v>10021585789</v>
      </c>
      <c r="E4240" t="s">
        <v>47</v>
      </c>
      <c r="F4240" t="s">
        <v>527</v>
      </c>
      <c r="G4240" t="s">
        <v>528</v>
      </c>
      <c r="H4240" t="s">
        <v>2293</v>
      </c>
      <c r="I4240" t="s">
        <v>2294</v>
      </c>
      <c r="J4240" t="s">
        <v>52</v>
      </c>
      <c r="K4240" s="3">
        <v>100128598387</v>
      </c>
      <c r="L4240" s="10">
        <v>40527</v>
      </c>
      <c r="M4240">
        <v>690.97</v>
      </c>
      <c r="N4240" s="11">
        <v>50</v>
      </c>
      <c r="O4240" s="12">
        <v>13.79</v>
      </c>
      <c r="P4240" s="12">
        <v>8.78</v>
      </c>
      <c r="Q4240" s="13">
        <v>-16.94</v>
      </c>
      <c r="R4240" s="36" t="s">
        <v>1542</v>
      </c>
      <c r="S4240" s="7">
        <f t="shared" si="362"/>
        <v>3</v>
      </c>
      <c r="T4240" s="15" t="str">
        <f>VLOOKUP(R4240,产品分类!$C$2:$D$1278,2,0)</f>
        <v>办公用品</v>
      </c>
    </row>
    <row r="4241" spans="1:20">
      <c r="A4241" s="16">
        <f>DATE(2012,12,31)-819</f>
        <v>40455</v>
      </c>
      <c r="B4241" s="16">
        <f>DATE(2012,12,31)-819</f>
        <v>40455</v>
      </c>
      <c r="C4241" s="9" t="s">
        <v>1609</v>
      </c>
      <c r="D4241">
        <v>10021620329</v>
      </c>
      <c r="E4241" t="s">
        <v>47</v>
      </c>
      <c r="F4241" t="s">
        <v>171</v>
      </c>
      <c r="G4241" t="s">
        <v>172</v>
      </c>
      <c r="H4241" t="s">
        <v>2073</v>
      </c>
      <c r="I4241" t="s">
        <v>2074</v>
      </c>
      <c r="J4241" t="s">
        <v>52</v>
      </c>
      <c r="K4241" s="3">
        <v>10049062544</v>
      </c>
      <c r="L4241" s="10">
        <v>40456</v>
      </c>
      <c r="M4241">
        <v>443.46</v>
      </c>
      <c r="N4241" s="17">
        <v>30</v>
      </c>
      <c r="O4241" s="5">
        <v>15.57</v>
      </c>
      <c r="P4241" s="5">
        <v>1.39</v>
      </c>
      <c r="Q4241" s="6">
        <v>193.12</v>
      </c>
      <c r="R4241" s="37" t="s">
        <v>843</v>
      </c>
      <c r="S4241" s="7">
        <f t="shared" si="362"/>
        <v>1</v>
      </c>
      <c r="T4241" s="15" t="str">
        <f>VLOOKUP(R4241,产品分类!$C$2:$D$1278,2,0)</f>
        <v>办公用品</v>
      </c>
    </row>
    <row r="4242" spans="1:20">
      <c r="A4242" s="16">
        <f>DATE(2012,12,31)-702</f>
        <v>40572</v>
      </c>
      <c r="B4242" s="16">
        <f>DATE(2012,12,31)-702</f>
        <v>40572</v>
      </c>
      <c r="C4242" s="9" t="s">
        <v>433</v>
      </c>
      <c r="D4242">
        <v>10021260684</v>
      </c>
      <c r="E4242" t="s">
        <v>47</v>
      </c>
      <c r="F4242" t="s">
        <v>171</v>
      </c>
      <c r="G4242" t="s">
        <v>172</v>
      </c>
      <c r="H4242" t="s">
        <v>2073</v>
      </c>
      <c r="I4242" t="s">
        <v>2074</v>
      </c>
      <c r="J4242" t="s">
        <v>52</v>
      </c>
      <c r="K4242" s="3">
        <v>100928950691</v>
      </c>
      <c r="L4242" s="10">
        <v>40574</v>
      </c>
      <c r="M4242">
        <v>792.76</v>
      </c>
      <c r="N4242" s="17">
        <v>31</v>
      </c>
      <c r="O4242" s="5">
        <v>24.92</v>
      </c>
      <c r="P4242" s="5">
        <v>12.98</v>
      </c>
      <c r="Q4242" s="6">
        <v>33.371</v>
      </c>
      <c r="R4242" s="37" t="s">
        <v>187</v>
      </c>
      <c r="S4242" s="7">
        <f t="shared" si="362"/>
        <v>2</v>
      </c>
      <c r="T4242" s="15" t="str">
        <f>VLOOKUP(R4242,产品分类!$C$2:$D$1278,2,0)</f>
        <v>数码电子</v>
      </c>
    </row>
    <row r="4243" spans="1:20">
      <c r="A4243" s="8">
        <f>DATE(2012,12,31)-1352</f>
        <v>39922</v>
      </c>
      <c r="B4243" s="8">
        <f>DATE(2012,12,31)-1352</f>
        <v>39922</v>
      </c>
      <c r="C4243" s="9" t="s">
        <v>1347</v>
      </c>
      <c r="D4243">
        <v>10021420594</v>
      </c>
      <c r="E4243" t="s">
        <v>47</v>
      </c>
      <c r="F4243" t="s">
        <v>171</v>
      </c>
      <c r="G4243" t="s">
        <v>172</v>
      </c>
      <c r="H4243" t="s">
        <v>2073</v>
      </c>
      <c r="I4243" t="s">
        <v>2074</v>
      </c>
      <c r="J4243" t="s">
        <v>52</v>
      </c>
      <c r="K4243" s="3">
        <v>100721714375</v>
      </c>
      <c r="L4243" s="10">
        <v>39929</v>
      </c>
      <c r="M4243">
        <v>2504.41</v>
      </c>
      <c r="N4243" s="11">
        <v>30</v>
      </c>
      <c r="O4243" s="12">
        <v>79.52</v>
      </c>
      <c r="P4243" s="12">
        <v>48.2</v>
      </c>
      <c r="Q4243" s="13">
        <v>-547.89</v>
      </c>
      <c r="R4243" s="36" t="s">
        <v>954</v>
      </c>
      <c r="S4243" s="7">
        <f t="shared" si="362"/>
        <v>7</v>
      </c>
      <c r="T4243" s="15" t="str">
        <f>VLOOKUP(R4243,产品分类!$C$2:$D$1278,2,0)</f>
        <v>办公用品</v>
      </c>
    </row>
    <row r="4244" spans="1:20">
      <c r="A4244" s="8">
        <f>DATE(2012,12,31)-168</f>
        <v>41106</v>
      </c>
      <c r="B4244" s="8">
        <f>DATE(2012,12,31)-168</f>
        <v>41106</v>
      </c>
      <c r="C4244" s="9" t="s">
        <v>2122</v>
      </c>
      <c r="D4244">
        <v>10021499503</v>
      </c>
      <c r="E4244" t="s">
        <v>47</v>
      </c>
      <c r="F4244" t="s">
        <v>171</v>
      </c>
      <c r="G4244" t="s">
        <v>172</v>
      </c>
      <c r="H4244" t="s">
        <v>2073</v>
      </c>
      <c r="I4244" t="s">
        <v>2074</v>
      </c>
      <c r="J4244" t="s">
        <v>52</v>
      </c>
      <c r="K4244" s="3">
        <v>100824724542</v>
      </c>
      <c r="L4244" s="10">
        <v>41106</v>
      </c>
      <c r="M4244">
        <v>1752.0965</v>
      </c>
      <c r="N4244" s="11">
        <v>46</v>
      </c>
      <c r="O4244" s="12">
        <v>45.99</v>
      </c>
      <c r="P4244" s="12">
        <v>4.99</v>
      </c>
      <c r="Q4244" s="13">
        <v>356.346</v>
      </c>
      <c r="R4244" s="36" t="s">
        <v>1623</v>
      </c>
      <c r="S4244" s="7">
        <f t="shared" si="362"/>
        <v>0</v>
      </c>
      <c r="T4244" s="15" t="str">
        <f>VLOOKUP(R4244,产品分类!$C$2:$D$1278,2,0)</f>
        <v>办公用品</v>
      </c>
    </row>
    <row r="4245" spans="1:20">
      <c r="A4245" s="8">
        <f>DATE(2012,12,31)-938</f>
        <v>40336</v>
      </c>
      <c r="B4245" s="8">
        <f>DATE(2012,12,31)-938</f>
        <v>40336</v>
      </c>
      <c r="C4245" s="9" t="s">
        <v>336</v>
      </c>
      <c r="D4245">
        <v>10021622716</v>
      </c>
      <c r="E4245" t="s">
        <v>47</v>
      </c>
      <c r="F4245" t="s">
        <v>171</v>
      </c>
      <c r="G4245" t="s">
        <v>172</v>
      </c>
      <c r="H4245" t="s">
        <v>2073</v>
      </c>
      <c r="I4245" t="s">
        <v>2074</v>
      </c>
      <c r="J4245" t="s">
        <v>52</v>
      </c>
      <c r="K4245" s="3">
        <v>100918268871</v>
      </c>
      <c r="L4245" s="10">
        <v>40337</v>
      </c>
      <c r="M4245">
        <v>141.96</v>
      </c>
      <c r="N4245" s="11">
        <v>19</v>
      </c>
      <c r="O4245" s="12">
        <v>7.4</v>
      </c>
      <c r="P4245" s="12">
        <v>1.71</v>
      </c>
      <c r="Q4245" s="13">
        <v>38.43</v>
      </c>
      <c r="R4245" s="36" t="s">
        <v>1645</v>
      </c>
      <c r="S4245" s="7">
        <f t="shared" si="362"/>
        <v>1</v>
      </c>
      <c r="T4245" s="15" t="str">
        <f>VLOOKUP(R4245,产品分类!$C$2:$D$1278,2,0)</f>
        <v>办公用品</v>
      </c>
    </row>
    <row r="4246" spans="1:20">
      <c r="A4246" s="8">
        <f>DATE(2012,12,31)-1184</f>
        <v>40090</v>
      </c>
      <c r="B4246" s="8">
        <f>DATE(2012,12,31)-1184</f>
        <v>40090</v>
      </c>
      <c r="C4246" s="9" t="s">
        <v>111</v>
      </c>
      <c r="D4246">
        <v>10021432249</v>
      </c>
      <c r="E4246" t="s">
        <v>47</v>
      </c>
      <c r="F4246" t="s">
        <v>171</v>
      </c>
      <c r="G4246" t="s">
        <v>172</v>
      </c>
      <c r="H4246" t="s">
        <v>2073</v>
      </c>
      <c r="I4246" t="s">
        <v>2074</v>
      </c>
      <c r="J4246" t="s">
        <v>52</v>
      </c>
      <c r="K4246" s="3">
        <v>100132294938</v>
      </c>
      <c r="L4246" s="10">
        <v>40097</v>
      </c>
      <c r="M4246">
        <v>375.61</v>
      </c>
      <c r="N4246" s="11">
        <v>38</v>
      </c>
      <c r="O4246" s="12">
        <v>10.44</v>
      </c>
      <c r="P4246" s="12">
        <v>5.75</v>
      </c>
      <c r="Q4246" s="13">
        <v>-21.2635</v>
      </c>
      <c r="R4246" s="36" t="s">
        <v>2319</v>
      </c>
      <c r="S4246" s="7">
        <f t="shared" si="362"/>
        <v>7</v>
      </c>
      <c r="T4246" s="15" t="str">
        <f>VLOOKUP(R4246,产品分类!$C$2:$D$1278,2,0)</f>
        <v>数码电子</v>
      </c>
    </row>
    <row r="4247" spans="1:20">
      <c r="A4247" s="8">
        <f>DATE(2012,12,31)-1404</f>
        <v>39870</v>
      </c>
      <c r="B4247" s="8">
        <f>DATE(2012,12,31)-1404</f>
        <v>39870</v>
      </c>
      <c r="C4247" s="9" t="s">
        <v>2320</v>
      </c>
      <c r="D4247">
        <v>10021582655</v>
      </c>
      <c r="E4247" t="s">
        <v>47</v>
      </c>
      <c r="F4247" t="s">
        <v>171</v>
      </c>
      <c r="G4247" t="s">
        <v>172</v>
      </c>
      <c r="H4247" t="s">
        <v>2073</v>
      </c>
      <c r="I4247" t="s">
        <v>2074</v>
      </c>
      <c r="J4247" t="s">
        <v>52</v>
      </c>
      <c r="K4247" s="3">
        <v>100925947391</v>
      </c>
      <c r="L4247" s="10">
        <v>39872</v>
      </c>
      <c r="M4247">
        <v>3637.728</v>
      </c>
      <c r="N4247" s="11">
        <v>23</v>
      </c>
      <c r="O4247" s="12">
        <v>195.99</v>
      </c>
      <c r="P4247" s="12">
        <v>8.99</v>
      </c>
      <c r="Q4247" s="13">
        <v>349.47</v>
      </c>
      <c r="R4247" s="36" t="s">
        <v>414</v>
      </c>
      <c r="S4247" s="7">
        <f t="shared" si="362"/>
        <v>2</v>
      </c>
      <c r="T4247" s="15" t="str">
        <f>VLOOKUP(R4247,产品分类!$C$2:$D$1278,2,0)</f>
        <v>数码电子</v>
      </c>
    </row>
    <row r="4248" spans="1:20">
      <c r="A4248" s="16">
        <f>DATE(2012,12,31)-1404</f>
        <v>39870</v>
      </c>
      <c r="B4248" s="16">
        <f>DATE(2012,12,31)-1404</f>
        <v>39870</v>
      </c>
      <c r="C4248" s="9" t="s">
        <v>2320</v>
      </c>
      <c r="D4248">
        <v>10021574223</v>
      </c>
      <c r="E4248" t="s">
        <v>47</v>
      </c>
      <c r="F4248" t="s">
        <v>527</v>
      </c>
      <c r="G4248" t="s">
        <v>528</v>
      </c>
      <c r="H4248" t="s">
        <v>2293</v>
      </c>
      <c r="I4248" t="s">
        <v>2294</v>
      </c>
      <c r="J4248" t="s">
        <v>52</v>
      </c>
      <c r="K4248" s="3">
        <v>10091434891</v>
      </c>
      <c r="L4248" s="10">
        <v>39871</v>
      </c>
      <c r="M4248">
        <v>125.84</v>
      </c>
      <c r="N4248" s="17">
        <v>20</v>
      </c>
      <c r="O4248" s="5">
        <v>6.88</v>
      </c>
      <c r="P4248" s="5">
        <v>2</v>
      </c>
      <c r="Q4248" s="6">
        <v>18.42</v>
      </c>
      <c r="R4248" s="37" t="s">
        <v>383</v>
      </c>
      <c r="S4248" s="7">
        <f t="shared" si="362"/>
        <v>1</v>
      </c>
      <c r="T4248" s="15" t="str">
        <f>VLOOKUP(R4248,产品分类!$C$2:$D$1278,2,0)</f>
        <v>办公用品</v>
      </c>
    </row>
    <row r="4249" spans="1:20">
      <c r="A4249" s="16">
        <f>DATE(2012,12,31)-971</f>
        <v>40303</v>
      </c>
      <c r="B4249" s="16">
        <f>DATE(2012,12,31)-971</f>
        <v>40303</v>
      </c>
      <c r="C4249" s="9" t="s">
        <v>1666</v>
      </c>
      <c r="D4249">
        <v>10021387736</v>
      </c>
      <c r="E4249" t="s">
        <v>47</v>
      </c>
      <c r="F4249" t="s">
        <v>171</v>
      </c>
      <c r="G4249" t="s">
        <v>172</v>
      </c>
      <c r="H4249" t="s">
        <v>2073</v>
      </c>
      <c r="I4249" t="s">
        <v>2074</v>
      </c>
      <c r="J4249" t="s">
        <v>52</v>
      </c>
      <c r="K4249" s="3">
        <v>100123334807</v>
      </c>
      <c r="L4249" s="10">
        <v>40305</v>
      </c>
      <c r="M4249">
        <v>2435.32</v>
      </c>
      <c r="N4249" s="17">
        <v>44</v>
      </c>
      <c r="O4249" s="5">
        <v>60.22</v>
      </c>
      <c r="P4249" s="5">
        <v>3.5</v>
      </c>
      <c r="Q4249" s="6">
        <v>650.56</v>
      </c>
      <c r="R4249" s="37" t="s">
        <v>1907</v>
      </c>
      <c r="S4249" s="7">
        <f t="shared" si="362"/>
        <v>2</v>
      </c>
      <c r="T4249" s="15" t="str">
        <f>VLOOKUP(R4249,产品分类!$C$2:$D$1278,2,0)</f>
        <v>办公用品</v>
      </c>
    </row>
    <row r="4250" spans="1:20">
      <c r="A4250" s="8">
        <f>DATE(2012,12,31)-971</f>
        <v>40303</v>
      </c>
      <c r="B4250" s="8">
        <f>DATE(2012,12,31)-971</f>
        <v>40303</v>
      </c>
      <c r="C4250" s="9" t="s">
        <v>1666</v>
      </c>
      <c r="D4250">
        <v>10021252077</v>
      </c>
      <c r="E4250" t="s">
        <v>47</v>
      </c>
      <c r="F4250" t="s">
        <v>171</v>
      </c>
      <c r="G4250" t="s">
        <v>172</v>
      </c>
      <c r="H4250" t="s">
        <v>2073</v>
      </c>
      <c r="I4250" t="s">
        <v>2074</v>
      </c>
      <c r="J4250" t="s">
        <v>52</v>
      </c>
      <c r="K4250" s="3">
        <v>100817396572</v>
      </c>
      <c r="L4250" s="10">
        <v>40305</v>
      </c>
      <c r="M4250">
        <v>4242.76</v>
      </c>
      <c r="N4250" s="11">
        <v>21</v>
      </c>
      <c r="O4250" s="12">
        <v>199.99</v>
      </c>
      <c r="P4250" s="12">
        <v>24.49</v>
      </c>
      <c r="Q4250" s="13">
        <v>340.88</v>
      </c>
      <c r="R4250" s="36" t="s">
        <v>2092</v>
      </c>
      <c r="S4250" s="7">
        <f t="shared" si="362"/>
        <v>2</v>
      </c>
      <c r="T4250" s="15" t="str">
        <f>VLOOKUP(R4250,产品分类!$C$2:$D$1278,2,0)</f>
        <v>办公用品</v>
      </c>
    </row>
    <row r="4251" spans="1:20">
      <c r="A4251" s="8">
        <f>DATE(2012,12,31)-493</f>
        <v>40781</v>
      </c>
      <c r="B4251" s="8">
        <f>DATE(2012,12,31)-493</f>
        <v>40781</v>
      </c>
      <c r="C4251" s="9" t="s">
        <v>1019</v>
      </c>
      <c r="D4251">
        <v>10021414453</v>
      </c>
      <c r="E4251" t="s">
        <v>47</v>
      </c>
      <c r="F4251" t="s">
        <v>171</v>
      </c>
      <c r="G4251" t="s">
        <v>172</v>
      </c>
      <c r="H4251" t="s">
        <v>2073</v>
      </c>
      <c r="I4251" t="s">
        <v>2074</v>
      </c>
      <c r="J4251" t="s">
        <v>52</v>
      </c>
      <c r="K4251" s="3">
        <v>1001978268</v>
      </c>
      <c r="L4251" s="10">
        <v>40785</v>
      </c>
      <c r="M4251">
        <v>1453.704</v>
      </c>
      <c r="N4251" s="11">
        <v>44</v>
      </c>
      <c r="O4251" s="12">
        <v>35.99</v>
      </c>
      <c r="P4251" s="12">
        <v>1.1</v>
      </c>
      <c r="Q4251" s="13">
        <v>549.837</v>
      </c>
      <c r="R4251" s="36" t="s">
        <v>537</v>
      </c>
      <c r="S4251" s="7">
        <f t="shared" si="362"/>
        <v>4</v>
      </c>
      <c r="T4251" s="15" t="str">
        <f>VLOOKUP(R4251,产品分类!$C$2:$D$1278,2,0)</f>
        <v>办公用品</v>
      </c>
    </row>
    <row r="4252" spans="1:20">
      <c r="A4252" s="8">
        <f>DATE(2012,12,31)-493</f>
        <v>40781</v>
      </c>
      <c r="B4252" s="8">
        <f>DATE(2012,12,31)-493</f>
        <v>40781</v>
      </c>
      <c r="C4252" s="9" t="s">
        <v>1019</v>
      </c>
      <c r="D4252">
        <v>10021348368</v>
      </c>
      <c r="E4252" t="s">
        <v>47</v>
      </c>
      <c r="F4252" t="s">
        <v>167</v>
      </c>
      <c r="G4252" t="s">
        <v>168</v>
      </c>
      <c r="H4252" t="s">
        <v>169</v>
      </c>
      <c r="I4252" t="s">
        <v>168</v>
      </c>
      <c r="J4252" t="s">
        <v>52</v>
      </c>
      <c r="K4252" s="3">
        <v>100131568458</v>
      </c>
      <c r="L4252" s="10">
        <v>40785</v>
      </c>
      <c r="M4252">
        <v>7656.304</v>
      </c>
      <c r="N4252" s="11">
        <v>34</v>
      </c>
      <c r="O4252" s="12">
        <v>296.18</v>
      </c>
      <c r="P4252" s="12">
        <v>54.12</v>
      </c>
      <c r="Q4252" s="13">
        <v>-715.778206</v>
      </c>
      <c r="R4252" s="36" t="s">
        <v>372</v>
      </c>
      <c r="S4252" s="7">
        <f t="shared" si="362"/>
        <v>4</v>
      </c>
      <c r="T4252" s="15" t="str">
        <f>VLOOKUP(R4252,产品分类!$C$2:$D$1278,2,0)</f>
        <v>办公用品</v>
      </c>
    </row>
    <row r="4253" spans="1:20">
      <c r="A4253" s="8">
        <f>DATE(2012,12,31)-1188</f>
        <v>40086</v>
      </c>
      <c r="B4253" s="8">
        <f>DATE(2012,12,31)-1188</f>
        <v>40086</v>
      </c>
      <c r="C4253" s="9" t="s">
        <v>428</v>
      </c>
      <c r="D4253">
        <v>10021459380</v>
      </c>
      <c r="E4253" t="s">
        <v>47</v>
      </c>
      <c r="F4253" t="s">
        <v>167</v>
      </c>
      <c r="G4253" t="s">
        <v>168</v>
      </c>
      <c r="H4253" t="s">
        <v>169</v>
      </c>
      <c r="I4253" t="s">
        <v>168</v>
      </c>
      <c r="J4253" t="s">
        <v>52</v>
      </c>
      <c r="K4253" s="3">
        <v>100996781</v>
      </c>
      <c r="L4253" s="10">
        <v>40095</v>
      </c>
      <c r="M4253">
        <v>2860.93</v>
      </c>
      <c r="N4253" s="11">
        <v>50</v>
      </c>
      <c r="O4253" s="12">
        <v>65.99</v>
      </c>
      <c r="P4253" s="12">
        <v>5.26</v>
      </c>
      <c r="Q4253" s="13">
        <v>832.617</v>
      </c>
      <c r="R4253" s="36" t="s">
        <v>522</v>
      </c>
      <c r="S4253" s="7">
        <f t="shared" si="362"/>
        <v>9</v>
      </c>
      <c r="T4253" s="15" t="str">
        <f>VLOOKUP(R4253,产品分类!$C$2:$D$1278,2,0)</f>
        <v>家具产品</v>
      </c>
    </row>
    <row r="4254" spans="1:20">
      <c r="A4254" s="16">
        <f>DATE(2012,12,31)-390</f>
        <v>40884</v>
      </c>
      <c r="B4254" s="16">
        <f>DATE(2012,12,31)-390</f>
        <v>40884</v>
      </c>
      <c r="C4254" s="9" t="s">
        <v>1172</v>
      </c>
      <c r="D4254">
        <v>10021523165</v>
      </c>
      <c r="E4254" t="s">
        <v>47</v>
      </c>
      <c r="F4254" t="s">
        <v>177</v>
      </c>
      <c r="G4254" t="s">
        <v>178</v>
      </c>
      <c r="H4254" t="s">
        <v>2283</v>
      </c>
      <c r="I4254" t="s">
        <v>2284</v>
      </c>
      <c r="J4254" t="s">
        <v>52</v>
      </c>
      <c r="K4254" s="3">
        <v>100414194074</v>
      </c>
      <c r="L4254" s="10">
        <v>40884</v>
      </c>
      <c r="M4254">
        <v>1412.98</v>
      </c>
      <c r="N4254" s="17">
        <v>25</v>
      </c>
      <c r="O4254" s="5">
        <v>60.97</v>
      </c>
      <c r="P4254" s="5">
        <v>4.5</v>
      </c>
      <c r="Q4254" s="6">
        <v>324.96</v>
      </c>
      <c r="R4254" s="37" t="s">
        <v>608</v>
      </c>
      <c r="S4254" s="7">
        <f t="shared" si="362"/>
        <v>0</v>
      </c>
      <c r="T4254" s="15" t="str">
        <f>VLOOKUP(R4254,产品分类!$C$2:$D$1278,2,0)</f>
        <v>家具产品</v>
      </c>
    </row>
    <row r="4255" spans="1:20">
      <c r="A4255" s="8">
        <f>DATE(2012,12,31)-390</f>
        <v>40884</v>
      </c>
      <c r="B4255" s="8">
        <f>DATE(2012,12,31)-390</f>
        <v>40884</v>
      </c>
      <c r="C4255" s="9" t="s">
        <v>1172</v>
      </c>
      <c r="D4255">
        <v>10021504764</v>
      </c>
      <c r="E4255" t="s">
        <v>47</v>
      </c>
      <c r="F4255" t="s">
        <v>127</v>
      </c>
      <c r="G4255" t="s">
        <v>128</v>
      </c>
      <c r="H4255" t="s">
        <v>2189</v>
      </c>
      <c r="I4255" t="s">
        <v>2190</v>
      </c>
      <c r="J4255" t="s">
        <v>52</v>
      </c>
      <c r="K4255" s="3">
        <v>100130576946</v>
      </c>
      <c r="L4255" s="10">
        <v>40885</v>
      </c>
      <c r="M4255">
        <v>19539.94</v>
      </c>
      <c r="N4255" s="11">
        <v>39</v>
      </c>
      <c r="O4255" s="12">
        <v>517.48</v>
      </c>
      <c r="P4255" s="12">
        <v>16.63</v>
      </c>
      <c r="Q4255" s="13">
        <v>4914.24</v>
      </c>
      <c r="R4255" s="36" t="s">
        <v>2321</v>
      </c>
      <c r="S4255" s="7">
        <f t="shared" si="362"/>
        <v>1</v>
      </c>
      <c r="T4255" s="15" t="str">
        <f>VLOOKUP(R4255,产品分类!$C$2:$D$1278,2,0)</f>
        <v>数码电子</v>
      </c>
    </row>
    <row r="4256" spans="1:20">
      <c r="A4256" s="8">
        <f>DATE(2012,12,31)-1016</f>
        <v>40258</v>
      </c>
      <c r="B4256" s="8">
        <f>DATE(2012,12,31)-1016</f>
        <v>40258</v>
      </c>
      <c r="C4256" s="9" t="s">
        <v>2227</v>
      </c>
      <c r="D4256">
        <v>10021294233</v>
      </c>
      <c r="E4256" t="s">
        <v>47</v>
      </c>
      <c r="F4256" t="s">
        <v>177</v>
      </c>
      <c r="G4256" t="s">
        <v>178</v>
      </c>
      <c r="H4256" t="s">
        <v>2283</v>
      </c>
      <c r="I4256" t="s">
        <v>2284</v>
      </c>
      <c r="J4256" t="s">
        <v>52</v>
      </c>
      <c r="K4256" s="3">
        <v>100812327942</v>
      </c>
      <c r="L4256" s="10">
        <v>40259</v>
      </c>
      <c r="M4256">
        <v>30.38</v>
      </c>
      <c r="N4256" s="11">
        <v>15</v>
      </c>
      <c r="O4256" s="12">
        <v>1.8</v>
      </c>
      <c r="P4256" s="12">
        <v>4.79</v>
      </c>
      <c r="Q4256" s="13">
        <v>-59.179</v>
      </c>
      <c r="R4256" s="36" t="s">
        <v>2322</v>
      </c>
      <c r="S4256" s="7">
        <f t="shared" si="362"/>
        <v>1</v>
      </c>
      <c r="T4256" s="15" t="str">
        <f>VLOOKUP(R4256,产品分类!$C$2:$D$1278,2,0)</f>
        <v>家具产品</v>
      </c>
    </row>
    <row r="4257" spans="1:20">
      <c r="A4257" s="8">
        <f>DATE(2012,12,31)-249</f>
        <v>41025</v>
      </c>
      <c r="B4257" s="8">
        <f>DATE(2012,12,31)-249</f>
        <v>41025</v>
      </c>
      <c r="C4257" s="9" t="s">
        <v>1454</v>
      </c>
      <c r="D4257">
        <v>10021261716</v>
      </c>
      <c r="E4257" t="s">
        <v>47</v>
      </c>
      <c r="F4257" t="s">
        <v>177</v>
      </c>
      <c r="G4257" t="s">
        <v>178</v>
      </c>
      <c r="H4257" t="s">
        <v>2283</v>
      </c>
      <c r="I4257" t="s">
        <v>2284</v>
      </c>
      <c r="J4257" t="s">
        <v>52</v>
      </c>
      <c r="K4257" s="3">
        <v>100129712397</v>
      </c>
      <c r="L4257" s="10">
        <v>41027</v>
      </c>
      <c r="M4257">
        <v>2024.0285</v>
      </c>
      <c r="N4257" s="11">
        <v>21</v>
      </c>
      <c r="O4257" s="12">
        <v>125.99</v>
      </c>
      <c r="P4257" s="12">
        <v>8.8</v>
      </c>
      <c r="Q4257" s="13">
        <v>4.89600000000001</v>
      </c>
      <c r="R4257" s="36" t="s">
        <v>570</v>
      </c>
      <c r="S4257" s="7">
        <f t="shared" si="362"/>
        <v>2</v>
      </c>
      <c r="T4257" s="15" t="str">
        <f>VLOOKUP(R4257,产品分类!$C$2:$D$1278,2,0)</f>
        <v>办公用品</v>
      </c>
    </row>
    <row r="4258" spans="1:20">
      <c r="A4258" s="8">
        <f>DATE(2012,12,31)-1067</f>
        <v>40207</v>
      </c>
      <c r="B4258" s="8">
        <f>DATE(2012,12,31)-1067</f>
        <v>40207</v>
      </c>
      <c r="C4258" s="9" t="s">
        <v>323</v>
      </c>
      <c r="D4258">
        <v>10021524185</v>
      </c>
      <c r="E4258" t="s">
        <v>47</v>
      </c>
      <c r="F4258" t="s">
        <v>122</v>
      </c>
      <c r="G4258" t="s">
        <v>123</v>
      </c>
      <c r="H4258" t="s">
        <v>2159</v>
      </c>
      <c r="I4258" t="s">
        <v>2160</v>
      </c>
      <c r="J4258" t="s">
        <v>52</v>
      </c>
      <c r="K4258" s="3">
        <v>100316495979</v>
      </c>
      <c r="L4258" s="10">
        <v>40209</v>
      </c>
      <c r="M4258">
        <v>5155.07</v>
      </c>
      <c r="N4258" s="11">
        <v>28</v>
      </c>
      <c r="O4258" s="12">
        <v>193.17</v>
      </c>
      <c r="P4258" s="12">
        <v>19.99</v>
      </c>
      <c r="Q4258" s="13">
        <v>368.79</v>
      </c>
      <c r="R4258" s="36" t="s">
        <v>212</v>
      </c>
      <c r="S4258" s="7">
        <f t="shared" si="362"/>
        <v>2</v>
      </c>
      <c r="T4258" s="15" t="str">
        <f>VLOOKUP(R4258,产品分类!$C$2:$D$1278,2,0)</f>
        <v>家具产品</v>
      </c>
    </row>
    <row r="4259" spans="1:20">
      <c r="A4259" s="8">
        <f t="shared" ref="A4259:B4261" si="364">DATE(2012,12,31)-1430</f>
        <v>39844</v>
      </c>
      <c r="B4259" s="8">
        <f t="shared" si="364"/>
        <v>39844</v>
      </c>
      <c r="C4259" s="9" t="s">
        <v>182</v>
      </c>
      <c r="D4259">
        <v>10021338496</v>
      </c>
      <c r="E4259" t="s">
        <v>47</v>
      </c>
      <c r="F4259" t="s">
        <v>342</v>
      </c>
      <c r="G4259" t="s">
        <v>343</v>
      </c>
      <c r="H4259" t="s">
        <v>2309</v>
      </c>
      <c r="I4259" t="s">
        <v>2310</v>
      </c>
      <c r="J4259" t="s">
        <v>52</v>
      </c>
      <c r="K4259" s="3">
        <v>100123945386</v>
      </c>
      <c r="L4259" s="10">
        <v>39844</v>
      </c>
      <c r="M4259">
        <v>6244.18</v>
      </c>
      <c r="N4259" s="11">
        <v>42</v>
      </c>
      <c r="O4259" s="12">
        <v>160.98</v>
      </c>
      <c r="P4259" s="12">
        <v>30</v>
      </c>
      <c r="Q4259" s="13">
        <v>470.3</v>
      </c>
      <c r="R4259" s="36" t="s">
        <v>764</v>
      </c>
      <c r="S4259" s="7">
        <f t="shared" si="362"/>
        <v>0</v>
      </c>
      <c r="T4259" s="15" t="str">
        <f>VLOOKUP(R4259,产品分类!$C$2:$D$1278,2,0)</f>
        <v>家具产品</v>
      </c>
    </row>
    <row r="4260" spans="1:20">
      <c r="A4260" s="8">
        <f t="shared" si="364"/>
        <v>39844</v>
      </c>
      <c r="B4260" s="8">
        <f t="shared" si="364"/>
        <v>39844</v>
      </c>
      <c r="C4260" s="9" t="s">
        <v>182</v>
      </c>
      <c r="D4260">
        <v>10021387490</v>
      </c>
      <c r="E4260" t="s">
        <v>47</v>
      </c>
      <c r="F4260" t="s">
        <v>342</v>
      </c>
      <c r="G4260" t="s">
        <v>343</v>
      </c>
      <c r="H4260" t="s">
        <v>2309</v>
      </c>
      <c r="I4260" t="s">
        <v>2310</v>
      </c>
      <c r="J4260" t="s">
        <v>52</v>
      </c>
      <c r="K4260" s="3">
        <v>100820964162</v>
      </c>
      <c r="L4260" s="10">
        <v>39844</v>
      </c>
      <c r="M4260">
        <v>239.75</v>
      </c>
      <c r="N4260" s="11">
        <v>41</v>
      </c>
      <c r="O4260" s="12">
        <v>6.3</v>
      </c>
      <c r="P4260" s="12">
        <v>0.5</v>
      </c>
      <c r="Q4260" s="13">
        <v>105.91</v>
      </c>
      <c r="R4260" s="36" t="s">
        <v>961</v>
      </c>
      <c r="S4260" s="7">
        <f t="shared" si="362"/>
        <v>0</v>
      </c>
      <c r="T4260" s="15" t="str">
        <f>VLOOKUP(R4260,产品分类!$C$2:$D$1278,2,0)</f>
        <v>办公用品</v>
      </c>
    </row>
    <row r="4261" spans="1:20">
      <c r="A4261" s="8">
        <f t="shared" si="364"/>
        <v>39844</v>
      </c>
      <c r="B4261" s="8">
        <f t="shared" si="364"/>
        <v>39844</v>
      </c>
      <c r="C4261" s="9" t="s">
        <v>182</v>
      </c>
      <c r="D4261">
        <v>10021620292</v>
      </c>
      <c r="E4261" t="s">
        <v>47</v>
      </c>
      <c r="F4261" t="s">
        <v>61</v>
      </c>
      <c r="G4261" t="s">
        <v>62</v>
      </c>
      <c r="H4261" t="s">
        <v>2313</v>
      </c>
      <c r="I4261" t="s">
        <v>2314</v>
      </c>
      <c r="J4261" t="s">
        <v>52</v>
      </c>
      <c r="K4261" s="3">
        <v>10087029822</v>
      </c>
      <c r="L4261" s="10">
        <v>39851</v>
      </c>
      <c r="M4261">
        <v>150.2</v>
      </c>
      <c r="N4261" s="11">
        <v>30</v>
      </c>
      <c r="O4261" s="12">
        <v>4.98</v>
      </c>
      <c r="P4261" s="12">
        <v>0.8</v>
      </c>
      <c r="Q4261" s="13">
        <v>62.46</v>
      </c>
      <c r="R4261" s="36" t="s">
        <v>521</v>
      </c>
      <c r="S4261" s="7">
        <f t="shared" si="362"/>
        <v>7</v>
      </c>
      <c r="T4261" s="15" t="str">
        <f>VLOOKUP(R4261,产品分类!$C$2:$D$1278,2,0)</f>
        <v>家具产品</v>
      </c>
    </row>
    <row r="4262" spans="1:20">
      <c r="A4262" s="8">
        <f t="shared" ref="A4262:B4264" si="365">DATE(2012,12,31)-224</f>
        <v>41050</v>
      </c>
      <c r="B4262" s="8">
        <f t="shared" si="365"/>
        <v>41050</v>
      </c>
      <c r="C4262" s="9" t="s">
        <v>1686</v>
      </c>
      <c r="D4262">
        <v>10021450743</v>
      </c>
      <c r="E4262" t="s">
        <v>47</v>
      </c>
      <c r="F4262" t="s">
        <v>253</v>
      </c>
      <c r="G4262" t="s">
        <v>254</v>
      </c>
      <c r="H4262" t="s">
        <v>2287</v>
      </c>
      <c r="I4262" t="s">
        <v>2288</v>
      </c>
      <c r="J4262" t="s">
        <v>52</v>
      </c>
      <c r="K4262" s="3">
        <v>100123282698</v>
      </c>
      <c r="L4262" s="10">
        <v>41051</v>
      </c>
      <c r="M4262">
        <v>1556.42</v>
      </c>
      <c r="N4262" s="11">
        <v>48</v>
      </c>
      <c r="O4262" s="12">
        <v>30.42</v>
      </c>
      <c r="P4262" s="12">
        <v>8.65</v>
      </c>
      <c r="Q4262" s="13">
        <v>-60.98</v>
      </c>
      <c r="R4262" s="36" t="s">
        <v>1231</v>
      </c>
      <c r="S4262" s="7">
        <f t="shared" si="362"/>
        <v>1</v>
      </c>
      <c r="T4262" s="15" t="str">
        <f>VLOOKUP(R4262,产品分类!$C$2:$D$1278,2,0)</f>
        <v>办公用品</v>
      </c>
    </row>
    <row r="4263" spans="1:20">
      <c r="A4263" s="8">
        <f t="shared" si="365"/>
        <v>41050</v>
      </c>
      <c r="B4263" s="8">
        <f t="shared" si="365"/>
        <v>41050</v>
      </c>
      <c r="C4263" s="9" t="s">
        <v>1686</v>
      </c>
      <c r="D4263">
        <v>10021259180</v>
      </c>
      <c r="E4263" t="s">
        <v>47</v>
      </c>
      <c r="F4263" t="s">
        <v>83</v>
      </c>
      <c r="G4263" t="s">
        <v>84</v>
      </c>
      <c r="H4263" t="s">
        <v>2231</v>
      </c>
      <c r="I4263" t="s">
        <v>2232</v>
      </c>
      <c r="J4263" t="s">
        <v>52</v>
      </c>
      <c r="K4263" s="3">
        <v>100916030271</v>
      </c>
      <c r="L4263" s="10">
        <v>41052</v>
      </c>
      <c r="M4263">
        <v>130.28</v>
      </c>
      <c r="N4263" s="11">
        <v>28</v>
      </c>
      <c r="O4263" s="12">
        <v>4.91</v>
      </c>
      <c r="P4263" s="12">
        <v>0.5</v>
      </c>
      <c r="Q4263" s="13">
        <v>56.97</v>
      </c>
      <c r="R4263" s="36" t="s">
        <v>1508</v>
      </c>
      <c r="S4263" s="7">
        <f t="shared" si="362"/>
        <v>2</v>
      </c>
      <c r="T4263" s="15" t="str">
        <f>VLOOKUP(R4263,产品分类!$C$2:$D$1278,2,0)</f>
        <v>办公用品</v>
      </c>
    </row>
    <row r="4264" spans="1:20">
      <c r="A4264" s="8">
        <f t="shared" si="365"/>
        <v>41050</v>
      </c>
      <c r="B4264" s="8">
        <f t="shared" si="365"/>
        <v>41050</v>
      </c>
      <c r="C4264" s="9" t="s">
        <v>2323</v>
      </c>
      <c r="D4264">
        <v>10021415235</v>
      </c>
      <c r="E4264" t="s">
        <v>47</v>
      </c>
      <c r="F4264" t="s">
        <v>61</v>
      </c>
      <c r="G4264" t="s">
        <v>62</v>
      </c>
      <c r="H4264" t="s">
        <v>2313</v>
      </c>
      <c r="I4264" t="s">
        <v>2314</v>
      </c>
      <c r="J4264" t="s">
        <v>52</v>
      </c>
      <c r="K4264" s="3">
        <v>100310559659</v>
      </c>
      <c r="L4264" s="10">
        <v>41052</v>
      </c>
      <c r="M4264">
        <v>41343.21</v>
      </c>
      <c r="N4264" s="11">
        <v>8</v>
      </c>
      <c r="O4264" s="12">
        <v>6783.02</v>
      </c>
      <c r="P4264" s="12">
        <v>24.49</v>
      </c>
      <c r="Q4264" s="13">
        <v>3852.19</v>
      </c>
      <c r="R4264" s="36" t="s">
        <v>790</v>
      </c>
      <c r="S4264" s="7">
        <f t="shared" si="362"/>
        <v>2</v>
      </c>
      <c r="T4264" s="15" t="str">
        <f>VLOOKUP(R4264,产品分类!$C$2:$D$1278,2,0)</f>
        <v>数码电子</v>
      </c>
    </row>
    <row r="4265" spans="1:20">
      <c r="A4265" s="16">
        <f>DATE(2012,12,31)-648</f>
        <v>40626</v>
      </c>
      <c r="B4265" s="16">
        <f>DATE(2012,12,31)-648</f>
        <v>40626</v>
      </c>
      <c r="C4265" s="9" t="s">
        <v>1850</v>
      </c>
      <c r="D4265">
        <v>10021265150</v>
      </c>
      <c r="E4265" t="s">
        <v>47</v>
      </c>
      <c r="F4265" t="s">
        <v>61</v>
      </c>
      <c r="G4265" t="s">
        <v>62</v>
      </c>
      <c r="H4265" t="s">
        <v>2313</v>
      </c>
      <c r="I4265" t="s">
        <v>2314</v>
      </c>
      <c r="J4265" t="s">
        <v>52</v>
      </c>
      <c r="K4265" s="3">
        <v>100113003968</v>
      </c>
      <c r="L4265" s="10">
        <v>40627</v>
      </c>
      <c r="M4265">
        <v>76.81</v>
      </c>
      <c r="N4265" s="17">
        <v>13</v>
      </c>
      <c r="O4265" s="5">
        <v>4.98</v>
      </c>
      <c r="P4265" s="5">
        <v>7.54</v>
      </c>
      <c r="Q4265" s="6">
        <v>-55.77</v>
      </c>
      <c r="R4265" s="37" t="s">
        <v>2261</v>
      </c>
      <c r="S4265" s="7">
        <f t="shared" si="362"/>
        <v>1</v>
      </c>
      <c r="T4265" s="15" t="str">
        <f>VLOOKUP(R4265,产品分类!$C$2:$D$1278,2,0)</f>
        <v>办公用品</v>
      </c>
    </row>
    <row r="4266" spans="1:20">
      <c r="A4266" s="16">
        <f>DATE(2012,12,31)-648</f>
        <v>40626</v>
      </c>
      <c r="B4266" s="16">
        <f>DATE(2012,12,31)-648</f>
        <v>40626</v>
      </c>
      <c r="C4266" s="9" t="s">
        <v>1850</v>
      </c>
      <c r="D4266">
        <v>10021261263</v>
      </c>
      <c r="E4266" t="s">
        <v>47</v>
      </c>
      <c r="F4266" t="s">
        <v>61</v>
      </c>
      <c r="G4266" t="s">
        <v>62</v>
      </c>
      <c r="H4266" t="s">
        <v>2313</v>
      </c>
      <c r="I4266" t="s">
        <v>2314</v>
      </c>
      <c r="J4266" t="s">
        <v>52</v>
      </c>
      <c r="K4266" s="3">
        <v>100129317576</v>
      </c>
      <c r="L4266" s="10">
        <v>40627</v>
      </c>
      <c r="M4266">
        <v>174.22</v>
      </c>
      <c r="N4266" s="17">
        <v>21</v>
      </c>
      <c r="O4266" s="5">
        <v>8.34</v>
      </c>
      <c r="P4266" s="5">
        <v>2.64</v>
      </c>
      <c r="Q4266" s="6">
        <v>-1.23</v>
      </c>
      <c r="R4266" s="37" t="s">
        <v>1974</v>
      </c>
      <c r="S4266" s="7">
        <f t="shared" si="362"/>
        <v>1</v>
      </c>
      <c r="T4266" s="15" t="str">
        <f>VLOOKUP(R4266,产品分类!$C$2:$D$1278,2,0)</f>
        <v>办公用品</v>
      </c>
    </row>
    <row r="4267" spans="1:20">
      <c r="A4267" s="8">
        <f>DATE(2012,12,31)-854</f>
        <v>40420</v>
      </c>
      <c r="B4267" s="8">
        <f>DATE(2012,12,31)-854</f>
        <v>40420</v>
      </c>
      <c r="C4267" s="9" t="s">
        <v>1473</v>
      </c>
      <c r="D4267">
        <v>10021319417</v>
      </c>
      <c r="E4267" t="s">
        <v>47</v>
      </c>
      <c r="F4267" t="s">
        <v>61</v>
      </c>
      <c r="G4267" t="s">
        <v>62</v>
      </c>
      <c r="H4267" t="s">
        <v>2313</v>
      </c>
      <c r="I4267" t="s">
        <v>2314</v>
      </c>
      <c r="J4267" t="s">
        <v>52</v>
      </c>
      <c r="K4267" s="3">
        <v>100113101248</v>
      </c>
      <c r="L4267" s="10">
        <v>40422</v>
      </c>
      <c r="M4267">
        <v>14.4</v>
      </c>
      <c r="N4267" s="11">
        <v>1</v>
      </c>
      <c r="O4267" s="12">
        <v>12.22</v>
      </c>
      <c r="P4267" s="12">
        <v>2.85</v>
      </c>
      <c r="Q4267" s="13">
        <v>-7.39</v>
      </c>
      <c r="R4267" s="36" t="s">
        <v>1125</v>
      </c>
      <c r="S4267" s="7">
        <f t="shared" si="362"/>
        <v>2</v>
      </c>
      <c r="T4267" s="15" t="str">
        <f>VLOOKUP(R4267,产品分类!$C$2:$D$1278,2,0)</f>
        <v>家具产品</v>
      </c>
    </row>
    <row r="4268" spans="1:20">
      <c r="A4268" s="8">
        <f>DATE(2012,12,31)-1016</f>
        <v>40258</v>
      </c>
      <c r="B4268" s="8">
        <f>DATE(2012,12,31)-1016</f>
        <v>40258</v>
      </c>
      <c r="C4268" s="9" t="s">
        <v>1342</v>
      </c>
      <c r="D4268">
        <v>10021431197</v>
      </c>
      <c r="E4268" t="s">
        <v>47</v>
      </c>
      <c r="F4268" t="s">
        <v>61</v>
      </c>
      <c r="G4268" t="s">
        <v>62</v>
      </c>
      <c r="H4268" t="s">
        <v>2313</v>
      </c>
      <c r="I4268" t="s">
        <v>2314</v>
      </c>
      <c r="J4268" t="s">
        <v>52</v>
      </c>
      <c r="K4268" s="3">
        <v>100732218815</v>
      </c>
      <c r="L4268" s="10">
        <v>40259</v>
      </c>
      <c r="M4268">
        <v>709.54</v>
      </c>
      <c r="N4268" s="11">
        <v>12</v>
      </c>
      <c r="O4268" s="12">
        <v>59.98</v>
      </c>
      <c r="P4268" s="12">
        <v>3.99</v>
      </c>
      <c r="Q4268" s="13">
        <v>131.44</v>
      </c>
      <c r="R4268" s="36" t="s">
        <v>378</v>
      </c>
      <c r="S4268" s="7">
        <f t="shared" si="362"/>
        <v>1</v>
      </c>
      <c r="T4268" s="15" t="str">
        <f>VLOOKUP(R4268,产品分类!$C$2:$D$1278,2,0)</f>
        <v>数码电子</v>
      </c>
    </row>
    <row r="4269" spans="1:20">
      <c r="A4269" s="8">
        <f>DATE(2012,12,31)-1016</f>
        <v>40258</v>
      </c>
      <c r="B4269" s="8">
        <f>DATE(2012,12,31)-1016</f>
        <v>40258</v>
      </c>
      <c r="C4269" s="9" t="s">
        <v>1342</v>
      </c>
      <c r="D4269">
        <v>10021265947</v>
      </c>
      <c r="E4269" t="s">
        <v>47</v>
      </c>
      <c r="F4269" t="s">
        <v>61</v>
      </c>
      <c r="G4269" t="s">
        <v>62</v>
      </c>
      <c r="H4269" t="s">
        <v>2313</v>
      </c>
      <c r="I4269" t="s">
        <v>2314</v>
      </c>
      <c r="J4269" t="s">
        <v>52</v>
      </c>
      <c r="K4269" s="3">
        <v>100431565514</v>
      </c>
      <c r="L4269" s="10">
        <v>40259</v>
      </c>
      <c r="M4269">
        <v>1220.08</v>
      </c>
      <c r="N4269" s="11">
        <v>42</v>
      </c>
      <c r="O4269" s="12">
        <v>28.48</v>
      </c>
      <c r="P4269" s="12">
        <v>1.99</v>
      </c>
      <c r="Q4269" s="13">
        <v>515.64</v>
      </c>
      <c r="R4269" s="36" t="s">
        <v>409</v>
      </c>
      <c r="S4269" s="7">
        <f t="shared" si="362"/>
        <v>1</v>
      </c>
      <c r="T4269" s="15" t="str">
        <f>VLOOKUP(R4269,产品分类!$C$2:$D$1278,2,0)</f>
        <v>办公用品</v>
      </c>
    </row>
    <row r="4270" spans="1:20">
      <c r="A4270" s="8">
        <f>DATE(2012,12,31)-242</f>
        <v>41032</v>
      </c>
      <c r="B4270" s="8">
        <f>DATE(2012,12,31)-242</f>
        <v>41032</v>
      </c>
      <c r="C4270" s="9" t="s">
        <v>1024</v>
      </c>
      <c r="D4270">
        <v>10021495060</v>
      </c>
      <c r="E4270" t="s">
        <v>47</v>
      </c>
      <c r="F4270" t="s">
        <v>61</v>
      </c>
      <c r="G4270" t="s">
        <v>62</v>
      </c>
      <c r="H4270" t="s">
        <v>2313</v>
      </c>
      <c r="I4270" t="s">
        <v>2314</v>
      </c>
      <c r="J4270" t="s">
        <v>52</v>
      </c>
      <c r="K4270" s="3">
        <v>100913550791</v>
      </c>
      <c r="L4270" s="10">
        <v>41036</v>
      </c>
      <c r="M4270">
        <v>71.45</v>
      </c>
      <c r="N4270" s="11">
        <v>20</v>
      </c>
      <c r="O4270" s="12">
        <v>3.36</v>
      </c>
      <c r="P4270" s="12">
        <v>6.27</v>
      </c>
      <c r="Q4270" s="13">
        <v>-92.9545</v>
      </c>
      <c r="R4270" s="36" t="s">
        <v>690</v>
      </c>
      <c r="S4270" s="7">
        <f t="shared" si="362"/>
        <v>4</v>
      </c>
      <c r="T4270" s="15" t="str">
        <f>VLOOKUP(R4270,产品分类!$C$2:$D$1278,2,0)</f>
        <v>办公用品</v>
      </c>
    </row>
    <row r="4271" spans="1:20">
      <c r="A4271" s="8">
        <f>DATE(2012,12,31)-74</f>
        <v>41200</v>
      </c>
      <c r="B4271" s="8">
        <f>DATE(2012,12,31)-74</f>
        <v>41200</v>
      </c>
      <c r="C4271" s="9" t="s">
        <v>1358</v>
      </c>
      <c r="D4271">
        <v>10021251562</v>
      </c>
      <c r="E4271" t="s">
        <v>47</v>
      </c>
      <c r="F4271" t="s">
        <v>61</v>
      </c>
      <c r="G4271" t="s">
        <v>62</v>
      </c>
      <c r="H4271" t="s">
        <v>2313</v>
      </c>
      <c r="I4271" t="s">
        <v>2314</v>
      </c>
      <c r="J4271" t="s">
        <v>52</v>
      </c>
      <c r="K4271" s="3">
        <v>100110954038</v>
      </c>
      <c r="L4271" s="10">
        <v>41202</v>
      </c>
      <c r="M4271">
        <v>239.4</v>
      </c>
      <c r="N4271" s="11">
        <v>39</v>
      </c>
      <c r="O4271" s="12">
        <v>5.98</v>
      </c>
      <c r="P4271" s="12">
        <v>5.15</v>
      </c>
      <c r="Q4271" s="13">
        <v>-57.37</v>
      </c>
      <c r="R4271" s="36" t="s">
        <v>164</v>
      </c>
      <c r="S4271" s="7">
        <f t="shared" si="362"/>
        <v>2</v>
      </c>
      <c r="T4271" s="15" t="str">
        <f>VLOOKUP(R4271,产品分类!$C$2:$D$1278,2,0)</f>
        <v>办公用品</v>
      </c>
    </row>
    <row r="4272" spans="1:20">
      <c r="A4272" s="8">
        <f>DATE(2012,12,31)-174</f>
        <v>41100</v>
      </c>
      <c r="B4272" s="8">
        <f>DATE(2012,12,31)-174</f>
        <v>41100</v>
      </c>
      <c r="C4272" s="9" t="s">
        <v>450</v>
      </c>
      <c r="D4272">
        <v>10021583678</v>
      </c>
      <c r="E4272" t="s">
        <v>47</v>
      </c>
      <c r="F4272" t="s">
        <v>61</v>
      </c>
      <c r="G4272" t="s">
        <v>62</v>
      </c>
      <c r="H4272" t="s">
        <v>2313</v>
      </c>
      <c r="I4272" t="s">
        <v>2314</v>
      </c>
      <c r="J4272" t="s">
        <v>52</v>
      </c>
      <c r="K4272" s="3">
        <v>100726932855</v>
      </c>
      <c r="L4272" s="10">
        <v>41102</v>
      </c>
      <c r="M4272">
        <v>305.01</v>
      </c>
      <c r="N4272" s="11">
        <v>41</v>
      </c>
      <c r="O4272" s="12">
        <v>7.3</v>
      </c>
      <c r="P4272" s="12">
        <v>7.72</v>
      </c>
      <c r="Q4272" s="13">
        <v>-160.816</v>
      </c>
      <c r="R4272" s="36" t="s">
        <v>295</v>
      </c>
      <c r="S4272" s="7">
        <f t="shared" si="362"/>
        <v>2</v>
      </c>
      <c r="T4272" s="15" t="str">
        <f>VLOOKUP(R4272,产品分类!$C$2:$D$1278,2,0)</f>
        <v>办公用品</v>
      </c>
    </row>
    <row r="4273" spans="1:20">
      <c r="A4273" s="8">
        <f>DATE(2012,12,31)-174</f>
        <v>41100</v>
      </c>
      <c r="B4273" s="8">
        <f>DATE(2012,12,31)-174</f>
        <v>41100</v>
      </c>
      <c r="C4273" s="9" t="s">
        <v>450</v>
      </c>
      <c r="D4273">
        <v>10021332515</v>
      </c>
      <c r="E4273" t="s">
        <v>47</v>
      </c>
      <c r="F4273" t="s">
        <v>61</v>
      </c>
      <c r="G4273" t="s">
        <v>62</v>
      </c>
      <c r="H4273" t="s">
        <v>2313</v>
      </c>
      <c r="I4273" t="s">
        <v>2314</v>
      </c>
      <c r="J4273" t="s">
        <v>52</v>
      </c>
      <c r="K4273" s="3">
        <v>100410139123</v>
      </c>
      <c r="L4273" s="10">
        <v>41101</v>
      </c>
      <c r="M4273">
        <v>3583.52</v>
      </c>
      <c r="N4273" s="11">
        <v>24</v>
      </c>
      <c r="O4273" s="12">
        <v>161.55</v>
      </c>
      <c r="P4273" s="12">
        <v>19.99</v>
      </c>
      <c r="Q4273" s="13">
        <v>221.71</v>
      </c>
      <c r="R4273" s="36" t="s">
        <v>1896</v>
      </c>
      <c r="S4273" s="7">
        <f t="shared" si="362"/>
        <v>1</v>
      </c>
      <c r="T4273" s="15" t="str">
        <f>VLOOKUP(R4273,产品分类!$C$2:$D$1278,2,0)</f>
        <v>办公用品</v>
      </c>
    </row>
    <row r="4274" spans="1:20">
      <c r="A4274" s="8">
        <f>DATE(2012,12,31)-247</f>
        <v>41027</v>
      </c>
      <c r="B4274" s="8">
        <f>DATE(2012,12,31)-247</f>
        <v>41027</v>
      </c>
      <c r="C4274" s="9" t="s">
        <v>1757</v>
      </c>
      <c r="D4274">
        <v>10021424454</v>
      </c>
      <c r="E4274" t="s">
        <v>47</v>
      </c>
      <c r="F4274" t="s">
        <v>61</v>
      </c>
      <c r="G4274" t="s">
        <v>62</v>
      </c>
      <c r="H4274" t="s">
        <v>2313</v>
      </c>
      <c r="I4274" t="s">
        <v>2314</v>
      </c>
      <c r="J4274" t="s">
        <v>52</v>
      </c>
      <c r="K4274" s="3">
        <v>10075287855</v>
      </c>
      <c r="L4274" s="10">
        <v>41032</v>
      </c>
      <c r="M4274">
        <v>2789.03</v>
      </c>
      <c r="N4274" s="11">
        <v>7</v>
      </c>
      <c r="O4274" s="12">
        <v>400.98</v>
      </c>
      <c r="P4274" s="12">
        <v>42.52</v>
      </c>
      <c r="Q4274" s="13">
        <v>-303.44</v>
      </c>
      <c r="R4274" s="36" t="s">
        <v>1048</v>
      </c>
      <c r="S4274" s="7">
        <f t="shared" si="362"/>
        <v>5</v>
      </c>
      <c r="T4274" s="15" t="str">
        <f>VLOOKUP(R4274,产品分类!$C$2:$D$1278,2,0)</f>
        <v>办公用品</v>
      </c>
    </row>
    <row r="4275" spans="1:20">
      <c r="A4275" s="8">
        <f>DATE(2012,12,31)-1354</f>
        <v>39920</v>
      </c>
      <c r="B4275" s="8">
        <f>DATE(2012,12,31)-1354</f>
        <v>39920</v>
      </c>
      <c r="C4275" s="9" t="s">
        <v>712</v>
      </c>
      <c r="D4275">
        <v>10021603417</v>
      </c>
      <c r="E4275" t="s">
        <v>47</v>
      </c>
      <c r="F4275" t="s">
        <v>78</v>
      </c>
      <c r="G4275" t="s">
        <v>79</v>
      </c>
      <c r="H4275" t="s">
        <v>2105</v>
      </c>
      <c r="I4275" t="s">
        <v>2106</v>
      </c>
      <c r="J4275" t="s">
        <v>52</v>
      </c>
      <c r="K4275" s="3">
        <v>100133184308</v>
      </c>
      <c r="L4275" s="10">
        <v>39920</v>
      </c>
      <c r="M4275">
        <v>17853.64</v>
      </c>
      <c r="N4275" s="11">
        <v>41</v>
      </c>
      <c r="O4275" s="12">
        <v>419.19</v>
      </c>
      <c r="P4275" s="12">
        <v>19.99</v>
      </c>
      <c r="Q4275" s="13">
        <v>6227.33</v>
      </c>
      <c r="R4275" s="36" t="s">
        <v>1223</v>
      </c>
      <c r="S4275" s="7">
        <f t="shared" si="362"/>
        <v>0</v>
      </c>
      <c r="T4275" s="15" t="str">
        <f>VLOOKUP(R4275,产品分类!$C$2:$D$1278,2,0)</f>
        <v>办公用品</v>
      </c>
    </row>
    <row r="4276" spans="1:20">
      <c r="A4276" s="8">
        <f>DATE(2012,12,31)-936</f>
        <v>40338</v>
      </c>
      <c r="B4276" s="8">
        <f>DATE(2012,12,31)-936</f>
        <v>40338</v>
      </c>
      <c r="C4276" s="9" t="s">
        <v>1670</v>
      </c>
      <c r="D4276">
        <v>10021478273</v>
      </c>
      <c r="E4276" t="s">
        <v>47</v>
      </c>
      <c r="F4276" t="s">
        <v>171</v>
      </c>
      <c r="G4276" t="s">
        <v>172</v>
      </c>
      <c r="H4276" t="s">
        <v>2073</v>
      </c>
      <c r="I4276" t="s">
        <v>2074</v>
      </c>
      <c r="J4276" t="s">
        <v>52</v>
      </c>
      <c r="K4276" s="3">
        <v>100933016971</v>
      </c>
      <c r="L4276" s="10">
        <v>40338</v>
      </c>
      <c r="M4276">
        <v>253.38</v>
      </c>
      <c r="N4276" s="11">
        <v>17</v>
      </c>
      <c r="O4276" s="12">
        <v>13.9</v>
      </c>
      <c r="P4276" s="12">
        <v>7.59</v>
      </c>
      <c r="Q4276" s="13">
        <v>-35.78</v>
      </c>
      <c r="R4276" s="36" t="s">
        <v>1021</v>
      </c>
      <c r="S4276" s="7">
        <f t="shared" si="362"/>
        <v>0</v>
      </c>
      <c r="T4276" s="15" t="str">
        <f>VLOOKUP(R4276,产品分类!$C$2:$D$1278,2,0)</f>
        <v>办公用品</v>
      </c>
    </row>
    <row r="4277" spans="1:20">
      <c r="A4277" s="8">
        <f>DATE(2012,12,31)-177</f>
        <v>41097</v>
      </c>
      <c r="B4277" s="8">
        <f>DATE(2012,12,31)-177</f>
        <v>41097</v>
      </c>
      <c r="C4277" s="9" t="s">
        <v>297</v>
      </c>
      <c r="D4277">
        <v>10021570614</v>
      </c>
      <c r="E4277" t="s">
        <v>47</v>
      </c>
      <c r="F4277" t="s">
        <v>91</v>
      </c>
      <c r="G4277" t="s">
        <v>92</v>
      </c>
      <c r="H4277" t="s">
        <v>2053</v>
      </c>
      <c r="I4277" t="s">
        <v>2054</v>
      </c>
      <c r="J4277" t="s">
        <v>52</v>
      </c>
      <c r="K4277" s="3">
        <v>100133152466</v>
      </c>
      <c r="L4277" s="10">
        <v>41102</v>
      </c>
      <c r="M4277">
        <v>121.19</v>
      </c>
      <c r="N4277" s="11">
        <v>30</v>
      </c>
      <c r="O4277" s="12">
        <v>3.89</v>
      </c>
      <c r="P4277" s="12">
        <v>7.01</v>
      </c>
      <c r="Q4277" s="13">
        <v>-152.1335</v>
      </c>
      <c r="R4277" s="36" t="s">
        <v>749</v>
      </c>
      <c r="S4277" s="7">
        <f t="shared" si="362"/>
        <v>5</v>
      </c>
      <c r="T4277" s="15" t="str">
        <f>VLOOKUP(R4277,产品分类!$C$2:$D$1278,2,0)</f>
        <v>办公用品</v>
      </c>
    </row>
    <row r="4278" spans="1:20">
      <c r="A4278" s="8">
        <f>DATE(2012,12,31)-1234</f>
        <v>40040</v>
      </c>
      <c r="B4278" s="8">
        <f>DATE(2012,12,31)-1234</f>
        <v>40040</v>
      </c>
      <c r="C4278" s="9" t="s">
        <v>1071</v>
      </c>
      <c r="D4278">
        <v>10021552386</v>
      </c>
      <c r="E4278" t="s">
        <v>47</v>
      </c>
      <c r="F4278" t="s">
        <v>91</v>
      </c>
      <c r="G4278" t="s">
        <v>92</v>
      </c>
      <c r="H4278" t="s">
        <v>2053</v>
      </c>
      <c r="I4278" t="s">
        <v>2054</v>
      </c>
      <c r="J4278" t="s">
        <v>52</v>
      </c>
      <c r="K4278" s="3">
        <v>100933113441</v>
      </c>
      <c r="L4278" s="10">
        <v>40041</v>
      </c>
      <c r="M4278">
        <v>2019.65</v>
      </c>
      <c r="N4278" s="11">
        <v>5</v>
      </c>
      <c r="O4278" s="12">
        <v>420.98</v>
      </c>
      <c r="P4278" s="12">
        <v>19.99</v>
      </c>
      <c r="Q4278" s="13">
        <v>289.8755</v>
      </c>
      <c r="R4278" s="36" t="s">
        <v>498</v>
      </c>
      <c r="S4278" s="7">
        <f t="shared" si="362"/>
        <v>1</v>
      </c>
      <c r="T4278" s="15" t="str">
        <f>VLOOKUP(R4278,产品分类!$C$2:$D$1278,2,0)</f>
        <v>家具产品</v>
      </c>
    </row>
    <row r="4279" spans="1:20">
      <c r="A4279" s="8">
        <f>DATE(2012,12,31)-6</f>
        <v>41268</v>
      </c>
      <c r="B4279" s="8">
        <f>DATE(2012,12,31)-6</f>
        <v>41268</v>
      </c>
      <c r="C4279" s="9" t="s">
        <v>697</v>
      </c>
      <c r="D4279">
        <v>10021536573</v>
      </c>
      <c r="E4279" t="s">
        <v>47</v>
      </c>
      <c r="F4279" t="s">
        <v>91</v>
      </c>
      <c r="G4279" t="s">
        <v>92</v>
      </c>
      <c r="H4279" t="s">
        <v>2053</v>
      </c>
      <c r="I4279" t="s">
        <v>2054</v>
      </c>
      <c r="J4279" t="s">
        <v>52</v>
      </c>
      <c r="K4279" s="3">
        <v>100133093787</v>
      </c>
      <c r="L4279" s="10">
        <v>41270</v>
      </c>
      <c r="M4279">
        <v>304.26</v>
      </c>
      <c r="N4279" s="11">
        <v>46</v>
      </c>
      <c r="O4279" s="12">
        <v>7.08</v>
      </c>
      <c r="P4279" s="12">
        <v>2.35</v>
      </c>
      <c r="Q4279" s="13">
        <v>28.93</v>
      </c>
      <c r="R4279" s="36" t="s">
        <v>1940</v>
      </c>
      <c r="S4279" s="7">
        <f t="shared" si="362"/>
        <v>2</v>
      </c>
      <c r="T4279" s="15" t="str">
        <f>VLOOKUP(R4279,产品分类!$C$2:$D$1278,2,0)</f>
        <v>数码电子</v>
      </c>
    </row>
    <row r="4280" spans="1:20">
      <c r="A4280" s="8">
        <f>DATE(2012,12,31)-694</f>
        <v>40580</v>
      </c>
      <c r="B4280" s="8">
        <f>DATE(2012,12,31)-694</f>
        <v>40580</v>
      </c>
      <c r="C4280" s="9" t="s">
        <v>1290</v>
      </c>
      <c r="D4280">
        <v>10021615068</v>
      </c>
      <c r="E4280" t="s">
        <v>47</v>
      </c>
      <c r="F4280" t="s">
        <v>91</v>
      </c>
      <c r="G4280" t="s">
        <v>92</v>
      </c>
      <c r="H4280" t="s">
        <v>2053</v>
      </c>
      <c r="I4280" t="s">
        <v>2054</v>
      </c>
      <c r="J4280" t="s">
        <v>52</v>
      </c>
      <c r="K4280" s="3">
        <v>100733188485</v>
      </c>
      <c r="L4280" s="10">
        <v>40582</v>
      </c>
      <c r="M4280">
        <v>706.91</v>
      </c>
      <c r="N4280" s="11">
        <v>34</v>
      </c>
      <c r="O4280" s="12">
        <v>20.98</v>
      </c>
      <c r="P4280" s="12">
        <v>8.83</v>
      </c>
      <c r="Q4280" s="13">
        <v>85.68</v>
      </c>
      <c r="R4280" s="36" t="s">
        <v>2003</v>
      </c>
      <c r="S4280" s="7">
        <f t="shared" si="362"/>
        <v>2</v>
      </c>
      <c r="T4280" s="15" t="str">
        <f>VLOOKUP(R4280,产品分类!$C$2:$D$1278,2,0)</f>
        <v>家具产品</v>
      </c>
    </row>
    <row r="4281" spans="1:20">
      <c r="A4281" s="8">
        <f>DATE(2012,12,31)-694</f>
        <v>40580</v>
      </c>
      <c r="B4281" s="8">
        <f>DATE(2012,12,31)-694</f>
        <v>40580</v>
      </c>
      <c r="C4281" s="9" t="s">
        <v>1290</v>
      </c>
      <c r="D4281">
        <v>10021411075</v>
      </c>
      <c r="E4281" t="s">
        <v>47</v>
      </c>
      <c r="F4281" t="s">
        <v>61</v>
      </c>
      <c r="G4281" t="s">
        <v>62</v>
      </c>
      <c r="H4281" t="s">
        <v>2313</v>
      </c>
      <c r="I4281" t="s">
        <v>2314</v>
      </c>
      <c r="J4281" t="s">
        <v>52</v>
      </c>
      <c r="K4281" s="3">
        <v>100132954296</v>
      </c>
      <c r="L4281" s="10">
        <v>40582</v>
      </c>
      <c r="M4281">
        <v>190.06</v>
      </c>
      <c r="N4281" s="11">
        <v>31</v>
      </c>
      <c r="O4281" s="12">
        <v>5.98</v>
      </c>
      <c r="P4281" s="12">
        <v>5.35</v>
      </c>
      <c r="Q4281" s="13">
        <v>-61.9</v>
      </c>
      <c r="R4281" s="36" t="s">
        <v>978</v>
      </c>
      <c r="S4281" s="7">
        <f t="shared" si="362"/>
        <v>2</v>
      </c>
      <c r="T4281" s="15" t="str">
        <f>VLOOKUP(R4281,产品分类!$C$2:$D$1278,2,0)</f>
        <v>家具产品</v>
      </c>
    </row>
    <row r="4282" spans="1:20">
      <c r="A4282" s="16">
        <f>DATE(2012,12,31)-62</f>
        <v>41212</v>
      </c>
      <c r="B4282" s="16">
        <f>DATE(2012,12,31)-62</f>
        <v>41212</v>
      </c>
      <c r="C4282" s="9" t="s">
        <v>275</v>
      </c>
      <c r="D4282">
        <v>10021562588</v>
      </c>
      <c r="E4282" t="s">
        <v>47</v>
      </c>
      <c r="F4282" t="s">
        <v>91</v>
      </c>
      <c r="G4282" t="s">
        <v>92</v>
      </c>
      <c r="H4282" t="s">
        <v>2053</v>
      </c>
      <c r="I4282" t="s">
        <v>2054</v>
      </c>
      <c r="J4282" t="s">
        <v>52</v>
      </c>
      <c r="K4282" s="3">
        <v>100333130109</v>
      </c>
      <c r="L4282" s="10">
        <v>41214</v>
      </c>
      <c r="M4282">
        <v>92.06</v>
      </c>
      <c r="N4282" s="17">
        <v>16</v>
      </c>
      <c r="O4282" s="5">
        <v>5.98</v>
      </c>
      <c r="P4282" s="5">
        <v>2.5</v>
      </c>
      <c r="Q4282" s="6">
        <v>5.66</v>
      </c>
      <c r="R4282" s="37" t="s">
        <v>547</v>
      </c>
      <c r="S4282" s="7">
        <f t="shared" si="362"/>
        <v>2</v>
      </c>
      <c r="T4282" s="15" t="str">
        <f>VLOOKUP(R4282,产品分类!$C$2:$D$1278,2,0)</f>
        <v>数码电子</v>
      </c>
    </row>
    <row r="4283" spans="1:20">
      <c r="A4283" s="16">
        <f>DATE(2012,12,31)-62</f>
        <v>41212</v>
      </c>
      <c r="B4283" s="16">
        <f>DATE(2012,12,31)-62</f>
        <v>41212</v>
      </c>
      <c r="C4283" s="9" t="s">
        <v>275</v>
      </c>
      <c r="D4283">
        <v>10021377536</v>
      </c>
      <c r="E4283" t="s">
        <v>47</v>
      </c>
      <c r="F4283" t="s">
        <v>171</v>
      </c>
      <c r="G4283" t="s">
        <v>172</v>
      </c>
      <c r="H4283" t="s">
        <v>2073</v>
      </c>
      <c r="I4283" t="s">
        <v>2074</v>
      </c>
      <c r="J4283" t="s">
        <v>52</v>
      </c>
      <c r="K4283" s="3">
        <v>100332902329</v>
      </c>
      <c r="L4283" s="10">
        <v>41214</v>
      </c>
      <c r="M4283">
        <v>199.62</v>
      </c>
      <c r="N4283" s="17">
        <v>33</v>
      </c>
      <c r="O4283" s="5">
        <v>5.84</v>
      </c>
      <c r="P4283" s="5">
        <v>1.2</v>
      </c>
      <c r="Q4283" s="6">
        <v>42.34</v>
      </c>
      <c r="R4283" s="37" t="s">
        <v>1478</v>
      </c>
      <c r="S4283" s="7">
        <f t="shared" si="362"/>
        <v>2</v>
      </c>
      <c r="T4283" s="15" t="str">
        <f>VLOOKUP(R4283,产品分类!$C$2:$D$1278,2,0)</f>
        <v>办公用品</v>
      </c>
    </row>
    <row r="4284" spans="1:20">
      <c r="A4284" s="8">
        <f t="shared" ref="A4284:B4287" si="366">DATE(2012,12,31)-401</f>
        <v>40873</v>
      </c>
      <c r="B4284" s="8">
        <f t="shared" si="366"/>
        <v>40873</v>
      </c>
      <c r="C4284" s="9" t="s">
        <v>2324</v>
      </c>
      <c r="D4284">
        <v>10021313842</v>
      </c>
      <c r="E4284" t="s">
        <v>47</v>
      </c>
      <c r="F4284" t="s">
        <v>342</v>
      </c>
      <c r="G4284" t="s">
        <v>343</v>
      </c>
      <c r="H4284" t="s">
        <v>2309</v>
      </c>
      <c r="I4284" t="s">
        <v>2310</v>
      </c>
      <c r="J4284" t="s">
        <v>52</v>
      </c>
      <c r="K4284" s="3">
        <v>100332816019</v>
      </c>
      <c r="L4284" s="10">
        <v>40874</v>
      </c>
      <c r="M4284">
        <v>431.37</v>
      </c>
      <c r="N4284" s="11">
        <v>28</v>
      </c>
      <c r="O4284" s="12">
        <v>15.22</v>
      </c>
      <c r="P4284" s="12">
        <v>9.73</v>
      </c>
      <c r="Q4284" s="13">
        <v>-28.6695</v>
      </c>
      <c r="R4284" s="36" t="s">
        <v>1708</v>
      </c>
      <c r="S4284" s="7">
        <f t="shared" si="362"/>
        <v>1</v>
      </c>
      <c r="T4284" s="15" t="str">
        <f>VLOOKUP(R4284,产品分类!$C$2:$D$1278,2,0)</f>
        <v>数码电子</v>
      </c>
    </row>
    <row r="4285" spans="1:20">
      <c r="A4285" s="8">
        <f t="shared" si="366"/>
        <v>40873</v>
      </c>
      <c r="B4285" s="8">
        <f t="shared" si="366"/>
        <v>40873</v>
      </c>
      <c r="C4285" s="9" t="s">
        <v>2324</v>
      </c>
      <c r="D4285">
        <v>10021326365</v>
      </c>
      <c r="E4285" t="s">
        <v>47</v>
      </c>
      <c r="F4285" t="s">
        <v>55</v>
      </c>
      <c r="G4285" t="s">
        <v>56</v>
      </c>
      <c r="H4285" t="s">
        <v>2197</v>
      </c>
      <c r="I4285" t="s">
        <v>2198</v>
      </c>
      <c r="J4285" t="s">
        <v>52</v>
      </c>
      <c r="K4285" s="3">
        <v>100432846403</v>
      </c>
      <c r="L4285" s="10">
        <v>40874</v>
      </c>
      <c r="M4285">
        <v>262.31</v>
      </c>
      <c r="N4285" s="11">
        <v>23</v>
      </c>
      <c r="O4285" s="12">
        <v>11.09</v>
      </c>
      <c r="P4285" s="12">
        <v>5.25</v>
      </c>
      <c r="Q4285" s="13">
        <v>27.55</v>
      </c>
      <c r="R4285" s="36" t="s">
        <v>2006</v>
      </c>
      <c r="S4285" s="7">
        <f t="shared" si="362"/>
        <v>1</v>
      </c>
      <c r="T4285" s="15" t="str">
        <f>VLOOKUP(R4285,产品分类!$C$2:$D$1278,2,0)</f>
        <v>办公用品</v>
      </c>
    </row>
    <row r="4286" spans="1:20">
      <c r="A4286" s="8">
        <f t="shared" si="366"/>
        <v>40873</v>
      </c>
      <c r="B4286" s="8">
        <f t="shared" si="366"/>
        <v>40873</v>
      </c>
      <c r="C4286" s="9" t="s">
        <v>2324</v>
      </c>
      <c r="D4286">
        <v>10021405253</v>
      </c>
      <c r="E4286" t="s">
        <v>47</v>
      </c>
      <c r="F4286" t="s">
        <v>127</v>
      </c>
      <c r="G4286" t="s">
        <v>128</v>
      </c>
      <c r="H4286" t="s">
        <v>2189</v>
      </c>
      <c r="I4286" t="s">
        <v>2190</v>
      </c>
      <c r="J4286" t="s">
        <v>52</v>
      </c>
      <c r="K4286" s="3">
        <v>100932938771</v>
      </c>
      <c r="L4286" s="10">
        <v>40875</v>
      </c>
      <c r="M4286">
        <v>514.03</v>
      </c>
      <c r="N4286" s="11">
        <v>45</v>
      </c>
      <c r="O4286" s="12">
        <v>11.34</v>
      </c>
      <c r="P4286" s="12">
        <v>5.01</v>
      </c>
      <c r="Q4286" s="13">
        <v>82.19</v>
      </c>
      <c r="R4286" s="36" t="s">
        <v>1504</v>
      </c>
      <c r="S4286" s="7">
        <f t="shared" si="362"/>
        <v>2</v>
      </c>
      <c r="T4286" s="15" t="str">
        <f>VLOOKUP(R4286,产品分类!$C$2:$D$1278,2,0)</f>
        <v>家具产品</v>
      </c>
    </row>
    <row r="4287" spans="1:20">
      <c r="A4287" s="8">
        <f t="shared" si="366"/>
        <v>40873</v>
      </c>
      <c r="B4287" s="8">
        <f t="shared" si="366"/>
        <v>40873</v>
      </c>
      <c r="C4287" s="9" t="s">
        <v>2324</v>
      </c>
      <c r="D4287">
        <v>10021553302</v>
      </c>
      <c r="E4287" t="s">
        <v>47</v>
      </c>
      <c r="F4287" t="s">
        <v>61</v>
      </c>
      <c r="G4287" t="s">
        <v>62</v>
      </c>
      <c r="H4287" t="s">
        <v>2313</v>
      </c>
      <c r="I4287" t="s">
        <v>2314</v>
      </c>
      <c r="J4287" t="s">
        <v>52</v>
      </c>
      <c r="K4287" s="3">
        <v>100733115395</v>
      </c>
      <c r="L4287" s="10">
        <v>40875</v>
      </c>
      <c r="M4287">
        <v>1696.7</v>
      </c>
      <c r="N4287" s="11">
        <v>9</v>
      </c>
      <c r="O4287" s="12">
        <v>180.98</v>
      </c>
      <c r="P4287" s="12">
        <v>23.58</v>
      </c>
      <c r="Q4287" s="13">
        <v>-82.81</v>
      </c>
      <c r="R4287" s="36" t="s">
        <v>1322</v>
      </c>
      <c r="S4287" s="7">
        <f t="shared" si="362"/>
        <v>2</v>
      </c>
      <c r="T4287" s="15" t="str">
        <f>VLOOKUP(R4287,产品分类!$C$2:$D$1278,2,0)</f>
        <v>办公用品</v>
      </c>
    </row>
    <row r="4288" spans="1:20">
      <c r="A4288" s="8">
        <f>DATE(2012,12,31)-1404</f>
        <v>39870</v>
      </c>
      <c r="B4288" s="8">
        <f>DATE(2012,12,31)-1404</f>
        <v>39870</v>
      </c>
      <c r="C4288" s="9" t="s">
        <v>330</v>
      </c>
      <c r="D4288">
        <v>10021315207</v>
      </c>
      <c r="E4288" t="s">
        <v>47</v>
      </c>
      <c r="F4288" t="s">
        <v>78</v>
      </c>
      <c r="G4288" t="s">
        <v>79</v>
      </c>
      <c r="H4288" t="s">
        <v>2105</v>
      </c>
      <c r="I4288" t="s">
        <v>2106</v>
      </c>
      <c r="J4288" t="s">
        <v>52</v>
      </c>
      <c r="K4288" s="3">
        <v>100923251881</v>
      </c>
      <c r="L4288" s="10">
        <v>39871</v>
      </c>
      <c r="M4288">
        <v>606.3985</v>
      </c>
      <c r="N4288" s="11">
        <v>20</v>
      </c>
      <c r="O4288" s="12">
        <v>35.99</v>
      </c>
      <c r="P4288" s="12">
        <v>5.99</v>
      </c>
      <c r="Q4288" s="13">
        <v>126.126</v>
      </c>
      <c r="R4288" s="36" t="s">
        <v>1664</v>
      </c>
      <c r="S4288" s="7">
        <f t="shared" si="362"/>
        <v>1</v>
      </c>
      <c r="T4288" s="15" t="str">
        <f>VLOOKUP(R4288,产品分类!$C$2:$D$1278,2,0)</f>
        <v>数码电子</v>
      </c>
    </row>
    <row r="4289" spans="1:20">
      <c r="A4289" s="8">
        <f>DATE(2012,12,31)-524</f>
        <v>40750</v>
      </c>
      <c r="B4289" s="8">
        <f>DATE(2012,12,31)-524</f>
        <v>40750</v>
      </c>
      <c r="C4289" s="9" t="s">
        <v>121</v>
      </c>
      <c r="D4289">
        <v>10021432617</v>
      </c>
      <c r="E4289" t="s">
        <v>47</v>
      </c>
      <c r="F4289" t="s">
        <v>72</v>
      </c>
      <c r="G4289" t="s">
        <v>73</v>
      </c>
      <c r="H4289" t="s">
        <v>2008</v>
      </c>
      <c r="I4289" t="s">
        <v>2009</v>
      </c>
      <c r="J4289" t="s">
        <v>52</v>
      </c>
      <c r="K4289" s="3">
        <v>100732523285</v>
      </c>
      <c r="L4289" s="10">
        <v>40752</v>
      </c>
      <c r="M4289">
        <v>1785.02</v>
      </c>
      <c r="N4289" s="11">
        <v>32</v>
      </c>
      <c r="O4289" s="12">
        <v>55.94</v>
      </c>
      <c r="P4289" s="12">
        <v>4</v>
      </c>
      <c r="Q4289" s="13">
        <v>52.66</v>
      </c>
      <c r="R4289" s="36" t="s">
        <v>740</v>
      </c>
      <c r="S4289" s="7">
        <f t="shared" si="362"/>
        <v>2</v>
      </c>
      <c r="T4289" s="15" t="str">
        <f>VLOOKUP(R4289,产品分类!$C$2:$D$1278,2,0)</f>
        <v>办公用品</v>
      </c>
    </row>
    <row r="4290" spans="1:20">
      <c r="A4290" s="8">
        <f>DATE(2012,12,31)-549</f>
        <v>40725</v>
      </c>
      <c r="B4290" s="8">
        <f>DATE(2012,12,31)-549</f>
        <v>40725</v>
      </c>
      <c r="C4290" s="9" t="s">
        <v>1916</v>
      </c>
      <c r="D4290">
        <v>10021586649</v>
      </c>
      <c r="E4290" t="s">
        <v>47</v>
      </c>
      <c r="F4290" t="s">
        <v>78</v>
      </c>
      <c r="G4290" t="s">
        <v>79</v>
      </c>
      <c r="H4290" t="s">
        <v>2105</v>
      </c>
      <c r="I4290" t="s">
        <v>2106</v>
      </c>
      <c r="J4290" t="s">
        <v>52</v>
      </c>
      <c r="K4290" s="3">
        <v>100429408674</v>
      </c>
      <c r="L4290" s="10">
        <v>40727</v>
      </c>
      <c r="M4290">
        <v>225.45</v>
      </c>
      <c r="N4290" s="11">
        <v>34</v>
      </c>
      <c r="O4290" s="12">
        <v>6.48</v>
      </c>
      <c r="P4290" s="12">
        <v>9.54</v>
      </c>
      <c r="Q4290" s="13">
        <v>-193.39</v>
      </c>
      <c r="R4290" s="36" t="s">
        <v>722</v>
      </c>
      <c r="S4290" s="7">
        <f t="shared" si="362"/>
        <v>2</v>
      </c>
      <c r="T4290" s="15" t="str">
        <f>VLOOKUP(R4290,产品分类!$C$2:$D$1278,2,0)</f>
        <v>办公用品</v>
      </c>
    </row>
    <row r="4291" spans="1:20">
      <c r="A4291" s="8">
        <f t="shared" ref="A4291:B4294" si="367">DATE(2012,12,31)-1447</f>
        <v>39827</v>
      </c>
      <c r="B4291" s="8">
        <f t="shared" si="367"/>
        <v>39827</v>
      </c>
      <c r="C4291" s="9" t="s">
        <v>350</v>
      </c>
      <c r="D4291">
        <v>10021259654</v>
      </c>
      <c r="E4291" t="s">
        <v>47</v>
      </c>
      <c r="F4291" t="s">
        <v>132</v>
      </c>
      <c r="G4291" t="s">
        <v>133</v>
      </c>
      <c r="H4291" t="s">
        <v>134</v>
      </c>
      <c r="I4291" t="s">
        <v>133</v>
      </c>
      <c r="J4291" t="s">
        <v>52</v>
      </c>
      <c r="K4291" s="3">
        <v>100128009768</v>
      </c>
      <c r="L4291" s="10">
        <v>39827</v>
      </c>
      <c r="M4291">
        <v>2690.84</v>
      </c>
      <c r="N4291" s="11">
        <v>14</v>
      </c>
      <c r="O4291" s="12">
        <v>208.16</v>
      </c>
      <c r="P4291" s="12">
        <v>68.02</v>
      </c>
      <c r="Q4291" s="13">
        <v>-368.02</v>
      </c>
      <c r="R4291" s="36" t="s">
        <v>205</v>
      </c>
      <c r="S4291" s="7">
        <f t="shared" ref="S4291:S4354" si="368">+L4291-B4291</f>
        <v>0</v>
      </c>
      <c r="T4291" s="15" t="str">
        <f>VLOOKUP(R4291,产品分类!$C$2:$D$1278,2,0)</f>
        <v>家具产品</v>
      </c>
    </row>
    <row r="4292" spans="1:20">
      <c r="A4292" s="8">
        <f t="shared" si="367"/>
        <v>39827</v>
      </c>
      <c r="B4292" s="8">
        <f t="shared" si="367"/>
        <v>39827</v>
      </c>
      <c r="C4292" s="9" t="s">
        <v>350</v>
      </c>
      <c r="D4292">
        <v>10021430252</v>
      </c>
      <c r="E4292" t="s">
        <v>47</v>
      </c>
      <c r="F4292" t="s">
        <v>61</v>
      </c>
      <c r="G4292" t="s">
        <v>62</v>
      </c>
      <c r="H4292" t="s">
        <v>2313</v>
      </c>
      <c r="I4292" t="s">
        <v>2314</v>
      </c>
      <c r="J4292" t="s">
        <v>52</v>
      </c>
      <c r="K4292" s="3">
        <v>100731913805</v>
      </c>
      <c r="L4292" s="10">
        <v>39828</v>
      </c>
      <c r="M4292">
        <v>733.55</v>
      </c>
      <c r="N4292" s="11">
        <v>8</v>
      </c>
      <c r="O4292" s="12">
        <v>90.48</v>
      </c>
      <c r="P4292" s="12">
        <v>19.99</v>
      </c>
      <c r="Q4292" s="13">
        <v>103.13</v>
      </c>
      <c r="R4292" s="36" t="s">
        <v>1008</v>
      </c>
      <c r="S4292" s="7">
        <f t="shared" si="368"/>
        <v>1</v>
      </c>
      <c r="T4292" s="15" t="str">
        <f>VLOOKUP(R4292,产品分类!$C$2:$D$1278,2,0)</f>
        <v>办公用品</v>
      </c>
    </row>
    <row r="4293" spans="1:20">
      <c r="A4293" s="8">
        <f t="shared" si="367"/>
        <v>39827</v>
      </c>
      <c r="B4293" s="8">
        <f t="shared" si="367"/>
        <v>39827</v>
      </c>
      <c r="C4293" s="9" t="s">
        <v>350</v>
      </c>
      <c r="D4293">
        <v>10021504618</v>
      </c>
      <c r="E4293" t="s">
        <v>47</v>
      </c>
      <c r="F4293" t="s">
        <v>61</v>
      </c>
      <c r="G4293" t="s">
        <v>62</v>
      </c>
      <c r="H4293" t="s">
        <v>2313</v>
      </c>
      <c r="I4293" t="s">
        <v>2314</v>
      </c>
      <c r="J4293" t="s">
        <v>52</v>
      </c>
      <c r="K4293" s="3">
        <v>100830401552</v>
      </c>
      <c r="L4293" s="10">
        <v>39829</v>
      </c>
      <c r="M4293">
        <v>38.71</v>
      </c>
      <c r="N4293" s="11">
        <v>3</v>
      </c>
      <c r="O4293" s="12">
        <v>9.48</v>
      </c>
      <c r="P4293" s="12">
        <v>7.29</v>
      </c>
      <c r="Q4293" s="13">
        <v>23</v>
      </c>
      <c r="R4293" s="36" t="s">
        <v>839</v>
      </c>
      <c r="S4293" s="7">
        <f t="shared" si="368"/>
        <v>2</v>
      </c>
      <c r="T4293" s="15" t="str">
        <f>VLOOKUP(R4293,产品分类!$C$2:$D$1278,2,0)</f>
        <v>办公用品</v>
      </c>
    </row>
    <row r="4294" spans="1:20">
      <c r="A4294" s="8">
        <f t="shared" si="367"/>
        <v>39827</v>
      </c>
      <c r="B4294" s="8">
        <f t="shared" si="367"/>
        <v>39827</v>
      </c>
      <c r="C4294" s="9" t="s">
        <v>350</v>
      </c>
      <c r="D4294">
        <v>10021459182</v>
      </c>
      <c r="E4294" t="s">
        <v>47</v>
      </c>
      <c r="F4294" t="s">
        <v>66</v>
      </c>
      <c r="G4294" t="s">
        <v>67</v>
      </c>
      <c r="H4294" t="s">
        <v>2244</v>
      </c>
      <c r="I4294" t="s">
        <v>2245</v>
      </c>
      <c r="J4294" t="s">
        <v>52</v>
      </c>
      <c r="K4294" s="3">
        <v>100432293623</v>
      </c>
      <c r="L4294" s="10">
        <v>39828</v>
      </c>
      <c r="M4294">
        <v>62.6</v>
      </c>
      <c r="N4294" s="11">
        <v>14</v>
      </c>
      <c r="O4294" s="12">
        <v>4.28</v>
      </c>
      <c r="P4294" s="12">
        <v>0.94</v>
      </c>
      <c r="Q4294" s="13">
        <v>7.32</v>
      </c>
      <c r="R4294" s="36" t="s">
        <v>637</v>
      </c>
      <c r="S4294" s="7">
        <f t="shared" si="368"/>
        <v>1</v>
      </c>
      <c r="T4294" s="15" t="str">
        <f>VLOOKUP(R4294,产品分类!$C$2:$D$1278,2,0)</f>
        <v>数码电子</v>
      </c>
    </row>
    <row r="4295" spans="1:20">
      <c r="A4295" s="8">
        <f>DATE(2012,12,31)-525</f>
        <v>40749</v>
      </c>
      <c r="B4295" s="8">
        <f>DATE(2012,12,31)-525</f>
        <v>40749</v>
      </c>
      <c r="C4295" s="9" t="s">
        <v>1336</v>
      </c>
      <c r="D4295">
        <v>10021353909</v>
      </c>
      <c r="E4295" t="s">
        <v>47</v>
      </c>
      <c r="F4295" t="s">
        <v>152</v>
      </c>
      <c r="G4295" t="s">
        <v>153</v>
      </c>
      <c r="H4295" t="s">
        <v>2302</v>
      </c>
      <c r="I4295" t="s">
        <v>2303</v>
      </c>
      <c r="J4295" t="s">
        <v>52</v>
      </c>
      <c r="K4295" s="3">
        <v>100130472798</v>
      </c>
      <c r="L4295" s="10">
        <v>40751</v>
      </c>
      <c r="M4295">
        <v>97.65</v>
      </c>
      <c r="N4295" s="11">
        <v>20</v>
      </c>
      <c r="O4295" s="12">
        <v>4.18</v>
      </c>
      <c r="P4295" s="12">
        <v>6.92</v>
      </c>
      <c r="Q4295" s="13">
        <v>-90.07</v>
      </c>
      <c r="R4295" s="36" t="s">
        <v>1842</v>
      </c>
      <c r="S4295" s="7">
        <f t="shared" si="368"/>
        <v>2</v>
      </c>
      <c r="T4295" s="15" t="str">
        <f>VLOOKUP(R4295,产品分类!$C$2:$D$1278,2,0)</f>
        <v>办公用品</v>
      </c>
    </row>
    <row r="4296" spans="1:20">
      <c r="A4296" s="16">
        <f>DATE(2012,12,31)-525</f>
        <v>40749</v>
      </c>
      <c r="B4296" s="16">
        <f>DATE(2012,12,31)-525</f>
        <v>40749</v>
      </c>
      <c r="C4296" s="9" t="s">
        <v>1336</v>
      </c>
      <c r="D4296">
        <v>10021363235</v>
      </c>
      <c r="E4296" t="s">
        <v>47</v>
      </c>
      <c r="F4296" t="s">
        <v>72</v>
      </c>
      <c r="G4296" t="s">
        <v>73</v>
      </c>
      <c r="H4296" t="s">
        <v>2008</v>
      </c>
      <c r="I4296" t="s">
        <v>2009</v>
      </c>
      <c r="J4296" t="s">
        <v>52</v>
      </c>
      <c r="K4296" s="3">
        <v>100927924501</v>
      </c>
      <c r="L4296" s="10">
        <v>40752</v>
      </c>
      <c r="M4296">
        <v>1408.34</v>
      </c>
      <c r="N4296" s="17">
        <v>41</v>
      </c>
      <c r="O4296" s="5">
        <v>34.58</v>
      </c>
      <c r="P4296" s="5">
        <v>8.99</v>
      </c>
      <c r="Q4296" s="6">
        <v>176.63</v>
      </c>
      <c r="R4296" s="37" t="s">
        <v>260</v>
      </c>
      <c r="S4296" s="7">
        <f t="shared" si="368"/>
        <v>3</v>
      </c>
      <c r="T4296" s="15" t="str">
        <f>VLOOKUP(R4296,产品分类!$C$2:$D$1278,2,0)</f>
        <v>数码电子</v>
      </c>
    </row>
    <row r="4297" spans="1:20">
      <c r="A4297" s="8">
        <f>DATE(2012,12,31)-148</f>
        <v>41126</v>
      </c>
      <c r="B4297" s="8">
        <f>DATE(2012,12,31)-148</f>
        <v>41126</v>
      </c>
      <c r="C4297" s="9" t="s">
        <v>1380</v>
      </c>
      <c r="D4297">
        <v>10021361272</v>
      </c>
      <c r="E4297" t="s">
        <v>47</v>
      </c>
      <c r="F4297" t="s">
        <v>72</v>
      </c>
      <c r="G4297" t="s">
        <v>73</v>
      </c>
      <c r="H4297" t="s">
        <v>2008</v>
      </c>
      <c r="I4297" t="s">
        <v>2009</v>
      </c>
      <c r="J4297" t="s">
        <v>52</v>
      </c>
      <c r="K4297" s="3">
        <v>10013363807</v>
      </c>
      <c r="L4297" s="10">
        <v>41128</v>
      </c>
      <c r="M4297">
        <v>93.02</v>
      </c>
      <c r="N4297" s="11">
        <v>18</v>
      </c>
      <c r="O4297" s="12">
        <v>5.08</v>
      </c>
      <c r="P4297" s="12">
        <v>2.03</v>
      </c>
      <c r="Q4297" s="13">
        <v>20.01</v>
      </c>
      <c r="R4297" s="36" t="s">
        <v>1179</v>
      </c>
      <c r="S4297" s="7">
        <f t="shared" si="368"/>
        <v>2</v>
      </c>
      <c r="T4297" s="15" t="str">
        <f>VLOOKUP(R4297,产品分类!$C$2:$D$1278,2,0)</f>
        <v>办公用品</v>
      </c>
    </row>
    <row r="4298" spans="1:20">
      <c r="A4298" s="8">
        <f>DATE(2012,12,31)-148</f>
        <v>41126</v>
      </c>
      <c r="B4298" s="8">
        <f>DATE(2012,12,31)-148</f>
        <v>41126</v>
      </c>
      <c r="C4298" s="9" t="s">
        <v>1380</v>
      </c>
      <c r="D4298">
        <v>10021317817</v>
      </c>
      <c r="E4298" t="s">
        <v>47</v>
      </c>
      <c r="F4298" t="s">
        <v>434</v>
      </c>
      <c r="G4298" t="s">
        <v>435</v>
      </c>
      <c r="H4298" t="s">
        <v>436</v>
      </c>
      <c r="I4298" t="s">
        <v>437</v>
      </c>
      <c r="J4298" t="s">
        <v>52</v>
      </c>
      <c r="K4298" s="3">
        <v>10087942242</v>
      </c>
      <c r="L4298" s="10">
        <v>41127</v>
      </c>
      <c r="M4298">
        <v>639.84</v>
      </c>
      <c r="N4298" s="11">
        <v>42</v>
      </c>
      <c r="O4298" s="12">
        <v>15.14</v>
      </c>
      <c r="P4298" s="12">
        <v>4.53</v>
      </c>
      <c r="Q4298" s="13">
        <v>-95.76</v>
      </c>
      <c r="R4298" s="36" t="s">
        <v>836</v>
      </c>
      <c r="S4298" s="7">
        <f t="shared" si="368"/>
        <v>1</v>
      </c>
      <c r="T4298" s="15" t="str">
        <f>VLOOKUP(R4298,产品分类!$C$2:$D$1278,2,0)</f>
        <v>办公用品</v>
      </c>
    </row>
    <row r="4299" spans="1:20">
      <c r="A4299" s="8">
        <f>DATE(2012,12,31)-325</f>
        <v>40949</v>
      </c>
      <c r="B4299" s="8">
        <f>DATE(2012,12,31)-325</f>
        <v>40949</v>
      </c>
      <c r="C4299" s="9" t="s">
        <v>1188</v>
      </c>
      <c r="D4299">
        <v>10021604092</v>
      </c>
      <c r="E4299" t="s">
        <v>47</v>
      </c>
      <c r="F4299" t="s">
        <v>91</v>
      </c>
      <c r="G4299" t="s">
        <v>92</v>
      </c>
      <c r="H4299" t="s">
        <v>2053</v>
      </c>
      <c r="I4299" t="s">
        <v>2054</v>
      </c>
      <c r="J4299" t="s">
        <v>52</v>
      </c>
      <c r="K4299" s="3">
        <v>10082250452</v>
      </c>
      <c r="L4299" s="10">
        <v>40951</v>
      </c>
      <c r="M4299">
        <v>105.93</v>
      </c>
      <c r="N4299" s="11">
        <v>23</v>
      </c>
      <c r="O4299" s="12">
        <v>4.76</v>
      </c>
      <c r="P4299" s="12">
        <v>0.88</v>
      </c>
      <c r="Q4299" s="13">
        <v>33.47</v>
      </c>
      <c r="R4299" s="36" t="s">
        <v>636</v>
      </c>
      <c r="S4299" s="7">
        <f t="shared" si="368"/>
        <v>2</v>
      </c>
      <c r="T4299" s="15" t="str">
        <f>VLOOKUP(R4299,产品分类!$C$2:$D$1278,2,0)</f>
        <v>数码电子</v>
      </c>
    </row>
    <row r="4300" spans="1:20">
      <c r="A4300" s="16">
        <f>DATE(2012,12,31)-1057</f>
        <v>40217</v>
      </c>
      <c r="B4300" s="16">
        <f>DATE(2012,12,31)-1057</f>
        <v>40217</v>
      </c>
      <c r="C4300" s="9" t="s">
        <v>1601</v>
      </c>
      <c r="D4300">
        <v>10021278740</v>
      </c>
      <c r="E4300" t="s">
        <v>47</v>
      </c>
      <c r="F4300" t="s">
        <v>122</v>
      </c>
      <c r="G4300" t="s">
        <v>123</v>
      </c>
      <c r="H4300" t="s">
        <v>2159</v>
      </c>
      <c r="I4300" t="s">
        <v>2160</v>
      </c>
      <c r="J4300" t="s">
        <v>52</v>
      </c>
      <c r="K4300" s="3">
        <v>100413442033</v>
      </c>
      <c r="L4300" s="10">
        <v>40217</v>
      </c>
      <c r="M4300">
        <v>478.94</v>
      </c>
      <c r="N4300" s="17">
        <v>37</v>
      </c>
      <c r="O4300" s="5">
        <v>12.53</v>
      </c>
      <c r="P4300" s="5">
        <v>7.17</v>
      </c>
      <c r="Q4300" s="6">
        <v>10.557</v>
      </c>
      <c r="R4300" s="37" t="s">
        <v>357</v>
      </c>
      <c r="S4300" s="7">
        <f t="shared" si="368"/>
        <v>0</v>
      </c>
      <c r="T4300" s="15" t="str">
        <f>VLOOKUP(R4300,产品分类!$C$2:$D$1278,2,0)</f>
        <v>办公用品</v>
      </c>
    </row>
    <row r="4301" spans="1:20">
      <c r="A4301" s="8">
        <f>DATE(2012,12,31)-1057</f>
        <v>40217</v>
      </c>
      <c r="B4301" s="8">
        <f>DATE(2012,12,31)-1057</f>
        <v>40217</v>
      </c>
      <c r="C4301" s="9" t="s">
        <v>1601</v>
      </c>
      <c r="D4301">
        <v>10021643691</v>
      </c>
      <c r="E4301" t="s">
        <v>47</v>
      </c>
      <c r="F4301" t="s">
        <v>91</v>
      </c>
      <c r="G4301" t="s">
        <v>92</v>
      </c>
      <c r="H4301" t="s">
        <v>2053</v>
      </c>
      <c r="I4301" t="s">
        <v>2054</v>
      </c>
      <c r="J4301" t="s">
        <v>52</v>
      </c>
      <c r="K4301" s="3">
        <v>100329173729</v>
      </c>
      <c r="L4301" s="10">
        <v>40219</v>
      </c>
      <c r="M4301">
        <v>2429.09</v>
      </c>
      <c r="N4301" s="11">
        <v>24</v>
      </c>
      <c r="O4301" s="12">
        <v>105.29</v>
      </c>
      <c r="P4301" s="12">
        <v>10.12</v>
      </c>
      <c r="Q4301" s="13">
        <v>-20.67</v>
      </c>
      <c r="R4301" s="36" t="s">
        <v>461</v>
      </c>
      <c r="S4301" s="7">
        <f t="shared" si="368"/>
        <v>2</v>
      </c>
      <c r="T4301" s="15" t="str">
        <f>VLOOKUP(R4301,产品分类!$C$2:$D$1278,2,0)</f>
        <v>数码电子</v>
      </c>
    </row>
    <row r="4302" spans="1:20">
      <c r="A4302" s="16">
        <f>DATE(2012,12,31)-616</f>
        <v>40658</v>
      </c>
      <c r="B4302" s="16">
        <f>DATE(2012,12,31)-616</f>
        <v>40658</v>
      </c>
      <c r="C4302" s="9" t="s">
        <v>1221</v>
      </c>
      <c r="D4302">
        <v>10021401821</v>
      </c>
      <c r="E4302" t="s">
        <v>47</v>
      </c>
      <c r="F4302" t="s">
        <v>91</v>
      </c>
      <c r="G4302" t="s">
        <v>92</v>
      </c>
      <c r="H4302" t="s">
        <v>2053</v>
      </c>
      <c r="I4302" t="s">
        <v>2054</v>
      </c>
      <c r="J4302" t="s">
        <v>52</v>
      </c>
      <c r="K4302" s="3">
        <v>100418277023</v>
      </c>
      <c r="L4302" s="10">
        <v>40659</v>
      </c>
      <c r="M4302">
        <v>220.82</v>
      </c>
      <c r="N4302" s="17">
        <v>23</v>
      </c>
      <c r="O4302" s="5">
        <v>9.93</v>
      </c>
      <c r="P4302" s="5">
        <v>1.09</v>
      </c>
      <c r="Q4302" s="6">
        <v>77.68</v>
      </c>
      <c r="R4302" s="37" t="s">
        <v>393</v>
      </c>
      <c r="S4302" s="7">
        <f t="shared" si="368"/>
        <v>1</v>
      </c>
      <c r="T4302" s="15" t="str">
        <f>VLOOKUP(R4302,产品分类!$C$2:$D$1278,2,0)</f>
        <v>数码电子</v>
      </c>
    </row>
    <row r="4303" spans="1:20">
      <c r="A4303" s="8">
        <f>DATE(2012,12,31)-601</f>
        <v>40673</v>
      </c>
      <c r="B4303" s="8">
        <f>DATE(2012,12,31)-601</f>
        <v>40673</v>
      </c>
      <c r="C4303" s="9" t="s">
        <v>2325</v>
      </c>
      <c r="D4303">
        <v>10021519492</v>
      </c>
      <c r="E4303" t="s">
        <v>47</v>
      </c>
      <c r="F4303" t="s">
        <v>97</v>
      </c>
      <c r="G4303" t="s">
        <v>98</v>
      </c>
      <c r="H4303" t="s">
        <v>99</v>
      </c>
      <c r="I4303" t="s">
        <v>98</v>
      </c>
      <c r="J4303" t="s">
        <v>52</v>
      </c>
      <c r="K4303" s="3">
        <v>100121785647</v>
      </c>
      <c r="L4303" s="10">
        <v>40674</v>
      </c>
      <c r="M4303">
        <v>273.38</v>
      </c>
      <c r="N4303" s="11">
        <v>6</v>
      </c>
      <c r="O4303" s="12">
        <v>43.22</v>
      </c>
      <c r="P4303" s="12">
        <v>16.71</v>
      </c>
      <c r="Q4303" s="13">
        <v>-170.91</v>
      </c>
      <c r="R4303" s="36" t="s">
        <v>1525</v>
      </c>
      <c r="S4303" s="7">
        <f t="shared" si="368"/>
        <v>1</v>
      </c>
      <c r="T4303" s="15" t="str">
        <f>VLOOKUP(R4303,产品分类!$C$2:$D$1278,2,0)</f>
        <v>数码电子</v>
      </c>
    </row>
    <row r="4304" spans="1:20">
      <c r="A4304" s="8">
        <f>DATE(2012,12,31)-601</f>
        <v>40673</v>
      </c>
      <c r="B4304" s="8">
        <f>DATE(2012,12,31)-601</f>
        <v>40673</v>
      </c>
      <c r="C4304" s="9" t="s">
        <v>2325</v>
      </c>
      <c r="D4304">
        <v>10021562050</v>
      </c>
      <c r="E4304" t="s">
        <v>47</v>
      </c>
      <c r="F4304" t="s">
        <v>97</v>
      </c>
      <c r="G4304" t="s">
        <v>98</v>
      </c>
      <c r="H4304" t="s">
        <v>99</v>
      </c>
      <c r="I4304" t="s">
        <v>98</v>
      </c>
      <c r="J4304" t="s">
        <v>52</v>
      </c>
      <c r="K4304" s="3">
        <v>100121125027</v>
      </c>
      <c r="L4304" s="10">
        <v>40675</v>
      </c>
      <c r="M4304">
        <v>179.66</v>
      </c>
      <c r="N4304" s="11">
        <v>8</v>
      </c>
      <c r="O4304" s="12">
        <v>22.24</v>
      </c>
      <c r="P4304" s="12">
        <v>1.99</v>
      </c>
      <c r="Q4304" s="13">
        <v>-1.72999999999998</v>
      </c>
      <c r="R4304" s="36" t="s">
        <v>1479</v>
      </c>
      <c r="S4304" s="7">
        <f t="shared" si="368"/>
        <v>2</v>
      </c>
      <c r="T4304" s="15" t="str">
        <f>VLOOKUP(R4304,产品分类!$C$2:$D$1278,2,0)</f>
        <v>数码电子</v>
      </c>
    </row>
    <row r="4305" spans="1:20">
      <c r="A4305" s="8">
        <f>DATE(2012,12,31)-646</f>
        <v>40628</v>
      </c>
      <c r="B4305" s="8">
        <f>DATE(2012,12,31)-646</f>
        <v>40628</v>
      </c>
      <c r="C4305" s="9" t="s">
        <v>2233</v>
      </c>
      <c r="D4305">
        <v>10021438140</v>
      </c>
      <c r="E4305" t="s">
        <v>47</v>
      </c>
      <c r="F4305" t="s">
        <v>102</v>
      </c>
      <c r="G4305" t="s">
        <v>103</v>
      </c>
      <c r="H4305" t="s">
        <v>2326</v>
      </c>
      <c r="I4305" t="s">
        <v>2327</v>
      </c>
      <c r="J4305" t="s">
        <v>52</v>
      </c>
      <c r="K4305" s="3">
        <v>100431233954</v>
      </c>
      <c r="L4305" s="10">
        <v>40629</v>
      </c>
      <c r="M4305">
        <v>17387.65</v>
      </c>
      <c r="N4305" s="11">
        <v>35</v>
      </c>
      <c r="O4305" s="12">
        <v>499.99</v>
      </c>
      <c r="P4305" s="12">
        <v>24.49</v>
      </c>
      <c r="Q4305" s="13">
        <v>6907.613</v>
      </c>
      <c r="R4305" s="36" t="s">
        <v>1171</v>
      </c>
      <c r="S4305" s="7">
        <f t="shared" si="368"/>
        <v>1</v>
      </c>
      <c r="T4305" s="15" t="str">
        <f>VLOOKUP(R4305,产品分类!$C$2:$D$1278,2,0)</f>
        <v>办公用品</v>
      </c>
    </row>
    <row r="4306" spans="1:20">
      <c r="A4306" s="8">
        <f>DATE(2012,12,31)-646</f>
        <v>40628</v>
      </c>
      <c r="B4306" s="8">
        <f>DATE(2012,12,31)-646</f>
        <v>40628</v>
      </c>
      <c r="C4306" s="9" t="s">
        <v>2233</v>
      </c>
      <c r="D4306">
        <v>10021309677</v>
      </c>
      <c r="E4306" t="s">
        <v>47</v>
      </c>
      <c r="F4306" t="s">
        <v>102</v>
      </c>
      <c r="G4306" t="s">
        <v>103</v>
      </c>
      <c r="H4306" t="s">
        <v>2326</v>
      </c>
      <c r="I4306" t="s">
        <v>2327</v>
      </c>
      <c r="J4306" t="s">
        <v>52</v>
      </c>
      <c r="K4306" s="3">
        <v>100131699318</v>
      </c>
      <c r="L4306" s="10">
        <v>40630</v>
      </c>
      <c r="M4306">
        <v>6040.22</v>
      </c>
      <c r="N4306" s="11">
        <v>44</v>
      </c>
      <c r="O4306" s="12">
        <v>138.14</v>
      </c>
      <c r="P4306" s="12">
        <v>35</v>
      </c>
      <c r="Q4306" s="13">
        <v>-942.5</v>
      </c>
      <c r="R4306" s="36" t="s">
        <v>308</v>
      </c>
      <c r="S4306" s="7">
        <f t="shared" si="368"/>
        <v>2</v>
      </c>
      <c r="T4306" s="15" t="str">
        <f>VLOOKUP(R4306,产品分类!$C$2:$D$1278,2,0)</f>
        <v>家具产品</v>
      </c>
    </row>
    <row r="4307" spans="1:20">
      <c r="A4307" s="8">
        <f>DATE(2012,12,31)-475</f>
        <v>40799</v>
      </c>
      <c r="B4307" s="8">
        <f>DATE(2012,12,31)-475</f>
        <v>40799</v>
      </c>
      <c r="C4307" s="9" t="s">
        <v>1091</v>
      </c>
      <c r="D4307">
        <v>10021309173</v>
      </c>
      <c r="E4307" t="s">
        <v>47</v>
      </c>
      <c r="F4307" t="s">
        <v>171</v>
      </c>
      <c r="G4307" t="s">
        <v>172</v>
      </c>
      <c r="H4307" t="s">
        <v>2073</v>
      </c>
      <c r="I4307" t="s">
        <v>2074</v>
      </c>
      <c r="J4307" t="s">
        <v>52</v>
      </c>
      <c r="K4307" s="3">
        <v>100732753055</v>
      </c>
      <c r="L4307" s="10">
        <v>40801</v>
      </c>
      <c r="M4307">
        <v>3116.7715</v>
      </c>
      <c r="N4307" s="11">
        <v>45</v>
      </c>
      <c r="O4307" s="12">
        <v>85.99</v>
      </c>
      <c r="P4307" s="12">
        <v>0.99</v>
      </c>
      <c r="Q4307" s="13">
        <v>-106.513</v>
      </c>
      <c r="R4307" s="36" t="s">
        <v>228</v>
      </c>
      <c r="S4307" s="7">
        <f t="shared" si="368"/>
        <v>2</v>
      </c>
      <c r="T4307" s="15" t="str">
        <f>VLOOKUP(R4307,产品分类!$C$2:$D$1278,2,0)</f>
        <v>数码电子</v>
      </c>
    </row>
    <row r="4308" spans="1:20">
      <c r="A4308" s="8">
        <f>DATE(2012,12,31)-117</f>
        <v>41157</v>
      </c>
      <c r="B4308" s="8">
        <f>DATE(2012,12,31)-117</f>
        <v>41157</v>
      </c>
      <c r="C4308" s="9" t="s">
        <v>1106</v>
      </c>
      <c r="D4308">
        <v>10021273882</v>
      </c>
      <c r="E4308" t="s">
        <v>47</v>
      </c>
      <c r="F4308" t="s">
        <v>171</v>
      </c>
      <c r="G4308" t="s">
        <v>172</v>
      </c>
      <c r="H4308" t="s">
        <v>2073</v>
      </c>
      <c r="I4308" t="s">
        <v>2074</v>
      </c>
      <c r="J4308" t="s">
        <v>52</v>
      </c>
      <c r="K4308" s="3">
        <v>100132544408</v>
      </c>
      <c r="L4308" s="10">
        <v>41160</v>
      </c>
      <c r="M4308">
        <v>986.272</v>
      </c>
      <c r="N4308" s="11">
        <v>16</v>
      </c>
      <c r="O4308" s="12">
        <v>71.37</v>
      </c>
      <c r="P4308" s="12">
        <v>69</v>
      </c>
      <c r="Q4308" s="13">
        <v>-647.136</v>
      </c>
      <c r="R4308" s="36" t="s">
        <v>426</v>
      </c>
      <c r="S4308" s="7">
        <f t="shared" si="368"/>
        <v>3</v>
      </c>
      <c r="T4308" s="15" t="str">
        <f>VLOOKUP(R4308,产品分类!$C$2:$D$1278,2,0)</f>
        <v>家具产品</v>
      </c>
    </row>
    <row r="4309" spans="1:20">
      <c r="A4309" s="8">
        <f t="shared" ref="A4309:B4311" si="369">DATE(2012,12,31)-95</f>
        <v>41179</v>
      </c>
      <c r="B4309" s="8">
        <f t="shared" si="369"/>
        <v>41179</v>
      </c>
      <c r="C4309" s="9" t="s">
        <v>721</v>
      </c>
      <c r="D4309">
        <v>10021645008</v>
      </c>
      <c r="E4309" t="s">
        <v>47</v>
      </c>
      <c r="F4309" t="s">
        <v>171</v>
      </c>
      <c r="G4309" t="s">
        <v>172</v>
      </c>
      <c r="H4309" t="s">
        <v>2073</v>
      </c>
      <c r="I4309" t="s">
        <v>2074</v>
      </c>
      <c r="J4309" t="s">
        <v>52</v>
      </c>
      <c r="K4309" s="3">
        <v>100433217374</v>
      </c>
      <c r="L4309" s="10">
        <v>41186</v>
      </c>
      <c r="M4309">
        <v>32.77</v>
      </c>
      <c r="N4309" s="11">
        <v>5</v>
      </c>
      <c r="O4309" s="12">
        <v>5.74</v>
      </c>
      <c r="P4309" s="12">
        <v>5.01</v>
      </c>
      <c r="Q4309" s="13">
        <v>-17.1925</v>
      </c>
      <c r="R4309" s="36" t="s">
        <v>876</v>
      </c>
      <c r="S4309" s="7">
        <f t="shared" si="368"/>
        <v>7</v>
      </c>
      <c r="T4309" s="15" t="str">
        <f>VLOOKUP(R4309,产品分类!$C$2:$D$1278,2,0)</f>
        <v>办公用品</v>
      </c>
    </row>
    <row r="4310" spans="1:20">
      <c r="A4310" s="8">
        <f t="shared" si="369"/>
        <v>41179</v>
      </c>
      <c r="B4310" s="8">
        <f t="shared" si="369"/>
        <v>41179</v>
      </c>
      <c r="C4310" s="9" t="s">
        <v>721</v>
      </c>
      <c r="D4310">
        <v>10021604613</v>
      </c>
      <c r="E4310" t="s">
        <v>47</v>
      </c>
      <c r="F4310" t="s">
        <v>167</v>
      </c>
      <c r="G4310" t="s">
        <v>168</v>
      </c>
      <c r="H4310" t="s">
        <v>169</v>
      </c>
      <c r="I4310" t="s">
        <v>168</v>
      </c>
      <c r="J4310" t="s">
        <v>52</v>
      </c>
      <c r="K4310" s="3">
        <v>100132456938</v>
      </c>
      <c r="L4310" s="10">
        <v>41186</v>
      </c>
      <c r="M4310">
        <v>1701.53</v>
      </c>
      <c r="N4310" s="11">
        <v>37</v>
      </c>
      <c r="O4310" s="12">
        <v>43.98</v>
      </c>
      <c r="P4310" s="12">
        <v>1.99</v>
      </c>
      <c r="Q4310" s="13">
        <v>735.99</v>
      </c>
      <c r="R4310" s="36" t="s">
        <v>1796</v>
      </c>
      <c r="S4310" s="7">
        <f t="shared" si="368"/>
        <v>7</v>
      </c>
      <c r="T4310" s="15" t="str">
        <f>VLOOKUP(R4310,产品分类!$C$2:$D$1278,2,0)</f>
        <v>家具产品</v>
      </c>
    </row>
    <row r="4311" spans="1:20">
      <c r="A4311" s="8">
        <f t="shared" si="369"/>
        <v>41179</v>
      </c>
      <c r="B4311" s="8">
        <f t="shared" si="369"/>
        <v>41179</v>
      </c>
      <c r="C4311" s="9" t="s">
        <v>721</v>
      </c>
      <c r="D4311">
        <v>10021308151</v>
      </c>
      <c r="E4311" t="s">
        <v>47</v>
      </c>
      <c r="F4311" t="s">
        <v>61</v>
      </c>
      <c r="G4311" t="s">
        <v>62</v>
      </c>
      <c r="H4311" t="s">
        <v>2313</v>
      </c>
      <c r="I4311" t="s">
        <v>2314</v>
      </c>
      <c r="J4311" t="s">
        <v>52</v>
      </c>
      <c r="K4311" s="3">
        <v>100321630729</v>
      </c>
      <c r="L4311" s="10">
        <v>41184</v>
      </c>
      <c r="M4311">
        <v>2398.9</v>
      </c>
      <c r="N4311" s="11">
        <v>27</v>
      </c>
      <c r="O4311" s="12">
        <v>95.46</v>
      </c>
      <c r="P4311" s="12">
        <v>18.13</v>
      </c>
      <c r="Q4311" s="13">
        <v>656.95</v>
      </c>
      <c r="R4311" s="36" t="s">
        <v>2328</v>
      </c>
      <c r="S4311" s="7">
        <f t="shared" si="368"/>
        <v>5</v>
      </c>
      <c r="T4311" s="15" t="str">
        <f>VLOOKUP(R4311,产品分类!$C$2:$D$1278,2,0)</f>
        <v>办公用品</v>
      </c>
    </row>
    <row r="4312" spans="1:20">
      <c r="A4312" s="8">
        <f>DATE(2012,12,31)-1099</f>
        <v>40175</v>
      </c>
      <c r="B4312" s="8">
        <f>DATE(2012,12,31)-1099</f>
        <v>40175</v>
      </c>
      <c r="C4312" s="9" t="s">
        <v>1129</v>
      </c>
      <c r="D4312">
        <v>10021408119</v>
      </c>
      <c r="E4312" t="s">
        <v>47</v>
      </c>
      <c r="F4312" t="s">
        <v>61</v>
      </c>
      <c r="G4312" t="s">
        <v>62</v>
      </c>
      <c r="H4312" t="s">
        <v>2313</v>
      </c>
      <c r="I4312" t="s">
        <v>2314</v>
      </c>
      <c r="J4312" t="s">
        <v>52</v>
      </c>
      <c r="K4312" s="3">
        <v>10044673514</v>
      </c>
      <c r="L4312" s="10">
        <v>40176</v>
      </c>
      <c r="M4312">
        <v>16468.55</v>
      </c>
      <c r="N4312" s="11">
        <v>39</v>
      </c>
      <c r="O4312" s="12">
        <v>449.99</v>
      </c>
      <c r="P4312" s="12">
        <v>49</v>
      </c>
      <c r="Q4312" s="13">
        <v>5638.75</v>
      </c>
      <c r="R4312" s="36" t="s">
        <v>545</v>
      </c>
      <c r="S4312" s="7">
        <f t="shared" si="368"/>
        <v>1</v>
      </c>
      <c r="T4312" s="15" t="str">
        <f>VLOOKUP(R4312,产品分类!$C$2:$D$1278,2,0)</f>
        <v>办公用品</v>
      </c>
    </row>
    <row r="4313" spans="1:20">
      <c r="A4313" s="16">
        <f>DATE(2012,12,31)-1132</f>
        <v>40142</v>
      </c>
      <c r="B4313" s="16">
        <f>DATE(2012,12,31)-1132</f>
        <v>40142</v>
      </c>
      <c r="C4313" s="9" t="s">
        <v>504</v>
      </c>
      <c r="D4313">
        <v>10021397770</v>
      </c>
      <c r="E4313" t="s">
        <v>47</v>
      </c>
      <c r="F4313" t="s">
        <v>61</v>
      </c>
      <c r="G4313" t="s">
        <v>62</v>
      </c>
      <c r="H4313" t="s">
        <v>2313</v>
      </c>
      <c r="I4313" t="s">
        <v>2314</v>
      </c>
      <c r="J4313" t="s">
        <v>52</v>
      </c>
      <c r="K4313" s="3">
        <v>100332519929</v>
      </c>
      <c r="L4313" s="10">
        <v>40143</v>
      </c>
      <c r="M4313">
        <v>725.15</v>
      </c>
      <c r="N4313" s="17">
        <v>35</v>
      </c>
      <c r="O4313" s="5">
        <v>20.27</v>
      </c>
      <c r="P4313" s="5">
        <v>3.99</v>
      </c>
      <c r="Q4313" s="6">
        <v>140.57</v>
      </c>
      <c r="R4313" s="37" t="s">
        <v>2254</v>
      </c>
      <c r="S4313" s="7">
        <f t="shared" si="368"/>
        <v>1</v>
      </c>
      <c r="T4313" s="15" t="str">
        <f>VLOOKUP(R4313,产品分类!$C$2:$D$1278,2,0)</f>
        <v>办公用品</v>
      </c>
    </row>
    <row r="4314" spans="1:20">
      <c r="A4314" s="16">
        <f>DATE(2012,12,31)-159</f>
        <v>41115</v>
      </c>
      <c r="B4314" s="16">
        <f>DATE(2012,12,31)-159</f>
        <v>41115</v>
      </c>
      <c r="C4314" s="9" t="s">
        <v>347</v>
      </c>
      <c r="D4314">
        <v>10021401402</v>
      </c>
      <c r="E4314" t="s">
        <v>47</v>
      </c>
      <c r="F4314" t="s">
        <v>61</v>
      </c>
      <c r="G4314" t="s">
        <v>62</v>
      </c>
      <c r="H4314" t="s">
        <v>2313</v>
      </c>
      <c r="I4314" t="s">
        <v>2314</v>
      </c>
      <c r="J4314" t="s">
        <v>52</v>
      </c>
      <c r="K4314" s="3">
        <v>10041709904</v>
      </c>
      <c r="L4314" s="10">
        <v>41117</v>
      </c>
      <c r="M4314">
        <v>1166.29</v>
      </c>
      <c r="N4314" s="17">
        <v>28</v>
      </c>
      <c r="O4314" s="5">
        <v>41.71</v>
      </c>
      <c r="P4314" s="5">
        <v>4.5</v>
      </c>
      <c r="Q4314" s="6">
        <v>302.86</v>
      </c>
      <c r="R4314" s="37" t="s">
        <v>2329</v>
      </c>
      <c r="S4314" s="7">
        <f t="shared" si="368"/>
        <v>2</v>
      </c>
      <c r="T4314" s="15" t="str">
        <f>VLOOKUP(R4314,产品分类!$C$2:$D$1278,2,0)</f>
        <v>家具产品</v>
      </c>
    </row>
    <row r="4315" spans="1:20">
      <c r="A4315" s="8">
        <f>DATE(2012,12,31)-767</f>
        <v>40507</v>
      </c>
      <c r="B4315" s="8">
        <f>DATE(2012,12,31)-767</f>
        <v>40507</v>
      </c>
      <c r="C4315" s="9" t="s">
        <v>1917</v>
      </c>
      <c r="D4315">
        <v>10021457244</v>
      </c>
      <c r="E4315" t="s">
        <v>47</v>
      </c>
      <c r="F4315" t="s">
        <v>78</v>
      </c>
      <c r="G4315" t="s">
        <v>79</v>
      </c>
      <c r="H4315" t="s">
        <v>2105</v>
      </c>
      <c r="I4315" t="s">
        <v>2106</v>
      </c>
      <c r="J4315" t="s">
        <v>52</v>
      </c>
      <c r="K4315" s="3">
        <v>100130971046</v>
      </c>
      <c r="L4315" s="10">
        <v>40511</v>
      </c>
      <c r="M4315">
        <v>4108.17</v>
      </c>
      <c r="N4315" s="11">
        <v>20</v>
      </c>
      <c r="O4315" s="12">
        <v>209.37</v>
      </c>
      <c r="P4315" s="12">
        <v>69</v>
      </c>
      <c r="Q4315" s="13">
        <v>-505.984479</v>
      </c>
      <c r="R4315" s="36" t="s">
        <v>1184</v>
      </c>
      <c r="S4315" s="7">
        <f t="shared" si="368"/>
        <v>4</v>
      </c>
      <c r="T4315" s="15" t="str">
        <f>VLOOKUP(R4315,产品分类!$C$2:$D$1278,2,0)</f>
        <v>数码电子</v>
      </c>
    </row>
    <row r="4316" spans="1:20">
      <c r="A4316" s="8">
        <f>DATE(2012,12,31)-736</f>
        <v>40538</v>
      </c>
      <c r="B4316" s="8">
        <f>DATE(2012,12,31)-736</f>
        <v>40538</v>
      </c>
      <c r="C4316" s="9" t="s">
        <v>1633</v>
      </c>
      <c r="D4316">
        <v>10021313136</v>
      </c>
      <c r="E4316" t="s">
        <v>47</v>
      </c>
      <c r="F4316" t="s">
        <v>66</v>
      </c>
      <c r="G4316" t="s">
        <v>67</v>
      </c>
      <c r="H4316" t="s">
        <v>2244</v>
      </c>
      <c r="I4316" t="s">
        <v>2245</v>
      </c>
      <c r="J4316" t="s">
        <v>52</v>
      </c>
      <c r="K4316" s="3">
        <v>100917032611</v>
      </c>
      <c r="L4316" s="10">
        <v>40538</v>
      </c>
      <c r="M4316">
        <v>21.32</v>
      </c>
      <c r="N4316" s="11">
        <v>5</v>
      </c>
      <c r="O4316" s="12">
        <v>3.38</v>
      </c>
      <c r="P4316" s="12">
        <v>0.85</v>
      </c>
      <c r="Q4316" s="13">
        <v>2.2</v>
      </c>
      <c r="R4316" s="36" t="s">
        <v>1709</v>
      </c>
      <c r="S4316" s="7">
        <f t="shared" si="368"/>
        <v>0</v>
      </c>
      <c r="T4316" s="15" t="str">
        <f>VLOOKUP(R4316,产品分类!$C$2:$D$1278,2,0)</f>
        <v>办公用品</v>
      </c>
    </row>
    <row r="4317" spans="1:20">
      <c r="A4317" s="8">
        <f>DATE(2012,12,31)-736</f>
        <v>40538</v>
      </c>
      <c r="B4317" s="8">
        <f>DATE(2012,12,31)-736</f>
        <v>40538</v>
      </c>
      <c r="C4317" s="9" t="s">
        <v>1633</v>
      </c>
      <c r="D4317">
        <v>10021474593</v>
      </c>
      <c r="E4317" t="s">
        <v>47</v>
      </c>
      <c r="F4317" t="s">
        <v>97</v>
      </c>
      <c r="G4317" t="s">
        <v>98</v>
      </c>
      <c r="H4317" t="s">
        <v>99</v>
      </c>
      <c r="I4317" t="s">
        <v>98</v>
      </c>
      <c r="J4317" t="s">
        <v>52</v>
      </c>
      <c r="K4317" s="3">
        <v>100729791705</v>
      </c>
      <c r="L4317" s="10">
        <v>40539</v>
      </c>
      <c r="M4317">
        <v>457.51</v>
      </c>
      <c r="N4317" s="11">
        <v>42</v>
      </c>
      <c r="O4317" s="12">
        <v>11.66</v>
      </c>
      <c r="P4317" s="12">
        <v>7.95</v>
      </c>
      <c r="Q4317" s="13">
        <v>-183.75</v>
      </c>
      <c r="R4317" s="36" t="s">
        <v>1583</v>
      </c>
      <c r="S4317" s="7">
        <f t="shared" si="368"/>
        <v>1</v>
      </c>
      <c r="T4317" s="15" t="str">
        <f>VLOOKUP(R4317,产品分类!$C$2:$D$1278,2,0)</f>
        <v>办公用品</v>
      </c>
    </row>
    <row r="4318" spans="1:20">
      <c r="A4318" s="8">
        <f>DATE(2012,12,31)-1333</f>
        <v>39941</v>
      </c>
      <c r="B4318" s="8">
        <f>DATE(2012,12,31)-1333</f>
        <v>39941</v>
      </c>
      <c r="C4318" s="9" t="s">
        <v>158</v>
      </c>
      <c r="D4318">
        <v>10021535219</v>
      </c>
      <c r="E4318" t="s">
        <v>47</v>
      </c>
      <c r="F4318" t="s">
        <v>97</v>
      </c>
      <c r="G4318" t="s">
        <v>98</v>
      </c>
      <c r="H4318" t="s">
        <v>99</v>
      </c>
      <c r="I4318" t="s">
        <v>98</v>
      </c>
      <c r="J4318" t="s">
        <v>52</v>
      </c>
      <c r="K4318" s="3">
        <v>100731634805</v>
      </c>
      <c r="L4318" s="10">
        <v>39943</v>
      </c>
      <c r="M4318">
        <v>64.79</v>
      </c>
      <c r="N4318" s="11">
        <v>2</v>
      </c>
      <c r="O4318" s="12">
        <v>29.34</v>
      </c>
      <c r="P4318" s="12">
        <v>7.87</v>
      </c>
      <c r="Q4318" s="13">
        <v>-41.32</v>
      </c>
      <c r="R4318" s="36" t="s">
        <v>1731</v>
      </c>
      <c r="S4318" s="7">
        <f t="shared" si="368"/>
        <v>2</v>
      </c>
      <c r="T4318" s="15" t="str">
        <f>VLOOKUP(R4318,产品分类!$C$2:$D$1278,2,0)</f>
        <v>数码电子</v>
      </c>
    </row>
    <row r="4319" spans="1:20">
      <c r="A4319" s="8">
        <f>DATE(2012,12,31)-238</f>
        <v>41036</v>
      </c>
      <c r="B4319" s="8">
        <f>DATE(2012,12,31)-238</f>
        <v>41036</v>
      </c>
      <c r="C4319" s="9" t="s">
        <v>564</v>
      </c>
      <c r="D4319">
        <v>10021310474</v>
      </c>
      <c r="E4319" t="s">
        <v>47</v>
      </c>
      <c r="F4319" t="s">
        <v>152</v>
      </c>
      <c r="G4319" t="s">
        <v>153</v>
      </c>
      <c r="H4319" t="s">
        <v>2302</v>
      </c>
      <c r="I4319" t="s">
        <v>2303</v>
      </c>
      <c r="J4319" t="s">
        <v>52</v>
      </c>
      <c r="K4319" s="3">
        <v>100111041616</v>
      </c>
      <c r="L4319" s="10">
        <v>41038</v>
      </c>
      <c r="M4319">
        <v>707.3</v>
      </c>
      <c r="N4319" s="11">
        <v>10</v>
      </c>
      <c r="O4319" s="12">
        <v>70.98</v>
      </c>
      <c r="P4319" s="12">
        <v>26.74</v>
      </c>
      <c r="Q4319" s="13">
        <v>-127.94</v>
      </c>
      <c r="R4319" s="36" t="s">
        <v>1300</v>
      </c>
      <c r="S4319" s="7">
        <f t="shared" si="368"/>
        <v>2</v>
      </c>
      <c r="T4319" s="15" t="str">
        <f>VLOOKUP(R4319,产品分类!$C$2:$D$1278,2,0)</f>
        <v>家具产品</v>
      </c>
    </row>
    <row r="4320" spans="1:20">
      <c r="A4320" s="8">
        <f>DATE(2012,12,31)-238</f>
        <v>41036</v>
      </c>
      <c r="B4320" s="8">
        <f>DATE(2012,12,31)-238</f>
        <v>41036</v>
      </c>
      <c r="C4320" s="9" t="s">
        <v>564</v>
      </c>
      <c r="D4320">
        <v>10021571124</v>
      </c>
      <c r="E4320" t="s">
        <v>47</v>
      </c>
      <c r="F4320" t="s">
        <v>171</v>
      </c>
      <c r="G4320" t="s">
        <v>172</v>
      </c>
      <c r="H4320" t="s">
        <v>2073</v>
      </c>
      <c r="I4320" t="s">
        <v>2074</v>
      </c>
      <c r="J4320" t="s">
        <v>52</v>
      </c>
      <c r="K4320" s="3">
        <v>100131387756</v>
      </c>
      <c r="L4320" s="10">
        <v>41037</v>
      </c>
      <c r="M4320">
        <v>335.64</v>
      </c>
      <c r="N4320" s="11">
        <v>48</v>
      </c>
      <c r="O4320" s="12">
        <v>6.7</v>
      </c>
      <c r="P4320" s="12">
        <v>1.56</v>
      </c>
      <c r="Q4320" s="13">
        <v>80.13</v>
      </c>
      <c r="R4320" s="36" t="s">
        <v>1878</v>
      </c>
      <c r="S4320" s="7">
        <f t="shared" si="368"/>
        <v>1</v>
      </c>
      <c r="T4320" s="15" t="str">
        <f>VLOOKUP(R4320,产品分类!$C$2:$D$1278,2,0)</f>
        <v>办公用品</v>
      </c>
    </row>
    <row r="4321" spans="1:20">
      <c r="A4321" s="8">
        <f>DATE(2012,12,31)-1277</f>
        <v>39997</v>
      </c>
      <c r="B4321" s="8">
        <f>DATE(2012,12,31)-1277</f>
        <v>39997</v>
      </c>
      <c r="C4321" s="9" t="s">
        <v>2162</v>
      </c>
      <c r="D4321">
        <v>10021591571</v>
      </c>
      <c r="E4321" t="s">
        <v>47</v>
      </c>
      <c r="F4321" t="s">
        <v>66</v>
      </c>
      <c r="G4321" t="s">
        <v>67</v>
      </c>
      <c r="H4321" t="s">
        <v>2244</v>
      </c>
      <c r="I4321" t="s">
        <v>2245</v>
      </c>
      <c r="J4321" t="s">
        <v>52</v>
      </c>
      <c r="K4321" s="3">
        <v>100931811791</v>
      </c>
      <c r="L4321" s="10">
        <v>39999</v>
      </c>
      <c r="M4321">
        <v>55.81</v>
      </c>
      <c r="N4321" s="11">
        <v>7</v>
      </c>
      <c r="O4321" s="12">
        <v>6.48</v>
      </c>
      <c r="P4321" s="12">
        <v>8.73</v>
      </c>
      <c r="Q4321" s="13">
        <v>-35.04</v>
      </c>
      <c r="R4321" s="36" t="s">
        <v>924</v>
      </c>
      <c r="S4321" s="7">
        <f t="shared" si="368"/>
        <v>2</v>
      </c>
      <c r="T4321" s="15" t="str">
        <f>VLOOKUP(R4321,产品分类!$C$2:$D$1278,2,0)</f>
        <v>数码电子</v>
      </c>
    </row>
    <row r="4322" spans="1:20">
      <c r="A4322" s="8">
        <f>DATE(2012,12,31)-1277</f>
        <v>39997</v>
      </c>
      <c r="B4322" s="8">
        <f>DATE(2012,12,31)-1277</f>
        <v>39997</v>
      </c>
      <c r="C4322" s="9" t="s">
        <v>2162</v>
      </c>
      <c r="D4322">
        <v>10021593102</v>
      </c>
      <c r="E4322" t="s">
        <v>47</v>
      </c>
      <c r="F4322" t="s">
        <v>152</v>
      </c>
      <c r="G4322" t="s">
        <v>153</v>
      </c>
      <c r="H4322" t="s">
        <v>2302</v>
      </c>
      <c r="I4322" t="s">
        <v>2303</v>
      </c>
      <c r="J4322" t="s">
        <v>52</v>
      </c>
      <c r="K4322" s="3">
        <v>100125538287</v>
      </c>
      <c r="L4322" s="10">
        <v>40000</v>
      </c>
      <c r="M4322">
        <v>373.07</v>
      </c>
      <c r="N4322" s="11">
        <v>38</v>
      </c>
      <c r="O4322" s="12">
        <v>9.93</v>
      </c>
      <c r="P4322" s="12">
        <v>1.09</v>
      </c>
      <c r="Q4322" s="13">
        <v>149.53</v>
      </c>
      <c r="R4322" s="36" t="s">
        <v>393</v>
      </c>
      <c r="S4322" s="7">
        <f t="shared" si="368"/>
        <v>3</v>
      </c>
      <c r="T4322" s="15" t="str">
        <f>VLOOKUP(R4322,产品分类!$C$2:$D$1278,2,0)</f>
        <v>数码电子</v>
      </c>
    </row>
    <row r="4323" spans="1:20">
      <c r="A4323" s="8">
        <f>DATE(2012,12,31)-168</f>
        <v>41106</v>
      </c>
      <c r="B4323" s="8">
        <f>DATE(2012,12,31)-168</f>
        <v>41106</v>
      </c>
      <c r="C4323" s="9" t="s">
        <v>686</v>
      </c>
      <c r="D4323">
        <v>10021414806</v>
      </c>
      <c r="E4323" t="s">
        <v>47</v>
      </c>
      <c r="F4323" t="s">
        <v>66</v>
      </c>
      <c r="G4323" t="s">
        <v>67</v>
      </c>
      <c r="H4323" t="s">
        <v>2244</v>
      </c>
      <c r="I4323" t="s">
        <v>2245</v>
      </c>
      <c r="J4323" t="s">
        <v>52</v>
      </c>
      <c r="K4323" s="3">
        <v>10049575464</v>
      </c>
      <c r="L4323" s="10">
        <v>41106</v>
      </c>
      <c r="M4323">
        <v>65.91</v>
      </c>
      <c r="N4323" s="11">
        <v>23</v>
      </c>
      <c r="O4323" s="12">
        <v>2.78</v>
      </c>
      <c r="P4323" s="12">
        <v>1.34</v>
      </c>
      <c r="Q4323" s="13">
        <v>0.760000000000001</v>
      </c>
      <c r="R4323" s="36" t="s">
        <v>452</v>
      </c>
      <c r="S4323" s="7">
        <f t="shared" si="368"/>
        <v>0</v>
      </c>
      <c r="T4323" s="15" t="str">
        <f>VLOOKUP(R4323,产品分类!$C$2:$D$1278,2,0)</f>
        <v>家具产品</v>
      </c>
    </row>
    <row r="4324" spans="1:20">
      <c r="A4324" s="8">
        <f>DATE(2012,12,31)-168</f>
        <v>41106</v>
      </c>
      <c r="B4324" s="8">
        <f>DATE(2012,12,31)-168</f>
        <v>41106</v>
      </c>
      <c r="C4324" s="9" t="s">
        <v>686</v>
      </c>
      <c r="D4324">
        <v>10021264375</v>
      </c>
      <c r="E4324" t="s">
        <v>47</v>
      </c>
      <c r="F4324" t="s">
        <v>152</v>
      </c>
      <c r="G4324" t="s">
        <v>153</v>
      </c>
      <c r="H4324" t="s">
        <v>2302</v>
      </c>
      <c r="I4324" t="s">
        <v>2303</v>
      </c>
      <c r="J4324" t="s">
        <v>52</v>
      </c>
      <c r="K4324" s="3">
        <v>100130980208</v>
      </c>
      <c r="L4324" s="10">
        <v>41107</v>
      </c>
      <c r="M4324">
        <v>72.72</v>
      </c>
      <c r="N4324" s="11">
        <v>4</v>
      </c>
      <c r="O4324" s="12">
        <v>15.42</v>
      </c>
      <c r="P4324" s="12">
        <v>10.68</v>
      </c>
      <c r="Q4324" s="13">
        <v>-36.61</v>
      </c>
      <c r="R4324" s="36" t="s">
        <v>165</v>
      </c>
      <c r="S4324" s="7">
        <f t="shared" si="368"/>
        <v>1</v>
      </c>
      <c r="T4324" s="15" t="str">
        <f>VLOOKUP(R4324,产品分类!$C$2:$D$1278,2,0)</f>
        <v>办公用品</v>
      </c>
    </row>
    <row r="4325" spans="1:20">
      <c r="A4325" s="8">
        <f>DATE(2012,12,31)-461</f>
        <v>40813</v>
      </c>
      <c r="B4325" s="8">
        <f>DATE(2012,12,31)-461</f>
        <v>40813</v>
      </c>
      <c r="C4325" s="9" t="s">
        <v>596</v>
      </c>
      <c r="D4325">
        <v>10021587786</v>
      </c>
      <c r="E4325" t="s">
        <v>47</v>
      </c>
      <c r="F4325" t="s">
        <v>66</v>
      </c>
      <c r="G4325" t="s">
        <v>67</v>
      </c>
      <c r="H4325" t="s">
        <v>2244</v>
      </c>
      <c r="I4325" t="s">
        <v>2245</v>
      </c>
      <c r="J4325" t="s">
        <v>52</v>
      </c>
      <c r="K4325" s="3">
        <v>100830082962</v>
      </c>
      <c r="L4325" s="10">
        <v>40814</v>
      </c>
      <c r="M4325">
        <v>6477.459</v>
      </c>
      <c r="N4325" s="11">
        <v>43</v>
      </c>
      <c r="O4325" s="12">
        <v>175.99</v>
      </c>
      <c r="P4325" s="12">
        <v>8.99</v>
      </c>
      <c r="Q4325" s="13">
        <v>1836.459</v>
      </c>
      <c r="R4325" s="36" t="s">
        <v>1570</v>
      </c>
      <c r="S4325" s="7">
        <f t="shared" si="368"/>
        <v>1</v>
      </c>
      <c r="T4325" s="15" t="str">
        <f>VLOOKUP(R4325,产品分类!$C$2:$D$1278,2,0)</f>
        <v>办公用品</v>
      </c>
    </row>
    <row r="4326" spans="1:20">
      <c r="A4326" s="8">
        <f>DATE(2012,12,31)-632</f>
        <v>40642</v>
      </c>
      <c r="B4326" s="8">
        <f>DATE(2012,12,31)-632</f>
        <v>40642</v>
      </c>
      <c r="C4326" s="9" t="s">
        <v>1233</v>
      </c>
      <c r="D4326">
        <v>10021525934</v>
      </c>
      <c r="E4326" t="s">
        <v>47</v>
      </c>
      <c r="F4326" t="s">
        <v>152</v>
      </c>
      <c r="G4326" t="s">
        <v>153</v>
      </c>
      <c r="H4326" t="s">
        <v>2302</v>
      </c>
      <c r="I4326" t="s">
        <v>2303</v>
      </c>
      <c r="J4326" t="s">
        <v>52</v>
      </c>
      <c r="K4326" s="3">
        <v>100423354184</v>
      </c>
      <c r="L4326" s="10">
        <v>40643</v>
      </c>
      <c r="M4326">
        <v>48.01</v>
      </c>
      <c r="N4326" s="11">
        <v>21</v>
      </c>
      <c r="O4326" s="12">
        <v>2.21</v>
      </c>
      <c r="P4326" s="12">
        <v>1.12</v>
      </c>
      <c r="Q4326" s="13">
        <v>-6.85</v>
      </c>
      <c r="R4326" s="36" t="s">
        <v>1892</v>
      </c>
      <c r="S4326" s="7">
        <f t="shared" si="368"/>
        <v>1</v>
      </c>
      <c r="T4326" s="15" t="str">
        <f>VLOOKUP(R4326,产品分类!$C$2:$D$1278,2,0)</f>
        <v>办公用品</v>
      </c>
    </row>
    <row r="4327" spans="1:20">
      <c r="A4327" s="8">
        <f>DATE(2012,12,31)-610</f>
        <v>40664</v>
      </c>
      <c r="B4327" s="8">
        <f>DATE(2012,12,31)-610</f>
        <v>40664</v>
      </c>
      <c r="C4327" s="9" t="s">
        <v>1445</v>
      </c>
      <c r="D4327">
        <v>10021605235</v>
      </c>
      <c r="E4327" t="s">
        <v>47</v>
      </c>
      <c r="F4327" t="s">
        <v>152</v>
      </c>
      <c r="G4327" t="s">
        <v>153</v>
      </c>
      <c r="H4327" t="s">
        <v>2302</v>
      </c>
      <c r="I4327" t="s">
        <v>2303</v>
      </c>
      <c r="J4327" t="s">
        <v>52</v>
      </c>
      <c r="K4327" s="3">
        <v>10033725049</v>
      </c>
      <c r="L4327" s="10">
        <v>40666</v>
      </c>
      <c r="M4327">
        <v>4324.29</v>
      </c>
      <c r="N4327" s="11">
        <v>13</v>
      </c>
      <c r="O4327" s="12">
        <v>348.21</v>
      </c>
      <c r="P4327" s="12">
        <v>40.19</v>
      </c>
      <c r="Q4327" s="13">
        <v>298.83</v>
      </c>
      <c r="R4327" s="36" t="s">
        <v>1195</v>
      </c>
      <c r="S4327" s="7">
        <f t="shared" si="368"/>
        <v>2</v>
      </c>
      <c r="T4327" s="15" t="str">
        <f>VLOOKUP(R4327,产品分类!$C$2:$D$1278,2,0)</f>
        <v>办公用品</v>
      </c>
    </row>
    <row r="4328" spans="1:20">
      <c r="A4328" s="16">
        <f>DATE(2012,12,31)-832</f>
        <v>40442</v>
      </c>
      <c r="B4328" s="16">
        <f>DATE(2012,12,31)-832</f>
        <v>40442</v>
      </c>
      <c r="C4328" s="9" t="s">
        <v>136</v>
      </c>
      <c r="D4328">
        <v>10021334281</v>
      </c>
      <c r="E4328" t="s">
        <v>47</v>
      </c>
      <c r="F4328" t="s">
        <v>66</v>
      </c>
      <c r="G4328" t="s">
        <v>67</v>
      </c>
      <c r="H4328" t="s">
        <v>2244</v>
      </c>
      <c r="I4328" t="s">
        <v>2245</v>
      </c>
      <c r="J4328" t="s">
        <v>52</v>
      </c>
      <c r="K4328" s="3">
        <v>100410866973</v>
      </c>
      <c r="L4328" s="10">
        <v>40446</v>
      </c>
      <c r="M4328">
        <v>336.29</v>
      </c>
      <c r="N4328" s="17">
        <v>16</v>
      </c>
      <c r="O4328" s="5">
        <v>21.38</v>
      </c>
      <c r="P4328" s="5">
        <v>8.99</v>
      </c>
      <c r="Q4328" s="6">
        <v>-52.14</v>
      </c>
      <c r="R4328" s="37" t="s">
        <v>993</v>
      </c>
      <c r="S4328" s="7">
        <f t="shared" si="368"/>
        <v>4</v>
      </c>
      <c r="T4328" s="15" t="str">
        <f>VLOOKUP(R4328,产品分类!$C$2:$D$1278,2,0)</f>
        <v>数码电子</v>
      </c>
    </row>
    <row r="4329" spans="1:20">
      <c r="A4329" s="8">
        <f>DATE(2012,12,31)-1327</f>
        <v>39947</v>
      </c>
      <c r="B4329" s="8">
        <f>DATE(2012,12,31)-1327</f>
        <v>39947</v>
      </c>
      <c r="C4329" s="9" t="s">
        <v>683</v>
      </c>
      <c r="D4329">
        <v>10021530254</v>
      </c>
      <c r="E4329" t="s">
        <v>47</v>
      </c>
      <c r="F4329" t="s">
        <v>48</v>
      </c>
      <c r="G4329" t="s">
        <v>49</v>
      </c>
      <c r="H4329" t="s">
        <v>2183</v>
      </c>
      <c r="I4329" t="s">
        <v>2184</v>
      </c>
      <c r="J4329" t="s">
        <v>52</v>
      </c>
      <c r="K4329" s="3">
        <v>10012022716</v>
      </c>
      <c r="L4329" s="10">
        <v>39948</v>
      </c>
      <c r="M4329">
        <v>2827.1425</v>
      </c>
      <c r="N4329" s="11">
        <v>35</v>
      </c>
      <c r="O4329" s="12">
        <v>95.99</v>
      </c>
      <c r="P4329" s="12">
        <v>4.9</v>
      </c>
      <c r="Q4329" s="13">
        <v>713.88</v>
      </c>
      <c r="R4329" s="36" t="s">
        <v>509</v>
      </c>
      <c r="S4329" s="7">
        <f t="shared" si="368"/>
        <v>1</v>
      </c>
      <c r="T4329" s="15" t="str">
        <f>VLOOKUP(R4329,产品分类!$C$2:$D$1278,2,0)</f>
        <v>数码电子</v>
      </c>
    </row>
    <row r="4330" spans="1:20">
      <c r="A4330" s="8">
        <f>DATE(2012,12,31)-523</f>
        <v>40751</v>
      </c>
      <c r="B4330" s="8">
        <f>DATE(2012,12,31)-523</f>
        <v>40751</v>
      </c>
      <c r="C4330" s="9" t="s">
        <v>1359</v>
      </c>
      <c r="D4330">
        <v>10021423383</v>
      </c>
      <c r="E4330" t="s">
        <v>47</v>
      </c>
      <c r="F4330" t="s">
        <v>152</v>
      </c>
      <c r="G4330" t="s">
        <v>153</v>
      </c>
      <c r="H4330" t="s">
        <v>2302</v>
      </c>
      <c r="I4330" t="s">
        <v>2303</v>
      </c>
      <c r="J4330" t="s">
        <v>52</v>
      </c>
      <c r="K4330" s="3">
        <v>100127807088</v>
      </c>
      <c r="L4330" s="10">
        <v>40754</v>
      </c>
      <c r="M4330">
        <v>41.52</v>
      </c>
      <c r="N4330" s="11">
        <v>16</v>
      </c>
      <c r="O4330" s="12">
        <v>2.18</v>
      </c>
      <c r="P4330" s="12">
        <v>7.09</v>
      </c>
      <c r="Q4330" s="13">
        <v>-85.17</v>
      </c>
      <c r="R4330" s="36" t="s">
        <v>1095</v>
      </c>
      <c r="S4330" s="7">
        <f t="shared" si="368"/>
        <v>3</v>
      </c>
      <c r="T4330" s="15" t="str">
        <f>VLOOKUP(R4330,产品分类!$C$2:$D$1278,2,0)</f>
        <v>办公用品</v>
      </c>
    </row>
    <row r="4331" spans="1:20">
      <c r="A4331" s="8">
        <f>DATE(2012,12,31)-523</f>
        <v>40751</v>
      </c>
      <c r="B4331" s="8">
        <f>DATE(2012,12,31)-523</f>
        <v>40751</v>
      </c>
      <c r="C4331" s="9" t="s">
        <v>1359</v>
      </c>
      <c r="D4331">
        <v>10021264619</v>
      </c>
      <c r="E4331" t="s">
        <v>47</v>
      </c>
      <c r="F4331" t="s">
        <v>66</v>
      </c>
      <c r="G4331" t="s">
        <v>67</v>
      </c>
      <c r="H4331" t="s">
        <v>2244</v>
      </c>
      <c r="I4331" t="s">
        <v>2245</v>
      </c>
      <c r="J4331" t="s">
        <v>52</v>
      </c>
      <c r="K4331" s="3">
        <v>100431205234</v>
      </c>
      <c r="L4331" s="10">
        <v>40754</v>
      </c>
      <c r="M4331">
        <v>254.02</v>
      </c>
      <c r="N4331" s="11">
        <v>40</v>
      </c>
      <c r="O4331" s="12">
        <v>6.3</v>
      </c>
      <c r="P4331" s="12">
        <v>0.5</v>
      </c>
      <c r="Q4331" s="13">
        <v>123.14</v>
      </c>
      <c r="R4331" s="36" t="s">
        <v>741</v>
      </c>
      <c r="S4331" s="7">
        <f t="shared" si="368"/>
        <v>3</v>
      </c>
      <c r="T4331" s="15" t="str">
        <f>VLOOKUP(R4331,产品分类!$C$2:$D$1278,2,0)</f>
        <v>办公用品</v>
      </c>
    </row>
    <row r="4332" spans="1:20">
      <c r="A4332" s="8">
        <f>DATE(2012,12,31)-863</f>
        <v>40411</v>
      </c>
      <c r="B4332" s="8">
        <f>DATE(2012,12,31)-863</f>
        <v>40411</v>
      </c>
      <c r="C4332" s="9" t="s">
        <v>567</v>
      </c>
      <c r="D4332">
        <v>10021464212</v>
      </c>
      <c r="E4332" t="s">
        <v>47</v>
      </c>
      <c r="F4332" t="s">
        <v>152</v>
      </c>
      <c r="G4332" t="s">
        <v>153</v>
      </c>
      <c r="H4332" t="s">
        <v>2302</v>
      </c>
      <c r="I4332" t="s">
        <v>2303</v>
      </c>
      <c r="J4332" t="s">
        <v>52</v>
      </c>
      <c r="K4332" s="3">
        <v>100926253201</v>
      </c>
      <c r="L4332" s="10">
        <v>40412</v>
      </c>
      <c r="M4332">
        <v>201.37</v>
      </c>
      <c r="N4332" s="11">
        <v>30</v>
      </c>
      <c r="O4332" s="12">
        <v>6.98</v>
      </c>
      <c r="P4332" s="12">
        <v>1.6</v>
      </c>
      <c r="Q4332" s="13">
        <v>59.84</v>
      </c>
      <c r="R4332" s="36" t="s">
        <v>1417</v>
      </c>
      <c r="S4332" s="7">
        <f t="shared" si="368"/>
        <v>1</v>
      </c>
      <c r="T4332" s="15" t="str">
        <f>VLOOKUP(R4332,产品分类!$C$2:$D$1278,2,0)</f>
        <v>数码电子</v>
      </c>
    </row>
    <row r="4333" spans="1:20">
      <c r="A4333" s="8">
        <f>DATE(2012,12,31)-827</f>
        <v>40447</v>
      </c>
      <c r="B4333" s="8">
        <f>DATE(2012,12,31)-827</f>
        <v>40447</v>
      </c>
      <c r="C4333" s="9" t="s">
        <v>1019</v>
      </c>
      <c r="D4333">
        <v>10021250328</v>
      </c>
      <c r="E4333" t="s">
        <v>47</v>
      </c>
      <c r="F4333" t="s">
        <v>152</v>
      </c>
      <c r="G4333" t="s">
        <v>153</v>
      </c>
      <c r="H4333" t="s">
        <v>2302</v>
      </c>
      <c r="I4333" t="s">
        <v>2303</v>
      </c>
      <c r="J4333" t="s">
        <v>52</v>
      </c>
      <c r="K4333" s="3">
        <v>10019265918</v>
      </c>
      <c r="L4333" s="10">
        <v>40452</v>
      </c>
      <c r="M4333">
        <v>763.448</v>
      </c>
      <c r="N4333" s="11">
        <v>6</v>
      </c>
      <c r="O4333" s="12">
        <v>146.05</v>
      </c>
      <c r="P4333" s="12">
        <v>80.2</v>
      </c>
      <c r="Q4333" s="13">
        <v>-352.959035</v>
      </c>
      <c r="R4333" s="36" t="s">
        <v>239</v>
      </c>
      <c r="S4333" s="7">
        <f t="shared" si="368"/>
        <v>5</v>
      </c>
      <c r="T4333" s="15" t="str">
        <f>VLOOKUP(R4333,产品分类!$C$2:$D$1278,2,0)</f>
        <v>办公用品</v>
      </c>
    </row>
    <row r="4334" spans="1:20">
      <c r="A4334" s="8">
        <f>DATE(2012,12,31)-924</f>
        <v>40350</v>
      </c>
      <c r="B4334" s="8">
        <f>DATE(2012,12,31)-924</f>
        <v>40350</v>
      </c>
      <c r="C4334" s="9" t="s">
        <v>987</v>
      </c>
      <c r="D4334">
        <v>10021386463</v>
      </c>
      <c r="E4334" t="s">
        <v>47</v>
      </c>
      <c r="F4334" t="s">
        <v>48</v>
      </c>
      <c r="G4334" t="s">
        <v>49</v>
      </c>
      <c r="H4334" t="s">
        <v>2183</v>
      </c>
      <c r="I4334" t="s">
        <v>2184</v>
      </c>
      <c r="J4334" t="s">
        <v>52</v>
      </c>
      <c r="K4334" s="3">
        <v>100410040294</v>
      </c>
      <c r="L4334" s="10">
        <v>40351</v>
      </c>
      <c r="M4334">
        <v>234.24</v>
      </c>
      <c r="N4334" s="11">
        <v>24</v>
      </c>
      <c r="O4334" s="12">
        <v>9.71</v>
      </c>
      <c r="P4334" s="12">
        <v>9.45</v>
      </c>
      <c r="Q4334" s="13">
        <v>-151.8</v>
      </c>
      <c r="R4334" s="36" t="s">
        <v>135</v>
      </c>
      <c r="S4334" s="7">
        <f t="shared" si="368"/>
        <v>1</v>
      </c>
      <c r="T4334" s="15" t="str">
        <f>VLOOKUP(R4334,产品分类!$C$2:$D$1278,2,0)</f>
        <v>办公用品</v>
      </c>
    </row>
    <row r="4335" spans="1:20">
      <c r="A4335" s="8">
        <f>DATE(2012,12,31)-233</f>
        <v>41041</v>
      </c>
      <c r="B4335" s="8">
        <f>DATE(2012,12,31)-233</f>
        <v>41041</v>
      </c>
      <c r="C4335" s="9" t="s">
        <v>515</v>
      </c>
      <c r="D4335">
        <v>10021303352</v>
      </c>
      <c r="E4335" t="s">
        <v>47</v>
      </c>
      <c r="F4335" t="s">
        <v>66</v>
      </c>
      <c r="G4335" t="s">
        <v>67</v>
      </c>
      <c r="H4335" t="s">
        <v>2244</v>
      </c>
      <c r="I4335" t="s">
        <v>2245</v>
      </c>
      <c r="J4335" t="s">
        <v>52</v>
      </c>
      <c r="K4335" s="3">
        <v>100131814346</v>
      </c>
      <c r="L4335" s="10">
        <v>41046</v>
      </c>
      <c r="M4335">
        <v>5320.57</v>
      </c>
      <c r="N4335" s="11">
        <v>28</v>
      </c>
      <c r="O4335" s="12">
        <v>193.17</v>
      </c>
      <c r="P4335" s="12">
        <v>19.99</v>
      </c>
      <c r="Q4335" s="13">
        <v>534.29</v>
      </c>
      <c r="R4335" s="36" t="s">
        <v>212</v>
      </c>
      <c r="S4335" s="7">
        <f t="shared" si="368"/>
        <v>5</v>
      </c>
      <c r="T4335" s="15" t="str">
        <f>VLOOKUP(R4335,产品分类!$C$2:$D$1278,2,0)</f>
        <v>家具产品</v>
      </c>
    </row>
    <row r="4336" spans="1:20">
      <c r="A4336" s="8">
        <f>DATE(2012,12,31)-908</f>
        <v>40366</v>
      </c>
      <c r="B4336" s="8">
        <f>DATE(2012,12,31)-908</f>
        <v>40366</v>
      </c>
      <c r="C4336" s="9" t="s">
        <v>158</v>
      </c>
      <c r="D4336">
        <v>10021353488</v>
      </c>
      <c r="E4336" t="s">
        <v>47</v>
      </c>
      <c r="F4336" t="s">
        <v>66</v>
      </c>
      <c r="G4336" t="s">
        <v>67</v>
      </c>
      <c r="H4336" t="s">
        <v>2244</v>
      </c>
      <c r="I4336" t="s">
        <v>2245</v>
      </c>
      <c r="J4336" t="s">
        <v>52</v>
      </c>
      <c r="K4336" s="3">
        <v>100332569069</v>
      </c>
      <c r="L4336" s="10">
        <v>40366</v>
      </c>
      <c r="M4336">
        <v>4357.117</v>
      </c>
      <c r="N4336" s="11">
        <v>44</v>
      </c>
      <c r="O4336" s="12">
        <v>115.99</v>
      </c>
      <c r="P4336" s="12">
        <v>5.92</v>
      </c>
      <c r="Q4336" s="13">
        <v>1192.977</v>
      </c>
      <c r="R4336" s="36" t="s">
        <v>1104</v>
      </c>
      <c r="S4336" s="7">
        <f t="shared" si="368"/>
        <v>0</v>
      </c>
      <c r="T4336" s="15" t="str">
        <f>VLOOKUP(R4336,产品分类!$C$2:$D$1278,2,0)</f>
        <v>办公用品</v>
      </c>
    </row>
    <row r="4337" spans="1:20">
      <c r="A4337" s="8">
        <f t="shared" ref="A4337:B4340" si="370">DATE(2012,12,31)-100</f>
        <v>41174</v>
      </c>
      <c r="B4337" s="8">
        <f t="shared" si="370"/>
        <v>41174</v>
      </c>
      <c r="C4337" s="9" t="s">
        <v>571</v>
      </c>
      <c r="D4337">
        <v>10021511251</v>
      </c>
      <c r="E4337" t="s">
        <v>47</v>
      </c>
      <c r="F4337" t="s">
        <v>72</v>
      </c>
      <c r="G4337" t="s">
        <v>73</v>
      </c>
      <c r="H4337" t="s">
        <v>2008</v>
      </c>
      <c r="I4337" t="s">
        <v>2009</v>
      </c>
      <c r="J4337" t="s">
        <v>52</v>
      </c>
      <c r="K4337" s="3">
        <v>100927450201</v>
      </c>
      <c r="L4337" s="10">
        <v>41175</v>
      </c>
      <c r="M4337">
        <v>143.1</v>
      </c>
      <c r="N4337" s="11">
        <v>23</v>
      </c>
      <c r="O4337" s="12">
        <v>5.98</v>
      </c>
      <c r="P4337" s="12">
        <v>1.49</v>
      </c>
      <c r="Q4337" s="13">
        <v>36.7455</v>
      </c>
      <c r="R4337" s="36" t="s">
        <v>392</v>
      </c>
      <c r="S4337" s="7">
        <f t="shared" si="368"/>
        <v>1</v>
      </c>
      <c r="T4337" s="15" t="str">
        <f>VLOOKUP(R4337,产品分类!$C$2:$D$1278,2,0)</f>
        <v>办公用品</v>
      </c>
    </row>
    <row r="4338" spans="1:20">
      <c r="A4338" s="8">
        <f t="shared" si="370"/>
        <v>41174</v>
      </c>
      <c r="B4338" s="8">
        <f t="shared" si="370"/>
        <v>41174</v>
      </c>
      <c r="C4338" s="9" t="s">
        <v>571</v>
      </c>
      <c r="D4338">
        <v>10021281919</v>
      </c>
      <c r="E4338" t="s">
        <v>47</v>
      </c>
      <c r="F4338" t="s">
        <v>78</v>
      </c>
      <c r="G4338" t="s">
        <v>79</v>
      </c>
      <c r="H4338" t="s">
        <v>2105</v>
      </c>
      <c r="I4338" t="s">
        <v>2106</v>
      </c>
      <c r="J4338" t="s">
        <v>52</v>
      </c>
      <c r="K4338" s="3">
        <v>100923828251</v>
      </c>
      <c r="L4338" s="10">
        <v>41176</v>
      </c>
      <c r="M4338">
        <v>795.52</v>
      </c>
      <c r="N4338" s="11">
        <v>36</v>
      </c>
      <c r="O4338" s="12">
        <v>22.24</v>
      </c>
      <c r="P4338" s="12">
        <v>1.99</v>
      </c>
      <c r="Q4338" s="13">
        <v>290.64</v>
      </c>
      <c r="R4338" s="36" t="s">
        <v>1479</v>
      </c>
      <c r="S4338" s="7">
        <f t="shared" si="368"/>
        <v>2</v>
      </c>
      <c r="T4338" s="15" t="str">
        <f>VLOOKUP(R4338,产品分类!$C$2:$D$1278,2,0)</f>
        <v>数码电子</v>
      </c>
    </row>
    <row r="4339" spans="1:20">
      <c r="A4339" s="8">
        <f t="shared" si="370"/>
        <v>41174</v>
      </c>
      <c r="B4339" s="8">
        <f t="shared" si="370"/>
        <v>41174</v>
      </c>
      <c r="C4339" s="9" t="s">
        <v>571</v>
      </c>
      <c r="D4339">
        <v>10021450018</v>
      </c>
      <c r="E4339" t="s">
        <v>47</v>
      </c>
      <c r="F4339" t="s">
        <v>78</v>
      </c>
      <c r="G4339" t="s">
        <v>79</v>
      </c>
      <c r="H4339" t="s">
        <v>2105</v>
      </c>
      <c r="I4339" t="s">
        <v>2106</v>
      </c>
      <c r="J4339" t="s">
        <v>52</v>
      </c>
      <c r="K4339" s="3">
        <v>100328582069</v>
      </c>
      <c r="L4339" s="10">
        <v>41176</v>
      </c>
      <c r="M4339">
        <v>126.36</v>
      </c>
      <c r="N4339" s="11">
        <v>44</v>
      </c>
      <c r="O4339" s="12">
        <v>2.89</v>
      </c>
      <c r="P4339" s="12">
        <v>0.5</v>
      </c>
      <c r="Q4339" s="13">
        <v>50.26</v>
      </c>
      <c r="R4339" s="36" t="s">
        <v>118</v>
      </c>
      <c r="S4339" s="7">
        <f t="shared" si="368"/>
        <v>2</v>
      </c>
      <c r="T4339" s="15" t="str">
        <f>VLOOKUP(R4339,产品分类!$C$2:$D$1278,2,0)</f>
        <v>办公用品</v>
      </c>
    </row>
    <row r="4340" spans="1:20">
      <c r="A4340" s="8">
        <f t="shared" si="370"/>
        <v>41174</v>
      </c>
      <c r="B4340" s="8">
        <f t="shared" si="370"/>
        <v>41174</v>
      </c>
      <c r="C4340" s="9" t="s">
        <v>571</v>
      </c>
      <c r="D4340">
        <v>10021390309</v>
      </c>
      <c r="E4340" t="s">
        <v>47</v>
      </c>
      <c r="F4340" t="s">
        <v>72</v>
      </c>
      <c r="G4340" t="s">
        <v>73</v>
      </c>
      <c r="H4340" t="s">
        <v>2008</v>
      </c>
      <c r="I4340" t="s">
        <v>2009</v>
      </c>
      <c r="J4340" t="s">
        <v>52</v>
      </c>
      <c r="K4340" s="3">
        <v>10091712811</v>
      </c>
      <c r="L4340" s="10">
        <v>41176</v>
      </c>
      <c r="M4340">
        <v>496.62</v>
      </c>
      <c r="N4340" s="11">
        <v>24</v>
      </c>
      <c r="O4340" s="12">
        <v>19.98</v>
      </c>
      <c r="P4340" s="12">
        <v>10.49</v>
      </c>
      <c r="Q4340" s="13">
        <v>49.86</v>
      </c>
      <c r="R4340" s="36" t="s">
        <v>932</v>
      </c>
      <c r="S4340" s="7">
        <f t="shared" si="368"/>
        <v>2</v>
      </c>
      <c r="T4340" s="15" t="str">
        <f>VLOOKUP(R4340,产品分类!$C$2:$D$1278,2,0)</f>
        <v>数码电子</v>
      </c>
    </row>
    <row r="4341" spans="1:20">
      <c r="A4341" s="16">
        <f>DATE(2012,12,31)-1445</f>
        <v>39829</v>
      </c>
      <c r="B4341" s="16">
        <f>DATE(2012,12,31)-1445</f>
        <v>39829</v>
      </c>
      <c r="C4341" s="9" t="s">
        <v>1060</v>
      </c>
      <c r="D4341">
        <v>10021467988</v>
      </c>
      <c r="E4341" t="s">
        <v>47</v>
      </c>
      <c r="F4341" t="s">
        <v>72</v>
      </c>
      <c r="G4341" t="s">
        <v>73</v>
      </c>
      <c r="H4341" t="s">
        <v>2008</v>
      </c>
      <c r="I4341" t="s">
        <v>2009</v>
      </c>
      <c r="J4341" t="s">
        <v>52</v>
      </c>
      <c r="K4341" s="3">
        <v>100430907524</v>
      </c>
      <c r="L4341" s="10">
        <v>39829</v>
      </c>
      <c r="M4341">
        <v>62.78</v>
      </c>
      <c r="N4341" s="17">
        <v>20</v>
      </c>
      <c r="O4341" s="5">
        <v>2.98</v>
      </c>
      <c r="P4341" s="5">
        <v>2.03</v>
      </c>
      <c r="Q4341" s="6">
        <v>-17.75</v>
      </c>
      <c r="R4341" s="37" t="s">
        <v>2097</v>
      </c>
      <c r="S4341" s="7">
        <f t="shared" si="368"/>
        <v>0</v>
      </c>
      <c r="T4341" s="15" t="str">
        <f>VLOOKUP(R4341,产品分类!$C$2:$D$1278,2,0)</f>
        <v>数码电子</v>
      </c>
    </row>
    <row r="4342" spans="1:20">
      <c r="A4342" s="8">
        <f>DATE(2012,12,31)-1445</f>
        <v>39829</v>
      </c>
      <c r="B4342" s="8">
        <f>DATE(2012,12,31)-1445</f>
        <v>39829</v>
      </c>
      <c r="C4342" s="9" t="s">
        <v>1060</v>
      </c>
      <c r="D4342">
        <v>10021445185</v>
      </c>
      <c r="E4342" t="s">
        <v>47</v>
      </c>
      <c r="F4342" t="s">
        <v>72</v>
      </c>
      <c r="G4342" t="s">
        <v>73</v>
      </c>
      <c r="H4342" t="s">
        <v>2008</v>
      </c>
      <c r="I4342" t="s">
        <v>2009</v>
      </c>
      <c r="J4342" t="s">
        <v>52</v>
      </c>
      <c r="K4342" s="3">
        <v>100911552141</v>
      </c>
      <c r="L4342" s="10">
        <v>39834</v>
      </c>
      <c r="M4342">
        <v>2836.0505</v>
      </c>
      <c r="N4342" s="11">
        <v>25</v>
      </c>
      <c r="O4342" s="12">
        <v>125.99</v>
      </c>
      <c r="P4342" s="12">
        <v>8.99</v>
      </c>
      <c r="Q4342" s="13">
        <v>561.132</v>
      </c>
      <c r="R4342" s="36" t="s">
        <v>1637</v>
      </c>
      <c r="S4342" s="7">
        <f t="shared" si="368"/>
        <v>5</v>
      </c>
      <c r="T4342" s="15" t="str">
        <f>VLOOKUP(R4342,产品分类!$C$2:$D$1278,2,0)</f>
        <v>数码电子</v>
      </c>
    </row>
    <row r="4343" spans="1:20">
      <c r="A4343" s="8">
        <f>DATE(2012,12,31)-791</f>
        <v>40483</v>
      </c>
      <c r="B4343" s="8">
        <f>DATE(2012,12,31)-791</f>
        <v>40483</v>
      </c>
      <c r="C4343" s="9" t="s">
        <v>1404</v>
      </c>
      <c r="D4343">
        <v>10021293740</v>
      </c>
      <c r="E4343" t="s">
        <v>47</v>
      </c>
      <c r="F4343" t="s">
        <v>78</v>
      </c>
      <c r="G4343" t="s">
        <v>79</v>
      </c>
      <c r="H4343" t="s">
        <v>2105</v>
      </c>
      <c r="I4343" t="s">
        <v>2106</v>
      </c>
      <c r="J4343" t="s">
        <v>52</v>
      </c>
      <c r="K4343" s="3">
        <v>10046638124</v>
      </c>
      <c r="L4343" s="10">
        <v>40485</v>
      </c>
      <c r="M4343">
        <v>86.79</v>
      </c>
      <c r="N4343" s="11">
        <v>11</v>
      </c>
      <c r="O4343" s="12">
        <v>8.12</v>
      </c>
      <c r="P4343" s="12">
        <v>2.83</v>
      </c>
      <c r="Q4343" s="13">
        <v>-45.6</v>
      </c>
      <c r="R4343" s="36" t="s">
        <v>923</v>
      </c>
      <c r="S4343" s="7">
        <f t="shared" si="368"/>
        <v>2</v>
      </c>
      <c r="T4343" s="15" t="str">
        <f>VLOOKUP(R4343,产品分类!$C$2:$D$1278,2,0)</f>
        <v>办公用品</v>
      </c>
    </row>
    <row r="4344" spans="1:20">
      <c r="A4344" s="8">
        <f>DATE(2012,12,31)-791</f>
        <v>40483</v>
      </c>
      <c r="B4344" s="8">
        <f>DATE(2012,12,31)-791</f>
        <v>40483</v>
      </c>
      <c r="C4344" s="9" t="s">
        <v>1404</v>
      </c>
      <c r="D4344">
        <v>10021336018</v>
      </c>
      <c r="E4344" t="s">
        <v>47</v>
      </c>
      <c r="F4344" t="s">
        <v>78</v>
      </c>
      <c r="G4344" t="s">
        <v>79</v>
      </c>
      <c r="H4344" t="s">
        <v>2105</v>
      </c>
      <c r="I4344" t="s">
        <v>2106</v>
      </c>
      <c r="J4344" t="s">
        <v>52</v>
      </c>
      <c r="K4344" s="3">
        <v>10036294469</v>
      </c>
      <c r="L4344" s="10">
        <v>40487</v>
      </c>
      <c r="M4344">
        <v>753.8</v>
      </c>
      <c r="N4344" s="11">
        <v>8</v>
      </c>
      <c r="O4344" s="12">
        <v>96.45</v>
      </c>
      <c r="P4344" s="12">
        <v>13.99</v>
      </c>
      <c r="Q4344" s="13">
        <v>-32.3031</v>
      </c>
      <c r="R4344" s="36" t="s">
        <v>2167</v>
      </c>
      <c r="S4344" s="7">
        <f t="shared" si="368"/>
        <v>4</v>
      </c>
      <c r="T4344" s="15" t="str">
        <f>VLOOKUP(R4344,产品分类!$C$2:$D$1278,2,0)</f>
        <v>办公用品</v>
      </c>
    </row>
    <row r="4345" spans="1:20">
      <c r="A4345" s="8">
        <f>DATE(2012,12,31)-558</f>
        <v>40716</v>
      </c>
      <c r="B4345" s="8">
        <f>DATE(2012,12,31)-558</f>
        <v>40716</v>
      </c>
      <c r="C4345" s="9" t="s">
        <v>1616</v>
      </c>
      <c r="D4345">
        <v>10021346580</v>
      </c>
      <c r="E4345" t="s">
        <v>47</v>
      </c>
      <c r="F4345" t="s">
        <v>72</v>
      </c>
      <c r="G4345" t="s">
        <v>73</v>
      </c>
      <c r="H4345" t="s">
        <v>2008</v>
      </c>
      <c r="I4345" t="s">
        <v>2009</v>
      </c>
      <c r="J4345" t="s">
        <v>52</v>
      </c>
      <c r="K4345" s="3">
        <v>100130907966</v>
      </c>
      <c r="L4345" s="10">
        <v>40717</v>
      </c>
      <c r="M4345">
        <v>546.01</v>
      </c>
      <c r="N4345" s="11">
        <v>32</v>
      </c>
      <c r="O4345" s="12">
        <v>16.74</v>
      </c>
      <c r="P4345" s="12">
        <v>5.08</v>
      </c>
      <c r="Q4345" s="13">
        <v>133.5605</v>
      </c>
      <c r="R4345" s="36" t="s">
        <v>2206</v>
      </c>
      <c r="S4345" s="7">
        <f t="shared" si="368"/>
        <v>1</v>
      </c>
      <c r="T4345" s="15" t="str">
        <f>VLOOKUP(R4345,产品分类!$C$2:$D$1278,2,0)</f>
        <v>办公用品</v>
      </c>
    </row>
    <row r="4346" spans="1:20">
      <c r="A4346" s="8">
        <f>DATE(2012,12,31)-901</f>
        <v>40373</v>
      </c>
      <c r="B4346" s="8">
        <f>DATE(2012,12,31)-901</f>
        <v>40373</v>
      </c>
      <c r="C4346" s="9" t="s">
        <v>2233</v>
      </c>
      <c r="D4346">
        <v>10021596125</v>
      </c>
      <c r="E4346" t="s">
        <v>47</v>
      </c>
      <c r="F4346" t="s">
        <v>72</v>
      </c>
      <c r="G4346" t="s">
        <v>73</v>
      </c>
      <c r="H4346" t="s">
        <v>2008</v>
      </c>
      <c r="I4346" t="s">
        <v>2009</v>
      </c>
      <c r="J4346" t="s">
        <v>52</v>
      </c>
      <c r="K4346" s="3">
        <v>100132356588</v>
      </c>
      <c r="L4346" s="10">
        <v>40377</v>
      </c>
      <c r="M4346">
        <v>691.59</v>
      </c>
      <c r="N4346" s="11">
        <v>17</v>
      </c>
      <c r="O4346" s="12">
        <v>41.94</v>
      </c>
      <c r="P4346" s="12">
        <v>2.99</v>
      </c>
      <c r="Q4346" s="13">
        <v>261.239</v>
      </c>
      <c r="R4346" s="36" t="s">
        <v>1548</v>
      </c>
      <c r="S4346" s="7">
        <f t="shared" si="368"/>
        <v>4</v>
      </c>
      <c r="T4346" s="15" t="str">
        <f>VLOOKUP(R4346,产品分类!$C$2:$D$1278,2,0)</f>
        <v>办公用品</v>
      </c>
    </row>
    <row r="4347" spans="1:20">
      <c r="A4347" s="8">
        <f>DATE(2012,12,31)-901</f>
        <v>40373</v>
      </c>
      <c r="B4347" s="8">
        <f>DATE(2012,12,31)-901</f>
        <v>40373</v>
      </c>
      <c r="C4347" s="9" t="s">
        <v>2233</v>
      </c>
      <c r="D4347">
        <v>10021420618</v>
      </c>
      <c r="E4347" t="s">
        <v>47</v>
      </c>
      <c r="F4347" t="s">
        <v>72</v>
      </c>
      <c r="G4347" t="s">
        <v>73</v>
      </c>
      <c r="H4347" t="s">
        <v>2008</v>
      </c>
      <c r="I4347" t="s">
        <v>2009</v>
      </c>
      <c r="J4347" t="s">
        <v>52</v>
      </c>
      <c r="K4347" s="3">
        <v>100323265309</v>
      </c>
      <c r="L4347" s="10">
        <v>40377</v>
      </c>
      <c r="M4347">
        <v>345.2</v>
      </c>
      <c r="N4347" s="11">
        <v>45</v>
      </c>
      <c r="O4347" s="12">
        <v>7.31</v>
      </c>
      <c r="P4347" s="12">
        <v>0.49</v>
      </c>
      <c r="Q4347" s="13">
        <v>183.53</v>
      </c>
      <c r="R4347" s="36" t="s">
        <v>694</v>
      </c>
      <c r="S4347" s="7">
        <f t="shared" si="368"/>
        <v>4</v>
      </c>
      <c r="T4347" s="15" t="str">
        <f>VLOOKUP(R4347,产品分类!$C$2:$D$1278,2,0)</f>
        <v>办公用品</v>
      </c>
    </row>
    <row r="4348" spans="1:20">
      <c r="A4348" s="8">
        <f>DATE(2012,12,31)-68</f>
        <v>41206</v>
      </c>
      <c r="B4348" s="8">
        <f>DATE(2012,12,31)-68</f>
        <v>41206</v>
      </c>
      <c r="C4348" s="9" t="s">
        <v>632</v>
      </c>
      <c r="D4348">
        <v>10021501430</v>
      </c>
      <c r="E4348" t="s">
        <v>47</v>
      </c>
      <c r="F4348" t="s">
        <v>72</v>
      </c>
      <c r="G4348" t="s">
        <v>73</v>
      </c>
      <c r="H4348" t="s">
        <v>2008</v>
      </c>
      <c r="I4348" t="s">
        <v>2009</v>
      </c>
      <c r="J4348" t="s">
        <v>52</v>
      </c>
      <c r="K4348" s="3">
        <v>100927301431</v>
      </c>
      <c r="L4348" s="10">
        <v>41206</v>
      </c>
      <c r="M4348">
        <v>403.88</v>
      </c>
      <c r="N4348" s="11">
        <v>10</v>
      </c>
      <c r="O4348" s="12">
        <v>40.97</v>
      </c>
      <c r="P4348" s="12">
        <v>1.99</v>
      </c>
      <c r="Q4348" s="13">
        <v>48.03</v>
      </c>
      <c r="R4348" s="36" t="s">
        <v>729</v>
      </c>
      <c r="S4348" s="7">
        <f t="shared" si="368"/>
        <v>0</v>
      </c>
      <c r="T4348" s="15" t="str">
        <f>VLOOKUP(R4348,产品分类!$C$2:$D$1278,2,0)</f>
        <v>办公用品</v>
      </c>
    </row>
    <row r="4349" spans="1:20">
      <c r="A4349" s="8">
        <f>DATE(2012,12,31)-685</f>
        <v>40589</v>
      </c>
      <c r="B4349" s="8">
        <f>DATE(2012,12,31)-685</f>
        <v>40589</v>
      </c>
      <c r="C4349" s="9" t="s">
        <v>1670</v>
      </c>
      <c r="D4349">
        <v>10021529322</v>
      </c>
      <c r="E4349" t="s">
        <v>47</v>
      </c>
      <c r="F4349" t="s">
        <v>78</v>
      </c>
      <c r="G4349" t="s">
        <v>79</v>
      </c>
      <c r="H4349" t="s">
        <v>2105</v>
      </c>
      <c r="I4349" t="s">
        <v>2106</v>
      </c>
      <c r="J4349" t="s">
        <v>52</v>
      </c>
      <c r="K4349" s="3">
        <v>100416587904</v>
      </c>
      <c r="L4349" s="10">
        <v>40593</v>
      </c>
      <c r="M4349">
        <v>7837.44</v>
      </c>
      <c r="N4349" s="11">
        <v>29</v>
      </c>
      <c r="O4349" s="12">
        <v>279.81</v>
      </c>
      <c r="P4349" s="12">
        <v>23.19</v>
      </c>
      <c r="Q4349" s="13">
        <v>1817.76</v>
      </c>
      <c r="R4349" s="36" t="s">
        <v>720</v>
      </c>
      <c r="S4349" s="7">
        <f t="shared" si="368"/>
        <v>4</v>
      </c>
      <c r="T4349" s="15" t="str">
        <f>VLOOKUP(R4349,产品分类!$C$2:$D$1278,2,0)</f>
        <v>办公用品</v>
      </c>
    </row>
    <row r="4350" spans="1:20">
      <c r="A4350" s="8">
        <f>DATE(2012,12,31)-685</f>
        <v>40589</v>
      </c>
      <c r="B4350" s="8">
        <f>DATE(2012,12,31)-685</f>
        <v>40589</v>
      </c>
      <c r="C4350" s="9" t="s">
        <v>1670</v>
      </c>
      <c r="D4350">
        <v>10021336077</v>
      </c>
      <c r="E4350" t="s">
        <v>47</v>
      </c>
      <c r="F4350" t="s">
        <v>230</v>
      </c>
      <c r="G4350" t="s">
        <v>231</v>
      </c>
      <c r="H4350" t="s">
        <v>2276</v>
      </c>
      <c r="I4350" t="s">
        <v>2277</v>
      </c>
      <c r="J4350" t="s">
        <v>52</v>
      </c>
      <c r="K4350" s="3">
        <v>100912008711</v>
      </c>
      <c r="L4350" s="10">
        <v>40591</v>
      </c>
      <c r="M4350">
        <v>3653.22</v>
      </c>
      <c r="N4350" s="11">
        <v>22</v>
      </c>
      <c r="O4350" s="12">
        <v>180.98</v>
      </c>
      <c r="P4350" s="12">
        <v>30</v>
      </c>
      <c r="Q4350" s="13">
        <v>-116.02</v>
      </c>
      <c r="R4350" s="36" t="s">
        <v>1627</v>
      </c>
      <c r="S4350" s="7">
        <f t="shared" si="368"/>
        <v>2</v>
      </c>
      <c r="T4350" s="15" t="str">
        <f>VLOOKUP(R4350,产品分类!$C$2:$D$1278,2,0)</f>
        <v>办公用品</v>
      </c>
    </row>
    <row r="4351" spans="1:20">
      <c r="A4351" s="8">
        <f>DATE(2012,12,31)-839</f>
        <v>40435</v>
      </c>
      <c r="B4351" s="8">
        <f>DATE(2012,12,31)-839</f>
        <v>40435</v>
      </c>
      <c r="C4351" s="9" t="s">
        <v>323</v>
      </c>
      <c r="D4351">
        <v>10021470413</v>
      </c>
      <c r="E4351" t="s">
        <v>47</v>
      </c>
      <c r="F4351" t="s">
        <v>230</v>
      </c>
      <c r="G4351" t="s">
        <v>231</v>
      </c>
      <c r="H4351" t="s">
        <v>2276</v>
      </c>
      <c r="I4351" t="s">
        <v>2277</v>
      </c>
      <c r="J4351" t="s">
        <v>52</v>
      </c>
      <c r="K4351" s="3">
        <v>100315754099</v>
      </c>
      <c r="L4351" s="10">
        <v>40437</v>
      </c>
      <c r="M4351">
        <v>872.97</v>
      </c>
      <c r="N4351" s="11">
        <v>23</v>
      </c>
      <c r="O4351" s="12">
        <v>39.98</v>
      </c>
      <c r="P4351" s="12">
        <v>4</v>
      </c>
      <c r="Q4351" s="13">
        <v>-22.63</v>
      </c>
      <c r="R4351" s="36" t="s">
        <v>771</v>
      </c>
      <c r="S4351" s="7">
        <f t="shared" si="368"/>
        <v>2</v>
      </c>
      <c r="T4351" s="15" t="str">
        <f>VLOOKUP(R4351,产品分类!$C$2:$D$1278,2,0)</f>
        <v>家具产品</v>
      </c>
    </row>
    <row r="4352" spans="1:20">
      <c r="A4352" s="8">
        <f>DATE(2012,12,31)-839</f>
        <v>40435</v>
      </c>
      <c r="B4352" s="8">
        <f>DATE(2012,12,31)-839</f>
        <v>40435</v>
      </c>
      <c r="C4352" s="9" t="s">
        <v>323</v>
      </c>
      <c r="D4352">
        <v>10021493770</v>
      </c>
      <c r="E4352" t="s">
        <v>47</v>
      </c>
      <c r="F4352" t="s">
        <v>78</v>
      </c>
      <c r="G4352" t="s">
        <v>79</v>
      </c>
      <c r="H4352" t="s">
        <v>2105</v>
      </c>
      <c r="I4352" t="s">
        <v>2106</v>
      </c>
      <c r="J4352" t="s">
        <v>52</v>
      </c>
      <c r="K4352" s="3">
        <v>10034710639</v>
      </c>
      <c r="L4352" s="10">
        <v>40437</v>
      </c>
      <c r="M4352">
        <v>545.71</v>
      </c>
      <c r="N4352" s="11">
        <v>19</v>
      </c>
      <c r="O4352" s="12">
        <v>29.74</v>
      </c>
      <c r="P4352" s="12">
        <v>6.64</v>
      </c>
      <c r="Q4352" s="13">
        <v>-35.47</v>
      </c>
      <c r="R4352" s="36" t="s">
        <v>1447</v>
      </c>
      <c r="S4352" s="7">
        <f t="shared" si="368"/>
        <v>2</v>
      </c>
      <c r="T4352" s="15" t="str">
        <f>VLOOKUP(R4352,产品分类!$C$2:$D$1278,2,0)</f>
        <v>数码电子</v>
      </c>
    </row>
    <row r="4353" spans="1:20">
      <c r="A4353" s="8">
        <f>DATE(2012,12,31)-42</f>
        <v>41232</v>
      </c>
      <c r="B4353" s="8">
        <f>DATE(2012,12,31)-42</f>
        <v>41232</v>
      </c>
      <c r="C4353" s="9" t="s">
        <v>783</v>
      </c>
      <c r="D4353">
        <v>10021255195</v>
      </c>
      <c r="E4353" t="s">
        <v>47</v>
      </c>
      <c r="F4353" t="s">
        <v>230</v>
      </c>
      <c r="G4353" t="s">
        <v>231</v>
      </c>
      <c r="H4353" t="s">
        <v>2276</v>
      </c>
      <c r="I4353" t="s">
        <v>2277</v>
      </c>
      <c r="J4353" t="s">
        <v>52</v>
      </c>
      <c r="K4353" s="3">
        <v>100120969446</v>
      </c>
      <c r="L4353" s="10">
        <v>41233</v>
      </c>
      <c r="M4353">
        <v>3227.38</v>
      </c>
      <c r="N4353" s="11">
        <v>26</v>
      </c>
      <c r="O4353" s="12">
        <v>120.98</v>
      </c>
      <c r="P4353" s="12">
        <v>30</v>
      </c>
      <c r="Q4353" s="13">
        <v>192.31</v>
      </c>
      <c r="R4353" s="36" t="s">
        <v>750</v>
      </c>
      <c r="S4353" s="7">
        <f t="shared" si="368"/>
        <v>1</v>
      </c>
      <c r="T4353" s="15" t="str">
        <f>VLOOKUP(R4353,产品分类!$C$2:$D$1278,2,0)</f>
        <v>办公用品</v>
      </c>
    </row>
    <row r="4354" spans="1:20">
      <c r="A4354" s="8">
        <f>DATE(2012,12,31)-42</f>
        <v>41232</v>
      </c>
      <c r="B4354" s="8">
        <f>DATE(2012,12,31)-42</f>
        <v>41232</v>
      </c>
      <c r="C4354" s="9" t="s">
        <v>783</v>
      </c>
      <c r="D4354">
        <v>10021255534</v>
      </c>
      <c r="E4354" t="s">
        <v>47</v>
      </c>
      <c r="F4354" t="s">
        <v>473</v>
      </c>
      <c r="G4354" t="s">
        <v>474</v>
      </c>
      <c r="H4354" t="s">
        <v>2142</v>
      </c>
      <c r="I4354" t="s">
        <v>2143</v>
      </c>
      <c r="J4354" t="s">
        <v>52</v>
      </c>
      <c r="K4354" s="3">
        <v>100124290418</v>
      </c>
      <c r="L4354" s="10">
        <v>41233</v>
      </c>
      <c r="M4354">
        <v>134.52</v>
      </c>
      <c r="N4354" s="11">
        <v>48</v>
      </c>
      <c r="O4354" s="12">
        <v>2.78</v>
      </c>
      <c r="P4354" s="12">
        <v>1.2</v>
      </c>
      <c r="Q4354" s="13">
        <v>-6.04</v>
      </c>
      <c r="R4354" s="36" t="s">
        <v>452</v>
      </c>
      <c r="S4354" s="7">
        <f t="shared" si="368"/>
        <v>1</v>
      </c>
      <c r="T4354" s="15" t="str">
        <f>VLOOKUP(R4354,产品分类!$C$2:$D$1278,2,0)</f>
        <v>家具产品</v>
      </c>
    </row>
    <row r="4355" spans="1:20">
      <c r="A4355" s="8">
        <f>DATE(2012,12,31)-1265</f>
        <v>40009</v>
      </c>
      <c r="B4355" s="8">
        <f>DATE(2012,12,31)-1265</f>
        <v>40009</v>
      </c>
      <c r="C4355" s="9" t="s">
        <v>945</v>
      </c>
      <c r="D4355">
        <v>10021470398</v>
      </c>
      <c r="E4355" t="s">
        <v>47</v>
      </c>
      <c r="F4355" t="s">
        <v>434</v>
      </c>
      <c r="G4355" t="s">
        <v>435</v>
      </c>
      <c r="H4355" t="s">
        <v>436</v>
      </c>
      <c r="I4355" t="s">
        <v>437</v>
      </c>
      <c r="J4355" t="s">
        <v>52</v>
      </c>
      <c r="K4355" s="3">
        <v>10017390858</v>
      </c>
      <c r="L4355" s="10">
        <v>40010</v>
      </c>
      <c r="M4355">
        <v>772.42</v>
      </c>
      <c r="N4355" s="11">
        <v>49</v>
      </c>
      <c r="O4355" s="12">
        <v>15.28</v>
      </c>
      <c r="P4355" s="12">
        <v>1.99</v>
      </c>
      <c r="Q4355" s="13">
        <v>299.33</v>
      </c>
      <c r="R4355" s="36" t="s">
        <v>850</v>
      </c>
      <c r="S4355" s="7">
        <f t="shared" ref="S4355:S4418" si="371">+L4355-B4355</f>
        <v>1</v>
      </c>
      <c r="T4355" s="15" t="str">
        <f>VLOOKUP(R4355,产品分类!$C$2:$D$1278,2,0)</f>
        <v>数码电子</v>
      </c>
    </row>
    <row r="4356" spans="1:20">
      <c r="A4356" s="8">
        <f>DATE(2012,12,31)-1265</f>
        <v>40009</v>
      </c>
      <c r="B4356" s="8">
        <f>DATE(2012,12,31)-1265</f>
        <v>40009</v>
      </c>
      <c r="C4356" s="9" t="s">
        <v>945</v>
      </c>
      <c r="D4356">
        <v>10021264291</v>
      </c>
      <c r="E4356" t="s">
        <v>47</v>
      </c>
      <c r="F4356" t="s">
        <v>114</v>
      </c>
      <c r="G4356" t="s">
        <v>115</v>
      </c>
      <c r="H4356" t="s">
        <v>2297</v>
      </c>
      <c r="I4356" t="s">
        <v>2298</v>
      </c>
      <c r="J4356" t="s">
        <v>52</v>
      </c>
      <c r="K4356" s="3">
        <v>100830899092</v>
      </c>
      <c r="L4356" s="10">
        <v>40010</v>
      </c>
      <c r="M4356">
        <v>221.4675</v>
      </c>
      <c r="N4356" s="11">
        <v>3</v>
      </c>
      <c r="O4356" s="12">
        <v>85.99</v>
      </c>
      <c r="P4356" s="12">
        <v>3.3</v>
      </c>
      <c r="Q4356" s="13">
        <v>-302.225</v>
      </c>
      <c r="R4356" s="36" t="s">
        <v>459</v>
      </c>
      <c r="S4356" s="7">
        <f t="shared" si="371"/>
        <v>1</v>
      </c>
      <c r="T4356" s="15" t="str">
        <f>VLOOKUP(R4356,产品分类!$C$2:$D$1278,2,0)</f>
        <v>办公用品</v>
      </c>
    </row>
    <row r="4357" spans="1:20">
      <c r="A4357" s="8">
        <f>DATE(2012,12,31)-693</f>
        <v>40581</v>
      </c>
      <c r="B4357" s="8">
        <f>DATE(2012,12,31)-693</f>
        <v>40581</v>
      </c>
      <c r="C4357" s="9" t="s">
        <v>188</v>
      </c>
      <c r="D4357">
        <v>10021499315</v>
      </c>
      <c r="E4357" t="s">
        <v>47</v>
      </c>
      <c r="F4357" t="s">
        <v>434</v>
      </c>
      <c r="G4357" t="s">
        <v>435</v>
      </c>
      <c r="H4357" t="s">
        <v>436</v>
      </c>
      <c r="I4357" t="s">
        <v>437</v>
      </c>
      <c r="J4357" t="s">
        <v>52</v>
      </c>
      <c r="K4357" s="3">
        <v>100824050072</v>
      </c>
      <c r="L4357" s="10">
        <v>40582</v>
      </c>
      <c r="M4357">
        <v>3900.531</v>
      </c>
      <c r="N4357" s="11">
        <v>42</v>
      </c>
      <c r="O4357" s="12">
        <v>110.99</v>
      </c>
      <c r="P4357" s="12">
        <v>2.5</v>
      </c>
      <c r="Q4357" s="13">
        <v>1144.629</v>
      </c>
      <c r="R4357" s="36" t="s">
        <v>1056</v>
      </c>
      <c r="S4357" s="7">
        <f t="shared" si="371"/>
        <v>1</v>
      </c>
      <c r="T4357" s="15" t="str">
        <f>VLOOKUP(R4357,产品分类!$C$2:$D$1278,2,0)</f>
        <v>家具产品</v>
      </c>
    </row>
    <row r="4358" spans="1:20">
      <c r="A4358" s="8">
        <f>DATE(2012,12,31)-693</f>
        <v>40581</v>
      </c>
      <c r="B4358" s="8">
        <f>DATE(2012,12,31)-693</f>
        <v>40581</v>
      </c>
      <c r="C4358" s="9" t="s">
        <v>188</v>
      </c>
      <c r="D4358">
        <v>10021585454</v>
      </c>
      <c r="E4358" t="s">
        <v>47</v>
      </c>
      <c r="F4358" t="s">
        <v>114</v>
      </c>
      <c r="G4358" t="s">
        <v>115</v>
      </c>
      <c r="H4358" t="s">
        <v>2297</v>
      </c>
      <c r="I4358" t="s">
        <v>2298</v>
      </c>
      <c r="J4358" t="s">
        <v>52</v>
      </c>
      <c r="K4358" s="3">
        <v>100828113492</v>
      </c>
      <c r="L4358" s="10">
        <v>40584</v>
      </c>
      <c r="M4358">
        <v>248.42</v>
      </c>
      <c r="N4358" s="11">
        <v>35</v>
      </c>
      <c r="O4358" s="12">
        <v>6.84</v>
      </c>
      <c r="P4358" s="12">
        <v>4.42</v>
      </c>
      <c r="Q4358" s="13">
        <v>-58.81</v>
      </c>
      <c r="R4358" s="36" t="s">
        <v>2225</v>
      </c>
      <c r="S4358" s="7">
        <f t="shared" si="371"/>
        <v>3</v>
      </c>
      <c r="T4358" s="15" t="str">
        <f>VLOOKUP(R4358,产品分类!$C$2:$D$1278,2,0)</f>
        <v>办公用品</v>
      </c>
    </row>
    <row r="4359" spans="1:20">
      <c r="A4359" s="16">
        <f>DATE(2012,12,31)-763</f>
        <v>40511</v>
      </c>
      <c r="B4359" s="16">
        <f>DATE(2012,12,31)-763</f>
        <v>40511</v>
      </c>
      <c r="C4359" s="9" t="s">
        <v>359</v>
      </c>
      <c r="D4359">
        <v>10021294286</v>
      </c>
      <c r="E4359" t="s">
        <v>47</v>
      </c>
      <c r="F4359" t="s">
        <v>83</v>
      </c>
      <c r="G4359" t="s">
        <v>84</v>
      </c>
      <c r="H4359" t="s">
        <v>2231</v>
      </c>
      <c r="I4359" t="s">
        <v>2232</v>
      </c>
      <c r="J4359" t="s">
        <v>52</v>
      </c>
      <c r="K4359" s="3">
        <v>100713258155</v>
      </c>
      <c r="L4359" s="10">
        <v>40516</v>
      </c>
      <c r="M4359">
        <v>701.16</v>
      </c>
      <c r="N4359" s="17">
        <v>4</v>
      </c>
      <c r="O4359" s="5">
        <v>172.99</v>
      </c>
      <c r="P4359" s="5">
        <v>19.99</v>
      </c>
      <c r="Q4359" s="6">
        <v>4.55599999999996</v>
      </c>
      <c r="R4359" s="37" t="s">
        <v>1337</v>
      </c>
      <c r="S4359" s="7">
        <f t="shared" si="371"/>
        <v>5</v>
      </c>
      <c r="T4359" s="15" t="str">
        <f>VLOOKUP(R4359,产品分类!$C$2:$D$1278,2,0)</f>
        <v>办公用品</v>
      </c>
    </row>
    <row r="4360" spans="1:20">
      <c r="A4360" s="8">
        <f>DATE(2012,12,31)-890</f>
        <v>40384</v>
      </c>
      <c r="B4360" s="8">
        <f>DATE(2012,12,31)-890</f>
        <v>40384</v>
      </c>
      <c r="C4360" s="9" t="s">
        <v>273</v>
      </c>
      <c r="D4360">
        <v>10021347518</v>
      </c>
      <c r="E4360" t="s">
        <v>47</v>
      </c>
      <c r="F4360" t="s">
        <v>91</v>
      </c>
      <c r="G4360" t="s">
        <v>92</v>
      </c>
      <c r="H4360" t="s">
        <v>2053</v>
      </c>
      <c r="I4360" t="s">
        <v>2054</v>
      </c>
      <c r="J4360" t="s">
        <v>52</v>
      </c>
      <c r="K4360" s="3">
        <v>100931270421</v>
      </c>
      <c r="L4360" s="10">
        <v>40387</v>
      </c>
      <c r="M4360">
        <v>1818.76</v>
      </c>
      <c r="N4360" s="11">
        <v>39</v>
      </c>
      <c r="O4360" s="12">
        <v>46.94</v>
      </c>
      <c r="P4360" s="12">
        <v>6.77</v>
      </c>
      <c r="Q4360" s="13">
        <v>843.12</v>
      </c>
      <c r="R4360" s="36" t="s">
        <v>1507</v>
      </c>
      <c r="S4360" s="7">
        <f t="shared" si="371"/>
        <v>3</v>
      </c>
      <c r="T4360" s="15" t="str">
        <f>VLOOKUP(R4360,产品分类!$C$2:$D$1278,2,0)</f>
        <v>办公用品</v>
      </c>
    </row>
    <row r="4361" spans="1:20">
      <c r="A4361" s="16">
        <f>DATE(2012,12,31)-890</f>
        <v>40384</v>
      </c>
      <c r="B4361" s="16">
        <f>DATE(2012,12,31)-890</f>
        <v>40384</v>
      </c>
      <c r="C4361" s="9" t="s">
        <v>273</v>
      </c>
      <c r="D4361">
        <v>10021349710</v>
      </c>
      <c r="E4361" t="s">
        <v>47</v>
      </c>
      <c r="F4361" t="s">
        <v>91</v>
      </c>
      <c r="G4361" t="s">
        <v>92</v>
      </c>
      <c r="H4361" t="s">
        <v>2053</v>
      </c>
      <c r="I4361" t="s">
        <v>2054</v>
      </c>
      <c r="J4361" t="s">
        <v>52</v>
      </c>
      <c r="K4361" s="3">
        <v>100431889173</v>
      </c>
      <c r="L4361" s="10">
        <v>40384</v>
      </c>
      <c r="M4361">
        <v>4322.26</v>
      </c>
      <c r="N4361" s="17">
        <v>26</v>
      </c>
      <c r="O4361" s="5">
        <v>167.27</v>
      </c>
      <c r="P4361" s="5">
        <v>35</v>
      </c>
      <c r="Q4361" s="6">
        <v>-618.95</v>
      </c>
      <c r="R4361" s="37" t="s">
        <v>1552</v>
      </c>
      <c r="S4361" s="7">
        <f t="shared" si="371"/>
        <v>0</v>
      </c>
      <c r="T4361" s="15" t="str">
        <f>VLOOKUP(R4361,产品分类!$C$2:$D$1278,2,0)</f>
        <v>数码电子</v>
      </c>
    </row>
    <row r="4362" spans="1:20">
      <c r="A4362" s="8">
        <f>DATE(2012,12,31)-800</f>
        <v>40474</v>
      </c>
      <c r="B4362" s="8">
        <f>DATE(2012,12,31)-800</f>
        <v>40474</v>
      </c>
      <c r="C4362" s="9" t="s">
        <v>2072</v>
      </c>
      <c r="D4362">
        <v>10021351055</v>
      </c>
      <c r="E4362" t="s">
        <v>47</v>
      </c>
      <c r="F4362" t="s">
        <v>122</v>
      </c>
      <c r="G4362" t="s">
        <v>123</v>
      </c>
      <c r="H4362" t="s">
        <v>2159</v>
      </c>
      <c r="I4362" t="s">
        <v>2160</v>
      </c>
      <c r="J4362" t="s">
        <v>52</v>
      </c>
      <c r="K4362" s="3">
        <v>100132203596</v>
      </c>
      <c r="L4362" s="10">
        <v>40476</v>
      </c>
      <c r="M4362">
        <v>1955.0765</v>
      </c>
      <c r="N4362" s="11">
        <v>36</v>
      </c>
      <c r="O4362" s="12">
        <v>65.99</v>
      </c>
      <c r="P4362" s="12">
        <v>3.9</v>
      </c>
      <c r="Q4362" s="13">
        <v>470.826</v>
      </c>
      <c r="R4362" s="36" t="s">
        <v>1114</v>
      </c>
      <c r="S4362" s="7">
        <f t="shared" si="371"/>
        <v>2</v>
      </c>
      <c r="T4362" s="15" t="str">
        <f>VLOOKUP(R4362,产品分类!$C$2:$D$1278,2,0)</f>
        <v>家具产品</v>
      </c>
    </row>
    <row r="4363" spans="1:20">
      <c r="A4363" s="8">
        <f>DATE(2012,12,31)-1420</f>
        <v>39854</v>
      </c>
      <c r="B4363" s="8">
        <f>DATE(2012,12,31)-1420</f>
        <v>39854</v>
      </c>
      <c r="C4363" s="9" t="s">
        <v>1344</v>
      </c>
      <c r="D4363">
        <v>10021293076</v>
      </c>
      <c r="E4363" t="s">
        <v>47</v>
      </c>
      <c r="F4363" t="s">
        <v>91</v>
      </c>
      <c r="G4363" t="s">
        <v>92</v>
      </c>
      <c r="H4363" t="s">
        <v>2053</v>
      </c>
      <c r="I4363" t="s">
        <v>2054</v>
      </c>
      <c r="J4363" t="s">
        <v>52</v>
      </c>
      <c r="K4363" s="3">
        <v>10084364102</v>
      </c>
      <c r="L4363" s="10">
        <v>39855</v>
      </c>
      <c r="M4363">
        <v>104.46</v>
      </c>
      <c r="N4363" s="11">
        <v>7</v>
      </c>
      <c r="O4363" s="12">
        <v>13.99</v>
      </c>
      <c r="P4363" s="12">
        <v>7.51</v>
      </c>
      <c r="Q4363" s="13">
        <v>-36.7662</v>
      </c>
      <c r="R4363" s="36" t="s">
        <v>397</v>
      </c>
      <c r="S4363" s="7">
        <f t="shared" si="371"/>
        <v>1</v>
      </c>
      <c r="T4363" s="15" t="str">
        <f>VLOOKUP(R4363,产品分类!$C$2:$D$1278,2,0)</f>
        <v>办公用品</v>
      </c>
    </row>
    <row r="4364" spans="1:20">
      <c r="A4364" s="16">
        <f t="shared" ref="A4364:B4367" si="372">DATE(2012,12,31)-319</f>
        <v>40955</v>
      </c>
      <c r="B4364" s="16">
        <f t="shared" si="372"/>
        <v>40955</v>
      </c>
      <c r="C4364" s="9" t="s">
        <v>2002</v>
      </c>
      <c r="D4364">
        <v>10021525328</v>
      </c>
      <c r="E4364" t="s">
        <v>47</v>
      </c>
      <c r="F4364" t="s">
        <v>91</v>
      </c>
      <c r="G4364" t="s">
        <v>92</v>
      </c>
      <c r="H4364" t="s">
        <v>2053</v>
      </c>
      <c r="I4364" t="s">
        <v>2054</v>
      </c>
      <c r="J4364" t="s">
        <v>52</v>
      </c>
      <c r="K4364" s="3">
        <v>100818289912</v>
      </c>
      <c r="L4364" s="10">
        <v>40955</v>
      </c>
      <c r="M4364">
        <v>101.9</v>
      </c>
      <c r="N4364" s="17">
        <v>37</v>
      </c>
      <c r="O4364" s="5">
        <v>2.61</v>
      </c>
      <c r="P4364" s="5">
        <v>0.5</v>
      </c>
      <c r="Q4364" s="6">
        <v>40.52</v>
      </c>
      <c r="R4364" s="37" t="s">
        <v>630</v>
      </c>
      <c r="S4364" s="7">
        <f t="shared" si="371"/>
        <v>0</v>
      </c>
      <c r="T4364" s="15" t="str">
        <f>VLOOKUP(R4364,产品分类!$C$2:$D$1278,2,0)</f>
        <v>数码电子</v>
      </c>
    </row>
    <row r="4365" spans="1:20">
      <c r="A4365" s="8">
        <f t="shared" si="372"/>
        <v>40955</v>
      </c>
      <c r="B4365" s="8">
        <f t="shared" si="372"/>
        <v>40955</v>
      </c>
      <c r="C4365" s="9" t="s">
        <v>2002</v>
      </c>
      <c r="D4365">
        <v>10021279973</v>
      </c>
      <c r="E4365" t="s">
        <v>47</v>
      </c>
      <c r="F4365" t="s">
        <v>91</v>
      </c>
      <c r="G4365" t="s">
        <v>92</v>
      </c>
      <c r="H4365" t="s">
        <v>2053</v>
      </c>
      <c r="I4365" t="s">
        <v>2054</v>
      </c>
      <c r="J4365" t="s">
        <v>52</v>
      </c>
      <c r="K4365" s="3">
        <v>10079732315</v>
      </c>
      <c r="L4365" s="10">
        <v>40960</v>
      </c>
      <c r="M4365">
        <v>187.33</v>
      </c>
      <c r="N4365" s="11">
        <v>7</v>
      </c>
      <c r="O4365" s="12">
        <v>25.13</v>
      </c>
      <c r="P4365" s="12">
        <v>9.87</v>
      </c>
      <c r="Q4365" s="13">
        <v>66.47</v>
      </c>
      <c r="R4365" s="36" t="s">
        <v>2330</v>
      </c>
      <c r="S4365" s="7">
        <f t="shared" si="371"/>
        <v>5</v>
      </c>
      <c r="T4365" s="15" t="str">
        <f>VLOOKUP(R4365,产品分类!$C$2:$D$1278,2,0)</f>
        <v>办公用品</v>
      </c>
    </row>
    <row r="4366" spans="1:20">
      <c r="A4366" s="16">
        <f t="shared" si="372"/>
        <v>40955</v>
      </c>
      <c r="B4366" s="16">
        <f t="shared" si="372"/>
        <v>40955</v>
      </c>
      <c r="C4366" s="9" t="s">
        <v>2002</v>
      </c>
      <c r="D4366">
        <v>10021256718</v>
      </c>
      <c r="E4366" t="s">
        <v>47</v>
      </c>
      <c r="F4366" t="s">
        <v>55</v>
      </c>
      <c r="G4366" t="s">
        <v>56</v>
      </c>
      <c r="H4366" t="s">
        <v>2197</v>
      </c>
      <c r="I4366" t="s">
        <v>2198</v>
      </c>
      <c r="J4366" t="s">
        <v>52</v>
      </c>
      <c r="K4366" s="3">
        <v>100825482342</v>
      </c>
      <c r="L4366" s="10">
        <v>40957</v>
      </c>
      <c r="M4366">
        <v>259.17</v>
      </c>
      <c r="N4366" s="17">
        <v>45</v>
      </c>
      <c r="O4366" s="5">
        <v>5.68</v>
      </c>
      <c r="P4366" s="5">
        <v>3.6</v>
      </c>
      <c r="Q4366" s="6">
        <v>-57.33</v>
      </c>
      <c r="R4366" s="37" t="s">
        <v>1538</v>
      </c>
      <c r="S4366" s="7">
        <f t="shared" si="371"/>
        <v>2</v>
      </c>
      <c r="T4366" s="15" t="str">
        <f>VLOOKUP(R4366,产品分类!$C$2:$D$1278,2,0)</f>
        <v>办公用品</v>
      </c>
    </row>
    <row r="4367" spans="1:20">
      <c r="A4367" s="8">
        <f t="shared" si="372"/>
        <v>40955</v>
      </c>
      <c r="B4367" s="8">
        <f t="shared" si="372"/>
        <v>40955</v>
      </c>
      <c r="C4367" s="9" t="s">
        <v>2002</v>
      </c>
      <c r="D4367">
        <v>10021434336</v>
      </c>
      <c r="E4367" t="s">
        <v>47</v>
      </c>
      <c r="F4367" t="s">
        <v>55</v>
      </c>
      <c r="G4367" t="s">
        <v>56</v>
      </c>
      <c r="H4367" t="s">
        <v>2331</v>
      </c>
      <c r="I4367" t="s">
        <v>2332</v>
      </c>
      <c r="J4367" t="s">
        <v>52</v>
      </c>
      <c r="K4367" s="3">
        <v>100832658132</v>
      </c>
      <c r="L4367" s="10">
        <v>40962</v>
      </c>
      <c r="M4367">
        <v>4697.032</v>
      </c>
      <c r="N4367" s="11">
        <v>43</v>
      </c>
      <c r="O4367" s="12">
        <v>125.99</v>
      </c>
      <c r="P4367" s="12">
        <v>5.63</v>
      </c>
      <c r="Q4367" s="13">
        <v>1263.006</v>
      </c>
      <c r="R4367" s="36" t="s">
        <v>1116</v>
      </c>
      <c r="S4367" s="7">
        <f t="shared" si="371"/>
        <v>7</v>
      </c>
      <c r="T4367" s="15" t="str">
        <f>VLOOKUP(R4367,产品分类!$C$2:$D$1278,2,0)</f>
        <v>办公用品</v>
      </c>
    </row>
    <row r="4368" spans="1:20">
      <c r="A4368" s="8">
        <f>DATE(2012,12,31)-430</f>
        <v>40844</v>
      </c>
      <c r="B4368" s="8">
        <f>DATE(2012,12,31)-430</f>
        <v>40844</v>
      </c>
      <c r="C4368" s="9" t="s">
        <v>573</v>
      </c>
      <c r="D4368">
        <v>10021288486</v>
      </c>
      <c r="E4368" t="s">
        <v>47</v>
      </c>
      <c r="F4368" t="s">
        <v>91</v>
      </c>
      <c r="G4368" t="s">
        <v>92</v>
      </c>
      <c r="H4368" t="s">
        <v>2053</v>
      </c>
      <c r="I4368" t="s">
        <v>2054</v>
      </c>
      <c r="J4368" t="s">
        <v>52</v>
      </c>
      <c r="K4368" s="3">
        <v>100721710685</v>
      </c>
      <c r="L4368" s="10">
        <v>40848</v>
      </c>
      <c r="M4368">
        <v>1515</v>
      </c>
      <c r="N4368" s="11">
        <v>49</v>
      </c>
      <c r="O4368" s="12">
        <v>31.74</v>
      </c>
      <c r="P4368" s="12">
        <v>12.62</v>
      </c>
      <c r="Q4368" s="13">
        <v>219.0365</v>
      </c>
      <c r="R4368" s="36" t="s">
        <v>1416</v>
      </c>
      <c r="S4368" s="7">
        <f t="shared" si="371"/>
        <v>4</v>
      </c>
      <c r="T4368" s="15" t="str">
        <f>VLOOKUP(R4368,产品分类!$C$2:$D$1278,2,0)</f>
        <v>数码电子</v>
      </c>
    </row>
    <row r="4369" spans="1:20">
      <c r="A4369" s="8">
        <f>DATE(2012,12,31)-1225</f>
        <v>40049</v>
      </c>
      <c r="B4369" s="8">
        <f>DATE(2012,12,31)-1225</f>
        <v>40049</v>
      </c>
      <c r="C4369" s="9" t="s">
        <v>303</v>
      </c>
      <c r="D4369">
        <v>10021368293</v>
      </c>
      <c r="E4369" t="s">
        <v>47</v>
      </c>
      <c r="F4369" t="s">
        <v>55</v>
      </c>
      <c r="G4369" t="s">
        <v>56</v>
      </c>
      <c r="H4369" t="s">
        <v>2331</v>
      </c>
      <c r="I4369" t="s">
        <v>2332</v>
      </c>
      <c r="J4369" t="s">
        <v>52</v>
      </c>
      <c r="K4369" s="3">
        <v>100128800697</v>
      </c>
      <c r="L4369" s="10">
        <v>40051</v>
      </c>
      <c r="M4369">
        <v>217.93</v>
      </c>
      <c r="N4369" s="11">
        <v>27</v>
      </c>
      <c r="O4369" s="12">
        <v>7.64</v>
      </c>
      <c r="P4369" s="12">
        <v>5.83</v>
      </c>
      <c r="Q4369" s="13">
        <v>-29.02</v>
      </c>
      <c r="R4369" s="36" t="s">
        <v>202</v>
      </c>
      <c r="S4369" s="7">
        <f t="shared" si="371"/>
        <v>2</v>
      </c>
      <c r="T4369" s="15" t="str">
        <f>VLOOKUP(R4369,产品分类!$C$2:$D$1278,2,0)</f>
        <v>办公用品</v>
      </c>
    </row>
    <row r="4370" spans="1:20">
      <c r="A4370" s="8">
        <f>DATE(2012,12,31)-1440</f>
        <v>39834</v>
      </c>
      <c r="B4370" s="8">
        <f>DATE(2012,12,31)-1440</f>
        <v>39834</v>
      </c>
      <c r="C4370" s="9" t="s">
        <v>227</v>
      </c>
      <c r="D4370">
        <v>10021264852</v>
      </c>
      <c r="E4370" t="s">
        <v>47</v>
      </c>
      <c r="F4370" t="s">
        <v>55</v>
      </c>
      <c r="G4370" t="s">
        <v>56</v>
      </c>
      <c r="H4370" t="s">
        <v>2331</v>
      </c>
      <c r="I4370" t="s">
        <v>2332</v>
      </c>
      <c r="J4370" t="s">
        <v>52</v>
      </c>
      <c r="K4370" s="3">
        <v>100931232081</v>
      </c>
      <c r="L4370" s="10">
        <v>39836</v>
      </c>
      <c r="M4370">
        <v>1251.18</v>
      </c>
      <c r="N4370" s="11">
        <v>37</v>
      </c>
      <c r="O4370" s="12">
        <v>31.76</v>
      </c>
      <c r="P4370" s="12">
        <v>45.51</v>
      </c>
      <c r="Q4370" s="13">
        <v>-1756.4404</v>
      </c>
      <c r="R4370" s="36" t="s">
        <v>576</v>
      </c>
      <c r="S4370" s="7">
        <f t="shared" si="371"/>
        <v>2</v>
      </c>
      <c r="T4370" s="15" t="str">
        <f>VLOOKUP(R4370,产品分类!$C$2:$D$1278,2,0)</f>
        <v>办公用品</v>
      </c>
    </row>
    <row r="4371" spans="1:20">
      <c r="A4371" s="16">
        <f>DATE(2012,12,31)-699</f>
        <v>40575</v>
      </c>
      <c r="B4371" s="16">
        <f>DATE(2012,12,31)-699</f>
        <v>40575</v>
      </c>
      <c r="C4371" s="9" t="s">
        <v>1597</v>
      </c>
      <c r="D4371">
        <v>10021453788</v>
      </c>
      <c r="E4371" t="s">
        <v>47</v>
      </c>
      <c r="F4371" t="s">
        <v>91</v>
      </c>
      <c r="G4371" t="s">
        <v>92</v>
      </c>
      <c r="H4371" t="s">
        <v>2053</v>
      </c>
      <c r="I4371" t="s">
        <v>2054</v>
      </c>
      <c r="J4371" t="s">
        <v>52</v>
      </c>
      <c r="K4371" s="3">
        <v>100432388763</v>
      </c>
      <c r="L4371" s="10">
        <v>40576</v>
      </c>
      <c r="M4371">
        <v>13.42</v>
      </c>
      <c r="N4371" s="17">
        <v>4</v>
      </c>
      <c r="O4371" s="5">
        <v>3.08</v>
      </c>
      <c r="P4371" s="5">
        <v>0.99</v>
      </c>
      <c r="Q4371" s="6">
        <v>-1.26</v>
      </c>
      <c r="R4371" s="37" t="s">
        <v>283</v>
      </c>
      <c r="S4371" s="7">
        <f t="shared" si="371"/>
        <v>1</v>
      </c>
      <c r="T4371" s="15" t="str">
        <f>VLOOKUP(R4371,产品分类!$C$2:$D$1278,2,0)</f>
        <v>办公用品</v>
      </c>
    </row>
    <row r="4372" spans="1:20">
      <c r="A4372" s="8">
        <f>DATE(2012,12,31)-571</f>
        <v>40703</v>
      </c>
      <c r="B4372" s="8">
        <f>DATE(2012,12,31)-571</f>
        <v>40703</v>
      </c>
      <c r="C4372" s="9" t="s">
        <v>1126</v>
      </c>
      <c r="D4372">
        <v>10021418130</v>
      </c>
      <c r="E4372" t="s">
        <v>47</v>
      </c>
      <c r="F4372" t="s">
        <v>122</v>
      </c>
      <c r="G4372" t="s">
        <v>123</v>
      </c>
      <c r="H4372" t="s">
        <v>2159</v>
      </c>
      <c r="I4372" t="s">
        <v>2160</v>
      </c>
      <c r="J4372" t="s">
        <v>52</v>
      </c>
      <c r="K4372" s="3">
        <v>100919733791</v>
      </c>
      <c r="L4372" s="10">
        <v>40707</v>
      </c>
      <c r="M4372">
        <v>254.76</v>
      </c>
      <c r="N4372" s="11">
        <v>6</v>
      </c>
      <c r="O4372" s="12">
        <v>40.97</v>
      </c>
      <c r="P4372" s="12">
        <v>14.45</v>
      </c>
      <c r="Q4372" s="13">
        <v>109.88</v>
      </c>
      <c r="R4372" s="36" t="s">
        <v>542</v>
      </c>
      <c r="S4372" s="7">
        <f t="shared" si="371"/>
        <v>4</v>
      </c>
      <c r="T4372" s="15" t="str">
        <f>VLOOKUP(R4372,产品分类!$C$2:$D$1278,2,0)</f>
        <v>办公用品</v>
      </c>
    </row>
    <row r="4373" spans="1:20">
      <c r="A4373" s="8">
        <f>DATE(2012,12,31)-339</f>
        <v>40935</v>
      </c>
      <c r="B4373" s="8">
        <f>DATE(2012,12,31)-339</f>
        <v>40935</v>
      </c>
      <c r="C4373" s="9" t="s">
        <v>1455</v>
      </c>
      <c r="D4373">
        <v>10021575840</v>
      </c>
      <c r="E4373" t="s">
        <v>47</v>
      </c>
      <c r="F4373" t="s">
        <v>91</v>
      </c>
      <c r="G4373" t="s">
        <v>92</v>
      </c>
      <c r="H4373" t="s">
        <v>2053</v>
      </c>
      <c r="I4373" t="s">
        <v>2054</v>
      </c>
      <c r="J4373" t="s">
        <v>52</v>
      </c>
      <c r="K4373" s="3">
        <v>100812934722</v>
      </c>
      <c r="L4373" s="10">
        <v>40937</v>
      </c>
      <c r="M4373">
        <v>320.57</v>
      </c>
      <c r="N4373" s="11">
        <v>32</v>
      </c>
      <c r="O4373" s="12">
        <v>10.13</v>
      </c>
      <c r="P4373" s="12">
        <v>1.99</v>
      </c>
      <c r="Q4373" s="13">
        <v>27.95</v>
      </c>
      <c r="R4373" s="36" t="s">
        <v>2333</v>
      </c>
      <c r="S4373" s="7">
        <f t="shared" si="371"/>
        <v>2</v>
      </c>
      <c r="T4373" s="15" t="str">
        <f>VLOOKUP(R4373,产品分类!$C$2:$D$1278,2,0)</f>
        <v>办公用品</v>
      </c>
    </row>
    <row r="4374" spans="1:20">
      <c r="A4374" s="8">
        <f>DATE(2012,12,31)-1363</f>
        <v>39911</v>
      </c>
      <c r="B4374" s="8">
        <f>DATE(2012,12,31)-1363</f>
        <v>39911</v>
      </c>
      <c r="C4374" s="9" t="s">
        <v>2334</v>
      </c>
      <c r="D4374">
        <v>10021341292</v>
      </c>
      <c r="E4374" t="s">
        <v>47</v>
      </c>
      <c r="F4374" t="s">
        <v>55</v>
      </c>
      <c r="G4374" t="s">
        <v>56</v>
      </c>
      <c r="H4374" t="s">
        <v>2331</v>
      </c>
      <c r="I4374" t="s">
        <v>2332</v>
      </c>
      <c r="J4374" t="s">
        <v>52</v>
      </c>
      <c r="K4374" s="3">
        <v>100427015203</v>
      </c>
      <c r="L4374" s="10">
        <v>39912</v>
      </c>
      <c r="M4374">
        <v>161.02</v>
      </c>
      <c r="N4374" s="11">
        <v>37</v>
      </c>
      <c r="O4374" s="12">
        <v>4.55</v>
      </c>
      <c r="P4374" s="12">
        <v>1.49</v>
      </c>
      <c r="Q4374" s="13">
        <v>32.1895</v>
      </c>
      <c r="R4374" s="36" t="s">
        <v>1668</v>
      </c>
      <c r="S4374" s="7">
        <f t="shared" si="371"/>
        <v>1</v>
      </c>
      <c r="T4374" s="15" t="str">
        <f>VLOOKUP(R4374,产品分类!$C$2:$D$1278,2,0)</f>
        <v>办公用品</v>
      </c>
    </row>
    <row r="4375" spans="1:20">
      <c r="A4375" s="8">
        <f>DATE(2012,12,31)-135</f>
        <v>41139</v>
      </c>
      <c r="B4375" s="8">
        <f>DATE(2012,12,31)-135</f>
        <v>41139</v>
      </c>
      <c r="C4375" s="9" t="s">
        <v>675</v>
      </c>
      <c r="D4375">
        <v>10021574045</v>
      </c>
      <c r="E4375" t="s">
        <v>47</v>
      </c>
      <c r="F4375" t="s">
        <v>91</v>
      </c>
      <c r="G4375" t="s">
        <v>92</v>
      </c>
      <c r="H4375" t="s">
        <v>2053</v>
      </c>
      <c r="I4375" t="s">
        <v>2054</v>
      </c>
      <c r="J4375" t="s">
        <v>52</v>
      </c>
      <c r="K4375" s="3">
        <v>1007405065</v>
      </c>
      <c r="L4375" s="10">
        <v>41146</v>
      </c>
      <c r="M4375">
        <v>169.354</v>
      </c>
      <c r="N4375" s="11">
        <v>24</v>
      </c>
      <c r="O4375" s="12">
        <v>7.99</v>
      </c>
      <c r="P4375" s="12">
        <v>5.03</v>
      </c>
      <c r="Q4375" s="13">
        <v>-84.139</v>
      </c>
      <c r="R4375" s="36" t="s">
        <v>71</v>
      </c>
      <c r="S4375" s="7">
        <f t="shared" si="371"/>
        <v>7</v>
      </c>
      <c r="T4375" s="15" t="str">
        <f>VLOOKUP(R4375,产品分类!$C$2:$D$1278,2,0)</f>
        <v>办公用品</v>
      </c>
    </row>
    <row r="4376" spans="1:20">
      <c r="A4376" s="16">
        <f>DATE(2012,12,31)-1376</f>
        <v>39898</v>
      </c>
      <c r="B4376" s="16">
        <f>DATE(2012,12,31)-1376</f>
        <v>39898</v>
      </c>
      <c r="C4376" s="9" t="s">
        <v>419</v>
      </c>
      <c r="D4376">
        <v>10021368329</v>
      </c>
      <c r="E4376" t="s">
        <v>47</v>
      </c>
      <c r="F4376" t="s">
        <v>91</v>
      </c>
      <c r="G4376" t="s">
        <v>92</v>
      </c>
      <c r="H4376" t="s">
        <v>2053</v>
      </c>
      <c r="I4376" t="s">
        <v>2054</v>
      </c>
      <c r="J4376" t="s">
        <v>52</v>
      </c>
      <c r="K4376" s="3">
        <v>100728987925</v>
      </c>
      <c r="L4376" s="10">
        <v>39898</v>
      </c>
      <c r="M4376">
        <v>4520.6</v>
      </c>
      <c r="N4376" s="17">
        <v>20</v>
      </c>
      <c r="O4376" s="5">
        <v>225.04</v>
      </c>
      <c r="P4376" s="5">
        <v>11.79</v>
      </c>
      <c r="Q4376" s="6">
        <v>1944.38</v>
      </c>
      <c r="R4376" s="37" t="s">
        <v>2215</v>
      </c>
      <c r="S4376" s="7">
        <f t="shared" si="371"/>
        <v>0</v>
      </c>
      <c r="T4376" s="15" t="str">
        <f>VLOOKUP(R4376,产品分类!$C$2:$D$1278,2,0)</f>
        <v>家具产品</v>
      </c>
    </row>
    <row r="4377" spans="1:20">
      <c r="A4377" s="16">
        <f>DATE(2012,12,31)-1376</f>
        <v>39898</v>
      </c>
      <c r="B4377" s="16">
        <f>DATE(2012,12,31)-1376</f>
        <v>39898</v>
      </c>
      <c r="C4377" s="9" t="s">
        <v>419</v>
      </c>
      <c r="D4377">
        <v>10021502188</v>
      </c>
      <c r="E4377" t="s">
        <v>47</v>
      </c>
      <c r="F4377" t="s">
        <v>177</v>
      </c>
      <c r="G4377" t="s">
        <v>178</v>
      </c>
      <c r="H4377" t="s">
        <v>2283</v>
      </c>
      <c r="I4377" t="s">
        <v>2284</v>
      </c>
      <c r="J4377" t="s">
        <v>52</v>
      </c>
      <c r="K4377" s="3">
        <v>100312805239</v>
      </c>
      <c r="L4377" s="10">
        <v>39901</v>
      </c>
      <c r="M4377">
        <v>225.25</v>
      </c>
      <c r="N4377" s="17">
        <v>29</v>
      </c>
      <c r="O4377" s="5">
        <v>7.84</v>
      </c>
      <c r="P4377" s="5">
        <v>4.71</v>
      </c>
      <c r="Q4377" s="6">
        <v>-7.59</v>
      </c>
      <c r="R4377" s="37" t="s">
        <v>817</v>
      </c>
      <c r="S4377" s="7">
        <f t="shared" si="371"/>
        <v>3</v>
      </c>
      <c r="T4377" s="15" t="str">
        <f>VLOOKUP(R4377,产品分类!$C$2:$D$1278,2,0)</f>
        <v>办公用品</v>
      </c>
    </row>
    <row r="4378" spans="1:20">
      <c r="A4378" s="8">
        <f>DATE(2012,12,31)-1192</f>
        <v>40082</v>
      </c>
      <c r="B4378" s="8">
        <f>DATE(2012,12,31)-1192</f>
        <v>40082</v>
      </c>
      <c r="C4378" s="9" t="s">
        <v>1083</v>
      </c>
      <c r="D4378">
        <v>10021320036</v>
      </c>
      <c r="E4378" t="s">
        <v>47</v>
      </c>
      <c r="F4378" t="s">
        <v>97</v>
      </c>
      <c r="G4378" t="s">
        <v>98</v>
      </c>
      <c r="H4378" t="s">
        <v>99</v>
      </c>
      <c r="I4378" t="s">
        <v>98</v>
      </c>
      <c r="J4378" t="s">
        <v>52</v>
      </c>
      <c r="K4378" s="3">
        <v>100917252941</v>
      </c>
      <c r="L4378" s="10">
        <v>40085</v>
      </c>
      <c r="M4378">
        <v>539.66</v>
      </c>
      <c r="N4378" s="11">
        <v>26</v>
      </c>
      <c r="O4378" s="12">
        <v>19.98</v>
      </c>
      <c r="P4378" s="12">
        <v>5.97</v>
      </c>
      <c r="Q4378" s="13">
        <v>147.08</v>
      </c>
      <c r="R4378" s="36" t="s">
        <v>1420</v>
      </c>
      <c r="S4378" s="7">
        <f t="shared" si="371"/>
        <v>3</v>
      </c>
      <c r="T4378" s="15" t="str">
        <f>VLOOKUP(R4378,产品分类!$C$2:$D$1278,2,0)</f>
        <v>家具产品</v>
      </c>
    </row>
    <row r="4379" spans="1:20">
      <c r="A4379" s="8">
        <f>DATE(2012,12,31)-863</f>
        <v>40411</v>
      </c>
      <c r="B4379" s="8">
        <f>DATE(2012,12,31)-863</f>
        <v>40411</v>
      </c>
      <c r="C4379" s="9" t="s">
        <v>726</v>
      </c>
      <c r="D4379">
        <v>10021529767</v>
      </c>
      <c r="E4379" t="s">
        <v>47</v>
      </c>
      <c r="F4379" t="s">
        <v>132</v>
      </c>
      <c r="G4379" t="s">
        <v>133</v>
      </c>
      <c r="H4379" t="s">
        <v>134</v>
      </c>
      <c r="I4379" t="s">
        <v>133</v>
      </c>
      <c r="J4379" t="s">
        <v>52</v>
      </c>
      <c r="K4379" s="3">
        <v>100829448922</v>
      </c>
      <c r="L4379" s="10">
        <v>40416</v>
      </c>
      <c r="M4379">
        <v>215.52</v>
      </c>
      <c r="N4379" s="11">
        <v>14</v>
      </c>
      <c r="O4379" s="12">
        <v>14.34</v>
      </c>
      <c r="P4379" s="12">
        <v>5</v>
      </c>
      <c r="Q4379" s="13">
        <v>75.83</v>
      </c>
      <c r="R4379" s="36" t="s">
        <v>298</v>
      </c>
      <c r="S4379" s="7">
        <f t="shared" si="371"/>
        <v>5</v>
      </c>
      <c r="T4379" s="15" t="str">
        <f>VLOOKUP(R4379,产品分类!$C$2:$D$1278,2,0)</f>
        <v>办公用品</v>
      </c>
    </row>
    <row r="4380" spans="1:20">
      <c r="A4380" s="8">
        <f>DATE(2012,12,31)-863</f>
        <v>40411</v>
      </c>
      <c r="B4380" s="8">
        <f>DATE(2012,12,31)-863</f>
        <v>40411</v>
      </c>
      <c r="C4380" s="9" t="s">
        <v>726</v>
      </c>
      <c r="D4380">
        <v>10021428917</v>
      </c>
      <c r="E4380" t="s">
        <v>47</v>
      </c>
      <c r="F4380" t="s">
        <v>97</v>
      </c>
      <c r="G4380" t="s">
        <v>98</v>
      </c>
      <c r="H4380" t="s">
        <v>99</v>
      </c>
      <c r="I4380" t="s">
        <v>98</v>
      </c>
      <c r="J4380" t="s">
        <v>52</v>
      </c>
      <c r="K4380" s="3">
        <v>100131348597</v>
      </c>
      <c r="L4380" s="10">
        <v>40411</v>
      </c>
      <c r="M4380">
        <v>10.46</v>
      </c>
      <c r="N4380" s="11">
        <v>8</v>
      </c>
      <c r="O4380" s="12">
        <v>1.14</v>
      </c>
      <c r="P4380" s="12">
        <v>0.7</v>
      </c>
      <c r="Q4380" s="13">
        <v>-0.89</v>
      </c>
      <c r="R4380" s="36" t="s">
        <v>1635</v>
      </c>
      <c r="S4380" s="7">
        <f t="shared" si="371"/>
        <v>0</v>
      </c>
      <c r="T4380" s="15" t="str">
        <f>VLOOKUP(R4380,产品分类!$C$2:$D$1278,2,0)</f>
        <v>家具产品</v>
      </c>
    </row>
    <row r="4381" spans="1:20">
      <c r="A4381" s="8">
        <f>DATE(2012,12,31)-124</f>
        <v>41150</v>
      </c>
      <c r="B4381" s="8">
        <f>DATE(2012,12,31)-124</f>
        <v>41150</v>
      </c>
      <c r="C4381" s="9" t="s">
        <v>1696</v>
      </c>
      <c r="D4381">
        <v>10021415811</v>
      </c>
      <c r="E4381" t="s">
        <v>47</v>
      </c>
      <c r="F4381" t="s">
        <v>132</v>
      </c>
      <c r="G4381" t="s">
        <v>133</v>
      </c>
      <c r="H4381" t="s">
        <v>134</v>
      </c>
      <c r="I4381" t="s">
        <v>133</v>
      </c>
      <c r="J4381" t="s">
        <v>52</v>
      </c>
      <c r="K4381" s="3">
        <v>100811036252</v>
      </c>
      <c r="L4381" s="10">
        <v>41153</v>
      </c>
      <c r="M4381">
        <v>2643.15</v>
      </c>
      <c r="N4381" s="11">
        <v>9</v>
      </c>
      <c r="O4381" s="12">
        <v>286.85</v>
      </c>
      <c r="P4381" s="12">
        <v>61.76</v>
      </c>
      <c r="Q4381" s="13">
        <v>-715.1144</v>
      </c>
      <c r="R4381" s="36" t="s">
        <v>1252</v>
      </c>
      <c r="S4381" s="7">
        <f t="shared" si="371"/>
        <v>3</v>
      </c>
      <c r="T4381" s="15" t="str">
        <f>VLOOKUP(R4381,产品分类!$C$2:$D$1278,2,0)</f>
        <v>办公用品</v>
      </c>
    </row>
    <row r="4382" spans="1:20">
      <c r="A4382" s="8">
        <f t="shared" ref="A4382:B4385" si="373">DATE(2012,12,31)-464</f>
        <v>40810</v>
      </c>
      <c r="B4382" s="8">
        <f t="shared" si="373"/>
        <v>40810</v>
      </c>
      <c r="C4382" s="9" t="s">
        <v>158</v>
      </c>
      <c r="D4382">
        <v>10021256678</v>
      </c>
      <c r="E4382" t="s">
        <v>47</v>
      </c>
      <c r="F4382" t="s">
        <v>97</v>
      </c>
      <c r="G4382" t="s">
        <v>98</v>
      </c>
      <c r="H4382" t="s">
        <v>99</v>
      </c>
      <c r="I4382" t="s">
        <v>98</v>
      </c>
      <c r="J4382" t="s">
        <v>52</v>
      </c>
      <c r="K4382" s="3">
        <v>100125469617</v>
      </c>
      <c r="L4382" s="10">
        <v>40814</v>
      </c>
      <c r="M4382">
        <v>1298.29</v>
      </c>
      <c r="N4382" s="11">
        <v>41</v>
      </c>
      <c r="O4382" s="12">
        <v>31.78</v>
      </c>
      <c r="P4382" s="12">
        <v>1.99</v>
      </c>
      <c r="Q4382" s="13">
        <v>542.33</v>
      </c>
      <c r="R4382" s="36" t="s">
        <v>451</v>
      </c>
      <c r="S4382" s="7">
        <f t="shared" si="371"/>
        <v>4</v>
      </c>
      <c r="T4382" s="15" t="str">
        <f>VLOOKUP(R4382,产品分类!$C$2:$D$1278,2,0)</f>
        <v>家具产品</v>
      </c>
    </row>
    <row r="4383" spans="1:20">
      <c r="A4383" s="8">
        <f t="shared" si="373"/>
        <v>40810</v>
      </c>
      <c r="B4383" s="8">
        <f t="shared" si="373"/>
        <v>40810</v>
      </c>
      <c r="C4383" s="9" t="s">
        <v>158</v>
      </c>
      <c r="D4383">
        <v>10021580411</v>
      </c>
      <c r="E4383" t="s">
        <v>47</v>
      </c>
      <c r="F4383" t="s">
        <v>102</v>
      </c>
      <c r="G4383" t="s">
        <v>103</v>
      </c>
      <c r="H4383" t="s">
        <v>2326</v>
      </c>
      <c r="I4383" t="s">
        <v>2327</v>
      </c>
      <c r="J4383" t="s">
        <v>52</v>
      </c>
      <c r="K4383" s="3">
        <v>100122573948</v>
      </c>
      <c r="L4383" s="10">
        <v>40812</v>
      </c>
      <c r="M4383">
        <v>19.34</v>
      </c>
      <c r="N4383" s="11">
        <v>3</v>
      </c>
      <c r="O4383" s="12">
        <v>4.98</v>
      </c>
      <c r="P4383" s="12">
        <v>5.02</v>
      </c>
      <c r="Q4383" s="13">
        <v>-11.36</v>
      </c>
      <c r="R4383" s="36" t="s">
        <v>2335</v>
      </c>
      <c r="S4383" s="7">
        <f t="shared" si="371"/>
        <v>2</v>
      </c>
      <c r="T4383" s="15" t="str">
        <f>VLOOKUP(R4383,产品分类!$C$2:$D$1278,2,0)</f>
        <v>办公用品</v>
      </c>
    </row>
    <row r="4384" spans="1:20">
      <c r="A4384" s="8">
        <f t="shared" si="373"/>
        <v>40810</v>
      </c>
      <c r="B4384" s="8">
        <f t="shared" si="373"/>
        <v>40810</v>
      </c>
      <c r="C4384" s="9" t="s">
        <v>158</v>
      </c>
      <c r="D4384">
        <v>10021296673</v>
      </c>
      <c r="E4384" t="s">
        <v>47</v>
      </c>
      <c r="F4384" t="s">
        <v>102</v>
      </c>
      <c r="G4384" t="s">
        <v>103</v>
      </c>
      <c r="H4384" t="s">
        <v>2326</v>
      </c>
      <c r="I4384" t="s">
        <v>2327</v>
      </c>
      <c r="J4384" t="s">
        <v>52</v>
      </c>
      <c r="K4384" s="3">
        <v>100913927991</v>
      </c>
      <c r="L4384" s="10">
        <v>40814</v>
      </c>
      <c r="M4384">
        <v>590.32</v>
      </c>
      <c r="N4384" s="11">
        <v>35</v>
      </c>
      <c r="O4384" s="12">
        <v>16.99</v>
      </c>
      <c r="P4384" s="12">
        <v>8.99</v>
      </c>
      <c r="Q4384" s="13">
        <v>-91.31</v>
      </c>
      <c r="R4384" s="36" t="s">
        <v>1383</v>
      </c>
      <c r="S4384" s="7">
        <f t="shared" si="371"/>
        <v>4</v>
      </c>
      <c r="T4384" s="15" t="str">
        <f>VLOOKUP(R4384,产品分类!$C$2:$D$1278,2,0)</f>
        <v>家具产品</v>
      </c>
    </row>
    <row r="4385" spans="1:20">
      <c r="A4385" s="8">
        <f t="shared" si="373"/>
        <v>40810</v>
      </c>
      <c r="B4385" s="8">
        <f t="shared" si="373"/>
        <v>40810</v>
      </c>
      <c r="C4385" s="9" t="s">
        <v>158</v>
      </c>
      <c r="D4385">
        <v>10021530625</v>
      </c>
      <c r="E4385" t="s">
        <v>47</v>
      </c>
      <c r="F4385" t="s">
        <v>102</v>
      </c>
      <c r="G4385" t="s">
        <v>103</v>
      </c>
      <c r="H4385" t="s">
        <v>2326</v>
      </c>
      <c r="I4385" t="s">
        <v>2327</v>
      </c>
      <c r="J4385" t="s">
        <v>52</v>
      </c>
      <c r="K4385" s="3">
        <v>100330042119</v>
      </c>
      <c r="L4385" s="10">
        <v>40819</v>
      </c>
      <c r="M4385">
        <v>4245.93</v>
      </c>
      <c r="N4385" s="11">
        <v>19</v>
      </c>
      <c r="O4385" s="12">
        <v>209.37</v>
      </c>
      <c r="P4385" s="12">
        <v>69</v>
      </c>
      <c r="Q4385" s="13">
        <v>-626.45</v>
      </c>
      <c r="R4385" s="36" t="s">
        <v>1184</v>
      </c>
      <c r="S4385" s="7">
        <f t="shared" si="371"/>
        <v>9</v>
      </c>
      <c r="T4385" s="15" t="str">
        <f>VLOOKUP(R4385,产品分类!$C$2:$D$1278,2,0)</f>
        <v>数码电子</v>
      </c>
    </row>
    <row r="4386" spans="1:20">
      <c r="A4386" s="8">
        <f>DATE(2012,12,31)-521</f>
        <v>40753</v>
      </c>
      <c r="B4386" s="8">
        <f>DATE(2012,12,31)-521</f>
        <v>40753</v>
      </c>
      <c r="C4386" s="9" t="s">
        <v>2336</v>
      </c>
      <c r="D4386">
        <v>10021280339</v>
      </c>
      <c r="E4386" t="s">
        <v>47</v>
      </c>
      <c r="F4386" t="s">
        <v>102</v>
      </c>
      <c r="G4386" t="s">
        <v>103</v>
      </c>
      <c r="H4386" t="s">
        <v>2326</v>
      </c>
      <c r="I4386" t="s">
        <v>2327</v>
      </c>
      <c r="J4386" t="s">
        <v>52</v>
      </c>
      <c r="K4386" s="3">
        <v>100313887689</v>
      </c>
      <c r="L4386" s="10">
        <v>40753</v>
      </c>
      <c r="M4386">
        <v>589.78</v>
      </c>
      <c r="N4386" s="11">
        <v>13</v>
      </c>
      <c r="O4386" s="12">
        <v>42.8</v>
      </c>
      <c r="P4386" s="12">
        <v>2.99</v>
      </c>
      <c r="Q4386" s="13">
        <v>225.2585</v>
      </c>
      <c r="R4386" s="36" t="s">
        <v>1468</v>
      </c>
      <c r="S4386" s="7">
        <f t="shared" si="371"/>
        <v>0</v>
      </c>
      <c r="T4386" s="15" t="str">
        <f>VLOOKUP(R4386,产品分类!$C$2:$D$1278,2,0)</f>
        <v>数码电子</v>
      </c>
    </row>
    <row r="4387" spans="1:20">
      <c r="A4387" s="8">
        <f>DATE(2012,12,31)-862</f>
        <v>40412</v>
      </c>
      <c r="B4387" s="8">
        <f>DATE(2012,12,31)-862</f>
        <v>40412</v>
      </c>
      <c r="C4387" s="9" t="s">
        <v>1439</v>
      </c>
      <c r="D4387">
        <v>10021510914</v>
      </c>
      <c r="E4387" t="s">
        <v>47</v>
      </c>
      <c r="F4387" t="s">
        <v>208</v>
      </c>
      <c r="G4387" t="s">
        <v>209</v>
      </c>
      <c r="H4387" t="s">
        <v>2300</v>
      </c>
      <c r="I4387" t="s">
        <v>2301</v>
      </c>
      <c r="J4387" t="s">
        <v>52</v>
      </c>
      <c r="K4387" s="3">
        <v>100932702141</v>
      </c>
      <c r="L4387" s="10">
        <v>40414</v>
      </c>
      <c r="M4387">
        <v>7512.03</v>
      </c>
      <c r="N4387" s="11">
        <v>21</v>
      </c>
      <c r="O4387" s="12">
        <v>363.25</v>
      </c>
      <c r="P4387" s="12">
        <v>19.99</v>
      </c>
      <c r="Q4387" s="13">
        <v>2017.64</v>
      </c>
      <c r="R4387" s="36" t="s">
        <v>192</v>
      </c>
      <c r="S4387" s="7">
        <f t="shared" si="371"/>
        <v>2</v>
      </c>
      <c r="T4387" s="15" t="str">
        <f>VLOOKUP(R4387,产品分类!$C$2:$D$1278,2,0)</f>
        <v>办公用品</v>
      </c>
    </row>
    <row r="4388" spans="1:20">
      <c r="A4388" s="8">
        <f>DATE(2012,12,31)-856</f>
        <v>40418</v>
      </c>
      <c r="B4388" s="8">
        <f>DATE(2012,12,31)-856</f>
        <v>40418</v>
      </c>
      <c r="C4388" s="9" t="s">
        <v>2238</v>
      </c>
      <c r="D4388">
        <v>10021444702</v>
      </c>
      <c r="E4388" t="s">
        <v>47</v>
      </c>
      <c r="F4388" t="s">
        <v>208</v>
      </c>
      <c r="G4388" t="s">
        <v>209</v>
      </c>
      <c r="H4388" t="s">
        <v>2300</v>
      </c>
      <c r="I4388" t="s">
        <v>2301</v>
      </c>
      <c r="J4388" t="s">
        <v>52</v>
      </c>
      <c r="K4388" s="3">
        <v>10036713599</v>
      </c>
      <c r="L4388" s="10">
        <v>40423</v>
      </c>
      <c r="M4388">
        <v>677.9</v>
      </c>
      <c r="N4388" s="11">
        <v>20</v>
      </c>
      <c r="O4388" s="12">
        <v>33.98</v>
      </c>
      <c r="P4388" s="12">
        <v>1.99</v>
      </c>
      <c r="Q4388" s="13">
        <v>196.36</v>
      </c>
      <c r="R4388" s="36" t="s">
        <v>1044</v>
      </c>
      <c r="S4388" s="7">
        <f t="shared" si="371"/>
        <v>5</v>
      </c>
      <c r="T4388" s="15" t="str">
        <f>VLOOKUP(R4388,产品分类!$C$2:$D$1278,2,0)</f>
        <v>办公用品</v>
      </c>
    </row>
    <row r="4389" spans="1:20">
      <c r="A4389" s="8">
        <f>DATE(2012,12,31)-89</f>
        <v>41185</v>
      </c>
      <c r="B4389" s="8">
        <f>DATE(2012,12,31)-89</f>
        <v>41185</v>
      </c>
      <c r="C4389" s="9" t="s">
        <v>657</v>
      </c>
      <c r="D4389">
        <v>10021459964</v>
      </c>
      <c r="E4389" t="s">
        <v>47</v>
      </c>
      <c r="F4389" t="s">
        <v>208</v>
      </c>
      <c r="G4389" t="s">
        <v>209</v>
      </c>
      <c r="H4389" t="s">
        <v>2300</v>
      </c>
      <c r="I4389" t="s">
        <v>2301</v>
      </c>
      <c r="J4389" t="s">
        <v>52</v>
      </c>
      <c r="K4389" s="3">
        <v>10096186631</v>
      </c>
      <c r="L4389" s="10">
        <v>41186</v>
      </c>
      <c r="M4389">
        <v>6573.75</v>
      </c>
      <c r="N4389" s="11">
        <v>16</v>
      </c>
      <c r="O4389" s="12">
        <v>399.98</v>
      </c>
      <c r="P4389" s="12">
        <v>12.06</v>
      </c>
      <c r="Q4389" s="13">
        <v>1197.05</v>
      </c>
      <c r="R4389" s="36" t="s">
        <v>595</v>
      </c>
      <c r="S4389" s="7">
        <f t="shared" si="371"/>
        <v>1</v>
      </c>
      <c r="T4389" s="15" t="str">
        <f>VLOOKUP(R4389,产品分类!$C$2:$D$1278,2,0)</f>
        <v>办公用品</v>
      </c>
    </row>
    <row r="4390" spans="1:20">
      <c r="A4390" s="8">
        <f t="shared" ref="A4390:B4392" si="374">DATE(2012,12,31)-38</f>
        <v>41236</v>
      </c>
      <c r="B4390" s="8">
        <f t="shared" si="374"/>
        <v>41236</v>
      </c>
      <c r="C4390" s="9" t="s">
        <v>687</v>
      </c>
      <c r="D4390">
        <v>10021257328</v>
      </c>
      <c r="E4390" t="s">
        <v>47</v>
      </c>
      <c r="F4390" t="s">
        <v>171</v>
      </c>
      <c r="G4390" t="s">
        <v>172</v>
      </c>
      <c r="H4390" t="s">
        <v>2073</v>
      </c>
      <c r="I4390" t="s">
        <v>2074</v>
      </c>
      <c r="J4390" t="s">
        <v>52</v>
      </c>
      <c r="K4390" s="3">
        <v>100926034041</v>
      </c>
      <c r="L4390" s="10">
        <v>41237</v>
      </c>
      <c r="M4390">
        <v>6806.66</v>
      </c>
      <c r="N4390" s="11">
        <v>21</v>
      </c>
      <c r="O4390" s="12">
        <v>299.05</v>
      </c>
      <c r="P4390" s="12">
        <v>87.01</v>
      </c>
      <c r="Q4390" s="13">
        <v>801.72</v>
      </c>
      <c r="R4390" s="36" t="s">
        <v>2337</v>
      </c>
      <c r="S4390" s="7">
        <f t="shared" si="371"/>
        <v>1</v>
      </c>
      <c r="T4390" s="15" t="str">
        <f>VLOOKUP(R4390,产品分类!$C$2:$D$1278,2,0)</f>
        <v>家具产品</v>
      </c>
    </row>
    <row r="4391" spans="1:20">
      <c r="A4391" s="8">
        <f t="shared" si="374"/>
        <v>41236</v>
      </c>
      <c r="B4391" s="8">
        <f t="shared" si="374"/>
        <v>41236</v>
      </c>
      <c r="C4391" s="9" t="s">
        <v>687</v>
      </c>
      <c r="D4391">
        <v>10021423842</v>
      </c>
      <c r="E4391" t="s">
        <v>47</v>
      </c>
      <c r="F4391" t="s">
        <v>171</v>
      </c>
      <c r="G4391" t="s">
        <v>172</v>
      </c>
      <c r="H4391" t="s">
        <v>2073</v>
      </c>
      <c r="I4391" t="s">
        <v>2074</v>
      </c>
      <c r="J4391" t="s">
        <v>52</v>
      </c>
      <c r="K4391" s="3">
        <v>100728313085</v>
      </c>
      <c r="L4391" s="10">
        <v>41238</v>
      </c>
      <c r="M4391">
        <v>891.61</v>
      </c>
      <c r="N4391" s="11">
        <v>3</v>
      </c>
      <c r="O4391" s="12">
        <v>291.73</v>
      </c>
      <c r="P4391" s="12">
        <v>48.8</v>
      </c>
      <c r="Q4391" s="13">
        <v>-328.36</v>
      </c>
      <c r="R4391" s="36" t="s">
        <v>791</v>
      </c>
      <c r="S4391" s="7">
        <f t="shared" si="371"/>
        <v>2</v>
      </c>
      <c r="T4391" s="15" t="str">
        <f>VLOOKUP(R4391,产品分类!$C$2:$D$1278,2,0)</f>
        <v>数码电子</v>
      </c>
    </row>
    <row r="4392" spans="1:20">
      <c r="A4392" s="8">
        <f t="shared" si="374"/>
        <v>41236</v>
      </c>
      <c r="B4392" s="8">
        <f t="shared" si="374"/>
        <v>41236</v>
      </c>
      <c r="C4392" s="9" t="s">
        <v>687</v>
      </c>
      <c r="D4392">
        <v>10021424538</v>
      </c>
      <c r="E4392" t="s">
        <v>47</v>
      </c>
      <c r="F4392" t="s">
        <v>171</v>
      </c>
      <c r="G4392" t="s">
        <v>172</v>
      </c>
      <c r="H4392" t="s">
        <v>2073</v>
      </c>
      <c r="I4392" t="s">
        <v>2074</v>
      </c>
      <c r="J4392" t="s">
        <v>52</v>
      </c>
      <c r="K4392" s="3">
        <v>100127301647</v>
      </c>
      <c r="L4392" s="10">
        <v>41238</v>
      </c>
      <c r="M4392">
        <v>165.04</v>
      </c>
      <c r="N4392" s="11">
        <v>5</v>
      </c>
      <c r="O4392" s="12">
        <v>30.42</v>
      </c>
      <c r="P4392" s="12">
        <v>8.65</v>
      </c>
      <c r="Q4392" s="13">
        <v>-112.44</v>
      </c>
      <c r="R4392" s="36" t="s">
        <v>1231</v>
      </c>
      <c r="S4392" s="7">
        <f t="shared" si="371"/>
        <v>2</v>
      </c>
      <c r="T4392" s="15" t="str">
        <f>VLOOKUP(R4392,产品分类!$C$2:$D$1278,2,0)</f>
        <v>办公用品</v>
      </c>
    </row>
    <row r="4393" spans="1:20">
      <c r="A4393" s="8">
        <f>DATE(2012,12,31)-621</f>
        <v>40653</v>
      </c>
      <c r="B4393" s="8">
        <f>DATE(2012,12,31)-621</f>
        <v>40653</v>
      </c>
      <c r="C4393" s="9" t="s">
        <v>649</v>
      </c>
      <c r="D4393">
        <v>10021287560</v>
      </c>
      <c r="E4393" t="s">
        <v>47</v>
      </c>
      <c r="F4393" t="s">
        <v>171</v>
      </c>
      <c r="G4393" t="s">
        <v>172</v>
      </c>
      <c r="H4393" t="s">
        <v>2073</v>
      </c>
      <c r="I4393" t="s">
        <v>2074</v>
      </c>
      <c r="J4393" t="s">
        <v>52</v>
      </c>
      <c r="K4393" s="3">
        <v>100931976311</v>
      </c>
      <c r="L4393" s="10">
        <v>40660</v>
      </c>
      <c r="M4393">
        <v>43.29</v>
      </c>
      <c r="N4393" s="11">
        <v>4</v>
      </c>
      <c r="O4393" s="12">
        <v>8.37</v>
      </c>
      <c r="P4393" s="12">
        <v>10.16</v>
      </c>
      <c r="Q4393" s="13">
        <v>-0.360000000000007</v>
      </c>
      <c r="R4393" s="36" t="s">
        <v>1599</v>
      </c>
      <c r="S4393" s="7">
        <f t="shared" si="371"/>
        <v>7</v>
      </c>
      <c r="T4393" s="15" t="str">
        <f>VLOOKUP(R4393,产品分类!$C$2:$D$1278,2,0)</f>
        <v>家具产品</v>
      </c>
    </row>
    <row r="4394" spans="1:20">
      <c r="A4394" s="8">
        <f>DATE(2012,12,31)-135</f>
        <v>41139</v>
      </c>
      <c r="B4394" s="8">
        <f>DATE(2012,12,31)-135</f>
        <v>41139</v>
      </c>
      <c r="C4394" s="9" t="s">
        <v>1853</v>
      </c>
      <c r="D4394">
        <v>10021344667</v>
      </c>
      <c r="E4394" t="s">
        <v>47</v>
      </c>
      <c r="F4394" t="s">
        <v>171</v>
      </c>
      <c r="G4394" t="s">
        <v>172</v>
      </c>
      <c r="H4394" t="s">
        <v>2073</v>
      </c>
      <c r="I4394" t="s">
        <v>2074</v>
      </c>
      <c r="J4394" t="s">
        <v>52</v>
      </c>
      <c r="K4394" s="3">
        <v>100829797592</v>
      </c>
      <c r="L4394" s="10">
        <v>41146</v>
      </c>
      <c r="M4394">
        <v>679.95</v>
      </c>
      <c r="N4394" s="11">
        <v>39</v>
      </c>
      <c r="O4394" s="12">
        <v>17.99</v>
      </c>
      <c r="P4394" s="12">
        <v>8.65</v>
      </c>
      <c r="Q4394" s="13">
        <v>-93.3</v>
      </c>
      <c r="R4394" s="36" t="s">
        <v>2338</v>
      </c>
      <c r="S4394" s="7">
        <f t="shared" si="371"/>
        <v>7</v>
      </c>
      <c r="T4394" s="15" t="str">
        <f>VLOOKUP(R4394,产品分类!$C$2:$D$1278,2,0)</f>
        <v>家具产品</v>
      </c>
    </row>
    <row r="4395" spans="1:20">
      <c r="A4395" s="8">
        <f>DATE(2012,12,31)-135</f>
        <v>41139</v>
      </c>
      <c r="B4395" s="8">
        <f>DATE(2012,12,31)-135</f>
        <v>41139</v>
      </c>
      <c r="C4395" s="9" t="s">
        <v>1853</v>
      </c>
      <c r="D4395">
        <v>10021351968</v>
      </c>
      <c r="E4395" t="s">
        <v>47</v>
      </c>
      <c r="F4395" t="s">
        <v>177</v>
      </c>
      <c r="G4395" t="s">
        <v>178</v>
      </c>
      <c r="H4395" t="s">
        <v>2283</v>
      </c>
      <c r="I4395" t="s">
        <v>2284</v>
      </c>
      <c r="J4395" t="s">
        <v>52</v>
      </c>
      <c r="K4395" s="3">
        <v>100932510531</v>
      </c>
      <c r="L4395" s="10">
        <v>41148</v>
      </c>
      <c r="M4395">
        <v>1579.56</v>
      </c>
      <c r="N4395" s="11">
        <v>44</v>
      </c>
      <c r="O4395" s="12">
        <v>35.44</v>
      </c>
      <c r="P4395" s="12">
        <v>4.92</v>
      </c>
      <c r="Q4395" s="13">
        <v>699.64</v>
      </c>
      <c r="R4395" s="36" t="s">
        <v>1961</v>
      </c>
      <c r="S4395" s="7">
        <f t="shared" si="371"/>
        <v>9</v>
      </c>
      <c r="T4395" s="15" t="str">
        <f>VLOOKUP(R4395,产品分类!$C$2:$D$1278,2,0)</f>
        <v>数码电子</v>
      </c>
    </row>
    <row r="4396" spans="1:20">
      <c r="A4396" s="8">
        <f>DATE(2012,12,31)-805</f>
        <v>40469</v>
      </c>
      <c r="B4396" s="8">
        <f>DATE(2012,12,31)-805</f>
        <v>40469</v>
      </c>
      <c r="C4396" s="9" t="s">
        <v>313</v>
      </c>
      <c r="D4396">
        <v>10021460034</v>
      </c>
      <c r="E4396" t="s">
        <v>47</v>
      </c>
      <c r="F4396" t="s">
        <v>177</v>
      </c>
      <c r="G4396" t="s">
        <v>178</v>
      </c>
      <c r="H4396" t="s">
        <v>2339</v>
      </c>
      <c r="I4396" t="s">
        <v>2340</v>
      </c>
      <c r="J4396" t="s">
        <v>52</v>
      </c>
      <c r="K4396" s="3">
        <v>10098549591</v>
      </c>
      <c r="L4396" s="10">
        <v>40471</v>
      </c>
      <c r="M4396">
        <v>109.78</v>
      </c>
      <c r="N4396" s="11">
        <v>31</v>
      </c>
      <c r="O4396" s="12">
        <v>3.75</v>
      </c>
      <c r="P4396" s="12">
        <v>0.5</v>
      </c>
      <c r="Q4396" s="13">
        <v>43.77</v>
      </c>
      <c r="R4396" s="36" t="s">
        <v>1027</v>
      </c>
      <c r="S4396" s="7">
        <f t="shared" si="371"/>
        <v>2</v>
      </c>
      <c r="T4396" s="15" t="str">
        <f>VLOOKUP(R4396,产品分类!$C$2:$D$1278,2,0)</f>
        <v>数码电子</v>
      </c>
    </row>
    <row r="4397" spans="1:20">
      <c r="A4397" s="8">
        <f>DATE(2012,12,31)-152</f>
        <v>41122</v>
      </c>
      <c r="B4397" s="8">
        <f>DATE(2012,12,31)-152</f>
        <v>41122</v>
      </c>
      <c r="C4397" s="9" t="s">
        <v>413</v>
      </c>
      <c r="D4397">
        <v>10021292656</v>
      </c>
      <c r="E4397" t="s">
        <v>47</v>
      </c>
      <c r="F4397" t="s">
        <v>527</v>
      </c>
      <c r="G4397" t="s">
        <v>528</v>
      </c>
      <c r="H4397" t="s">
        <v>2293</v>
      </c>
      <c r="I4397" t="s">
        <v>2294</v>
      </c>
      <c r="J4397" t="s">
        <v>52</v>
      </c>
      <c r="K4397" s="3">
        <v>1009518881</v>
      </c>
      <c r="L4397" s="10">
        <v>41124</v>
      </c>
      <c r="M4397">
        <v>4648.64</v>
      </c>
      <c r="N4397" s="11">
        <v>41</v>
      </c>
      <c r="O4397" s="12">
        <v>115.79</v>
      </c>
      <c r="P4397" s="12">
        <v>1.99</v>
      </c>
      <c r="Q4397" s="13">
        <v>1777.67</v>
      </c>
      <c r="R4397" s="36" t="s">
        <v>95</v>
      </c>
      <c r="S4397" s="7">
        <f t="shared" si="371"/>
        <v>2</v>
      </c>
      <c r="T4397" s="15" t="str">
        <f>VLOOKUP(R4397,产品分类!$C$2:$D$1278,2,0)</f>
        <v>数码电子</v>
      </c>
    </row>
    <row r="4398" spans="1:20">
      <c r="A4398" s="8">
        <f>DATE(2012,12,31)-652</f>
        <v>40622</v>
      </c>
      <c r="B4398" s="8">
        <f>DATE(2012,12,31)-652</f>
        <v>40622</v>
      </c>
      <c r="C4398" s="9" t="s">
        <v>1273</v>
      </c>
      <c r="D4398">
        <v>10021345856</v>
      </c>
      <c r="E4398" t="s">
        <v>47</v>
      </c>
      <c r="F4398" t="s">
        <v>527</v>
      </c>
      <c r="G4398" t="s">
        <v>528</v>
      </c>
      <c r="H4398" t="s">
        <v>2293</v>
      </c>
      <c r="I4398" t="s">
        <v>2294</v>
      </c>
      <c r="J4398" t="s">
        <v>52</v>
      </c>
      <c r="K4398" s="3">
        <v>100130492886</v>
      </c>
      <c r="L4398" s="10">
        <v>40624</v>
      </c>
      <c r="M4398">
        <v>306.13</v>
      </c>
      <c r="N4398" s="11">
        <v>50</v>
      </c>
      <c r="O4398" s="12">
        <v>5.98</v>
      </c>
      <c r="P4398" s="12">
        <v>1.49</v>
      </c>
      <c r="Q4398" s="13">
        <v>87.601</v>
      </c>
      <c r="R4398" s="36" t="s">
        <v>392</v>
      </c>
      <c r="S4398" s="7">
        <f t="shared" si="371"/>
        <v>2</v>
      </c>
      <c r="T4398" s="15" t="str">
        <f>VLOOKUP(R4398,产品分类!$C$2:$D$1278,2,0)</f>
        <v>办公用品</v>
      </c>
    </row>
    <row r="4399" spans="1:20">
      <c r="A4399" s="8">
        <f>DATE(2012,12,31)-944</f>
        <v>40330</v>
      </c>
      <c r="B4399" s="8">
        <f>DATE(2012,12,31)-944</f>
        <v>40330</v>
      </c>
      <c r="C4399" s="9" t="s">
        <v>2325</v>
      </c>
      <c r="D4399">
        <v>10021416234</v>
      </c>
      <c r="E4399" t="s">
        <v>47</v>
      </c>
      <c r="F4399" t="s">
        <v>177</v>
      </c>
      <c r="G4399" t="s">
        <v>178</v>
      </c>
      <c r="H4399" t="s">
        <v>2339</v>
      </c>
      <c r="I4399" t="s">
        <v>2340</v>
      </c>
      <c r="J4399" t="s">
        <v>52</v>
      </c>
      <c r="K4399" s="3">
        <v>100114009097</v>
      </c>
      <c r="L4399" s="10">
        <v>40331</v>
      </c>
      <c r="M4399">
        <v>13.5</v>
      </c>
      <c r="N4399" s="11">
        <v>2</v>
      </c>
      <c r="O4399" s="12">
        <v>5.98</v>
      </c>
      <c r="P4399" s="12">
        <v>1.67</v>
      </c>
      <c r="Q4399" s="13">
        <v>-7.9</v>
      </c>
      <c r="R4399" s="36" t="s">
        <v>2317</v>
      </c>
      <c r="S4399" s="7">
        <f t="shared" si="371"/>
        <v>1</v>
      </c>
      <c r="T4399" s="15" t="str">
        <f>VLOOKUP(R4399,产品分类!$C$2:$D$1278,2,0)</f>
        <v>家具产品</v>
      </c>
    </row>
    <row r="4400" spans="1:20">
      <c r="A4400" s="8">
        <f>DATE(2012,12,31)-944</f>
        <v>40330</v>
      </c>
      <c r="B4400" s="8">
        <f>DATE(2012,12,31)-944</f>
        <v>40330</v>
      </c>
      <c r="C4400" s="9" t="s">
        <v>2325</v>
      </c>
      <c r="D4400">
        <v>10021425374</v>
      </c>
      <c r="E4400" t="s">
        <v>47</v>
      </c>
      <c r="F4400" t="s">
        <v>167</v>
      </c>
      <c r="G4400" t="s">
        <v>168</v>
      </c>
      <c r="H4400" t="s">
        <v>169</v>
      </c>
      <c r="I4400" t="s">
        <v>168</v>
      </c>
      <c r="J4400" t="s">
        <v>52</v>
      </c>
      <c r="K4400" s="3">
        <v>100329564239</v>
      </c>
      <c r="L4400" s="10">
        <v>40331</v>
      </c>
      <c r="M4400">
        <v>540.64</v>
      </c>
      <c r="N4400" s="11">
        <v>38</v>
      </c>
      <c r="O4400" s="12">
        <v>13.43</v>
      </c>
      <c r="P4400" s="12">
        <v>5.5</v>
      </c>
      <c r="Q4400" s="13">
        <v>13.89</v>
      </c>
      <c r="R4400" s="36" t="s">
        <v>1162</v>
      </c>
      <c r="S4400" s="7">
        <f t="shared" si="371"/>
        <v>1</v>
      </c>
      <c r="T4400" s="15" t="str">
        <f>VLOOKUP(R4400,产品分类!$C$2:$D$1278,2,0)</f>
        <v>办公用品</v>
      </c>
    </row>
    <row r="4401" spans="1:20">
      <c r="A4401" s="8">
        <f>DATE(2012,12,31)-1340</f>
        <v>39934</v>
      </c>
      <c r="B4401" s="8">
        <f>DATE(2012,12,31)-1340</f>
        <v>39934</v>
      </c>
      <c r="C4401" s="9" t="s">
        <v>1109</v>
      </c>
      <c r="D4401">
        <v>10021350887</v>
      </c>
      <c r="E4401" t="s">
        <v>47</v>
      </c>
      <c r="F4401" t="s">
        <v>177</v>
      </c>
      <c r="G4401" t="s">
        <v>178</v>
      </c>
      <c r="H4401" t="s">
        <v>2339</v>
      </c>
      <c r="I4401" t="s">
        <v>2340</v>
      </c>
      <c r="J4401" t="s">
        <v>52</v>
      </c>
      <c r="K4401" s="3">
        <v>100732189935</v>
      </c>
      <c r="L4401" s="10">
        <v>39934</v>
      </c>
      <c r="M4401">
        <v>789.01</v>
      </c>
      <c r="N4401" s="11">
        <v>2</v>
      </c>
      <c r="O4401" s="12">
        <v>415.88</v>
      </c>
      <c r="P4401" s="12">
        <v>11.37</v>
      </c>
      <c r="Q4401" s="13">
        <v>-539.59</v>
      </c>
      <c r="R4401" s="36" t="s">
        <v>482</v>
      </c>
      <c r="S4401" s="7">
        <f t="shared" si="371"/>
        <v>0</v>
      </c>
      <c r="T4401" s="15" t="str">
        <f>VLOOKUP(R4401,产品分类!$C$2:$D$1278,2,0)</f>
        <v>家具产品</v>
      </c>
    </row>
    <row r="4402" spans="1:20">
      <c r="A4402" s="8">
        <f>DATE(2012,12,31)-970</f>
        <v>40304</v>
      </c>
      <c r="B4402" s="8">
        <f>DATE(2012,12,31)-970</f>
        <v>40304</v>
      </c>
      <c r="C4402" s="9" t="s">
        <v>875</v>
      </c>
      <c r="D4402">
        <v>10021421054</v>
      </c>
      <c r="E4402" t="s">
        <v>47</v>
      </c>
      <c r="F4402" t="s">
        <v>183</v>
      </c>
      <c r="G4402" t="s">
        <v>184</v>
      </c>
      <c r="H4402" t="s">
        <v>2212</v>
      </c>
      <c r="I4402" t="s">
        <v>2213</v>
      </c>
      <c r="J4402" t="s">
        <v>52</v>
      </c>
      <c r="K4402" s="3">
        <v>100425558393</v>
      </c>
      <c r="L4402" s="10">
        <v>40311</v>
      </c>
      <c r="M4402">
        <v>128.86</v>
      </c>
      <c r="N4402" s="11">
        <v>21</v>
      </c>
      <c r="O4402" s="12">
        <v>6.48</v>
      </c>
      <c r="P4402" s="12">
        <v>5.16</v>
      </c>
      <c r="Q4402" s="13">
        <v>-42.81</v>
      </c>
      <c r="R4402" s="36" t="s">
        <v>1827</v>
      </c>
      <c r="S4402" s="7">
        <f t="shared" si="371"/>
        <v>7</v>
      </c>
      <c r="T4402" s="15" t="str">
        <f>VLOOKUP(R4402,产品分类!$C$2:$D$1278,2,0)</f>
        <v>数码电子</v>
      </c>
    </row>
    <row r="4403" spans="1:20">
      <c r="A4403" s="8">
        <f>DATE(2012,12,31)-970</f>
        <v>40304</v>
      </c>
      <c r="B4403" s="8">
        <f>DATE(2012,12,31)-970</f>
        <v>40304</v>
      </c>
      <c r="C4403" s="9" t="s">
        <v>875</v>
      </c>
      <c r="D4403">
        <v>10021574473</v>
      </c>
      <c r="E4403" t="s">
        <v>47</v>
      </c>
      <c r="F4403" t="s">
        <v>183</v>
      </c>
      <c r="G4403" t="s">
        <v>184</v>
      </c>
      <c r="H4403" t="s">
        <v>2212</v>
      </c>
      <c r="I4403" t="s">
        <v>2213</v>
      </c>
      <c r="J4403" t="s">
        <v>52</v>
      </c>
      <c r="K4403" s="3">
        <v>10012982027</v>
      </c>
      <c r="L4403" s="10">
        <v>40308</v>
      </c>
      <c r="M4403">
        <v>3249.09</v>
      </c>
      <c r="N4403" s="11">
        <v>44</v>
      </c>
      <c r="O4403" s="12">
        <v>78.8</v>
      </c>
      <c r="P4403" s="12">
        <v>35</v>
      </c>
      <c r="Q4403" s="13">
        <v>-1326.29</v>
      </c>
      <c r="R4403" s="36" t="s">
        <v>1810</v>
      </c>
      <c r="S4403" s="7">
        <f t="shared" si="371"/>
        <v>4</v>
      </c>
      <c r="T4403" s="15" t="str">
        <f>VLOOKUP(R4403,产品分类!$C$2:$D$1278,2,0)</f>
        <v>办公用品</v>
      </c>
    </row>
    <row r="4404" spans="1:20">
      <c r="A4404" s="8">
        <f>DATE(2012,12,31)-234</f>
        <v>41040</v>
      </c>
      <c r="B4404" s="8">
        <f>DATE(2012,12,31)-234</f>
        <v>41040</v>
      </c>
      <c r="C4404" s="9" t="s">
        <v>2084</v>
      </c>
      <c r="D4404">
        <v>10021293839</v>
      </c>
      <c r="E4404" t="s">
        <v>47</v>
      </c>
      <c r="F4404" t="s">
        <v>342</v>
      </c>
      <c r="G4404" t="s">
        <v>343</v>
      </c>
      <c r="H4404" t="s">
        <v>2309</v>
      </c>
      <c r="I4404" t="s">
        <v>2310</v>
      </c>
      <c r="J4404" t="s">
        <v>52</v>
      </c>
      <c r="K4404" s="3">
        <v>10077295395</v>
      </c>
      <c r="L4404" s="10">
        <v>41041</v>
      </c>
      <c r="M4404">
        <v>97.57</v>
      </c>
      <c r="N4404" s="11">
        <v>4</v>
      </c>
      <c r="O4404" s="12">
        <v>19.94</v>
      </c>
      <c r="P4404" s="12">
        <v>14.87</v>
      </c>
      <c r="Q4404" s="13">
        <v>-27.31</v>
      </c>
      <c r="R4404" s="36" t="s">
        <v>2211</v>
      </c>
      <c r="S4404" s="7">
        <f t="shared" si="371"/>
        <v>1</v>
      </c>
      <c r="T4404" s="15" t="str">
        <f>VLOOKUP(R4404,产品分类!$C$2:$D$1278,2,0)</f>
        <v>办公用品</v>
      </c>
    </row>
    <row r="4405" spans="1:20">
      <c r="A4405" s="8">
        <f>DATE(2012,12,31)-234</f>
        <v>41040</v>
      </c>
      <c r="B4405" s="8">
        <f>DATE(2012,12,31)-234</f>
        <v>41040</v>
      </c>
      <c r="C4405" s="9" t="s">
        <v>2084</v>
      </c>
      <c r="D4405">
        <v>10021587898</v>
      </c>
      <c r="E4405" t="s">
        <v>47</v>
      </c>
      <c r="F4405" t="s">
        <v>177</v>
      </c>
      <c r="G4405" t="s">
        <v>178</v>
      </c>
      <c r="H4405" t="s">
        <v>2339</v>
      </c>
      <c r="I4405" t="s">
        <v>2340</v>
      </c>
      <c r="J4405" t="s">
        <v>52</v>
      </c>
      <c r="K4405" s="3">
        <v>100130100916</v>
      </c>
      <c r="L4405" s="10">
        <v>41042</v>
      </c>
      <c r="M4405">
        <v>110.32</v>
      </c>
      <c r="N4405" s="11">
        <v>31</v>
      </c>
      <c r="O4405" s="12">
        <v>3.68</v>
      </c>
      <c r="P4405" s="12">
        <v>1.32</v>
      </c>
      <c r="Q4405" s="13">
        <v>-32.65</v>
      </c>
      <c r="R4405" s="36" t="s">
        <v>1061</v>
      </c>
      <c r="S4405" s="7">
        <f t="shared" si="371"/>
        <v>2</v>
      </c>
      <c r="T4405" s="15" t="str">
        <f>VLOOKUP(R4405,产品分类!$C$2:$D$1278,2,0)</f>
        <v>办公用品</v>
      </c>
    </row>
    <row r="4406" spans="1:20">
      <c r="A4406" s="8">
        <f>DATE(2012,12,31)-422</f>
        <v>40852</v>
      </c>
      <c r="B4406" s="8">
        <f>DATE(2012,12,31)-422</f>
        <v>40852</v>
      </c>
      <c r="C4406" s="9" t="s">
        <v>2341</v>
      </c>
      <c r="D4406">
        <v>10021595564</v>
      </c>
      <c r="E4406" t="s">
        <v>47</v>
      </c>
      <c r="F4406" t="s">
        <v>177</v>
      </c>
      <c r="G4406" t="s">
        <v>178</v>
      </c>
      <c r="H4406" t="s">
        <v>2339</v>
      </c>
      <c r="I4406" t="s">
        <v>2340</v>
      </c>
      <c r="J4406" t="s">
        <v>52</v>
      </c>
      <c r="K4406" s="3">
        <v>100832808342</v>
      </c>
      <c r="L4406" s="10">
        <v>40853</v>
      </c>
      <c r="M4406">
        <v>337.2035</v>
      </c>
      <c r="N4406" s="11">
        <v>9</v>
      </c>
      <c r="O4406" s="12">
        <v>45.99</v>
      </c>
      <c r="P4406" s="12">
        <v>4.99</v>
      </c>
      <c r="Q4406" s="13">
        <v>-120.934</v>
      </c>
      <c r="R4406" s="36" t="s">
        <v>1108</v>
      </c>
      <c r="S4406" s="7">
        <f t="shared" si="371"/>
        <v>1</v>
      </c>
      <c r="T4406" s="15" t="str">
        <f>VLOOKUP(R4406,产品分类!$C$2:$D$1278,2,0)</f>
        <v>办公用品</v>
      </c>
    </row>
    <row r="4407" spans="1:20">
      <c r="A4407" s="8">
        <f>DATE(2012,12,31)-1244</f>
        <v>40030</v>
      </c>
      <c r="B4407" s="8">
        <f>DATE(2012,12,31)-1244</f>
        <v>40030</v>
      </c>
      <c r="C4407" s="9" t="s">
        <v>1939</v>
      </c>
      <c r="D4407">
        <v>10021352682</v>
      </c>
      <c r="E4407" t="s">
        <v>47</v>
      </c>
      <c r="F4407" t="s">
        <v>342</v>
      </c>
      <c r="G4407" t="s">
        <v>343</v>
      </c>
      <c r="H4407" t="s">
        <v>2309</v>
      </c>
      <c r="I4407" t="s">
        <v>2310</v>
      </c>
      <c r="J4407" t="s">
        <v>52</v>
      </c>
      <c r="K4407" s="3">
        <v>100432535453</v>
      </c>
      <c r="L4407" s="10">
        <v>40034</v>
      </c>
      <c r="M4407">
        <v>4054.058</v>
      </c>
      <c r="N4407" s="11">
        <v>40</v>
      </c>
      <c r="O4407" s="12">
        <v>125.99</v>
      </c>
      <c r="P4407" s="12">
        <v>2.5</v>
      </c>
      <c r="Q4407" s="13">
        <v>914.193</v>
      </c>
      <c r="R4407" s="36" t="s">
        <v>1411</v>
      </c>
      <c r="S4407" s="7">
        <f t="shared" si="371"/>
        <v>4</v>
      </c>
      <c r="T4407" s="15" t="str">
        <f>VLOOKUP(R4407,产品分类!$C$2:$D$1278,2,0)</f>
        <v>办公用品</v>
      </c>
    </row>
    <row r="4408" spans="1:20">
      <c r="A4408" s="16">
        <f>DATE(2012,12,31)-46</f>
        <v>41228</v>
      </c>
      <c r="B4408" s="16">
        <f>DATE(2012,12,31)-46</f>
        <v>41228</v>
      </c>
      <c r="C4408" s="9" t="s">
        <v>457</v>
      </c>
      <c r="D4408">
        <v>10021429654</v>
      </c>
      <c r="E4408" t="s">
        <v>47</v>
      </c>
      <c r="F4408" t="s">
        <v>61</v>
      </c>
      <c r="G4408" t="s">
        <v>62</v>
      </c>
      <c r="H4408" t="s">
        <v>2313</v>
      </c>
      <c r="I4408" t="s">
        <v>2314</v>
      </c>
      <c r="J4408" t="s">
        <v>52</v>
      </c>
      <c r="K4408" s="3">
        <v>100131650906</v>
      </c>
      <c r="L4408" s="10">
        <v>41230</v>
      </c>
      <c r="M4408">
        <v>225.09</v>
      </c>
      <c r="N4408" s="17">
        <v>10</v>
      </c>
      <c r="O4408" s="5">
        <v>21.38</v>
      </c>
      <c r="P4408" s="5">
        <v>2.99</v>
      </c>
      <c r="Q4408" s="6">
        <v>64.141</v>
      </c>
      <c r="R4408" s="37" t="s">
        <v>1836</v>
      </c>
      <c r="S4408" s="7">
        <f t="shared" si="371"/>
        <v>2</v>
      </c>
      <c r="T4408" s="15" t="str">
        <f>VLOOKUP(R4408,产品分类!$C$2:$D$1278,2,0)</f>
        <v>办公用品</v>
      </c>
    </row>
    <row r="4409" spans="1:20">
      <c r="A4409" s="8">
        <f>DATE(2012,12,31)-127</f>
        <v>41147</v>
      </c>
      <c r="B4409" s="8">
        <f>DATE(2012,12,31)-127</f>
        <v>41147</v>
      </c>
      <c r="C4409" s="9" t="s">
        <v>2060</v>
      </c>
      <c r="D4409">
        <v>10021262139</v>
      </c>
      <c r="E4409" t="s">
        <v>47</v>
      </c>
      <c r="F4409" t="s">
        <v>61</v>
      </c>
      <c r="G4409" t="s">
        <v>62</v>
      </c>
      <c r="H4409" t="s">
        <v>2313</v>
      </c>
      <c r="I4409" t="s">
        <v>2314</v>
      </c>
      <c r="J4409" t="s">
        <v>52</v>
      </c>
      <c r="K4409" s="3">
        <v>100310642179</v>
      </c>
      <c r="L4409" s="10">
        <v>41149</v>
      </c>
      <c r="M4409">
        <v>990.67</v>
      </c>
      <c r="N4409" s="11">
        <v>9</v>
      </c>
      <c r="O4409" s="12">
        <v>110.98</v>
      </c>
      <c r="P4409" s="12">
        <v>35</v>
      </c>
      <c r="Q4409" s="13">
        <v>-365.32</v>
      </c>
      <c r="R4409" s="36" t="s">
        <v>1711</v>
      </c>
      <c r="S4409" s="7">
        <f t="shared" si="371"/>
        <v>2</v>
      </c>
      <c r="T4409" s="15" t="str">
        <f>VLOOKUP(R4409,产品分类!$C$2:$D$1278,2,0)</f>
        <v>家具产品</v>
      </c>
    </row>
    <row r="4410" spans="1:20">
      <c r="A4410" s="8">
        <f>DATE(2012,12,31)-553</f>
        <v>40721</v>
      </c>
      <c r="B4410" s="8">
        <f>DATE(2012,12,31)-553</f>
        <v>40721</v>
      </c>
      <c r="C4410" s="9" t="s">
        <v>681</v>
      </c>
      <c r="D4410">
        <v>10021260543</v>
      </c>
      <c r="E4410" t="s">
        <v>47</v>
      </c>
      <c r="F4410" t="s">
        <v>61</v>
      </c>
      <c r="G4410" t="s">
        <v>62</v>
      </c>
      <c r="H4410" t="s">
        <v>2313</v>
      </c>
      <c r="I4410" t="s">
        <v>2314</v>
      </c>
      <c r="J4410" t="s">
        <v>52</v>
      </c>
      <c r="K4410" s="3">
        <v>100328655419</v>
      </c>
      <c r="L4410" s="10">
        <v>40723</v>
      </c>
      <c r="M4410">
        <v>1463.42</v>
      </c>
      <c r="N4410" s="11">
        <v>26</v>
      </c>
      <c r="O4410" s="12">
        <v>59.98</v>
      </c>
      <c r="P4410" s="12">
        <v>3.99</v>
      </c>
      <c r="Q4410" s="13">
        <v>350.82</v>
      </c>
      <c r="R4410" s="36" t="s">
        <v>378</v>
      </c>
      <c r="S4410" s="7">
        <f t="shared" si="371"/>
        <v>2</v>
      </c>
      <c r="T4410" s="15" t="str">
        <f>VLOOKUP(R4410,产品分类!$C$2:$D$1278,2,0)</f>
        <v>数码电子</v>
      </c>
    </row>
    <row r="4411" spans="1:20">
      <c r="A4411" s="8">
        <f t="shared" ref="A4411:B4413" si="375">DATE(2012,12,31)-808</f>
        <v>40466</v>
      </c>
      <c r="B4411" s="8">
        <f t="shared" si="375"/>
        <v>40466</v>
      </c>
      <c r="C4411" s="9" t="s">
        <v>867</v>
      </c>
      <c r="D4411">
        <v>10021498905</v>
      </c>
      <c r="E4411" t="s">
        <v>47</v>
      </c>
      <c r="F4411" t="s">
        <v>253</v>
      </c>
      <c r="G4411" t="s">
        <v>254</v>
      </c>
      <c r="H4411" t="s">
        <v>2287</v>
      </c>
      <c r="I4411" t="s">
        <v>2288</v>
      </c>
      <c r="J4411" t="s">
        <v>52</v>
      </c>
      <c r="K4411" s="3">
        <v>100823638152</v>
      </c>
      <c r="L4411" s="10">
        <v>40468</v>
      </c>
      <c r="M4411">
        <v>321.68</v>
      </c>
      <c r="N4411" s="11">
        <v>26</v>
      </c>
      <c r="O4411" s="12">
        <v>11.97</v>
      </c>
      <c r="P4411" s="12">
        <v>4.98</v>
      </c>
      <c r="Q4411" s="13">
        <v>-12.25</v>
      </c>
      <c r="R4411" s="36" t="s">
        <v>1833</v>
      </c>
      <c r="S4411" s="7">
        <f t="shared" si="371"/>
        <v>2</v>
      </c>
      <c r="T4411" s="15" t="str">
        <f>VLOOKUP(R4411,产品分类!$C$2:$D$1278,2,0)</f>
        <v>办公用品</v>
      </c>
    </row>
    <row r="4412" spans="1:20">
      <c r="A4412" s="8">
        <f t="shared" si="375"/>
        <v>40466</v>
      </c>
      <c r="B4412" s="8">
        <f t="shared" si="375"/>
        <v>40466</v>
      </c>
      <c r="C4412" s="9" t="s">
        <v>867</v>
      </c>
      <c r="D4412">
        <v>10021637745</v>
      </c>
      <c r="E4412" t="s">
        <v>47</v>
      </c>
      <c r="F4412" t="s">
        <v>61</v>
      </c>
      <c r="G4412" t="s">
        <v>62</v>
      </c>
      <c r="H4412" t="s">
        <v>2313</v>
      </c>
      <c r="I4412" t="s">
        <v>2314</v>
      </c>
      <c r="J4412" t="s">
        <v>52</v>
      </c>
      <c r="K4412" s="3">
        <v>100113571706</v>
      </c>
      <c r="L4412" s="10">
        <v>40469</v>
      </c>
      <c r="M4412">
        <v>971.95</v>
      </c>
      <c r="N4412" s="11">
        <v>34</v>
      </c>
      <c r="O4412" s="12">
        <v>29.74</v>
      </c>
      <c r="P4412" s="12">
        <v>6.64</v>
      </c>
      <c r="Q4412" s="13">
        <v>-21.1</v>
      </c>
      <c r="R4412" s="36" t="s">
        <v>1447</v>
      </c>
      <c r="S4412" s="7">
        <f t="shared" si="371"/>
        <v>3</v>
      </c>
      <c r="T4412" s="15" t="str">
        <f>VLOOKUP(R4412,产品分类!$C$2:$D$1278,2,0)</f>
        <v>数码电子</v>
      </c>
    </row>
    <row r="4413" spans="1:20">
      <c r="A4413" s="8">
        <f t="shared" si="375"/>
        <v>40466</v>
      </c>
      <c r="B4413" s="8">
        <f t="shared" si="375"/>
        <v>40466</v>
      </c>
      <c r="C4413" s="9" t="s">
        <v>867</v>
      </c>
      <c r="D4413">
        <v>10021577223</v>
      </c>
      <c r="E4413" t="s">
        <v>47</v>
      </c>
      <c r="F4413" t="s">
        <v>61</v>
      </c>
      <c r="G4413" t="s">
        <v>62</v>
      </c>
      <c r="H4413" t="s">
        <v>2313</v>
      </c>
      <c r="I4413" t="s">
        <v>2314</v>
      </c>
      <c r="J4413" t="s">
        <v>52</v>
      </c>
      <c r="K4413" s="3">
        <v>10037479869</v>
      </c>
      <c r="L4413" s="10">
        <v>40467</v>
      </c>
      <c r="M4413">
        <v>2149.03</v>
      </c>
      <c r="N4413" s="11">
        <v>23</v>
      </c>
      <c r="O4413" s="12">
        <v>95.43</v>
      </c>
      <c r="P4413" s="12">
        <v>19.99</v>
      </c>
      <c r="Q4413" s="13">
        <v>-235.56</v>
      </c>
      <c r="R4413" s="36" t="s">
        <v>406</v>
      </c>
      <c r="S4413" s="7">
        <f t="shared" si="371"/>
        <v>1</v>
      </c>
      <c r="T4413" s="15" t="str">
        <f>VLOOKUP(R4413,产品分类!$C$2:$D$1278,2,0)</f>
        <v>办公用品</v>
      </c>
    </row>
    <row r="4414" spans="1:20">
      <c r="A4414" s="8">
        <f>DATE(2012,12,31)-1171</f>
        <v>40103</v>
      </c>
      <c r="B4414" s="8">
        <f>DATE(2012,12,31)-1171</f>
        <v>40103</v>
      </c>
      <c r="C4414" s="9" t="s">
        <v>851</v>
      </c>
      <c r="D4414">
        <v>10021596548</v>
      </c>
      <c r="E4414" t="s">
        <v>47</v>
      </c>
      <c r="F4414" t="s">
        <v>253</v>
      </c>
      <c r="G4414" t="s">
        <v>254</v>
      </c>
      <c r="H4414" t="s">
        <v>2287</v>
      </c>
      <c r="I4414" t="s">
        <v>2288</v>
      </c>
      <c r="J4414" t="s">
        <v>52</v>
      </c>
      <c r="K4414" s="3">
        <v>100432853793</v>
      </c>
      <c r="L4414" s="10">
        <v>40104</v>
      </c>
      <c r="M4414">
        <v>112.47</v>
      </c>
      <c r="N4414" s="11">
        <v>8</v>
      </c>
      <c r="O4414" s="12">
        <v>12.2</v>
      </c>
      <c r="P4414" s="12">
        <v>6.02</v>
      </c>
      <c r="Q4414" s="13">
        <v>46.74</v>
      </c>
      <c r="R4414" s="36" t="s">
        <v>1460</v>
      </c>
      <c r="S4414" s="7">
        <f t="shared" si="371"/>
        <v>1</v>
      </c>
      <c r="T4414" s="15" t="str">
        <f>VLOOKUP(R4414,产品分类!$C$2:$D$1278,2,0)</f>
        <v>办公用品</v>
      </c>
    </row>
    <row r="4415" spans="1:20">
      <c r="A4415" s="8">
        <f>DATE(2012,12,31)-880</f>
        <v>40394</v>
      </c>
      <c r="B4415" s="8">
        <f>DATE(2012,12,31)-880</f>
        <v>40394</v>
      </c>
      <c r="C4415" s="9" t="s">
        <v>1124</v>
      </c>
      <c r="D4415">
        <v>10021500888</v>
      </c>
      <c r="E4415" t="s">
        <v>47</v>
      </c>
      <c r="F4415" t="s">
        <v>61</v>
      </c>
      <c r="G4415" t="s">
        <v>62</v>
      </c>
      <c r="H4415" t="s">
        <v>2313</v>
      </c>
      <c r="I4415" t="s">
        <v>2314</v>
      </c>
      <c r="J4415" t="s">
        <v>52</v>
      </c>
      <c r="K4415" s="3">
        <v>100126858416</v>
      </c>
      <c r="L4415" s="10">
        <v>40398</v>
      </c>
      <c r="M4415">
        <v>191.43</v>
      </c>
      <c r="N4415" s="11">
        <v>20</v>
      </c>
      <c r="O4415" s="12">
        <v>8.69</v>
      </c>
      <c r="P4415" s="12">
        <v>2.99</v>
      </c>
      <c r="Q4415" s="13">
        <v>39.4995</v>
      </c>
      <c r="R4415" s="36" t="s">
        <v>206</v>
      </c>
      <c r="S4415" s="7">
        <f t="shared" si="371"/>
        <v>4</v>
      </c>
      <c r="T4415" s="15" t="str">
        <f>VLOOKUP(R4415,产品分类!$C$2:$D$1278,2,0)</f>
        <v>数码电子</v>
      </c>
    </row>
    <row r="4416" spans="1:20">
      <c r="A4416" s="8">
        <f>DATE(2012,12,31)-880</f>
        <v>40394</v>
      </c>
      <c r="B4416" s="8">
        <f>DATE(2012,12,31)-880</f>
        <v>40394</v>
      </c>
      <c r="C4416" s="9" t="s">
        <v>1124</v>
      </c>
      <c r="D4416">
        <v>10021332885</v>
      </c>
      <c r="E4416" t="s">
        <v>47</v>
      </c>
      <c r="F4416" t="s">
        <v>61</v>
      </c>
      <c r="G4416" t="s">
        <v>62</v>
      </c>
      <c r="H4416" t="s">
        <v>2313</v>
      </c>
      <c r="I4416" t="s">
        <v>2314</v>
      </c>
      <c r="J4416" t="s">
        <v>52</v>
      </c>
      <c r="K4416" s="3">
        <v>100312953659</v>
      </c>
      <c r="L4416" s="10">
        <v>40401</v>
      </c>
      <c r="M4416">
        <v>1234.85</v>
      </c>
      <c r="N4416" s="11">
        <v>34</v>
      </c>
      <c r="O4416" s="12">
        <v>34.76</v>
      </c>
      <c r="P4416" s="12">
        <v>8.22</v>
      </c>
      <c r="Q4416" s="13">
        <v>212.2</v>
      </c>
      <c r="R4416" s="36" t="s">
        <v>732</v>
      </c>
      <c r="S4416" s="7">
        <f t="shared" si="371"/>
        <v>7</v>
      </c>
      <c r="T4416" s="15" t="str">
        <f>VLOOKUP(R4416,产品分类!$C$2:$D$1278,2,0)</f>
        <v>家具产品</v>
      </c>
    </row>
    <row r="4417" spans="1:20">
      <c r="A4417" s="8">
        <f>DATE(2012,12,31)-399</f>
        <v>40875</v>
      </c>
      <c r="B4417" s="8">
        <f>DATE(2012,12,31)-399</f>
        <v>40875</v>
      </c>
      <c r="C4417" s="9" t="s">
        <v>2222</v>
      </c>
      <c r="D4417">
        <v>10021522882</v>
      </c>
      <c r="E4417" t="s">
        <v>47</v>
      </c>
      <c r="F4417" t="s">
        <v>61</v>
      </c>
      <c r="G4417" t="s">
        <v>62</v>
      </c>
      <c r="H4417" t="s">
        <v>2313</v>
      </c>
      <c r="I4417" t="s">
        <v>2314</v>
      </c>
      <c r="J4417" t="s">
        <v>52</v>
      </c>
      <c r="K4417" s="3">
        <v>100312715239</v>
      </c>
      <c r="L4417" s="10">
        <v>40876</v>
      </c>
      <c r="M4417">
        <v>138.71</v>
      </c>
      <c r="N4417" s="11">
        <v>23</v>
      </c>
      <c r="O4417" s="12">
        <v>5.89</v>
      </c>
      <c r="P4417" s="12">
        <v>5.57</v>
      </c>
      <c r="Q4417" s="13">
        <v>-33.16</v>
      </c>
      <c r="R4417" s="36" t="s">
        <v>2342</v>
      </c>
      <c r="S4417" s="7">
        <f t="shared" si="371"/>
        <v>1</v>
      </c>
      <c r="T4417" s="15" t="str">
        <f>VLOOKUP(R4417,产品分类!$C$2:$D$1278,2,0)</f>
        <v>家具产品</v>
      </c>
    </row>
    <row r="4418" spans="1:20">
      <c r="A4418" s="8">
        <f>DATE(2012,12,31)-951</f>
        <v>40323</v>
      </c>
      <c r="B4418" s="8">
        <f>DATE(2012,12,31)-951</f>
        <v>40323</v>
      </c>
      <c r="C4418" s="9" t="s">
        <v>405</v>
      </c>
      <c r="D4418">
        <v>10021252839</v>
      </c>
      <c r="E4418" t="s">
        <v>47</v>
      </c>
      <c r="F4418" t="s">
        <v>61</v>
      </c>
      <c r="G4418" t="s">
        <v>62</v>
      </c>
      <c r="H4418" t="s">
        <v>2313</v>
      </c>
      <c r="I4418" t="s">
        <v>2314</v>
      </c>
      <c r="J4418" t="s">
        <v>52</v>
      </c>
      <c r="K4418" s="3">
        <v>100115428028</v>
      </c>
      <c r="L4418" s="10">
        <v>40325</v>
      </c>
      <c r="M4418">
        <v>302.4</v>
      </c>
      <c r="N4418" s="11">
        <v>14</v>
      </c>
      <c r="O4418" s="12">
        <v>22.23</v>
      </c>
      <c r="P4418" s="12">
        <v>3.63</v>
      </c>
      <c r="Q4418" s="13">
        <v>134.21</v>
      </c>
      <c r="R4418" s="36" t="s">
        <v>1837</v>
      </c>
      <c r="S4418" s="7">
        <f t="shared" si="371"/>
        <v>2</v>
      </c>
      <c r="T4418" s="15" t="str">
        <f>VLOOKUP(R4418,产品分类!$C$2:$D$1278,2,0)</f>
        <v>数码电子</v>
      </c>
    </row>
    <row r="4419" spans="1:20">
      <c r="A4419" s="8">
        <f>DATE(2012,12,31)-951</f>
        <v>40323</v>
      </c>
      <c r="B4419" s="8">
        <f>DATE(2012,12,31)-951</f>
        <v>40323</v>
      </c>
      <c r="C4419" s="9" t="s">
        <v>405</v>
      </c>
      <c r="D4419">
        <v>10021494808</v>
      </c>
      <c r="E4419" t="s">
        <v>47</v>
      </c>
      <c r="F4419" t="s">
        <v>253</v>
      </c>
      <c r="G4419" t="s">
        <v>254</v>
      </c>
      <c r="H4419" t="s">
        <v>2287</v>
      </c>
      <c r="I4419" t="s">
        <v>2288</v>
      </c>
      <c r="J4419" t="s">
        <v>52</v>
      </c>
      <c r="K4419" s="3">
        <v>100110133697</v>
      </c>
      <c r="L4419" s="10">
        <v>40325</v>
      </c>
      <c r="M4419">
        <v>1083.37</v>
      </c>
      <c r="N4419" s="11">
        <v>42</v>
      </c>
      <c r="O4419" s="12">
        <v>25.98</v>
      </c>
      <c r="P4419" s="12">
        <v>14.36</v>
      </c>
      <c r="Q4419" s="13">
        <v>-226.41</v>
      </c>
      <c r="R4419" s="36" t="s">
        <v>1510</v>
      </c>
      <c r="S4419" s="7">
        <f t="shared" ref="S4419:S4482" si="376">+L4419-B4419</f>
        <v>2</v>
      </c>
      <c r="T4419" s="15" t="str">
        <f>VLOOKUP(R4419,产品分类!$C$2:$D$1278,2,0)</f>
        <v>办公用品</v>
      </c>
    </row>
    <row r="4420" spans="1:20">
      <c r="A4420" s="8">
        <f>DATE(2012,12,31)-298</f>
        <v>40976</v>
      </c>
      <c r="B4420" s="8">
        <f>DATE(2012,12,31)-298</f>
        <v>40976</v>
      </c>
      <c r="C4420" s="9" t="s">
        <v>2316</v>
      </c>
      <c r="D4420">
        <v>10021523577</v>
      </c>
      <c r="E4420" t="s">
        <v>47</v>
      </c>
      <c r="F4420" t="s">
        <v>61</v>
      </c>
      <c r="G4420" t="s">
        <v>62</v>
      </c>
      <c r="H4420" t="s">
        <v>2313</v>
      </c>
      <c r="I4420" t="s">
        <v>2314</v>
      </c>
      <c r="J4420" t="s">
        <v>52</v>
      </c>
      <c r="K4420" s="3">
        <v>100911609581</v>
      </c>
      <c r="L4420" s="10">
        <v>40978</v>
      </c>
      <c r="M4420">
        <v>105.85</v>
      </c>
      <c r="N4420" s="11">
        <v>17</v>
      </c>
      <c r="O4420" s="12">
        <v>6.48</v>
      </c>
      <c r="P4420" s="12">
        <v>2.74</v>
      </c>
      <c r="Q4420" s="13">
        <v>-44.86</v>
      </c>
      <c r="R4420" s="36" t="s">
        <v>1309</v>
      </c>
      <c r="S4420" s="7">
        <f t="shared" si="376"/>
        <v>2</v>
      </c>
      <c r="T4420" s="15" t="str">
        <f>VLOOKUP(R4420,产品分类!$C$2:$D$1278,2,0)</f>
        <v>数码电子</v>
      </c>
    </row>
    <row r="4421" spans="1:20">
      <c r="A4421" s="8">
        <f>DATE(2012,12,31)-298</f>
        <v>40976</v>
      </c>
      <c r="B4421" s="8">
        <f>DATE(2012,12,31)-298</f>
        <v>40976</v>
      </c>
      <c r="C4421" s="9" t="s">
        <v>2316</v>
      </c>
      <c r="D4421">
        <v>10021605243</v>
      </c>
      <c r="E4421" t="s">
        <v>47</v>
      </c>
      <c r="F4421" t="s">
        <v>61</v>
      </c>
      <c r="G4421" t="s">
        <v>62</v>
      </c>
      <c r="H4421" t="s">
        <v>2313</v>
      </c>
      <c r="I4421" t="s">
        <v>2314</v>
      </c>
      <c r="J4421" t="s">
        <v>52</v>
      </c>
      <c r="K4421" s="3">
        <v>10093897491</v>
      </c>
      <c r="L4421" s="10">
        <v>40981</v>
      </c>
      <c r="M4421">
        <v>179.33</v>
      </c>
      <c r="N4421" s="11">
        <v>19</v>
      </c>
      <c r="O4421" s="12">
        <v>8.74</v>
      </c>
      <c r="P4421" s="12">
        <v>8.29</v>
      </c>
      <c r="Q4421" s="13">
        <v>-58.76</v>
      </c>
      <c r="R4421" s="36" t="s">
        <v>618</v>
      </c>
      <c r="S4421" s="7">
        <f t="shared" si="376"/>
        <v>5</v>
      </c>
      <c r="T4421" s="15" t="str">
        <f>VLOOKUP(R4421,产品分类!$C$2:$D$1278,2,0)</f>
        <v>办公用品</v>
      </c>
    </row>
    <row r="4422" spans="1:20">
      <c r="A4422" s="8">
        <f>DATE(2012,12,31)-554</f>
        <v>40720</v>
      </c>
      <c r="B4422" s="8">
        <f>DATE(2012,12,31)-554</f>
        <v>40720</v>
      </c>
      <c r="C4422" s="9" t="s">
        <v>483</v>
      </c>
      <c r="D4422">
        <v>10021576623</v>
      </c>
      <c r="E4422" t="s">
        <v>47</v>
      </c>
      <c r="F4422" t="s">
        <v>61</v>
      </c>
      <c r="G4422" t="s">
        <v>62</v>
      </c>
      <c r="H4422" t="s">
        <v>2313</v>
      </c>
      <c r="I4422" t="s">
        <v>2314</v>
      </c>
      <c r="J4422" t="s">
        <v>52</v>
      </c>
      <c r="K4422" s="3">
        <v>100914278801</v>
      </c>
      <c r="L4422" s="10">
        <v>40722</v>
      </c>
      <c r="M4422">
        <v>1025.88</v>
      </c>
      <c r="N4422" s="11">
        <v>10</v>
      </c>
      <c r="O4422" s="12">
        <v>100.89</v>
      </c>
      <c r="P4422" s="12">
        <v>42</v>
      </c>
      <c r="Q4422" s="13">
        <v>-211.33</v>
      </c>
      <c r="R4422" s="36" t="s">
        <v>2343</v>
      </c>
      <c r="S4422" s="7">
        <f t="shared" si="376"/>
        <v>2</v>
      </c>
      <c r="T4422" s="15" t="str">
        <f>VLOOKUP(R4422,产品分类!$C$2:$D$1278,2,0)</f>
        <v>办公用品</v>
      </c>
    </row>
    <row r="4423" spans="1:20">
      <c r="A4423" s="8">
        <f>DATE(2012,12,31)-50</f>
        <v>41224</v>
      </c>
      <c r="B4423" s="8">
        <f>DATE(2012,12,31)-50</f>
        <v>41224</v>
      </c>
      <c r="C4423" s="9" t="s">
        <v>598</v>
      </c>
      <c r="D4423">
        <v>10021505113</v>
      </c>
      <c r="E4423" t="s">
        <v>47</v>
      </c>
      <c r="F4423" t="s">
        <v>253</v>
      </c>
      <c r="G4423" t="s">
        <v>254</v>
      </c>
      <c r="H4423" t="s">
        <v>2287</v>
      </c>
      <c r="I4423" t="s">
        <v>2288</v>
      </c>
      <c r="J4423" t="s">
        <v>52</v>
      </c>
      <c r="K4423" s="3">
        <v>100430774793</v>
      </c>
      <c r="L4423" s="10">
        <v>41227</v>
      </c>
      <c r="M4423">
        <v>378.08</v>
      </c>
      <c r="N4423" s="11">
        <v>17</v>
      </c>
      <c r="O4423" s="12">
        <v>22.24</v>
      </c>
      <c r="P4423" s="12">
        <v>1.99</v>
      </c>
      <c r="Q4423" s="13">
        <v>70.48</v>
      </c>
      <c r="R4423" s="36" t="s">
        <v>1479</v>
      </c>
      <c r="S4423" s="7">
        <f t="shared" si="376"/>
        <v>3</v>
      </c>
      <c r="T4423" s="15" t="str">
        <f>VLOOKUP(R4423,产品分类!$C$2:$D$1278,2,0)</f>
        <v>数码电子</v>
      </c>
    </row>
    <row r="4424" spans="1:20">
      <c r="A4424" s="8">
        <f>DATE(2012,12,31)-50</f>
        <v>41224</v>
      </c>
      <c r="B4424" s="8">
        <f>DATE(2012,12,31)-50</f>
        <v>41224</v>
      </c>
      <c r="C4424" s="9" t="s">
        <v>598</v>
      </c>
      <c r="D4424">
        <v>10021605917</v>
      </c>
      <c r="E4424" t="s">
        <v>47</v>
      </c>
      <c r="F4424" t="s">
        <v>61</v>
      </c>
      <c r="G4424" t="s">
        <v>62</v>
      </c>
      <c r="H4424" t="s">
        <v>2313</v>
      </c>
      <c r="I4424" t="s">
        <v>2314</v>
      </c>
      <c r="J4424" t="s">
        <v>52</v>
      </c>
      <c r="K4424" s="3">
        <v>100913104911</v>
      </c>
      <c r="L4424" s="10">
        <v>41225</v>
      </c>
      <c r="M4424">
        <v>731.71</v>
      </c>
      <c r="N4424" s="11">
        <v>24</v>
      </c>
      <c r="O4424" s="12">
        <v>29.89</v>
      </c>
      <c r="P4424" s="12">
        <v>1.99</v>
      </c>
      <c r="Q4424" s="13">
        <v>175.82</v>
      </c>
      <c r="R4424" s="36" t="s">
        <v>866</v>
      </c>
      <c r="S4424" s="7">
        <f t="shared" si="376"/>
        <v>1</v>
      </c>
      <c r="T4424" s="15" t="str">
        <f>VLOOKUP(R4424,产品分类!$C$2:$D$1278,2,0)</f>
        <v>办公用品</v>
      </c>
    </row>
    <row r="4425" spans="1:20">
      <c r="A4425" s="8">
        <f>DATE(2012,12,31)-1451</f>
        <v>39823</v>
      </c>
      <c r="B4425" s="8">
        <f>DATE(2012,12,31)-1451</f>
        <v>39823</v>
      </c>
      <c r="C4425" s="9" t="s">
        <v>1069</v>
      </c>
      <c r="D4425">
        <v>10021467689</v>
      </c>
      <c r="E4425" t="s">
        <v>47</v>
      </c>
      <c r="F4425" t="s">
        <v>83</v>
      </c>
      <c r="G4425" t="s">
        <v>84</v>
      </c>
      <c r="H4425" t="s">
        <v>2231</v>
      </c>
      <c r="I4425" t="s">
        <v>2232</v>
      </c>
      <c r="J4425" t="s">
        <v>52</v>
      </c>
      <c r="K4425" s="3">
        <v>100930606591</v>
      </c>
      <c r="L4425" s="10">
        <v>39825</v>
      </c>
      <c r="M4425">
        <v>4906.85</v>
      </c>
      <c r="N4425" s="11">
        <v>32</v>
      </c>
      <c r="O4425" s="12">
        <v>162.93</v>
      </c>
      <c r="P4425" s="12">
        <v>19.99</v>
      </c>
      <c r="Q4425" s="13">
        <v>1907.94</v>
      </c>
      <c r="R4425" s="36" t="s">
        <v>778</v>
      </c>
      <c r="S4425" s="7">
        <f t="shared" si="376"/>
        <v>2</v>
      </c>
      <c r="T4425" s="15" t="str">
        <f>VLOOKUP(R4425,产品分类!$C$2:$D$1278,2,0)</f>
        <v>办公用品</v>
      </c>
    </row>
    <row r="4426" spans="1:20">
      <c r="A4426" s="8">
        <f>DATE(2012,12,31)-362</f>
        <v>40912</v>
      </c>
      <c r="B4426" s="8">
        <f>DATE(2012,12,31)-362</f>
        <v>40912</v>
      </c>
      <c r="C4426" s="9" t="s">
        <v>1234</v>
      </c>
      <c r="D4426">
        <v>10021262593</v>
      </c>
      <c r="E4426" t="s">
        <v>47</v>
      </c>
      <c r="F4426" t="s">
        <v>78</v>
      </c>
      <c r="G4426" t="s">
        <v>79</v>
      </c>
      <c r="H4426" t="s">
        <v>2105</v>
      </c>
      <c r="I4426" t="s">
        <v>2106</v>
      </c>
      <c r="J4426" t="s">
        <v>52</v>
      </c>
      <c r="K4426" s="3">
        <v>100730097975</v>
      </c>
      <c r="L4426" s="10">
        <v>40912</v>
      </c>
      <c r="M4426">
        <v>3531.75</v>
      </c>
      <c r="N4426" s="11">
        <v>38</v>
      </c>
      <c r="O4426" s="12">
        <v>88.84</v>
      </c>
      <c r="P4426" s="12">
        <v>20.79</v>
      </c>
      <c r="Q4426" s="13">
        <v>572.26</v>
      </c>
      <c r="R4426" s="36" t="s">
        <v>2202</v>
      </c>
      <c r="S4426" s="7">
        <f t="shared" si="376"/>
        <v>0</v>
      </c>
      <c r="T4426" s="15" t="str">
        <f>VLOOKUP(R4426,产品分类!$C$2:$D$1278,2,0)</f>
        <v>办公用品</v>
      </c>
    </row>
    <row r="4427" spans="1:20">
      <c r="A4427" s="8">
        <f>DATE(2012,12,31)-362</f>
        <v>40912</v>
      </c>
      <c r="B4427" s="8">
        <f>DATE(2012,12,31)-362</f>
        <v>40912</v>
      </c>
      <c r="C4427" s="9" t="s">
        <v>1234</v>
      </c>
      <c r="D4427">
        <v>10021334334</v>
      </c>
      <c r="E4427" t="s">
        <v>47</v>
      </c>
      <c r="F4427" t="s">
        <v>72</v>
      </c>
      <c r="G4427" t="s">
        <v>73</v>
      </c>
      <c r="H4427" t="s">
        <v>2008</v>
      </c>
      <c r="I4427" t="s">
        <v>2009</v>
      </c>
      <c r="J4427" t="s">
        <v>52</v>
      </c>
      <c r="K4427" s="3">
        <v>100411197623</v>
      </c>
      <c r="L4427" s="10">
        <v>40915</v>
      </c>
      <c r="M4427">
        <v>500.5</v>
      </c>
      <c r="N4427" s="11">
        <v>5</v>
      </c>
      <c r="O4427" s="12">
        <v>90.97</v>
      </c>
      <c r="P4427" s="12">
        <v>28</v>
      </c>
      <c r="Q4427" s="13">
        <v>-153.3114</v>
      </c>
      <c r="R4427" s="36" t="s">
        <v>1519</v>
      </c>
      <c r="S4427" s="7">
        <f t="shared" si="376"/>
        <v>3</v>
      </c>
      <c r="T4427" s="15" t="str">
        <f>VLOOKUP(R4427,产品分类!$C$2:$D$1278,2,0)</f>
        <v>办公用品</v>
      </c>
    </row>
    <row r="4428" spans="1:20">
      <c r="A4428" s="8">
        <f>DATE(2012,12,31)-523</f>
        <v>40751</v>
      </c>
      <c r="B4428" s="8">
        <f>DATE(2012,12,31)-523</f>
        <v>40751</v>
      </c>
      <c r="C4428" s="9" t="s">
        <v>1257</v>
      </c>
      <c r="D4428">
        <v>10021594724</v>
      </c>
      <c r="E4428" t="s">
        <v>47</v>
      </c>
      <c r="F4428" t="s">
        <v>253</v>
      </c>
      <c r="G4428" t="s">
        <v>254</v>
      </c>
      <c r="H4428" t="s">
        <v>2344</v>
      </c>
      <c r="I4428" t="s">
        <v>2345</v>
      </c>
      <c r="J4428" t="s">
        <v>52</v>
      </c>
      <c r="K4428" s="3">
        <v>100132766826</v>
      </c>
      <c r="L4428" s="10">
        <v>40752</v>
      </c>
      <c r="M4428">
        <v>269.35</v>
      </c>
      <c r="N4428" s="11">
        <v>35</v>
      </c>
      <c r="O4428" s="12">
        <v>7.7</v>
      </c>
      <c r="P4428" s="12">
        <v>3.68</v>
      </c>
      <c r="Q4428" s="13">
        <v>-14.99</v>
      </c>
      <c r="R4428" s="36" t="s">
        <v>1023</v>
      </c>
      <c r="S4428" s="7">
        <f t="shared" si="376"/>
        <v>1</v>
      </c>
      <c r="T4428" s="15" t="str">
        <f>VLOOKUP(R4428,产品分类!$C$2:$D$1278,2,0)</f>
        <v>家具产品</v>
      </c>
    </row>
    <row r="4429" spans="1:20">
      <c r="A4429" s="8">
        <f>DATE(2012,12,31)-527</f>
        <v>40747</v>
      </c>
      <c r="B4429" s="8">
        <f>DATE(2012,12,31)-527</f>
        <v>40747</v>
      </c>
      <c r="C4429" s="9" t="s">
        <v>2067</v>
      </c>
      <c r="D4429">
        <v>10021422505</v>
      </c>
      <c r="E4429" t="s">
        <v>47</v>
      </c>
      <c r="F4429" t="s">
        <v>132</v>
      </c>
      <c r="G4429" t="s">
        <v>133</v>
      </c>
      <c r="H4429" t="s">
        <v>134</v>
      </c>
      <c r="I4429" t="s">
        <v>133</v>
      </c>
      <c r="J4429" t="s">
        <v>52</v>
      </c>
      <c r="K4429" s="3">
        <v>100416195404</v>
      </c>
      <c r="L4429" s="10">
        <v>40752</v>
      </c>
      <c r="M4429">
        <v>3671.3</v>
      </c>
      <c r="N4429" s="11">
        <v>12</v>
      </c>
      <c r="O4429" s="12">
        <v>300.65</v>
      </c>
      <c r="P4429" s="12">
        <v>24.49</v>
      </c>
      <c r="Q4429" s="13">
        <v>900.06</v>
      </c>
      <c r="R4429" s="36" t="s">
        <v>979</v>
      </c>
      <c r="S4429" s="7">
        <f t="shared" si="376"/>
        <v>5</v>
      </c>
      <c r="T4429" s="15" t="str">
        <f>VLOOKUP(R4429,产品分类!$C$2:$D$1278,2,0)</f>
        <v>办公用品</v>
      </c>
    </row>
    <row r="4430" spans="1:20">
      <c r="A4430" s="8">
        <f>DATE(2012,12,31)-527</f>
        <v>40747</v>
      </c>
      <c r="B4430" s="8">
        <f>DATE(2012,12,31)-527</f>
        <v>40747</v>
      </c>
      <c r="C4430" s="9" t="s">
        <v>2067</v>
      </c>
      <c r="D4430">
        <v>10021427657</v>
      </c>
      <c r="E4430" t="s">
        <v>47</v>
      </c>
      <c r="F4430" t="s">
        <v>177</v>
      </c>
      <c r="G4430" t="s">
        <v>178</v>
      </c>
      <c r="H4430" t="s">
        <v>2339</v>
      </c>
      <c r="I4430" t="s">
        <v>2340</v>
      </c>
      <c r="J4430" t="s">
        <v>52</v>
      </c>
      <c r="K4430" s="3">
        <v>100430665064</v>
      </c>
      <c r="L4430" s="10">
        <v>40747</v>
      </c>
      <c r="M4430">
        <v>1763.6</v>
      </c>
      <c r="N4430" s="11">
        <v>42</v>
      </c>
      <c r="O4430" s="12">
        <v>45.19</v>
      </c>
      <c r="P4430" s="12">
        <v>1.99</v>
      </c>
      <c r="Q4430" s="13">
        <v>455.37</v>
      </c>
      <c r="R4430" s="36" t="s">
        <v>921</v>
      </c>
      <c r="S4430" s="7">
        <f t="shared" si="376"/>
        <v>0</v>
      </c>
      <c r="T4430" s="15" t="str">
        <f>VLOOKUP(R4430,产品分类!$C$2:$D$1278,2,0)</f>
        <v>家具产品</v>
      </c>
    </row>
    <row r="4431" spans="1:20">
      <c r="A4431" s="8">
        <f>DATE(2012,12,31)-285</f>
        <v>40989</v>
      </c>
      <c r="B4431" s="8">
        <f>DATE(2012,12,31)-285</f>
        <v>40989</v>
      </c>
      <c r="C4431" s="9" t="s">
        <v>1347</v>
      </c>
      <c r="D4431">
        <v>10021265342</v>
      </c>
      <c r="E4431" t="s">
        <v>47</v>
      </c>
      <c r="F4431" t="s">
        <v>342</v>
      </c>
      <c r="G4431" t="s">
        <v>343</v>
      </c>
      <c r="H4431" t="s">
        <v>2309</v>
      </c>
      <c r="I4431" t="s">
        <v>2310</v>
      </c>
      <c r="J4431" t="s">
        <v>52</v>
      </c>
      <c r="K4431" s="3">
        <v>100731452645</v>
      </c>
      <c r="L4431" s="10">
        <v>40993</v>
      </c>
      <c r="M4431">
        <v>963.45</v>
      </c>
      <c r="N4431" s="11">
        <v>22</v>
      </c>
      <c r="O4431" s="12">
        <v>43.22</v>
      </c>
      <c r="P4431" s="12">
        <v>4</v>
      </c>
      <c r="Q4431" s="13">
        <v>94.03</v>
      </c>
      <c r="R4431" s="36" t="s">
        <v>1525</v>
      </c>
      <c r="S4431" s="7">
        <f t="shared" si="376"/>
        <v>4</v>
      </c>
      <c r="T4431" s="15" t="str">
        <f>VLOOKUP(R4431,产品分类!$C$2:$D$1278,2,0)</f>
        <v>数码电子</v>
      </c>
    </row>
    <row r="4432" spans="1:20">
      <c r="A4432" s="8">
        <f>DATE(2012,12,31)-285</f>
        <v>40989</v>
      </c>
      <c r="B4432" s="8">
        <f>DATE(2012,12,31)-285</f>
        <v>40989</v>
      </c>
      <c r="C4432" s="9" t="s">
        <v>1347</v>
      </c>
      <c r="D4432">
        <v>10021261138</v>
      </c>
      <c r="E4432" t="s">
        <v>47</v>
      </c>
      <c r="F4432" t="s">
        <v>253</v>
      </c>
      <c r="G4432" t="s">
        <v>254</v>
      </c>
      <c r="H4432" t="s">
        <v>2344</v>
      </c>
      <c r="I4432" t="s">
        <v>2345</v>
      </c>
      <c r="J4432" t="s">
        <v>52</v>
      </c>
      <c r="K4432" s="3">
        <v>100114169388</v>
      </c>
      <c r="L4432" s="10">
        <v>40998</v>
      </c>
      <c r="M4432">
        <v>4390.029</v>
      </c>
      <c r="N4432" s="11">
        <v>25</v>
      </c>
      <c r="O4432" s="12">
        <v>205.99</v>
      </c>
      <c r="P4432" s="12">
        <v>5.26</v>
      </c>
      <c r="Q4432" s="13">
        <v>1007.487</v>
      </c>
      <c r="R4432" s="36" t="s">
        <v>688</v>
      </c>
      <c r="S4432" s="7">
        <f t="shared" si="376"/>
        <v>9</v>
      </c>
      <c r="T4432" s="15" t="str">
        <f>VLOOKUP(R4432,产品分类!$C$2:$D$1278,2,0)</f>
        <v>办公用品</v>
      </c>
    </row>
    <row r="4433" spans="1:20">
      <c r="A4433" s="8">
        <f>DATE(2012,12,31)-940</f>
        <v>40334</v>
      </c>
      <c r="B4433" s="8">
        <f>DATE(2012,12,31)-940</f>
        <v>40334</v>
      </c>
      <c r="C4433" s="9" t="s">
        <v>380</v>
      </c>
      <c r="D4433">
        <v>10021644346</v>
      </c>
      <c r="E4433" t="s">
        <v>47</v>
      </c>
      <c r="F4433" t="s">
        <v>97</v>
      </c>
      <c r="G4433" t="s">
        <v>98</v>
      </c>
      <c r="H4433" t="s">
        <v>99</v>
      </c>
      <c r="I4433" t="s">
        <v>98</v>
      </c>
      <c r="J4433" t="s">
        <v>52</v>
      </c>
      <c r="K4433" s="3">
        <v>100132225187</v>
      </c>
      <c r="L4433" s="10">
        <v>40335</v>
      </c>
      <c r="M4433">
        <v>43.49</v>
      </c>
      <c r="N4433" s="11">
        <v>5</v>
      </c>
      <c r="O4433" s="12">
        <v>8.33</v>
      </c>
      <c r="P4433" s="12">
        <v>1.99</v>
      </c>
      <c r="Q4433" s="13">
        <v>-21.44</v>
      </c>
      <c r="R4433" s="36" t="s">
        <v>1011</v>
      </c>
      <c r="S4433" s="7">
        <f t="shared" si="376"/>
        <v>1</v>
      </c>
      <c r="T4433" s="15" t="str">
        <f>VLOOKUP(R4433,产品分类!$C$2:$D$1278,2,0)</f>
        <v>家具产品</v>
      </c>
    </row>
    <row r="4434" spans="1:20">
      <c r="A4434" s="8">
        <f>DATE(2012,12,31)-940</f>
        <v>40334</v>
      </c>
      <c r="B4434" s="8">
        <f>DATE(2012,12,31)-940</f>
        <v>40334</v>
      </c>
      <c r="C4434" s="9" t="s">
        <v>380</v>
      </c>
      <c r="D4434">
        <v>10021553582</v>
      </c>
      <c r="E4434" t="s">
        <v>47</v>
      </c>
      <c r="F4434" t="s">
        <v>66</v>
      </c>
      <c r="G4434" t="s">
        <v>67</v>
      </c>
      <c r="H4434" t="s">
        <v>2244</v>
      </c>
      <c r="I4434" t="s">
        <v>2245</v>
      </c>
      <c r="J4434" t="s">
        <v>52</v>
      </c>
      <c r="K4434" s="3">
        <v>100127596047</v>
      </c>
      <c r="L4434" s="10">
        <v>40336</v>
      </c>
      <c r="M4434">
        <v>2854.76</v>
      </c>
      <c r="N4434" s="11">
        <v>27</v>
      </c>
      <c r="O4434" s="12">
        <v>111.03</v>
      </c>
      <c r="P4434" s="12">
        <v>8.64</v>
      </c>
      <c r="Q4434" s="13">
        <v>61.13</v>
      </c>
      <c r="R4434" s="36" t="s">
        <v>1646</v>
      </c>
      <c r="S4434" s="7">
        <f t="shared" si="376"/>
        <v>2</v>
      </c>
      <c r="T4434" s="15" t="str">
        <f>VLOOKUP(R4434,产品分类!$C$2:$D$1278,2,0)</f>
        <v>数码电子</v>
      </c>
    </row>
    <row r="4435" spans="1:20">
      <c r="A4435" s="8">
        <f>DATE(2012,12,31)-856</f>
        <v>40418</v>
      </c>
      <c r="B4435" s="8">
        <f>DATE(2012,12,31)-856</f>
        <v>40418</v>
      </c>
      <c r="C4435" s="9" t="s">
        <v>370</v>
      </c>
      <c r="D4435">
        <v>10021376911</v>
      </c>
      <c r="E4435" t="s">
        <v>47</v>
      </c>
      <c r="F4435" t="s">
        <v>66</v>
      </c>
      <c r="G4435" t="s">
        <v>67</v>
      </c>
      <c r="H4435" t="s">
        <v>2244</v>
      </c>
      <c r="I4435" t="s">
        <v>2245</v>
      </c>
      <c r="J4435" t="s">
        <v>52</v>
      </c>
      <c r="K4435" s="3">
        <v>10081304732</v>
      </c>
      <c r="L4435" s="10">
        <v>40419</v>
      </c>
      <c r="M4435">
        <v>182.7</v>
      </c>
      <c r="N4435" s="11">
        <v>45</v>
      </c>
      <c r="O4435" s="12">
        <v>4.24</v>
      </c>
      <c r="P4435" s="12">
        <v>5.41</v>
      </c>
      <c r="Q4435" s="13">
        <v>-156.4115</v>
      </c>
      <c r="R4435" s="36" t="s">
        <v>445</v>
      </c>
      <c r="S4435" s="7">
        <f t="shared" si="376"/>
        <v>1</v>
      </c>
      <c r="T4435" s="15" t="str">
        <f>VLOOKUP(R4435,产品分类!$C$2:$D$1278,2,0)</f>
        <v>数码电子</v>
      </c>
    </row>
    <row r="4436" spans="1:20">
      <c r="A4436" s="8">
        <f>DATE(2012,12,31)-856</f>
        <v>40418</v>
      </c>
      <c r="B4436" s="8">
        <f>DATE(2012,12,31)-856</f>
        <v>40418</v>
      </c>
      <c r="C4436" s="9" t="s">
        <v>370</v>
      </c>
      <c r="D4436">
        <v>10021321538</v>
      </c>
      <c r="E4436" t="s">
        <v>47</v>
      </c>
      <c r="F4436" t="s">
        <v>72</v>
      </c>
      <c r="G4436" t="s">
        <v>73</v>
      </c>
      <c r="H4436" t="s">
        <v>2008</v>
      </c>
      <c r="I4436" t="s">
        <v>2009</v>
      </c>
      <c r="J4436" t="s">
        <v>52</v>
      </c>
      <c r="K4436" s="3">
        <v>100132277036</v>
      </c>
      <c r="L4436" s="10">
        <v>40419</v>
      </c>
      <c r="M4436">
        <v>141.08</v>
      </c>
      <c r="N4436" s="11">
        <v>46</v>
      </c>
      <c r="O4436" s="12">
        <v>3.08</v>
      </c>
      <c r="P4436" s="12">
        <v>0.99</v>
      </c>
      <c r="Q4436" s="13">
        <v>36.96</v>
      </c>
      <c r="R4436" s="36" t="s">
        <v>283</v>
      </c>
      <c r="S4436" s="7">
        <f t="shared" si="376"/>
        <v>1</v>
      </c>
      <c r="T4436" s="15" t="str">
        <f>VLOOKUP(R4436,产品分类!$C$2:$D$1278,2,0)</f>
        <v>办公用品</v>
      </c>
    </row>
    <row r="4437" spans="1:20">
      <c r="A4437" s="8">
        <f>DATE(2012,12,31)-539</f>
        <v>40735</v>
      </c>
      <c r="B4437" s="8">
        <f>DATE(2012,12,31)-539</f>
        <v>40735</v>
      </c>
      <c r="C4437" s="9" t="s">
        <v>861</v>
      </c>
      <c r="D4437">
        <v>10021515591</v>
      </c>
      <c r="E4437" t="s">
        <v>47</v>
      </c>
      <c r="F4437" t="s">
        <v>72</v>
      </c>
      <c r="G4437" t="s">
        <v>73</v>
      </c>
      <c r="H4437" t="s">
        <v>2008</v>
      </c>
      <c r="I4437" t="s">
        <v>2009</v>
      </c>
      <c r="J4437" t="s">
        <v>52</v>
      </c>
      <c r="K4437" s="3">
        <v>10038212359</v>
      </c>
      <c r="L4437" s="10">
        <v>40735</v>
      </c>
      <c r="M4437">
        <v>403.17</v>
      </c>
      <c r="N4437" s="11">
        <v>14</v>
      </c>
      <c r="O4437" s="12">
        <v>28.53</v>
      </c>
      <c r="P4437" s="12">
        <v>1.49</v>
      </c>
      <c r="Q4437" s="13">
        <v>147.4495</v>
      </c>
      <c r="R4437" s="36" t="s">
        <v>1651</v>
      </c>
      <c r="S4437" s="7">
        <f t="shared" si="376"/>
        <v>0</v>
      </c>
      <c r="T4437" s="15" t="str">
        <f>VLOOKUP(R4437,产品分类!$C$2:$D$1278,2,0)</f>
        <v>数码电子</v>
      </c>
    </row>
    <row r="4438" spans="1:20">
      <c r="A4438" s="8">
        <f>DATE(2012,12,31)-1201</f>
        <v>40073</v>
      </c>
      <c r="B4438" s="8">
        <f>DATE(2012,12,31)-1201</f>
        <v>40073</v>
      </c>
      <c r="C4438" s="9" t="s">
        <v>2281</v>
      </c>
      <c r="D4438">
        <v>10021648451</v>
      </c>
      <c r="E4438" t="s">
        <v>47</v>
      </c>
      <c r="F4438" t="s">
        <v>83</v>
      </c>
      <c r="G4438" t="s">
        <v>84</v>
      </c>
      <c r="H4438" t="s">
        <v>2231</v>
      </c>
      <c r="I4438" t="s">
        <v>2232</v>
      </c>
      <c r="J4438" t="s">
        <v>52</v>
      </c>
      <c r="K4438" s="3">
        <v>100413065104</v>
      </c>
      <c r="L4438" s="10">
        <v>40080</v>
      </c>
      <c r="M4438">
        <v>114.87</v>
      </c>
      <c r="N4438" s="11">
        <v>11</v>
      </c>
      <c r="O4438" s="12">
        <v>10.98</v>
      </c>
      <c r="P4438" s="12">
        <v>3.99</v>
      </c>
      <c r="Q4438" s="13">
        <v>-21.03</v>
      </c>
      <c r="R4438" s="36" t="s">
        <v>1382</v>
      </c>
      <c r="S4438" s="7">
        <f t="shared" si="376"/>
        <v>7</v>
      </c>
      <c r="T4438" s="15" t="str">
        <f>VLOOKUP(R4438,产品分类!$C$2:$D$1278,2,0)</f>
        <v>办公用品</v>
      </c>
    </row>
    <row r="4439" spans="1:20">
      <c r="A4439" s="8">
        <f>DATE(2012,12,31)-1201</f>
        <v>40073</v>
      </c>
      <c r="B4439" s="8">
        <f>DATE(2012,12,31)-1201</f>
        <v>40073</v>
      </c>
      <c r="C4439" s="9" t="s">
        <v>2281</v>
      </c>
      <c r="D4439">
        <v>10021482323</v>
      </c>
      <c r="E4439" t="s">
        <v>47</v>
      </c>
      <c r="F4439" t="s">
        <v>122</v>
      </c>
      <c r="G4439" t="s">
        <v>123</v>
      </c>
      <c r="H4439" t="s">
        <v>2159</v>
      </c>
      <c r="I4439" t="s">
        <v>2160</v>
      </c>
      <c r="J4439" t="s">
        <v>52</v>
      </c>
      <c r="K4439" s="3">
        <v>100132662786</v>
      </c>
      <c r="L4439" s="10">
        <v>40075</v>
      </c>
      <c r="M4439">
        <v>383.23</v>
      </c>
      <c r="N4439" s="11">
        <v>9</v>
      </c>
      <c r="O4439" s="12">
        <v>39.98</v>
      </c>
      <c r="P4439" s="12">
        <v>9.2</v>
      </c>
      <c r="Q4439" s="13">
        <v>146.51</v>
      </c>
      <c r="R4439" s="36" t="s">
        <v>1787</v>
      </c>
      <c r="S4439" s="7">
        <f t="shared" si="376"/>
        <v>2</v>
      </c>
      <c r="T4439" s="15" t="str">
        <f>VLOOKUP(R4439,产品分类!$C$2:$D$1278,2,0)</f>
        <v>办公用品</v>
      </c>
    </row>
    <row r="4440" spans="1:20">
      <c r="A4440" s="8">
        <f>DATE(2012,12,31)-508</f>
        <v>40766</v>
      </c>
      <c r="B4440" s="8">
        <f>DATE(2012,12,31)-508</f>
        <v>40766</v>
      </c>
      <c r="C4440" s="9" t="s">
        <v>2049</v>
      </c>
      <c r="D4440">
        <v>10021271935</v>
      </c>
      <c r="E4440" t="s">
        <v>47</v>
      </c>
      <c r="F4440" t="s">
        <v>132</v>
      </c>
      <c r="G4440" t="s">
        <v>133</v>
      </c>
      <c r="H4440" t="s">
        <v>134</v>
      </c>
      <c r="I4440" t="s">
        <v>133</v>
      </c>
      <c r="J4440" t="s">
        <v>52</v>
      </c>
      <c r="K4440" s="3">
        <v>100330590409</v>
      </c>
      <c r="L4440" s="10">
        <v>40768</v>
      </c>
      <c r="M4440">
        <v>1108.366</v>
      </c>
      <c r="N4440" s="11">
        <v>20</v>
      </c>
      <c r="O4440" s="12">
        <v>65.99</v>
      </c>
      <c r="P4440" s="12">
        <v>2.5</v>
      </c>
      <c r="Q4440" s="13">
        <v>178.308</v>
      </c>
      <c r="R4440" s="36" t="s">
        <v>1303</v>
      </c>
      <c r="S4440" s="7">
        <f t="shared" si="376"/>
        <v>2</v>
      </c>
      <c r="T4440" s="15" t="str">
        <f>VLOOKUP(R4440,产品分类!$C$2:$D$1278,2,0)</f>
        <v>办公用品</v>
      </c>
    </row>
    <row r="4441" spans="1:20">
      <c r="A4441" s="8">
        <f>DATE(2012,12,31)-499</f>
        <v>40775</v>
      </c>
      <c r="B4441" s="8">
        <f>DATE(2012,12,31)-499</f>
        <v>40775</v>
      </c>
      <c r="C4441" s="9" t="s">
        <v>2346</v>
      </c>
      <c r="D4441">
        <v>10021398315</v>
      </c>
      <c r="E4441" t="s">
        <v>47</v>
      </c>
      <c r="F4441" t="s">
        <v>97</v>
      </c>
      <c r="G4441" t="s">
        <v>98</v>
      </c>
      <c r="H4441" t="s">
        <v>99</v>
      </c>
      <c r="I4441" t="s">
        <v>98</v>
      </c>
      <c r="J4441" t="s">
        <v>52</v>
      </c>
      <c r="K4441" s="3">
        <v>100714084625</v>
      </c>
      <c r="L4441" s="10">
        <v>40775</v>
      </c>
      <c r="M4441">
        <v>68.94</v>
      </c>
      <c r="N4441" s="11">
        <v>8</v>
      </c>
      <c r="O4441" s="12">
        <v>8.32</v>
      </c>
      <c r="P4441" s="12">
        <v>2.38</v>
      </c>
      <c r="Q4441" s="13">
        <v>-32.63</v>
      </c>
      <c r="R4441" s="36" t="s">
        <v>920</v>
      </c>
      <c r="S4441" s="7">
        <f t="shared" si="376"/>
        <v>0</v>
      </c>
      <c r="T4441" s="15" t="str">
        <f>VLOOKUP(R4441,产品分类!$C$2:$D$1278,2,0)</f>
        <v>家具产品</v>
      </c>
    </row>
    <row r="4442" spans="1:20">
      <c r="A4442" s="8">
        <f>DATE(2012,12,31)-499</f>
        <v>40775</v>
      </c>
      <c r="B4442" s="8">
        <f>DATE(2012,12,31)-499</f>
        <v>40775</v>
      </c>
      <c r="C4442" s="9" t="s">
        <v>2346</v>
      </c>
      <c r="D4442">
        <v>10021375034</v>
      </c>
      <c r="E4442" t="s">
        <v>47</v>
      </c>
      <c r="F4442" t="s">
        <v>171</v>
      </c>
      <c r="G4442" t="s">
        <v>172</v>
      </c>
      <c r="H4442" t="s">
        <v>2073</v>
      </c>
      <c r="I4442" t="s">
        <v>2074</v>
      </c>
      <c r="J4442" t="s">
        <v>52</v>
      </c>
      <c r="K4442" s="3">
        <v>100432628234</v>
      </c>
      <c r="L4442" s="10">
        <v>40777</v>
      </c>
      <c r="M4442">
        <v>74.04</v>
      </c>
      <c r="N4442" s="11">
        <v>10</v>
      </c>
      <c r="O4442" s="12">
        <v>6.68</v>
      </c>
      <c r="P4442" s="12">
        <v>7.3</v>
      </c>
      <c r="Q4442" s="13">
        <v>-37.04</v>
      </c>
      <c r="R4442" s="36" t="s">
        <v>1972</v>
      </c>
      <c r="S4442" s="7">
        <f t="shared" si="376"/>
        <v>2</v>
      </c>
      <c r="T4442" s="15" t="str">
        <f>VLOOKUP(R4442,产品分类!$C$2:$D$1278,2,0)</f>
        <v>办公用品</v>
      </c>
    </row>
    <row r="4443" spans="1:20">
      <c r="A4443" s="8">
        <f>DATE(2012,12,31)-873</f>
        <v>40401</v>
      </c>
      <c r="B4443" s="8">
        <f>DATE(2012,12,31)-873</f>
        <v>40401</v>
      </c>
      <c r="C4443" s="9" t="s">
        <v>1921</v>
      </c>
      <c r="D4443">
        <v>10021271702</v>
      </c>
      <c r="E4443" t="s">
        <v>47</v>
      </c>
      <c r="F4443" t="s">
        <v>527</v>
      </c>
      <c r="G4443" t="s">
        <v>528</v>
      </c>
      <c r="H4443" t="s">
        <v>2293</v>
      </c>
      <c r="I4443" t="s">
        <v>2294</v>
      </c>
      <c r="J4443" t="s">
        <v>52</v>
      </c>
      <c r="K4443" s="3">
        <v>100831157832</v>
      </c>
      <c r="L4443" s="10">
        <v>40402</v>
      </c>
      <c r="M4443">
        <v>1504.97</v>
      </c>
      <c r="N4443" s="11">
        <v>19</v>
      </c>
      <c r="O4443" s="12">
        <v>77.51</v>
      </c>
      <c r="P4443" s="12">
        <v>4</v>
      </c>
      <c r="Q4443" s="13">
        <v>-0.309999999999974</v>
      </c>
      <c r="R4443" s="36" t="s">
        <v>2136</v>
      </c>
      <c r="S4443" s="7">
        <f t="shared" si="376"/>
        <v>1</v>
      </c>
      <c r="T4443" s="15" t="str">
        <f>VLOOKUP(R4443,产品分类!$C$2:$D$1278,2,0)</f>
        <v>办公用品</v>
      </c>
    </row>
    <row r="4444" spans="1:20">
      <c r="A4444" s="8">
        <f>DATE(2012,12,31)-54</f>
        <v>41220</v>
      </c>
      <c r="B4444" s="8">
        <f>DATE(2012,12,31)-54</f>
        <v>41220</v>
      </c>
      <c r="C4444" s="9" t="s">
        <v>1290</v>
      </c>
      <c r="D4444">
        <v>10021273566</v>
      </c>
      <c r="E4444" t="s">
        <v>47</v>
      </c>
      <c r="F4444" t="s">
        <v>171</v>
      </c>
      <c r="G4444" t="s">
        <v>172</v>
      </c>
      <c r="H4444" t="s">
        <v>2073</v>
      </c>
      <c r="I4444" t="s">
        <v>2074</v>
      </c>
      <c r="J4444" t="s">
        <v>52</v>
      </c>
      <c r="K4444" s="3">
        <v>100331725219</v>
      </c>
      <c r="L4444" s="10">
        <v>41221</v>
      </c>
      <c r="M4444">
        <v>212.12</v>
      </c>
      <c r="N4444" s="11">
        <v>38</v>
      </c>
      <c r="O4444" s="12">
        <v>5.28</v>
      </c>
      <c r="P4444" s="12">
        <v>5.66</v>
      </c>
      <c r="Q4444" s="13">
        <v>-93.78</v>
      </c>
      <c r="R4444" s="36" t="s">
        <v>2318</v>
      </c>
      <c r="S4444" s="7">
        <f t="shared" si="376"/>
        <v>1</v>
      </c>
      <c r="T4444" s="15" t="str">
        <f>VLOOKUP(R4444,产品分类!$C$2:$D$1278,2,0)</f>
        <v>家具产品</v>
      </c>
    </row>
    <row r="4445" spans="1:20">
      <c r="A4445" s="8">
        <f>DATE(2012,12,31)-1028</f>
        <v>40246</v>
      </c>
      <c r="B4445" s="8">
        <f>DATE(2012,12,31)-1028</f>
        <v>40246</v>
      </c>
      <c r="C4445" s="9" t="s">
        <v>1019</v>
      </c>
      <c r="D4445">
        <v>10021327822</v>
      </c>
      <c r="E4445" t="s">
        <v>47</v>
      </c>
      <c r="F4445" t="s">
        <v>171</v>
      </c>
      <c r="G4445" t="s">
        <v>172</v>
      </c>
      <c r="H4445" t="s">
        <v>2073</v>
      </c>
      <c r="I4445" t="s">
        <v>2074</v>
      </c>
      <c r="J4445" t="s">
        <v>52</v>
      </c>
      <c r="K4445" s="3">
        <v>100924351041</v>
      </c>
      <c r="L4445" s="10">
        <v>40255</v>
      </c>
      <c r="M4445">
        <v>3186.77</v>
      </c>
      <c r="N4445" s="11">
        <v>42</v>
      </c>
      <c r="O4445" s="12">
        <v>76.72</v>
      </c>
      <c r="P4445" s="12">
        <v>19.95</v>
      </c>
      <c r="Q4445" s="13">
        <v>455.42</v>
      </c>
      <c r="R4445" s="36" t="s">
        <v>1064</v>
      </c>
      <c r="S4445" s="7">
        <f t="shared" si="376"/>
        <v>9</v>
      </c>
      <c r="T4445" s="15" t="str">
        <f>VLOOKUP(R4445,产品分类!$C$2:$D$1278,2,0)</f>
        <v>数码电子</v>
      </c>
    </row>
    <row r="4446" spans="1:20">
      <c r="A4446" s="8">
        <f>DATE(2012,12,31)-106</f>
        <v>41168</v>
      </c>
      <c r="B4446" s="8">
        <f>DATE(2012,12,31)-106</f>
        <v>41168</v>
      </c>
      <c r="C4446" s="9" t="s">
        <v>562</v>
      </c>
      <c r="D4446">
        <v>10021316349</v>
      </c>
      <c r="E4446" t="s">
        <v>47</v>
      </c>
      <c r="F4446" t="s">
        <v>167</v>
      </c>
      <c r="G4446" t="s">
        <v>168</v>
      </c>
      <c r="H4446" t="s">
        <v>169</v>
      </c>
      <c r="I4446" t="s">
        <v>168</v>
      </c>
      <c r="J4446" t="s">
        <v>52</v>
      </c>
      <c r="K4446" s="3">
        <v>100928621191</v>
      </c>
      <c r="L4446" s="10">
        <v>41171</v>
      </c>
      <c r="M4446">
        <v>89.97</v>
      </c>
      <c r="N4446" s="11">
        <v>15</v>
      </c>
      <c r="O4446" s="12">
        <v>5.68</v>
      </c>
      <c r="P4446" s="12">
        <v>1.46</v>
      </c>
      <c r="Q4446" s="13">
        <v>23.48</v>
      </c>
      <c r="R4446" s="36" t="s">
        <v>2150</v>
      </c>
      <c r="S4446" s="7">
        <f t="shared" si="376"/>
        <v>3</v>
      </c>
      <c r="T4446" s="15" t="str">
        <f>VLOOKUP(R4446,产品分类!$C$2:$D$1278,2,0)</f>
        <v>办公用品</v>
      </c>
    </row>
    <row r="4447" spans="1:20">
      <c r="A4447" s="8">
        <f>DATE(2012,12,31)-106</f>
        <v>41168</v>
      </c>
      <c r="B4447" s="8">
        <f>DATE(2012,12,31)-106</f>
        <v>41168</v>
      </c>
      <c r="C4447" s="9" t="s">
        <v>562</v>
      </c>
      <c r="D4447">
        <v>10021401068</v>
      </c>
      <c r="E4447" t="s">
        <v>47</v>
      </c>
      <c r="F4447" t="s">
        <v>91</v>
      </c>
      <c r="G4447" t="s">
        <v>92</v>
      </c>
      <c r="H4447" t="s">
        <v>2053</v>
      </c>
      <c r="I4447" t="s">
        <v>2054</v>
      </c>
      <c r="J4447" t="s">
        <v>52</v>
      </c>
      <c r="K4447" s="3">
        <v>100132653047</v>
      </c>
      <c r="L4447" s="10">
        <v>41170</v>
      </c>
      <c r="M4447">
        <v>456.91</v>
      </c>
      <c r="N4447" s="11">
        <v>28</v>
      </c>
      <c r="O4447" s="12">
        <v>15.51</v>
      </c>
      <c r="P4447" s="12">
        <v>17.78</v>
      </c>
      <c r="Q4447" s="13">
        <v>-328.18</v>
      </c>
      <c r="R4447" s="36" t="s">
        <v>1513</v>
      </c>
      <c r="S4447" s="7">
        <f t="shared" si="376"/>
        <v>2</v>
      </c>
      <c r="T4447" s="15" t="str">
        <f>VLOOKUP(R4447,产品分类!$C$2:$D$1278,2,0)</f>
        <v>家具产品</v>
      </c>
    </row>
    <row r="4448" spans="1:20">
      <c r="A4448" s="8">
        <f>DATE(2012,12,31)-592</f>
        <v>40682</v>
      </c>
      <c r="B4448" s="8">
        <f>DATE(2012,12,31)-592</f>
        <v>40682</v>
      </c>
      <c r="C4448" s="9" t="s">
        <v>1181</v>
      </c>
      <c r="D4448">
        <v>10021405333</v>
      </c>
      <c r="E4448" t="s">
        <v>47</v>
      </c>
      <c r="F4448" t="s">
        <v>61</v>
      </c>
      <c r="G4448" t="s">
        <v>62</v>
      </c>
      <c r="H4448" t="s">
        <v>2313</v>
      </c>
      <c r="I4448" t="s">
        <v>2314</v>
      </c>
      <c r="J4448" t="s">
        <v>52</v>
      </c>
      <c r="K4448" s="3">
        <v>100132939086</v>
      </c>
      <c r="L4448" s="10">
        <v>40682</v>
      </c>
      <c r="M4448">
        <v>123.06</v>
      </c>
      <c r="N4448" s="11">
        <v>44</v>
      </c>
      <c r="O4448" s="12">
        <v>2.78</v>
      </c>
      <c r="P4448" s="12">
        <v>1.34</v>
      </c>
      <c r="Q4448" s="13">
        <v>3.5</v>
      </c>
      <c r="R4448" s="36" t="s">
        <v>452</v>
      </c>
      <c r="S4448" s="7">
        <f t="shared" si="376"/>
        <v>0</v>
      </c>
      <c r="T4448" s="15" t="str">
        <f>VLOOKUP(R4448,产品分类!$C$2:$D$1278,2,0)</f>
        <v>家具产品</v>
      </c>
    </row>
    <row r="4449" spans="1:20">
      <c r="A4449" s="8">
        <f t="shared" ref="A4449:B4451" si="377">DATE(2012,12,31)-1452</f>
        <v>39822</v>
      </c>
      <c r="B4449" s="8">
        <f t="shared" si="377"/>
        <v>39822</v>
      </c>
      <c r="C4449" s="9" t="s">
        <v>1072</v>
      </c>
      <c r="D4449">
        <v>10021357316</v>
      </c>
      <c r="E4449" t="s">
        <v>47</v>
      </c>
      <c r="F4449" t="s">
        <v>61</v>
      </c>
      <c r="G4449" t="s">
        <v>62</v>
      </c>
      <c r="H4449" t="s">
        <v>2313</v>
      </c>
      <c r="I4449" t="s">
        <v>2314</v>
      </c>
      <c r="J4449" t="s">
        <v>52</v>
      </c>
      <c r="K4449" s="3">
        <v>100112959626</v>
      </c>
      <c r="L4449" s="10">
        <v>39824</v>
      </c>
      <c r="M4449">
        <v>64.11</v>
      </c>
      <c r="N4449" s="11">
        <v>24</v>
      </c>
      <c r="O4449" s="12">
        <v>2.78</v>
      </c>
      <c r="P4449" s="12">
        <v>0.97</v>
      </c>
      <c r="Q4449" s="13">
        <v>-4.09</v>
      </c>
      <c r="R4449" s="36" t="s">
        <v>1509</v>
      </c>
      <c r="S4449" s="7">
        <f t="shared" si="376"/>
        <v>2</v>
      </c>
      <c r="T4449" s="15" t="str">
        <f>VLOOKUP(R4449,产品分类!$C$2:$D$1278,2,0)</f>
        <v>家具产品</v>
      </c>
    </row>
    <row r="4450" spans="1:20">
      <c r="A4450" s="8">
        <f t="shared" si="377"/>
        <v>39822</v>
      </c>
      <c r="B4450" s="8">
        <f t="shared" si="377"/>
        <v>39822</v>
      </c>
      <c r="C4450" s="9" t="s">
        <v>1072</v>
      </c>
      <c r="D4450">
        <v>10021278549</v>
      </c>
      <c r="E4450" t="s">
        <v>47</v>
      </c>
      <c r="F4450" t="s">
        <v>61</v>
      </c>
      <c r="G4450" t="s">
        <v>62</v>
      </c>
      <c r="H4450" t="s">
        <v>2313</v>
      </c>
      <c r="I4450" t="s">
        <v>2314</v>
      </c>
      <c r="J4450" t="s">
        <v>52</v>
      </c>
      <c r="K4450" s="3">
        <v>100110521597</v>
      </c>
      <c r="L4450" s="10">
        <v>39823</v>
      </c>
      <c r="M4450">
        <v>68.5</v>
      </c>
      <c r="N4450" s="11">
        <v>11</v>
      </c>
      <c r="O4450" s="12">
        <v>5.38</v>
      </c>
      <c r="P4450" s="12">
        <v>7.57</v>
      </c>
      <c r="Q4450" s="13">
        <v>-53.8545</v>
      </c>
      <c r="R4450" s="36" t="s">
        <v>2166</v>
      </c>
      <c r="S4450" s="7">
        <f t="shared" si="376"/>
        <v>1</v>
      </c>
      <c r="T4450" s="15" t="str">
        <f>VLOOKUP(R4450,产品分类!$C$2:$D$1278,2,0)</f>
        <v>数码电子</v>
      </c>
    </row>
    <row r="4451" spans="1:20">
      <c r="A4451" s="8">
        <f t="shared" si="377"/>
        <v>39822</v>
      </c>
      <c r="B4451" s="8">
        <f t="shared" si="377"/>
        <v>39822</v>
      </c>
      <c r="C4451" s="9" t="s">
        <v>1072</v>
      </c>
      <c r="D4451">
        <v>10021394092</v>
      </c>
      <c r="E4451" t="s">
        <v>47</v>
      </c>
      <c r="F4451" t="s">
        <v>66</v>
      </c>
      <c r="G4451" t="s">
        <v>67</v>
      </c>
      <c r="H4451" t="s">
        <v>2244</v>
      </c>
      <c r="I4451" t="s">
        <v>2245</v>
      </c>
      <c r="J4451" t="s">
        <v>52</v>
      </c>
      <c r="K4451" s="3">
        <v>100931535491</v>
      </c>
      <c r="L4451" s="10">
        <v>39822</v>
      </c>
      <c r="M4451">
        <v>145.19</v>
      </c>
      <c r="N4451" s="11">
        <v>44</v>
      </c>
      <c r="O4451" s="12">
        <v>3.28</v>
      </c>
      <c r="P4451" s="12">
        <v>3.97</v>
      </c>
      <c r="Q4451" s="13">
        <v>-116.87</v>
      </c>
      <c r="R4451" s="36" t="s">
        <v>1396</v>
      </c>
      <c r="S4451" s="7">
        <f t="shared" si="376"/>
        <v>0</v>
      </c>
      <c r="T4451" s="15" t="str">
        <f>VLOOKUP(R4451,产品分类!$C$2:$D$1278,2,0)</f>
        <v>家具产品</v>
      </c>
    </row>
    <row r="4452" spans="1:20">
      <c r="A4452" s="8">
        <f>DATE(2012,12,31)-765</f>
        <v>40509</v>
      </c>
      <c r="B4452" s="8">
        <f>DATE(2012,12,31)-765</f>
        <v>40509</v>
      </c>
      <c r="C4452" s="9" t="s">
        <v>538</v>
      </c>
      <c r="D4452">
        <v>10021570652</v>
      </c>
      <c r="E4452" t="s">
        <v>47</v>
      </c>
      <c r="F4452" t="s">
        <v>72</v>
      </c>
      <c r="G4452" t="s">
        <v>73</v>
      </c>
      <c r="H4452" t="s">
        <v>2008</v>
      </c>
      <c r="I4452" t="s">
        <v>2009</v>
      </c>
      <c r="J4452" t="s">
        <v>52</v>
      </c>
      <c r="K4452" s="3">
        <v>10012059888</v>
      </c>
      <c r="L4452" s="10">
        <v>40513</v>
      </c>
      <c r="M4452">
        <v>1390.6935</v>
      </c>
      <c r="N4452" s="11">
        <v>24</v>
      </c>
      <c r="O4452" s="12">
        <v>65.99</v>
      </c>
      <c r="P4452" s="12">
        <v>7.69</v>
      </c>
      <c r="Q4452" s="13">
        <v>168.462</v>
      </c>
      <c r="R4452" s="36" t="s">
        <v>246</v>
      </c>
      <c r="S4452" s="7">
        <f t="shared" si="376"/>
        <v>4</v>
      </c>
      <c r="T4452" s="15" t="str">
        <f>VLOOKUP(R4452,产品分类!$C$2:$D$1278,2,0)</f>
        <v>办公用品</v>
      </c>
    </row>
    <row r="4453" spans="1:20">
      <c r="A4453" s="8">
        <f>DATE(2012,12,31)-765</f>
        <v>40509</v>
      </c>
      <c r="B4453" s="8">
        <f>DATE(2012,12,31)-765</f>
        <v>40509</v>
      </c>
      <c r="C4453" s="9" t="s">
        <v>538</v>
      </c>
      <c r="D4453">
        <v>10021562317</v>
      </c>
      <c r="E4453" t="s">
        <v>47</v>
      </c>
      <c r="F4453" t="s">
        <v>72</v>
      </c>
      <c r="G4453" t="s">
        <v>73</v>
      </c>
      <c r="H4453" t="s">
        <v>2008</v>
      </c>
      <c r="I4453" t="s">
        <v>2009</v>
      </c>
      <c r="J4453" t="s">
        <v>52</v>
      </c>
      <c r="K4453" s="3">
        <v>100825635522</v>
      </c>
      <c r="L4453" s="10">
        <v>40516</v>
      </c>
      <c r="M4453">
        <v>1017.2885</v>
      </c>
      <c r="N4453" s="11">
        <v>20</v>
      </c>
      <c r="O4453" s="12">
        <v>65.99</v>
      </c>
      <c r="P4453" s="12">
        <v>8.99</v>
      </c>
      <c r="Q4453" s="13">
        <v>-115.302</v>
      </c>
      <c r="R4453" s="36" t="s">
        <v>2164</v>
      </c>
      <c r="S4453" s="7">
        <f t="shared" si="376"/>
        <v>7</v>
      </c>
      <c r="T4453" s="15" t="str">
        <f>VLOOKUP(R4453,产品分类!$C$2:$D$1278,2,0)</f>
        <v>办公用品</v>
      </c>
    </row>
    <row r="4454" spans="1:20">
      <c r="A4454" s="8">
        <f>DATE(2012,12,31)-113</f>
        <v>41161</v>
      </c>
      <c r="B4454" s="8">
        <f>DATE(2012,12,31)-113</f>
        <v>41161</v>
      </c>
      <c r="C4454" s="9" t="s">
        <v>2292</v>
      </c>
      <c r="D4454">
        <v>10021402039</v>
      </c>
      <c r="E4454" t="s">
        <v>47</v>
      </c>
      <c r="F4454" t="s">
        <v>78</v>
      </c>
      <c r="G4454" t="s">
        <v>79</v>
      </c>
      <c r="H4454" t="s">
        <v>2105</v>
      </c>
      <c r="I4454" t="s">
        <v>2106</v>
      </c>
      <c r="J4454" t="s">
        <v>52</v>
      </c>
      <c r="K4454" s="3">
        <v>100722996255</v>
      </c>
      <c r="L4454" s="10">
        <v>41162</v>
      </c>
      <c r="M4454">
        <v>86.69</v>
      </c>
      <c r="N4454" s="11">
        <v>12</v>
      </c>
      <c r="O4454" s="12">
        <v>6.48</v>
      </c>
      <c r="P4454" s="12">
        <v>7.37</v>
      </c>
      <c r="Q4454" s="13">
        <v>-43.48</v>
      </c>
      <c r="R4454" s="36" t="s">
        <v>1045</v>
      </c>
      <c r="S4454" s="7">
        <f t="shared" si="376"/>
        <v>1</v>
      </c>
      <c r="T4454" s="15" t="str">
        <f>VLOOKUP(R4454,产品分类!$C$2:$D$1278,2,0)</f>
        <v>数码电子</v>
      </c>
    </row>
    <row r="4455" spans="1:20">
      <c r="A4455" s="8">
        <f>DATE(2012,12,31)-585</f>
        <v>40689</v>
      </c>
      <c r="B4455" s="8">
        <f>DATE(2012,12,31)-585</f>
        <v>40689</v>
      </c>
      <c r="C4455" s="9" t="s">
        <v>623</v>
      </c>
      <c r="D4455">
        <v>10021377588</v>
      </c>
      <c r="E4455" t="s">
        <v>47</v>
      </c>
      <c r="F4455" t="s">
        <v>91</v>
      </c>
      <c r="G4455" t="s">
        <v>92</v>
      </c>
      <c r="H4455" t="s">
        <v>2053</v>
      </c>
      <c r="I4455" t="s">
        <v>2054</v>
      </c>
      <c r="J4455" t="s">
        <v>52</v>
      </c>
      <c r="K4455" s="3">
        <v>100325096189</v>
      </c>
      <c r="L4455" s="10">
        <v>40691</v>
      </c>
      <c r="M4455">
        <v>413.12</v>
      </c>
      <c r="N4455" s="11">
        <v>31</v>
      </c>
      <c r="O4455" s="12">
        <v>14.27</v>
      </c>
      <c r="P4455" s="12">
        <v>7.27</v>
      </c>
      <c r="Q4455" s="13">
        <v>-10.2235</v>
      </c>
      <c r="R4455" s="36" t="s">
        <v>1287</v>
      </c>
      <c r="S4455" s="7">
        <f t="shared" si="376"/>
        <v>2</v>
      </c>
      <c r="T4455" s="15" t="str">
        <f>VLOOKUP(R4455,产品分类!$C$2:$D$1278,2,0)</f>
        <v>家具产品</v>
      </c>
    </row>
    <row r="4456" spans="1:20">
      <c r="A4456" s="8">
        <f>DATE(2012,12,31)-439</f>
        <v>40835</v>
      </c>
      <c r="B4456" s="8">
        <f>DATE(2012,12,31)-439</f>
        <v>40835</v>
      </c>
      <c r="C4456" s="9" t="s">
        <v>1270</v>
      </c>
      <c r="D4456">
        <v>10021481883</v>
      </c>
      <c r="E4456" t="s">
        <v>47</v>
      </c>
      <c r="F4456" t="s">
        <v>527</v>
      </c>
      <c r="G4456" t="s">
        <v>528</v>
      </c>
      <c r="H4456" t="s">
        <v>2293</v>
      </c>
      <c r="I4456" t="s">
        <v>2294</v>
      </c>
      <c r="J4456" t="s">
        <v>52</v>
      </c>
      <c r="K4456" s="3">
        <v>1009438771</v>
      </c>
      <c r="L4456" s="10">
        <v>40837</v>
      </c>
      <c r="M4456">
        <v>6483.42</v>
      </c>
      <c r="N4456" s="11">
        <v>32</v>
      </c>
      <c r="O4456" s="12">
        <v>200.98</v>
      </c>
      <c r="P4456" s="12">
        <v>23.76</v>
      </c>
      <c r="Q4456" s="13">
        <v>1590.95</v>
      </c>
      <c r="R4456" s="36" t="s">
        <v>1343</v>
      </c>
      <c r="S4456" s="7">
        <f t="shared" si="376"/>
        <v>2</v>
      </c>
      <c r="T4456" s="15" t="str">
        <f>VLOOKUP(R4456,产品分类!$C$2:$D$1278,2,0)</f>
        <v>办公用品</v>
      </c>
    </row>
    <row r="4457" spans="1:20">
      <c r="A4457" s="8">
        <f>DATE(2012,12,31)-439</f>
        <v>40835</v>
      </c>
      <c r="B4457" s="8">
        <f>DATE(2012,12,31)-439</f>
        <v>40835</v>
      </c>
      <c r="C4457" s="9" t="s">
        <v>1270</v>
      </c>
      <c r="D4457">
        <v>10021537062</v>
      </c>
      <c r="E4457" t="s">
        <v>47</v>
      </c>
      <c r="F4457" t="s">
        <v>527</v>
      </c>
      <c r="G4457" t="s">
        <v>528</v>
      </c>
      <c r="H4457" t="s">
        <v>2293</v>
      </c>
      <c r="I4457" t="s">
        <v>2294</v>
      </c>
      <c r="J4457" t="s">
        <v>52</v>
      </c>
      <c r="K4457" s="3">
        <v>100124344337</v>
      </c>
      <c r="L4457" s="10">
        <v>40835</v>
      </c>
      <c r="M4457">
        <v>137.77</v>
      </c>
      <c r="N4457" s="11">
        <v>10</v>
      </c>
      <c r="O4457" s="12">
        <v>12.28</v>
      </c>
      <c r="P4457" s="12">
        <v>6.47</v>
      </c>
      <c r="Q4457" s="13">
        <v>1.85</v>
      </c>
      <c r="R4457" s="36" t="s">
        <v>874</v>
      </c>
      <c r="S4457" s="7">
        <f t="shared" si="376"/>
        <v>0</v>
      </c>
      <c r="T4457" s="15" t="str">
        <f>VLOOKUP(R4457,产品分类!$C$2:$D$1278,2,0)</f>
        <v>办公用品</v>
      </c>
    </row>
    <row r="4458" spans="1:20">
      <c r="A4458" s="8">
        <f>DATE(2012,12,31)-1067</f>
        <v>40207</v>
      </c>
      <c r="B4458" s="8">
        <f>DATE(2012,12,31)-1067</f>
        <v>40207</v>
      </c>
      <c r="C4458" s="9" t="s">
        <v>1237</v>
      </c>
      <c r="D4458">
        <v>10021429895</v>
      </c>
      <c r="E4458" t="s">
        <v>47</v>
      </c>
      <c r="F4458" t="s">
        <v>66</v>
      </c>
      <c r="G4458" t="s">
        <v>67</v>
      </c>
      <c r="H4458" t="s">
        <v>2244</v>
      </c>
      <c r="I4458" t="s">
        <v>2245</v>
      </c>
      <c r="J4458" t="s">
        <v>52</v>
      </c>
      <c r="K4458" s="3">
        <v>100331686709</v>
      </c>
      <c r="L4458" s="10">
        <v>40209</v>
      </c>
      <c r="M4458">
        <v>734.25</v>
      </c>
      <c r="N4458" s="11">
        <v>17</v>
      </c>
      <c r="O4458" s="12">
        <v>42.98</v>
      </c>
      <c r="P4458" s="12">
        <v>4.62</v>
      </c>
      <c r="Q4458" s="13">
        <v>160.58</v>
      </c>
      <c r="R4458" s="36" t="s">
        <v>1763</v>
      </c>
      <c r="S4458" s="7">
        <f t="shared" si="376"/>
        <v>2</v>
      </c>
      <c r="T4458" s="15" t="str">
        <f>VLOOKUP(R4458,产品分类!$C$2:$D$1278,2,0)</f>
        <v>数码电子</v>
      </c>
    </row>
    <row r="4459" spans="1:20">
      <c r="A4459" s="8">
        <f>DATE(2012,12,31)-1445</f>
        <v>39829</v>
      </c>
      <c r="B4459" s="8">
        <f>DATE(2012,12,31)-1445</f>
        <v>39829</v>
      </c>
      <c r="C4459" s="9" t="s">
        <v>425</v>
      </c>
      <c r="D4459">
        <v>10021607061</v>
      </c>
      <c r="E4459" t="s">
        <v>47</v>
      </c>
      <c r="F4459" t="s">
        <v>66</v>
      </c>
      <c r="G4459" t="s">
        <v>67</v>
      </c>
      <c r="H4459" t="s">
        <v>2244</v>
      </c>
      <c r="I4459" t="s">
        <v>2245</v>
      </c>
      <c r="J4459" t="s">
        <v>52</v>
      </c>
      <c r="K4459" s="3">
        <v>10045663244</v>
      </c>
      <c r="L4459" s="10">
        <v>39830</v>
      </c>
      <c r="M4459">
        <v>249.02</v>
      </c>
      <c r="N4459" s="11">
        <v>46</v>
      </c>
      <c r="O4459" s="12">
        <v>5.81</v>
      </c>
      <c r="P4459" s="12">
        <v>8.49</v>
      </c>
      <c r="Q4459" s="13">
        <v>-282.6125</v>
      </c>
      <c r="R4459" s="36" t="s">
        <v>1248</v>
      </c>
      <c r="S4459" s="7">
        <f t="shared" si="376"/>
        <v>1</v>
      </c>
      <c r="T4459" s="15" t="str">
        <f>VLOOKUP(R4459,产品分类!$C$2:$D$1278,2,0)</f>
        <v>数码电子</v>
      </c>
    </row>
    <row r="4460" spans="1:20">
      <c r="A4460" s="8">
        <f>DATE(2012,12,31)-1445</f>
        <v>39829</v>
      </c>
      <c r="B4460" s="8">
        <f>DATE(2012,12,31)-1445</f>
        <v>39829</v>
      </c>
      <c r="C4460" s="9" t="s">
        <v>425</v>
      </c>
      <c r="D4460">
        <v>10021418554</v>
      </c>
      <c r="E4460" t="s">
        <v>47</v>
      </c>
      <c r="F4460" t="s">
        <v>152</v>
      </c>
      <c r="G4460" t="s">
        <v>153</v>
      </c>
      <c r="H4460" t="s">
        <v>2302</v>
      </c>
      <c r="I4460" t="s">
        <v>2303</v>
      </c>
      <c r="J4460" t="s">
        <v>52</v>
      </c>
      <c r="K4460" s="3">
        <v>100421453294</v>
      </c>
      <c r="L4460" s="10">
        <v>39830</v>
      </c>
      <c r="M4460">
        <v>78.49</v>
      </c>
      <c r="N4460" s="11">
        <v>41</v>
      </c>
      <c r="O4460" s="12">
        <v>1.81</v>
      </c>
      <c r="P4460" s="12">
        <v>0.75</v>
      </c>
      <c r="Q4460" s="13">
        <v>5.53</v>
      </c>
      <c r="R4460" s="36" t="s">
        <v>1253</v>
      </c>
      <c r="S4460" s="7">
        <f t="shared" si="376"/>
        <v>1</v>
      </c>
      <c r="T4460" s="15" t="str">
        <f>VLOOKUP(R4460,产品分类!$C$2:$D$1278,2,0)</f>
        <v>办公用品</v>
      </c>
    </row>
    <row r="4461" spans="1:20">
      <c r="A4461" s="8">
        <f>DATE(2012,12,31)-887</f>
        <v>40387</v>
      </c>
      <c r="B4461" s="8">
        <f>DATE(2012,12,31)-887</f>
        <v>40387</v>
      </c>
      <c r="C4461" s="9" t="s">
        <v>1074</v>
      </c>
      <c r="D4461">
        <v>10021429036</v>
      </c>
      <c r="E4461" t="s">
        <v>47</v>
      </c>
      <c r="F4461" t="s">
        <v>66</v>
      </c>
      <c r="G4461" t="s">
        <v>67</v>
      </c>
      <c r="H4461" t="s">
        <v>2244</v>
      </c>
      <c r="I4461" t="s">
        <v>2245</v>
      </c>
      <c r="J4461" t="s">
        <v>52</v>
      </c>
      <c r="K4461" s="3">
        <v>100131366498</v>
      </c>
      <c r="L4461" s="10">
        <v>40389</v>
      </c>
      <c r="M4461">
        <v>15</v>
      </c>
      <c r="N4461" s="11">
        <v>1</v>
      </c>
      <c r="O4461" s="12">
        <v>9.78</v>
      </c>
      <c r="P4461" s="12">
        <v>5.76</v>
      </c>
      <c r="Q4461" s="13">
        <v>-13.74</v>
      </c>
      <c r="R4461" s="36" t="s">
        <v>962</v>
      </c>
      <c r="S4461" s="7">
        <f t="shared" si="376"/>
        <v>2</v>
      </c>
      <c r="T4461" s="15" t="str">
        <f>VLOOKUP(R4461,产品分类!$C$2:$D$1278,2,0)</f>
        <v>家具产品</v>
      </c>
    </row>
    <row r="4462" spans="1:20">
      <c r="A4462" s="8">
        <f>DATE(2012,12,31)-1320</f>
        <v>39954</v>
      </c>
      <c r="B4462" s="8">
        <f>DATE(2012,12,31)-1320</f>
        <v>39954</v>
      </c>
      <c r="C4462" s="9" t="s">
        <v>2347</v>
      </c>
      <c r="D4462">
        <v>10021619933</v>
      </c>
      <c r="E4462" t="s">
        <v>47</v>
      </c>
      <c r="F4462" t="s">
        <v>48</v>
      </c>
      <c r="G4462" t="s">
        <v>49</v>
      </c>
      <c r="H4462" t="s">
        <v>2183</v>
      </c>
      <c r="I4462" t="s">
        <v>2184</v>
      </c>
      <c r="J4462" t="s">
        <v>52</v>
      </c>
      <c r="K4462" s="3">
        <v>10013258048</v>
      </c>
      <c r="L4462" s="10">
        <v>39954</v>
      </c>
      <c r="M4462">
        <v>355.55</v>
      </c>
      <c r="N4462" s="11">
        <v>46</v>
      </c>
      <c r="O4462" s="12">
        <v>7.28</v>
      </c>
      <c r="P4462" s="12">
        <v>7.98</v>
      </c>
      <c r="Q4462" s="13">
        <v>-166.74</v>
      </c>
      <c r="R4462" s="36" t="s">
        <v>156</v>
      </c>
      <c r="S4462" s="7">
        <f t="shared" si="376"/>
        <v>0</v>
      </c>
      <c r="T4462" s="15" t="str">
        <f>VLOOKUP(R4462,产品分类!$C$2:$D$1278,2,0)</f>
        <v>办公用品</v>
      </c>
    </row>
    <row r="4463" spans="1:20">
      <c r="A4463" s="16">
        <f>DATE(2012,12,31)-519</f>
        <v>40755</v>
      </c>
      <c r="B4463" s="16">
        <f>DATE(2012,12,31)-519</f>
        <v>40755</v>
      </c>
      <c r="C4463" s="9" t="s">
        <v>2005</v>
      </c>
      <c r="D4463">
        <v>10021444050</v>
      </c>
      <c r="E4463" t="s">
        <v>47</v>
      </c>
      <c r="F4463" t="s">
        <v>66</v>
      </c>
      <c r="G4463" t="s">
        <v>67</v>
      </c>
      <c r="H4463" t="s">
        <v>2244</v>
      </c>
      <c r="I4463" t="s">
        <v>2245</v>
      </c>
      <c r="J4463" t="s">
        <v>52</v>
      </c>
      <c r="K4463" s="3">
        <v>10084268622</v>
      </c>
      <c r="L4463" s="10">
        <v>40757</v>
      </c>
      <c r="M4463">
        <v>593.62</v>
      </c>
      <c r="N4463" s="17">
        <v>14</v>
      </c>
      <c r="O4463" s="5">
        <v>40.99</v>
      </c>
      <c r="P4463" s="5">
        <v>19.99</v>
      </c>
      <c r="Q4463" s="6">
        <v>25.19</v>
      </c>
      <c r="R4463" s="37" t="s">
        <v>656</v>
      </c>
      <c r="S4463" s="7">
        <f t="shared" si="376"/>
        <v>2</v>
      </c>
      <c r="T4463" s="15" t="str">
        <f>VLOOKUP(R4463,产品分类!$C$2:$D$1278,2,0)</f>
        <v>家具产品</v>
      </c>
    </row>
    <row r="4464" spans="1:20">
      <c r="A4464" s="16">
        <f>DATE(2012,12,31)-519</f>
        <v>40755</v>
      </c>
      <c r="B4464" s="16">
        <f>DATE(2012,12,31)-519</f>
        <v>40755</v>
      </c>
      <c r="C4464" s="9" t="s">
        <v>2005</v>
      </c>
      <c r="D4464">
        <v>10021268488</v>
      </c>
      <c r="E4464" t="s">
        <v>47</v>
      </c>
      <c r="F4464" t="s">
        <v>78</v>
      </c>
      <c r="G4464" t="s">
        <v>79</v>
      </c>
      <c r="H4464" t="s">
        <v>2105</v>
      </c>
      <c r="I4464" t="s">
        <v>2106</v>
      </c>
      <c r="J4464" t="s">
        <v>52</v>
      </c>
      <c r="K4464" s="3">
        <v>100332398979</v>
      </c>
      <c r="L4464" s="10">
        <v>40757</v>
      </c>
      <c r="M4464">
        <v>38.52</v>
      </c>
      <c r="N4464" s="17">
        <v>31</v>
      </c>
      <c r="O4464" s="5">
        <v>1.26</v>
      </c>
      <c r="P4464" s="5">
        <v>0.7</v>
      </c>
      <c r="Q4464" s="6">
        <v>-17.34</v>
      </c>
      <c r="R4464" s="37" t="s">
        <v>339</v>
      </c>
      <c r="S4464" s="7">
        <f t="shared" si="376"/>
        <v>2</v>
      </c>
      <c r="T4464" s="15" t="str">
        <f>VLOOKUP(R4464,产品分类!$C$2:$D$1278,2,0)</f>
        <v>数码电子</v>
      </c>
    </row>
    <row r="4465" spans="1:20">
      <c r="A4465" s="8">
        <f>DATE(2012,12,31)-899</f>
        <v>40375</v>
      </c>
      <c r="B4465" s="8">
        <f>DATE(2012,12,31)-899</f>
        <v>40375</v>
      </c>
      <c r="C4465" s="9" t="s">
        <v>2306</v>
      </c>
      <c r="D4465">
        <v>10021533175</v>
      </c>
      <c r="E4465" t="s">
        <v>47</v>
      </c>
      <c r="F4465" t="s">
        <v>72</v>
      </c>
      <c r="G4465" t="s">
        <v>73</v>
      </c>
      <c r="H4465" t="s">
        <v>2008</v>
      </c>
      <c r="I4465" t="s">
        <v>2009</v>
      </c>
      <c r="J4465" t="s">
        <v>52</v>
      </c>
      <c r="K4465" s="3">
        <v>100132338416</v>
      </c>
      <c r="L4465" s="10">
        <v>40376</v>
      </c>
      <c r="M4465">
        <v>157.26</v>
      </c>
      <c r="N4465" s="11">
        <v>9</v>
      </c>
      <c r="O4465" s="12">
        <v>17.48</v>
      </c>
      <c r="P4465" s="12">
        <v>1.99</v>
      </c>
      <c r="Q4465" s="13">
        <v>-18.84</v>
      </c>
      <c r="R4465" s="36" t="s">
        <v>1327</v>
      </c>
      <c r="S4465" s="7">
        <f t="shared" si="376"/>
        <v>1</v>
      </c>
      <c r="T4465" s="15" t="str">
        <f>VLOOKUP(R4465,产品分类!$C$2:$D$1278,2,0)</f>
        <v>数码电子</v>
      </c>
    </row>
    <row r="4466" spans="1:20">
      <c r="A4466" s="8">
        <f>DATE(2012,12,31)-548</f>
        <v>40726</v>
      </c>
      <c r="B4466" s="8">
        <f>DATE(2012,12,31)-548</f>
        <v>40726</v>
      </c>
      <c r="C4466" s="9" t="s">
        <v>2052</v>
      </c>
      <c r="D4466">
        <v>10021340459</v>
      </c>
      <c r="E4466" t="s">
        <v>47</v>
      </c>
      <c r="F4466" t="s">
        <v>78</v>
      </c>
      <c r="G4466" t="s">
        <v>79</v>
      </c>
      <c r="H4466" t="s">
        <v>2105</v>
      </c>
      <c r="I4466" t="s">
        <v>2106</v>
      </c>
      <c r="J4466" t="s">
        <v>52</v>
      </c>
      <c r="K4466" s="3">
        <v>100126142726</v>
      </c>
      <c r="L4466" s="10">
        <v>40726</v>
      </c>
      <c r="M4466">
        <v>2085.93</v>
      </c>
      <c r="N4466" s="11">
        <v>14</v>
      </c>
      <c r="O4466" s="12">
        <v>150.98</v>
      </c>
      <c r="P4466" s="12">
        <v>66.27</v>
      </c>
      <c r="Q4466" s="13">
        <v>-517.73</v>
      </c>
      <c r="R4466" s="36" t="s">
        <v>1166</v>
      </c>
      <c r="S4466" s="7">
        <f t="shared" si="376"/>
        <v>0</v>
      </c>
      <c r="T4466" s="15" t="str">
        <f>VLOOKUP(R4466,产品分类!$C$2:$D$1278,2,0)</f>
        <v>办公用品</v>
      </c>
    </row>
    <row r="4467" spans="1:20">
      <c r="A4467" s="8">
        <f>DATE(2012,12,31)-70</f>
        <v>41204</v>
      </c>
      <c r="B4467" s="8">
        <f>DATE(2012,12,31)-70</f>
        <v>41204</v>
      </c>
      <c r="C4467" s="9" t="s">
        <v>1266</v>
      </c>
      <c r="D4467">
        <v>10021505531</v>
      </c>
      <c r="E4467" t="s">
        <v>47</v>
      </c>
      <c r="F4467" t="s">
        <v>72</v>
      </c>
      <c r="G4467" t="s">
        <v>73</v>
      </c>
      <c r="H4467" t="s">
        <v>2008</v>
      </c>
      <c r="I4467" t="s">
        <v>2009</v>
      </c>
      <c r="J4467" t="s">
        <v>52</v>
      </c>
      <c r="K4467" s="3">
        <v>100131059967</v>
      </c>
      <c r="L4467" s="10">
        <v>41204</v>
      </c>
      <c r="M4467">
        <v>3645.12</v>
      </c>
      <c r="N4467" s="11">
        <v>36</v>
      </c>
      <c r="O4467" s="12">
        <v>100.98</v>
      </c>
      <c r="P4467" s="12">
        <v>15.66</v>
      </c>
      <c r="Q4467" s="13">
        <v>807.29</v>
      </c>
      <c r="R4467" s="36" t="s">
        <v>890</v>
      </c>
      <c r="S4467" s="7">
        <f t="shared" si="376"/>
        <v>0</v>
      </c>
      <c r="T4467" s="15" t="str">
        <f>VLOOKUP(R4467,产品分类!$C$2:$D$1278,2,0)</f>
        <v>办公用品</v>
      </c>
    </row>
    <row r="4468" spans="1:20">
      <c r="A4468" s="16">
        <f>DATE(2012,12,31)-70</f>
        <v>41204</v>
      </c>
      <c r="B4468" s="16">
        <f>DATE(2012,12,31)-70</f>
        <v>41204</v>
      </c>
      <c r="C4468" s="9" t="s">
        <v>1266</v>
      </c>
      <c r="D4468">
        <v>10021575207</v>
      </c>
      <c r="E4468" t="s">
        <v>47</v>
      </c>
      <c r="F4468" t="s">
        <v>72</v>
      </c>
      <c r="G4468" t="s">
        <v>73</v>
      </c>
      <c r="H4468" t="s">
        <v>2008</v>
      </c>
      <c r="I4468" t="s">
        <v>2009</v>
      </c>
      <c r="J4468" t="s">
        <v>52</v>
      </c>
      <c r="K4468" s="3">
        <v>10085240522</v>
      </c>
      <c r="L4468" s="10">
        <v>41211</v>
      </c>
      <c r="M4468">
        <v>114.55</v>
      </c>
      <c r="N4468" s="17">
        <v>11</v>
      </c>
      <c r="O4468" s="5">
        <v>10.06</v>
      </c>
      <c r="P4468" s="5">
        <v>2.06</v>
      </c>
      <c r="Q4468" s="6">
        <v>28.61</v>
      </c>
      <c r="R4468" s="37" t="s">
        <v>880</v>
      </c>
      <c r="S4468" s="7">
        <f t="shared" si="376"/>
        <v>7</v>
      </c>
      <c r="T4468" s="15" t="str">
        <f>VLOOKUP(R4468,产品分类!$C$2:$D$1278,2,0)</f>
        <v>办公用品</v>
      </c>
    </row>
    <row r="4469" spans="1:20">
      <c r="A4469" s="8">
        <f>DATE(2012,12,31)-506</f>
        <v>40768</v>
      </c>
      <c r="B4469" s="8">
        <f>DATE(2012,12,31)-506</f>
        <v>40768</v>
      </c>
      <c r="C4469" s="9" t="s">
        <v>1786</v>
      </c>
      <c r="D4469">
        <v>10021254474</v>
      </c>
      <c r="E4469" t="s">
        <v>47</v>
      </c>
      <c r="F4469" t="s">
        <v>72</v>
      </c>
      <c r="G4469" t="s">
        <v>73</v>
      </c>
      <c r="H4469" t="s">
        <v>2008</v>
      </c>
      <c r="I4469" t="s">
        <v>2009</v>
      </c>
      <c r="J4469" t="s">
        <v>52</v>
      </c>
      <c r="K4469" s="3">
        <v>100122239958</v>
      </c>
      <c r="L4469" s="10">
        <v>40770</v>
      </c>
      <c r="M4469">
        <v>261.17</v>
      </c>
      <c r="N4469" s="11">
        <v>7</v>
      </c>
      <c r="O4469" s="12">
        <v>33.94</v>
      </c>
      <c r="P4469" s="12">
        <v>19.19</v>
      </c>
      <c r="Q4469" s="13">
        <v>-78.84</v>
      </c>
      <c r="R4469" s="36" t="s">
        <v>2185</v>
      </c>
      <c r="S4469" s="7">
        <f t="shared" si="376"/>
        <v>2</v>
      </c>
      <c r="T4469" s="15" t="str">
        <f>VLOOKUP(R4469,产品分类!$C$2:$D$1278,2,0)</f>
        <v>办公用品</v>
      </c>
    </row>
    <row r="4470" spans="1:20">
      <c r="A4470" s="8">
        <f>DATE(2012,12,31)-1109</f>
        <v>40165</v>
      </c>
      <c r="B4470" s="8">
        <f>DATE(2012,12,31)-1109</f>
        <v>40165</v>
      </c>
      <c r="C4470" s="9" t="s">
        <v>1347</v>
      </c>
      <c r="D4470">
        <v>10021259643</v>
      </c>
      <c r="E4470" t="s">
        <v>47</v>
      </c>
      <c r="F4470" t="s">
        <v>72</v>
      </c>
      <c r="G4470" t="s">
        <v>73</v>
      </c>
      <c r="H4470" t="s">
        <v>2008</v>
      </c>
      <c r="I4470" t="s">
        <v>2009</v>
      </c>
      <c r="J4470" t="s">
        <v>52</v>
      </c>
      <c r="K4470" s="3">
        <v>100728004565</v>
      </c>
      <c r="L4470" s="10">
        <v>40169</v>
      </c>
      <c r="M4470">
        <v>1692.28</v>
      </c>
      <c r="N4470" s="11">
        <v>46</v>
      </c>
      <c r="O4470" s="12">
        <v>39.98</v>
      </c>
      <c r="P4470" s="12">
        <v>4</v>
      </c>
      <c r="Q4470" s="13">
        <v>61</v>
      </c>
      <c r="R4470" s="36" t="s">
        <v>771</v>
      </c>
      <c r="S4470" s="7">
        <f t="shared" si="376"/>
        <v>4</v>
      </c>
      <c r="T4470" s="15" t="str">
        <f>VLOOKUP(R4470,产品分类!$C$2:$D$1278,2,0)</f>
        <v>家具产品</v>
      </c>
    </row>
    <row r="4471" spans="1:20">
      <c r="A4471" s="8">
        <f>DATE(2012,12,31)-847</f>
        <v>40427</v>
      </c>
      <c r="B4471" s="8">
        <f>DATE(2012,12,31)-847</f>
        <v>40427</v>
      </c>
      <c r="C4471" s="9" t="s">
        <v>1511</v>
      </c>
      <c r="D4471">
        <v>10021261490</v>
      </c>
      <c r="E4471" t="s">
        <v>47</v>
      </c>
      <c r="F4471" t="s">
        <v>78</v>
      </c>
      <c r="G4471" t="s">
        <v>79</v>
      </c>
      <c r="H4471" t="s">
        <v>2105</v>
      </c>
      <c r="I4471" t="s">
        <v>2106</v>
      </c>
      <c r="J4471" t="s">
        <v>52</v>
      </c>
      <c r="K4471" s="3">
        <v>100829450172</v>
      </c>
      <c r="L4471" s="10">
        <v>40431</v>
      </c>
      <c r="M4471">
        <v>2833.19</v>
      </c>
      <c r="N4471" s="11">
        <v>34</v>
      </c>
      <c r="O4471" s="12">
        <v>83.98</v>
      </c>
      <c r="P4471" s="12">
        <v>5.01</v>
      </c>
      <c r="Q4471" s="13">
        <v>1409.87</v>
      </c>
      <c r="R4471" s="36" t="s">
        <v>2226</v>
      </c>
      <c r="S4471" s="7">
        <f t="shared" si="376"/>
        <v>4</v>
      </c>
      <c r="T4471" s="15" t="str">
        <f>VLOOKUP(R4471,产品分类!$C$2:$D$1278,2,0)</f>
        <v>办公用品</v>
      </c>
    </row>
    <row r="4472" spans="1:20">
      <c r="A4472" s="8">
        <f>DATE(2012,12,31)-847</f>
        <v>40427</v>
      </c>
      <c r="B4472" s="8">
        <f>DATE(2012,12,31)-847</f>
        <v>40427</v>
      </c>
      <c r="C4472" s="9" t="s">
        <v>1511</v>
      </c>
      <c r="D4472">
        <v>10021508974</v>
      </c>
      <c r="E4472" t="s">
        <v>47</v>
      </c>
      <c r="F4472" t="s">
        <v>230</v>
      </c>
      <c r="G4472" t="s">
        <v>231</v>
      </c>
      <c r="H4472" t="s">
        <v>2276</v>
      </c>
      <c r="I4472" t="s">
        <v>2277</v>
      </c>
      <c r="J4472" t="s">
        <v>52</v>
      </c>
      <c r="K4472" s="3">
        <v>100432330054</v>
      </c>
      <c r="L4472" s="10">
        <v>40431</v>
      </c>
      <c r="M4472">
        <v>4452.65</v>
      </c>
      <c r="N4472" s="11">
        <v>30</v>
      </c>
      <c r="O4472" s="12">
        <v>159.31</v>
      </c>
      <c r="P4472" s="12">
        <v>60</v>
      </c>
      <c r="Q4472" s="13">
        <v>-265.122</v>
      </c>
      <c r="R4472" s="36" t="s">
        <v>717</v>
      </c>
      <c r="S4472" s="7">
        <f t="shared" si="376"/>
        <v>4</v>
      </c>
      <c r="T4472" s="15" t="str">
        <f>VLOOKUP(R4472,产品分类!$C$2:$D$1278,2,0)</f>
        <v>办公用品</v>
      </c>
    </row>
    <row r="4473" spans="1:20">
      <c r="A4473" s="8">
        <f t="shared" ref="A4473:B4476" si="378">DATE(2012,12,31)-1149</f>
        <v>40125</v>
      </c>
      <c r="B4473" s="8">
        <f t="shared" si="378"/>
        <v>40125</v>
      </c>
      <c r="C4473" s="9" t="s">
        <v>2348</v>
      </c>
      <c r="D4473">
        <v>10021620782</v>
      </c>
      <c r="E4473" t="s">
        <v>47</v>
      </c>
      <c r="F4473" t="s">
        <v>473</v>
      </c>
      <c r="G4473" t="s">
        <v>474</v>
      </c>
      <c r="H4473" t="s">
        <v>2142</v>
      </c>
      <c r="I4473" t="s">
        <v>2143</v>
      </c>
      <c r="J4473" t="s">
        <v>52</v>
      </c>
      <c r="K4473" s="3">
        <v>10017449286</v>
      </c>
      <c r="L4473" s="10">
        <v>40130</v>
      </c>
      <c r="M4473">
        <v>141.59</v>
      </c>
      <c r="N4473" s="11">
        <v>2</v>
      </c>
      <c r="O4473" s="12">
        <v>70.97</v>
      </c>
      <c r="P4473" s="12">
        <v>3.5</v>
      </c>
      <c r="Q4473" s="13">
        <v>-91.09</v>
      </c>
      <c r="R4473" s="36" t="s">
        <v>365</v>
      </c>
      <c r="S4473" s="7">
        <f t="shared" si="376"/>
        <v>5</v>
      </c>
      <c r="T4473" s="15" t="str">
        <f>VLOOKUP(R4473,产品分类!$C$2:$D$1278,2,0)</f>
        <v>数码电子</v>
      </c>
    </row>
    <row r="4474" spans="1:20">
      <c r="A4474" s="8">
        <f t="shared" si="378"/>
        <v>40125</v>
      </c>
      <c r="B4474" s="8">
        <f t="shared" si="378"/>
        <v>40125</v>
      </c>
      <c r="C4474" s="9" t="s">
        <v>2348</v>
      </c>
      <c r="D4474">
        <v>10021619863</v>
      </c>
      <c r="E4474" t="s">
        <v>47</v>
      </c>
      <c r="F4474" t="s">
        <v>91</v>
      </c>
      <c r="G4474" t="s">
        <v>92</v>
      </c>
      <c r="H4474" t="s">
        <v>2053</v>
      </c>
      <c r="I4474" t="s">
        <v>2054</v>
      </c>
      <c r="J4474" t="s">
        <v>52</v>
      </c>
      <c r="K4474" s="3">
        <v>10072635455</v>
      </c>
      <c r="L4474" s="10">
        <v>40132</v>
      </c>
      <c r="M4474">
        <v>2465.5015</v>
      </c>
      <c r="N4474" s="11">
        <v>14</v>
      </c>
      <c r="O4474" s="12">
        <v>205.99</v>
      </c>
      <c r="P4474" s="12">
        <v>8.99</v>
      </c>
      <c r="Q4474" s="13">
        <v>13.014</v>
      </c>
      <c r="R4474" s="36" t="s">
        <v>930</v>
      </c>
      <c r="S4474" s="7">
        <f t="shared" si="376"/>
        <v>7</v>
      </c>
      <c r="T4474" s="15" t="str">
        <f>VLOOKUP(R4474,产品分类!$C$2:$D$1278,2,0)</f>
        <v>办公用品</v>
      </c>
    </row>
    <row r="4475" spans="1:20">
      <c r="A4475" s="8">
        <f t="shared" si="378"/>
        <v>40125</v>
      </c>
      <c r="B4475" s="8">
        <f t="shared" si="378"/>
        <v>40125</v>
      </c>
      <c r="C4475" s="9" t="s">
        <v>2348</v>
      </c>
      <c r="D4475">
        <v>10021445184</v>
      </c>
      <c r="E4475" t="s">
        <v>47</v>
      </c>
      <c r="F4475" t="s">
        <v>91</v>
      </c>
      <c r="G4475" t="s">
        <v>92</v>
      </c>
      <c r="H4475" t="s">
        <v>2053</v>
      </c>
      <c r="I4475" t="s">
        <v>2054</v>
      </c>
      <c r="J4475" t="s">
        <v>52</v>
      </c>
      <c r="K4475" s="3">
        <v>100811549992</v>
      </c>
      <c r="L4475" s="10">
        <v>40132</v>
      </c>
      <c r="M4475">
        <v>8558.4715</v>
      </c>
      <c r="N4475" s="11">
        <v>50</v>
      </c>
      <c r="O4475" s="12">
        <v>205.99</v>
      </c>
      <c r="P4475" s="12">
        <v>8.99</v>
      </c>
      <c r="Q4475" s="13">
        <v>2539.458</v>
      </c>
      <c r="R4475" s="36" t="s">
        <v>1543</v>
      </c>
      <c r="S4475" s="7">
        <f t="shared" si="376"/>
        <v>7</v>
      </c>
      <c r="T4475" s="15" t="str">
        <f>VLOOKUP(R4475,产品分类!$C$2:$D$1278,2,0)</f>
        <v>家具产品</v>
      </c>
    </row>
    <row r="4476" spans="1:20">
      <c r="A4476" s="8">
        <f t="shared" si="378"/>
        <v>40125</v>
      </c>
      <c r="B4476" s="8">
        <f t="shared" si="378"/>
        <v>40125</v>
      </c>
      <c r="C4476" s="9" t="s">
        <v>2348</v>
      </c>
      <c r="D4476">
        <v>10021336257</v>
      </c>
      <c r="E4476" t="s">
        <v>47</v>
      </c>
      <c r="F4476" t="s">
        <v>91</v>
      </c>
      <c r="G4476" t="s">
        <v>92</v>
      </c>
      <c r="H4476" t="s">
        <v>2053</v>
      </c>
      <c r="I4476" t="s">
        <v>2054</v>
      </c>
      <c r="J4476" t="s">
        <v>52</v>
      </c>
      <c r="K4476" s="3">
        <v>100117759326</v>
      </c>
      <c r="L4476" s="10">
        <v>40132</v>
      </c>
      <c r="M4476">
        <v>236.89</v>
      </c>
      <c r="N4476" s="11">
        <v>42</v>
      </c>
      <c r="O4476" s="12">
        <v>5.28</v>
      </c>
      <c r="P4476" s="12">
        <v>6.26</v>
      </c>
      <c r="Q4476" s="13">
        <v>-125.29</v>
      </c>
      <c r="R4476" s="36" t="s">
        <v>292</v>
      </c>
      <c r="S4476" s="7">
        <f t="shared" si="376"/>
        <v>7</v>
      </c>
      <c r="T4476" s="15" t="str">
        <f>VLOOKUP(R4476,产品分类!$C$2:$D$1278,2,0)</f>
        <v>办公用品</v>
      </c>
    </row>
    <row r="4477" spans="1:20">
      <c r="A4477" s="8">
        <f>DATE(2012,12,31)-107</f>
        <v>41167</v>
      </c>
      <c r="B4477" s="8">
        <f>DATE(2012,12,31)-107</f>
        <v>41167</v>
      </c>
      <c r="C4477" s="9" t="s">
        <v>497</v>
      </c>
      <c r="D4477">
        <v>10021581918</v>
      </c>
      <c r="E4477" t="s">
        <v>47</v>
      </c>
      <c r="F4477" t="s">
        <v>55</v>
      </c>
      <c r="G4477" t="s">
        <v>56</v>
      </c>
      <c r="H4477" t="s">
        <v>2331</v>
      </c>
      <c r="I4477" t="s">
        <v>2332</v>
      </c>
      <c r="J4477" t="s">
        <v>52</v>
      </c>
      <c r="K4477" s="3">
        <v>100124979658</v>
      </c>
      <c r="L4477" s="10">
        <v>41167</v>
      </c>
      <c r="M4477">
        <v>321.95</v>
      </c>
      <c r="N4477" s="11">
        <v>29</v>
      </c>
      <c r="O4477" s="12">
        <v>10.98</v>
      </c>
      <c r="P4477" s="12">
        <v>3.37</v>
      </c>
      <c r="Q4477" s="13">
        <v>20.76</v>
      </c>
      <c r="R4477" s="36" t="s">
        <v>1792</v>
      </c>
      <c r="S4477" s="7">
        <f t="shared" si="376"/>
        <v>0</v>
      </c>
      <c r="T4477" s="15" t="str">
        <f>VLOOKUP(R4477,产品分类!$C$2:$D$1278,2,0)</f>
        <v>办公用品</v>
      </c>
    </row>
    <row r="4478" spans="1:20">
      <c r="A4478" s="8">
        <f>DATE(2012,12,31)-107</f>
        <v>41167</v>
      </c>
      <c r="B4478" s="8">
        <f>DATE(2012,12,31)-107</f>
        <v>41167</v>
      </c>
      <c r="C4478" s="9" t="s">
        <v>497</v>
      </c>
      <c r="D4478">
        <v>10021281749</v>
      </c>
      <c r="E4478" t="s">
        <v>47</v>
      </c>
      <c r="F4478" t="s">
        <v>55</v>
      </c>
      <c r="G4478" t="s">
        <v>56</v>
      </c>
      <c r="H4478" t="s">
        <v>2331</v>
      </c>
      <c r="I4478" t="s">
        <v>2332</v>
      </c>
      <c r="J4478" t="s">
        <v>52</v>
      </c>
      <c r="K4478" s="3">
        <v>100323207349</v>
      </c>
      <c r="L4478" s="10">
        <v>41167</v>
      </c>
      <c r="M4478">
        <v>13244.04</v>
      </c>
      <c r="N4478" s="11">
        <v>39</v>
      </c>
      <c r="O4478" s="12">
        <v>348.21</v>
      </c>
      <c r="P4478" s="12">
        <v>84.84</v>
      </c>
      <c r="Q4478" s="13">
        <v>275.93</v>
      </c>
      <c r="R4478" s="36" t="s">
        <v>1195</v>
      </c>
      <c r="S4478" s="7">
        <f t="shared" si="376"/>
        <v>0</v>
      </c>
      <c r="T4478" s="15" t="str">
        <f>VLOOKUP(R4478,产品分类!$C$2:$D$1278,2,0)</f>
        <v>办公用品</v>
      </c>
    </row>
    <row r="4479" spans="1:20">
      <c r="A4479" s="8">
        <f>DATE(2012,12,31)-604</f>
        <v>40670</v>
      </c>
      <c r="B4479" s="8">
        <f>DATE(2012,12,31)-604</f>
        <v>40670</v>
      </c>
      <c r="C4479" s="9" t="s">
        <v>584</v>
      </c>
      <c r="D4479">
        <v>10021497647</v>
      </c>
      <c r="E4479" t="s">
        <v>47</v>
      </c>
      <c r="F4479" t="s">
        <v>55</v>
      </c>
      <c r="G4479" t="s">
        <v>56</v>
      </c>
      <c r="H4479" t="s">
        <v>2331</v>
      </c>
      <c r="I4479" t="s">
        <v>2332</v>
      </c>
      <c r="J4479" t="s">
        <v>52</v>
      </c>
      <c r="K4479" s="3">
        <v>100818596092</v>
      </c>
      <c r="L4479" s="10">
        <v>40671</v>
      </c>
      <c r="M4479">
        <v>741.49</v>
      </c>
      <c r="N4479" s="11">
        <v>8</v>
      </c>
      <c r="O4479" s="12">
        <v>95.99</v>
      </c>
      <c r="P4479" s="12">
        <v>35</v>
      </c>
      <c r="Q4479" s="13">
        <v>-360.18</v>
      </c>
      <c r="R4479" s="36" t="s">
        <v>144</v>
      </c>
      <c r="S4479" s="7">
        <f t="shared" si="376"/>
        <v>1</v>
      </c>
      <c r="T4479" s="15" t="str">
        <f>VLOOKUP(R4479,产品分类!$C$2:$D$1278,2,0)</f>
        <v>办公用品</v>
      </c>
    </row>
    <row r="4480" spans="1:20">
      <c r="A4480" s="8">
        <f>DATE(2012,12,31)-1281</f>
        <v>39993</v>
      </c>
      <c r="B4480" s="8">
        <f>DATE(2012,12,31)-1281</f>
        <v>39993</v>
      </c>
      <c r="C4480" s="9" t="s">
        <v>313</v>
      </c>
      <c r="D4480">
        <v>10021267782</v>
      </c>
      <c r="E4480" t="s">
        <v>47</v>
      </c>
      <c r="F4480" t="s">
        <v>55</v>
      </c>
      <c r="G4480" t="s">
        <v>56</v>
      </c>
      <c r="H4480" t="s">
        <v>2331</v>
      </c>
      <c r="I4480" t="s">
        <v>2332</v>
      </c>
      <c r="J4480" t="s">
        <v>52</v>
      </c>
      <c r="K4480" s="3">
        <v>100932111481</v>
      </c>
      <c r="L4480" s="10">
        <v>39993</v>
      </c>
      <c r="M4480">
        <v>285.06</v>
      </c>
      <c r="N4480" s="11">
        <v>34</v>
      </c>
      <c r="O4480" s="12">
        <v>8.37</v>
      </c>
      <c r="P4480" s="12">
        <v>10.16</v>
      </c>
      <c r="Q4480" s="13">
        <v>-211.54</v>
      </c>
      <c r="R4480" s="36" t="s">
        <v>1599</v>
      </c>
      <c r="S4480" s="7">
        <f t="shared" si="376"/>
        <v>0</v>
      </c>
      <c r="T4480" s="15" t="str">
        <f>VLOOKUP(R4480,产品分类!$C$2:$D$1278,2,0)</f>
        <v>家具产品</v>
      </c>
    </row>
    <row r="4481" spans="1:20">
      <c r="A4481" s="8">
        <f>DATE(2012,12,31)-379</f>
        <v>40895</v>
      </c>
      <c r="B4481" s="8">
        <f>DATE(2012,12,31)-379</f>
        <v>40895</v>
      </c>
      <c r="C4481" s="9" t="s">
        <v>546</v>
      </c>
      <c r="D4481">
        <v>10021336005</v>
      </c>
      <c r="E4481" t="s">
        <v>47</v>
      </c>
      <c r="F4481" t="s">
        <v>91</v>
      </c>
      <c r="G4481" t="s">
        <v>92</v>
      </c>
      <c r="H4481" t="s">
        <v>2053</v>
      </c>
      <c r="I4481" t="s">
        <v>2054</v>
      </c>
      <c r="J4481" t="s">
        <v>52</v>
      </c>
      <c r="K4481" s="3">
        <v>10014104236</v>
      </c>
      <c r="L4481" s="10">
        <v>40895</v>
      </c>
      <c r="M4481">
        <v>138.95</v>
      </c>
      <c r="N4481" s="11">
        <v>14</v>
      </c>
      <c r="O4481" s="12">
        <v>9.27</v>
      </c>
      <c r="P4481" s="12">
        <v>4.39</v>
      </c>
      <c r="Q4481" s="13">
        <v>9.63</v>
      </c>
      <c r="R4481" s="36" t="s">
        <v>465</v>
      </c>
      <c r="S4481" s="7">
        <f t="shared" si="376"/>
        <v>0</v>
      </c>
      <c r="T4481" s="15" t="str">
        <f>VLOOKUP(R4481,产品分类!$C$2:$D$1278,2,0)</f>
        <v>办公用品</v>
      </c>
    </row>
    <row r="4482" spans="1:20">
      <c r="A4482" s="8">
        <f>DATE(2012,12,31)-379</f>
        <v>40895</v>
      </c>
      <c r="B4482" s="8">
        <f>DATE(2012,12,31)-379</f>
        <v>40895</v>
      </c>
      <c r="C4482" s="9" t="s">
        <v>546</v>
      </c>
      <c r="D4482">
        <v>10021369563</v>
      </c>
      <c r="E4482" t="s">
        <v>47</v>
      </c>
      <c r="F4482" t="s">
        <v>91</v>
      </c>
      <c r="G4482" t="s">
        <v>92</v>
      </c>
      <c r="H4482" t="s">
        <v>2053</v>
      </c>
      <c r="I4482" t="s">
        <v>2054</v>
      </c>
      <c r="J4482" t="s">
        <v>52</v>
      </c>
      <c r="K4482" s="3">
        <v>100722085265</v>
      </c>
      <c r="L4482" s="10">
        <v>40896</v>
      </c>
      <c r="M4482">
        <v>5678.5525</v>
      </c>
      <c r="N4482" s="11">
        <v>42</v>
      </c>
      <c r="O4482" s="12">
        <v>155.99</v>
      </c>
      <c r="P4482" s="12">
        <v>8.99</v>
      </c>
      <c r="Q4482" s="13">
        <v>1727.775</v>
      </c>
      <c r="R4482" s="36" t="s">
        <v>2243</v>
      </c>
      <c r="S4482" s="7">
        <f t="shared" si="376"/>
        <v>1</v>
      </c>
      <c r="T4482" s="15" t="str">
        <f>VLOOKUP(R4482,产品分类!$C$2:$D$1278,2,0)</f>
        <v>数码电子</v>
      </c>
    </row>
    <row r="4483" spans="1:20">
      <c r="A4483" s="8">
        <f>DATE(2012,12,31)-958</f>
        <v>40316</v>
      </c>
      <c r="B4483" s="8">
        <f>DATE(2012,12,31)-958</f>
        <v>40316</v>
      </c>
      <c r="C4483" s="9" t="s">
        <v>370</v>
      </c>
      <c r="D4483">
        <v>10021445865</v>
      </c>
      <c r="E4483" t="s">
        <v>47</v>
      </c>
      <c r="F4483" t="s">
        <v>91</v>
      </c>
      <c r="G4483" t="s">
        <v>92</v>
      </c>
      <c r="H4483" t="s">
        <v>2053</v>
      </c>
      <c r="I4483" t="s">
        <v>2054</v>
      </c>
      <c r="J4483" t="s">
        <v>52</v>
      </c>
      <c r="K4483" s="3">
        <v>100715104315</v>
      </c>
      <c r="L4483" s="10">
        <v>40321</v>
      </c>
      <c r="M4483">
        <v>331.53</v>
      </c>
      <c r="N4483" s="11">
        <v>38</v>
      </c>
      <c r="O4483" s="12">
        <v>8.46</v>
      </c>
      <c r="P4483" s="12">
        <v>3.62</v>
      </c>
      <c r="Q4483" s="13">
        <v>-35.97</v>
      </c>
      <c r="R4483" s="36" t="s">
        <v>412</v>
      </c>
      <c r="S4483" s="7">
        <f t="shared" ref="S4483:S4546" si="379">+L4483-B4483</f>
        <v>5</v>
      </c>
      <c r="T4483" s="15" t="str">
        <f>VLOOKUP(R4483,产品分类!$C$2:$D$1278,2,0)</f>
        <v>数码电子</v>
      </c>
    </row>
    <row r="4484" spans="1:20">
      <c r="A4484" s="8">
        <f>DATE(2012,12,31)-1159</f>
        <v>40115</v>
      </c>
      <c r="B4484" s="8">
        <f>DATE(2012,12,31)-1159</f>
        <v>40115</v>
      </c>
      <c r="C4484" s="9" t="s">
        <v>1558</v>
      </c>
      <c r="D4484">
        <v>10021421216</v>
      </c>
      <c r="E4484" t="s">
        <v>47</v>
      </c>
      <c r="F4484" t="s">
        <v>122</v>
      </c>
      <c r="G4484" t="s">
        <v>123</v>
      </c>
      <c r="H4484" t="s">
        <v>2159</v>
      </c>
      <c r="I4484" t="s">
        <v>2160</v>
      </c>
      <c r="J4484" t="s">
        <v>52</v>
      </c>
      <c r="K4484" s="3">
        <v>100725716595</v>
      </c>
      <c r="L4484" s="10">
        <v>40116</v>
      </c>
      <c r="M4484">
        <v>187.6375</v>
      </c>
      <c r="N4484" s="11">
        <v>6</v>
      </c>
      <c r="O4484" s="12">
        <v>35.99</v>
      </c>
      <c r="P4484" s="12">
        <v>5</v>
      </c>
      <c r="Q4484" s="13">
        <v>-190.025</v>
      </c>
      <c r="R4484" s="36" t="s">
        <v>1843</v>
      </c>
      <c r="S4484" s="7">
        <f t="shared" si="379"/>
        <v>1</v>
      </c>
      <c r="T4484" s="15" t="str">
        <f>VLOOKUP(R4484,产品分类!$C$2:$D$1278,2,0)</f>
        <v>数码电子</v>
      </c>
    </row>
    <row r="4485" spans="1:20">
      <c r="A4485" s="8">
        <f>DATE(2012,12,31)-523</f>
        <v>40751</v>
      </c>
      <c r="B4485" s="8">
        <f>DATE(2012,12,31)-523</f>
        <v>40751</v>
      </c>
      <c r="C4485" s="9" t="s">
        <v>497</v>
      </c>
      <c r="D4485">
        <v>10021397483</v>
      </c>
      <c r="E4485" t="s">
        <v>47</v>
      </c>
      <c r="F4485" t="s">
        <v>91</v>
      </c>
      <c r="G4485" t="s">
        <v>92</v>
      </c>
      <c r="H4485" t="s">
        <v>2053</v>
      </c>
      <c r="I4485" t="s">
        <v>2054</v>
      </c>
      <c r="J4485" t="s">
        <v>52</v>
      </c>
      <c r="K4485" s="3">
        <v>100831474812</v>
      </c>
      <c r="L4485" s="10">
        <v>40752</v>
      </c>
      <c r="M4485">
        <v>1193.62</v>
      </c>
      <c r="N4485" s="11">
        <v>13</v>
      </c>
      <c r="O4485" s="12">
        <v>89.99</v>
      </c>
      <c r="P4485" s="12">
        <v>42</v>
      </c>
      <c r="Q4485" s="13">
        <v>-304.47</v>
      </c>
      <c r="R4485" s="36" t="s">
        <v>891</v>
      </c>
      <c r="S4485" s="7">
        <f t="shared" si="379"/>
        <v>1</v>
      </c>
      <c r="T4485" s="15" t="str">
        <f>VLOOKUP(R4485,产品分类!$C$2:$D$1278,2,0)</f>
        <v>家具产品</v>
      </c>
    </row>
    <row r="4486" spans="1:20">
      <c r="A4486" s="8">
        <f>DATE(2012,12,31)-523</f>
        <v>40751</v>
      </c>
      <c r="B4486" s="8">
        <f>DATE(2012,12,31)-523</f>
        <v>40751</v>
      </c>
      <c r="C4486" s="9" t="s">
        <v>497</v>
      </c>
      <c r="D4486">
        <v>10021298456</v>
      </c>
      <c r="E4486" t="s">
        <v>47</v>
      </c>
      <c r="F4486" t="s">
        <v>122</v>
      </c>
      <c r="G4486" t="s">
        <v>123</v>
      </c>
      <c r="H4486" t="s">
        <v>2159</v>
      </c>
      <c r="I4486" t="s">
        <v>2160</v>
      </c>
      <c r="J4486" t="s">
        <v>52</v>
      </c>
      <c r="K4486" s="3">
        <v>100726707675</v>
      </c>
      <c r="L4486" s="10">
        <v>40753</v>
      </c>
      <c r="M4486">
        <v>363.23</v>
      </c>
      <c r="N4486" s="11">
        <v>47</v>
      </c>
      <c r="O4486" s="12">
        <v>7.59</v>
      </c>
      <c r="P4486" s="12">
        <v>4</v>
      </c>
      <c r="Q4486" s="13">
        <v>40.58</v>
      </c>
      <c r="R4486" s="36" t="s">
        <v>996</v>
      </c>
      <c r="S4486" s="7">
        <f t="shared" si="379"/>
        <v>2</v>
      </c>
      <c r="T4486" s="15" t="str">
        <f>VLOOKUP(R4486,产品分类!$C$2:$D$1278,2,0)</f>
        <v>家具产品</v>
      </c>
    </row>
    <row r="4487" spans="1:20">
      <c r="A4487" s="8">
        <f>DATE(2012,12,31)-555</f>
        <v>40719</v>
      </c>
      <c r="B4487" s="8">
        <f>DATE(2012,12,31)-555</f>
        <v>40719</v>
      </c>
      <c r="C4487" s="9" t="s">
        <v>1110</v>
      </c>
      <c r="D4487">
        <v>10021332592</v>
      </c>
      <c r="E4487" t="s">
        <v>47</v>
      </c>
      <c r="F4487" t="s">
        <v>122</v>
      </c>
      <c r="G4487" t="s">
        <v>123</v>
      </c>
      <c r="H4487" t="s">
        <v>2159</v>
      </c>
      <c r="I4487" t="s">
        <v>2160</v>
      </c>
      <c r="J4487" t="s">
        <v>52</v>
      </c>
      <c r="K4487" s="3">
        <v>100110257168</v>
      </c>
      <c r="L4487" s="10">
        <v>40721</v>
      </c>
      <c r="M4487">
        <v>1506.8375</v>
      </c>
      <c r="N4487" s="11">
        <v>13</v>
      </c>
      <c r="O4487" s="12">
        <v>140.99</v>
      </c>
      <c r="P4487" s="12">
        <v>4.2</v>
      </c>
      <c r="Q4487" s="13">
        <v>-75.009</v>
      </c>
      <c r="R4487" s="36" t="s">
        <v>198</v>
      </c>
      <c r="S4487" s="7">
        <f t="shared" si="379"/>
        <v>2</v>
      </c>
      <c r="T4487" s="15" t="str">
        <f>VLOOKUP(R4487,产品分类!$C$2:$D$1278,2,0)</f>
        <v>数码电子</v>
      </c>
    </row>
    <row r="4488" spans="1:20">
      <c r="A4488" s="8">
        <f>DATE(2012,12,31)-1384</f>
        <v>39890</v>
      </c>
      <c r="B4488" s="8">
        <f>DATE(2012,12,31)-1384</f>
        <v>39890</v>
      </c>
      <c r="C4488" s="9" t="s">
        <v>1321</v>
      </c>
      <c r="D4488">
        <v>10021335000</v>
      </c>
      <c r="E4488" t="s">
        <v>47</v>
      </c>
      <c r="F4488" t="s">
        <v>122</v>
      </c>
      <c r="G4488" t="s">
        <v>123</v>
      </c>
      <c r="H4488" t="s">
        <v>2159</v>
      </c>
      <c r="I4488" t="s">
        <v>2160</v>
      </c>
      <c r="J4488" t="s">
        <v>52</v>
      </c>
      <c r="K4488" s="3">
        <v>10072913555</v>
      </c>
      <c r="L4488" s="10">
        <v>39891</v>
      </c>
      <c r="M4488">
        <v>2564.45</v>
      </c>
      <c r="N4488" s="11">
        <v>32</v>
      </c>
      <c r="O4488" s="12">
        <v>78.65</v>
      </c>
      <c r="P4488" s="12">
        <v>13.99</v>
      </c>
      <c r="Q4488" s="13">
        <v>650.73</v>
      </c>
      <c r="R4488" s="36" t="s">
        <v>1758</v>
      </c>
      <c r="S4488" s="7">
        <f t="shared" si="379"/>
        <v>1</v>
      </c>
      <c r="T4488" s="15" t="str">
        <f>VLOOKUP(R4488,产品分类!$C$2:$D$1278,2,0)</f>
        <v>办公用品</v>
      </c>
    </row>
    <row r="4489" spans="1:20">
      <c r="A4489" s="8">
        <f>DATE(2012,12,31)-1384</f>
        <v>39890</v>
      </c>
      <c r="B4489" s="8">
        <f>DATE(2012,12,31)-1384</f>
        <v>39890</v>
      </c>
      <c r="C4489" s="9" t="s">
        <v>1321</v>
      </c>
      <c r="D4489">
        <v>10021523242</v>
      </c>
      <c r="E4489" t="s">
        <v>47</v>
      </c>
      <c r="F4489" t="s">
        <v>122</v>
      </c>
      <c r="G4489" t="s">
        <v>123</v>
      </c>
      <c r="H4489" t="s">
        <v>2159</v>
      </c>
      <c r="I4489" t="s">
        <v>2160</v>
      </c>
      <c r="J4489" t="s">
        <v>52</v>
      </c>
      <c r="K4489" s="3">
        <v>10012518347</v>
      </c>
      <c r="L4489" s="10">
        <v>39892</v>
      </c>
      <c r="M4489">
        <v>53.55</v>
      </c>
      <c r="N4489" s="11">
        <v>7</v>
      </c>
      <c r="O4489" s="12">
        <v>6.48</v>
      </c>
      <c r="P4489" s="12">
        <v>9.68</v>
      </c>
      <c r="Q4489" s="13">
        <v>-43.5</v>
      </c>
      <c r="R4489" s="36" t="s">
        <v>1905</v>
      </c>
      <c r="S4489" s="7">
        <f t="shared" si="379"/>
        <v>2</v>
      </c>
      <c r="T4489" s="15" t="str">
        <f>VLOOKUP(R4489,产品分类!$C$2:$D$1278,2,0)</f>
        <v>数码电子</v>
      </c>
    </row>
    <row r="4490" spans="1:20">
      <c r="A4490" s="8">
        <f>DATE(2012,12,31)-599</f>
        <v>40675</v>
      </c>
      <c r="B4490" s="8">
        <f>DATE(2012,12,31)-599</f>
        <v>40675</v>
      </c>
      <c r="C4490" s="9" t="s">
        <v>2312</v>
      </c>
      <c r="D4490">
        <v>10021533500</v>
      </c>
      <c r="E4490" t="s">
        <v>47</v>
      </c>
      <c r="F4490" t="s">
        <v>83</v>
      </c>
      <c r="G4490" t="s">
        <v>84</v>
      </c>
      <c r="H4490" t="s">
        <v>2349</v>
      </c>
      <c r="I4490" t="s">
        <v>2350</v>
      </c>
      <c r="J4490" t="s">
        <v>52</v>
      </c>
      <c r="K4490" s="3">
        <v>100432580714</v>
      </c>
      <c r="L4490" s="10">
        <v>40676</v>
      </c>
      <c r="M4490">
        <v>404.54</v>
      </c>
      <c r="N4490" s="11">
        <v>15</v>
      </c>
      <c r="O4490" s="12">
        <v>26.64</v>
      </c>
      <c r="P4490" s="12">
        <v>5.3</v>
      </c>
      <c r="Q4490" s="13">
        <v>43.99</v>
      </c>
      <c r="R4490" s="36" t="s">
        <v>2289</v>
      </c>
      <c r="S4490" s="7">
        <f t="shared" si="379"/>
        <v>1</v>
      </c>
      <c r="T4490" s="15" t="str">
        <f>VLOOKUP(R4490,产品分类!$C$2:$D$1278,2,0)</f>
        <v>家具产品</v>
      </c>
    </row>
    <row r="4491" spans="1:20">
      <c r="A4491" s="16">
        <f>DATE(2012,12,31)-599</f>
        <v>40675</v>
      </c>
      <c r="B4491" s="16">
        <f>DATE(2012,12,31)-599</f>
        <v>40675</v>
      </c>
      <c r="C4491" s="9" t="s">
        <v>2312</v>
      </c>
      <c r="D4491">
        <v>10021525157</v>
      </c>
      <c r="E4491" t="s">
        <v>47</v>
      </c>
      <c r="F4491" t="s">
        <v>127</v>
      </c>
      <c r="G4491" t="s">
        <v>128</v>
      </c>
      <c r="H4491" t="s">
        <v>2189</v>
      </c>
      <c r="I4491" t="s">
        <v>2190</v>
      </c>
      <c r="J4491" t="s">
        <v>52</v>
      </c>
      <c r="K4491" s="3">
        <v>100721192555</v>
      </c>
      <c r="L4491" s="10">
        <v>40677</v>
      </c>
      <c r="M4491">
        <v>124.89</v>
      </c>
      <c r="N4491" s="17">
        <v>16</v>
      </c>
      <c r="O4491" s="5">
        <v>7.28</v>
      </c>
      <c r="P4491" s="5">
        <v>11.15</v>
      </c>
      <c r="Q4491" s="6">
        <v>-111.17</v>
      </c>
      <c r="R4491" s="37" t="s">
        <v>1394</v>
      </c>
      <c r="S4491" s="7">
        <f t="shared" si="379"/>
        <v>2</v>
      </c>
      <c r="T4491" s="15" t="str">
        <f>VLOOKUP(R4491,产品分类!$C$2:$D$1278,2,0)</f>
        <v>办公用品</v>
      </c>
    </row>
    <row r="4492" spans="1:20">
      <c r="A4492" s="8">
        <f>DATE(2012,12,31)-109</f>
        <v>41165</v>
      </c>
      <c r="B4492" s="8">
        <f>DATE(2012,12,31)-109</f>
        <v>41165</v>
      </c>
      <c r="C4492" s="9" t="s">
        <v>2324</v>
      </c>
      <c r="D4492">
        <v>10021626726</v>
      </c>
      <c r="E4492" t="s">
        <v>47</v>
      </c>
      <c r="F4492" t="s">
        <v>97</v>
      </c>
      <c r="G4492" t="s">
        <v>98</v>
      </c>
      <c r="H4492" t="s">
        <v>99</v>
      </c>
      <c r="I4492" t="s">
        <v>98</v>
      </c>
      <c r="J4492" t="s">
        <v>52</v>
      </c>
      <c r="K4492" s="3">
        <v>100126517478</v>
      </c>
      <c r="L4492" s="10">
        <v>41167</v>
      </c>
      <c r="M4492">
        <v>162.16</v>
      </c>
      <c r="N4492" s="11">
        <v>49</v>
      </c>
      <c r="O4492" s="12">
        <v>3.29</v>
      </c>
      <c r="P4492" s="12">
        <v>1.35</v>
      </c>
      <c r="Q4492" s="13">
        <v>24.95</v>
      </c>
      <c r="R4492" s="36" t="s">
        <v>908</v>
      </c>
      <c r="S4492" s="7">
        <f t="shared" si="379"/>
        <v>2</v>
      </c>
      <c r="T4492" s="15" t="str">
        <f>VLOOKUP(R4492,产品分类!$C$2:$D$1278,2,0)</f>
        <v>办公用品</v>
      </c>
    </row>
    <row r="4493" spans="1:20">
      <c r="A4493" s="8">
        <f>DATE(2012,12,31)-109</f>
        <v>41165</v>
      </c>
      <c r="B4493" s="8">
        <f>DATE(2012,12,31)-109</f>
        <v>41165</v>
      </c>
      <c r="C4493" s="9" t="s">
        <v>2324</v>
      </c>
      <c r="D4493">
        <v>10021577977</v>
      </c>
      <c r="E4493" t="s">
        <v>47</v>
      </c>
      <c r="F4493" t="s">
        <v>97</v>
      </c>
      <c r="G4493" t="s">
        <v>98</v>
      </c>
      <c r="H4493" t="s">
        <v>99</v>
      </c>
      <c r="I4493" t="s">
        <v>98</v>
      </c>
      <c r="J4493" t="s">
        <v>52</v>
      </c>
      <c r="K4493" s="3">
        <v>100117445478</v>
      </c>
      <c r="L4493" s="10">
        <v>41172</v>
      </c>
      <c r="M4493">
        <v>15168.82</v>
      </c>
      <c r="N4493" s="11">
        <v>26</v>
      </c>
      <c r="O4493" s="12">
        <v>550.98</v>
      </c>
      <c r="P4493" s="12">
        <v>147.12</v>
      </c>
      <c r="Q4493" s="13">
        <v>-1096.776</v>
      </c>
      <c r="R4493" s="36" t="s">
        <v>1642</v>
      </c>
      <c r="S4493" s="7">
        <f t="shared" si="379"/>
        <v>7</v>
      </c>
      <c r="T4493" s="15" t="str">
        <f>VLOOKUP(R4493,产品分类!$C$2:$D$1278,2,0)</f>
        <v>家具产品</v>
      </c>
    </row>
    <row r="4494" spans="1:20">
      <c r="A4494" s="8">
        <f>DATE(2012,12,31)-430</f>
        <v>40844</v>
      </c>
      <c r="B4494" s="8">
        <f>DATE(2012,12,31)-430</f>
        <v>40844</v>
      </c>
      <c r="C4494" s="9" t="s">
        <v>2291</v>
      </c>
      <c r="D4494">
        <v>10021364265</v>
      </c>
      <c r="E4494" t="s">
        <v>47</v>
      </c>
      <c r="F4494" t="s">
        <v>97</v>
      </c>
      <c r="G4494" t="s">
        <v>98</v>
      </c>
      <c r="H4494" t="s">
        <v>99</v>
      </c>
      <c r="I4494" t="s">
        <v>98</v>
      </c>
      <c r="J4494" t="s">
        <v>52</v>
      </c>
      <c r="K4494" s="3">
        <v>100412046944</v>
      </c>
      <c r="L4494" s="10">
        <v>40849</v>
      </c>
      <c r="M4494">
        <v>494.84</v>
      </c>
      <c r="N4494" s="11">
        <v>22</v>
      </c>
      <c r="O4494" s="12">
        <v>22.23</v>
      </c>
      <c r="P4494" s="12">
        <v>3.63</v>
      </c>
      <c r="Q4494" s="13">
        <v>205.13</v>
      </c>
      <c r="R4494" s="36" t="s">
        <v>1837</v>
      </c>
      <c r="S4494" s="7">
        <f t="shared" si="379"/>
        <v>5</v>
      </c>
      <c r="T4494" s="15" t="str">
        <f>VLOOKUP(R4494,产品分类!$C$2:$D$1278,2,0)</f>
        <v>数码电子</v>
      </c>
    </row>
    <row r="4495" spans="1:20">
      <c r="A4495" s="8">
        <f>DATE(2012,12,31)-430</f>
        <v>40844</v>
      </c>
      <c r="B4495" s="8">
        <f>DATE(2012,12,31)-430</f>
        <v>40844</v>
      </c>
      <c r="C4495" s="9" t="s">
        <v>2291</v>
      </c>
      <c r="D4495">
        <v>10021282710</v>
      </c>
      <c r="E4495" t="s">
        <v>47</v>
      </c>
      <c r="F4495" t="s">
        <v>132</v>
      </c>
      <c r="G4495" t="s">
        <v>133</v>
      </c>
      <c r="H4495" t="s">
        <v>134</v>
      </c>
      <c r="I4495" t="s">
        <v>133</v>
      </c>
      <c r="J4495" t="s">
        <v>52</v>
      </c>
      <c r="K4495" s="3">
        <v>100825679092</v>
      </c>
      <c r="L4495" s="10">
        <v>40846</v>
      </c>
      <c r="M4495">
        <v>3443.21</v>
      </c>
      <c r="N4495" s="11">
        <v>11</v>
      </c>
      <c r="O4495" s="12">
        <v>300.98</v>
      </c>
      <c r="P4495" s="12">
        <v>13.99</v>
      </c>
      <c r="Q4495" s="13">
        <v>794.2</v>
      </c>
      <c r="R4495" s="36" t="s">
        <v>1978</v>
      </c>
      <c r="S4495" s="7">
        <f t="shared" si="379"/>
        <v>2</v>
      </c>
      <c r="T4495" s="15" t="str">
        <f>VLOOKUP(R4495,产品分类!$C$2:$D$1278,2,0)</f>
        <v>家具产品</v>
      </c>
    </row>
    <row r="4496" spans="1:20">
      <c r="A4496" s="8">
        <f>DATE(2012,12,31)-895</f>
        <v>40379</v>
      </c>
      <c r="B4496" s="8">
        <f>DATE(2012,12,31)-895</f>
        <v>40379</v>
      </c>
      <c r="C4496" s="9" t="s">
        <v>386</v>
      </c>
      <c r="D4496">
        <v>10021578629</v>
      </c>
      <c r="E4496" t="s">
        <v>47</v>
      </c>
      <c r="F4496" t="s">
        <v>97</v>
      </c>
      <c r="G4496" t="s">
        <v>98</v>
      </c>
      <c r="H4496" t="s">
        <v>99</v>
      </c>
      <c r="I4496" t="s">
        <v>98</v>
      </c>
      <c r="J4496" t="s">
        <v>52</v>
      </c>
      <c r="K4496" s="3">
        <v>100815341592</v>
      </c>
      <c r="L4496" s="10">
        <v>40383</v>
      </c>
      <c r="M4496">
        <v>1196.2</v>
      </c>
      <c r="N4496" s="11">
        <v>37</v>
      </c>
      <c r="O4496" s="12">
        <v>30.98</v>
      </c>
      <c r="P4496" s="12">
        <v>6.5</v>
      </c>
      <c r="Q4496" s="13">
        <v>-73.77</v>
      </c>
      <c r="R4496" s="36" t="s">
        <v>1418</v>
      </c>
      <c r="S4496" s="7">
        <f t="shared" si="379"/>
        <v>4</v>
      </c>
      <c r="T4496" s="15" t="str">
        <f>VLOOKUP(R4496,产品分类!$C$2:$D$1278,2,0)</f>
        <v>家具产品</v>
      </c>
    </row>
    <row r="4497" spans="1:20">
      <c r="A4497" s="8">
        <f>DATE(2012,12,31)-895</f>
        <v>40379</v>
      </c>
      <c r="B4497" s="8">
        <f>DATE(2012,12,31)-895</f>
        <v>40379</v>
      </c>
      <c r="C4497" s="9" t="s">
        <v>386</v>
      </c>
      <c r="D4497">
        <v>10021299599</v>
      </c>
      <c r="E4497" t="s">
        <v>47</v>
      </c>
      <c r="F4497" t="s">
        <v>102</v>
      </c>
      <c r="G4497" t="s">
        <v>103</v>
      </c>
      <c r="H4497" t="s">
        <v>2326</v>
      </c>
      <c r="I4497" t="s">
        <v>2327</v>
      </c>
      <c r="J4497" t="s">
        <v>52</v>
      </c>
      <c r="K4497" s="3">
        <v>100428354143</v>
      </c>
      <c r="L4497" s="10">
        <v>40379</v>
      </c>
      <c r="M4497">
        <v>98.55</v>
      </c>
      <c r="N4497" s="11">
        <v>7</v>
      </c>
      <c r="O4497" s="12">
        <v>13.79</v>
      </c>
      <c r="P4497" s="12">
        <v>8.78</v>
      </c>
      <c r="Q4497" s="13">
        <v>23.16</v>
      </c>
      <c r="R4497" s="36" t="s">
        <v>1542</v>
      </c>
      <c r="S4497" s="7">
        <f t="shared" si="379"/>
        <v>0</v>
      </c>
      <c r="T4497" s="15" t="str">
        <f>VLOOKUP(R4497,产品分类!$C$2:$D$1278,2,0)</f>
        <v>办公用品</v>
      </c>
    </row>
    <row r="4498" spans="1:20">
      <c r="A4498" s="8">
        <f>DATE(2012,12,31)-695</f>
        <v>40579</v>
      </c>
      <c r="B4498" s="8">
        <f>DATE(2012,12,31)-695</f>
        <v>40579</v>
      </c>
      <c r="C4498" s="9" t="s">
        <v>1080</v>
      </c>
      <c r="D4498">
        <v>10021383897</v>
      </c>
      <c r="E4498" t="s">
        <v>47</v>
      </c>
      <c r="F4498" t="s">
        <v>102</v>
      </c>
      <c r="G4498" t="s">
        <v>103</v>
      </c>
      <c r="H4498" t="s">
        <v>2326</v>
      </c>
      <c r="I4498" t="s">
        <v>2327</v>
      </c>
      <c r="J4498" t="s">
        <v>52</v>
      </c>
      <c r="K4498" s="3">
        <v>100331607139</v>
      </c>
      <c r="L4498" s="10">
        <v>40583</v>
      </c>
      <c r="M4498">
        <v>17448.75</v>
      </c>
      <c r="N4498" s="11">
        <v>41</v>
      </c>
      <c r="O4498" s="12">
        <v>417.4</v>
      </c>
      <c r="P4498" s="12">
        <v>75.23</v>
      </c>
      <c r="Q4498" s="13">
        <v>9.93000000000006</v>
      </c>
      <c r="R4498" s="36" t="s">
        <v>2110</v>
      </c>
      <c r="S4498" s="7">
        <f t="shared" si="379"/>
        <v>4</v>
      </c>
      <c r="T4498" s="15" t="str">
        <f>VLOOKUP(R4498,产品分类!$C$2:$D$1278,2,0)</f>
        <v>办公用品</v>
      </c>
    </row>
    <row r="4499" spans="1:20">
      <c r="A4499" s="8">
        <f>DATE(2012,12,31)-453</f>
        <v>40821</v>
      </c>
      <c r="B4499" s="8">
        <f>DATE(2012,12,31)-453</f>
        <v>40821</v>
      </c>
      <c r="C4499" s="9" t="s">
        <v>119</v>
      </c>
      <c r="D4499">
        <v>10021296690</v>
      </c>
      <c r="E4499" t="s">
        <v>47</v>
      </c>
      <c r="F4499" t="s">
        <v>137</v>
      </c>
      <c r="G4499" t="s">
        <v>138</v>
      </c>
      <c r="H4499" t="s">
        <v>139</v>
      </c>
      <c r="I4499" t="s">
        <v>140</v>
      </c>
      <c r="J4499" t="s">
        <v>52</v>
      </c>
      <c r="K4499" s="3">
        <v>100817010722</v>
      </c>
      <c r="L4499" s="10">
        <v>40823</v>
      </c>
      <c r="M4499">
        <v>338.89</v>
      </c>
      <c r="N4499" s="11">
        <v>6</v>
      </c>
      <c r="O4499" s="12">
        <v>54.96</v>
      </c>
      <c r="P4499" s="12">
        <v>10.75</v>
      </c>
      <c r="Q4499" s="13">
        <v>45.76</v>
      </c>
      <c r="R4499" s="36" t="s">
        <v>1702</v>
      </c>
      <c r="S4499" s="7">
        <f t="shared" si="379"/>
        <v>2</v>
      </c>
      <c r="T4499" s="15" t="str">
        <f>VLOOKUP(R4499,产品分类!$C$2:$D$1278,2,0)</f>
        <v>办公用品</v>
      </c>
    </row>
    <row r="4500" spans="1:20">
      <c r="A4500" s="8">
        <f>DATE(2012,12,31)-453</f>
        <v>40821</v>
      </c>
      <c r="B4500" s="8">
        <f>DATE(2012,12,31)-453</f>
        <v>40821</v>
      </c>
      <c r="C4500" s="9" t="s">
        <v>119</v>
      </c>
      <c r="D4500">
        <v>10021505466</v>
      </c>
      <c r="E4500" t="s">
        <v>47</v>
      </c>
      <c r="F4500" t="s">
        <v>102</v>
      </c>
      <c r="G4500" t="s">
        <v>103</v>
      </c>
      <c r="H4500" t="s">
        <v>2326</v>
      </c>
      <c r="I4500" t="s">
        <v>2327</v>
      </c>
      <c r="J4500" t="s">
        <v>52</v>
      </c>
      <c r="K4500" s="3">
        <v>100930823031</v>
      </c>
      <c r="L4500" s="10">
        <v>40822</v>
      </c>
      <c r="M4500">
        <v>362.52</v>
      </c>
      <c r="N4500" s="11">
        <v>25</v>
      </c>
      <c r="O4500" s="12">
        <v>14.97</v>
      </c>
      <c r="P4500" s="12">
        <v>7.51</v>
      </c>
      <c r="Q4500" s="13">
        <v>-68.49</v>
      </c>
      <c r="R4500" s="36" t="s">
        <v>1733</v>
      </c>
      <c r="S4500" s="7">
        <f t="shared" si="379"/>
        <v>1</v>
      </c>
      <c r="T4500" s="15" t="str">
        <f>VLOOKUP(R4500,产品分类!$C$2:$D$1278,2,0)</f>
        <v>办公用品</v>
      </c>
    </row>
    <row r="4501" spans="1:20">
      <c r="A4501" s="8">
        <f>DATE(2012,12,31)-1414</f>
        <v>39860</v>
      </c>
      <c r="B4501" s="8">
        <f>DATE(2012,12,31)-1414</f>
        <v>39860</v>
      </c>
      <c r="C4501" s="9" t="s">
        <v>820</v>
      </c>
      <c r="D4501">
        <v>10021469832</v>
      </c>
      <c r="E4501" t="s">
        <v>47</v>
      </c>
      <c r="F4501" t="s">
        <v>208</v>
      </c>
      <c r="G4501" t="s">
        <v>209</v>
      </c>
      <c r="H4501" t="s">
        <v>2300</v>
      </c>
      <c r="I4501" t="s">
        <v>2301</v>
      </c>
      <c r="J4501" t="s">
        <v>52</v>
      </c>
      <c r="K4501" s="3">
        <v>100132546316</v>
      </c>
      <c r="L4501" s="10">
        <v>39867</v>
      </c>
      <c r="M4501">
        <v>311.66</v>
      </c>
      <c r="N4501" s="11">
        <v>37</v>
      </c>
      <c r="O4501" s="12">
        <v>8.6</v>
      </c>
      <c r="P4501" s="12">
        <v>6.19</v>
      </c>
      <c r="Q4501" s="13">
        <v>-63.8135</v>
      </c>
      <c r="R4501" s="36" t="s">
        <v>443</v>
      </c>
      <c r="S4501" s="7">
        <f t="shared" si="379"/>
        <v>7</v>
      </c>
      <c r="T4501" s="15" t="str">
        <f>VLOOKUP(R4501,产品分类!$C$2:$D$1278,2,0)</f>
        <v>办公用品</v>
      </c>
    </row>
    <row r="4502" spans="1:20">
      <c r="A4502" s="8">
        <f>DATE(2012,12,31)-1414</f>
        <v>39860</v>
      </c>
      <c r="B4502" s="8">
        <f>DATE(2012,12,31)-1414</f>
        <v>39860</v>
      </c>
      <c r="C4502" s="9" t="s">
        <v>820</v>
      </c>
      <c r="D4502">
        <v>10021337079</v>
      </c>
      <c r="E4502" t="s">
        <v>47</v>
      </c>
      <c r="F4502" t="s">
        <v>102</v>
      </c>
      <c r="G4502" t="s">
        <v>103</v>
      </c>
      <c r="H4502" t="s">
        <v>2326</v>
      </c>
      <c r="I4502" t="s">
        <v>2327</v>
      </c>
      <c r="J4502" t="s">
        <v>52</v>
      </c>
      <c r="K4502" s="3">
        <v>100416117644</v>
      </c>
      <c r="L4502" s="10">
        <v>39864</v>
      </c>
      <c r="M4502">
        <v>9862.51</v>
      </c>
      <c r="N4502" s="11">
        <v>15</v>
      </c>
      <c r="O4502" s="12">
        <v>699.99</v>
      </c>
      <c r="P4502" s="12">
        <v>24.49</v>
      </c>
      <c r="Q4502" s="13">
        <v>325.29</v>
      </c>
      <c r="R4502" s="36" t="s">
        <v>2098</v>
      </c>
      <c r="S4502" s="7">
        <f t="shared" si="379"/>
        <v>4</v>
      </c>
      <c r="T4502" s="15" t="str">
        <f>VLOOKUP(R4502,产品分类!$C$2:$D$1278,2,0)</f>
        <v>办公用品</v>
      </c>
    </row>
    <row r="4503" spans="1:20">
      <c r="A4503" s="8">
        <f>DATE(2012,12,31)-1293</f>
        <v>39981</v>
      </c>
      <c r="B4503" s="8">
        <f>DATE(2012,12,31)-1293</f>
        <v>39981</v>
      </c>
      <c r="C4503" s="9" t="s">
        <v>1249</v>
      </c>
      <c r="D4503">
        <v>10021495118</v>
      </c>
      <c r="E4503" t="s">
        <v>47</v>
      </c>
      <c r="F4503" t="s">
        <v>171</v>
      </c>
      <c r="G4503" t="s">
        <v>172</v>
      </c>
      <c r="H4503" t="s">
        <v>2073</v>
      </c>
      <c r="I4503" t="s">
        <v>2074</v>
      </c>
      <c r="J4503" t="s">
        <v>52</v>
      </c>
      <c r="K4503" s="3">
        <v>100114020896</v>
      </c>
      <c r="L4503" s="10">
        <v>39983</v>
      </c>
      <c r="M4503">
        <v>342.4</v>
      </c>
      <c r="N4503" s="11">
        <v>26</v>
      </c>
      <c r="O4503" s="12">
        <v>11.7</v>
      </c>
      <c r="P4503" s="12">
        <v>6.96</v>
      </c>
      <c r="Q4503" s="13">
        <v>-14.06</v>
      </c>
      <c r="R4503" s="36" t="s">
        <v>244</v>
      </c>
      <c r="S4503" s="7">
        <f t="shared" si="379"/>
        <v>2</v>
      </c>
      <c r="T4503" s="15" t="str">
        <f>VLOOKUP(R4503,产品分类!$C$2:$D$1278,2,0)</f>
        <v>办公用品</v>
      </c>
    </row>
    <row r="4504" spans="1:20">
      <c r="A4504" s="8">
        <f>DATE(2012,12,31)-395</f>
        <v>40879</v>
      </c>
      <c r="B4504" s="8">
        <f>DATE(2012,12,31)-395</f>
        <v>40879</v>
      </c>
      <c r="C4504" s="9" t="s">
        <v>1774</v>
      </c>
      <c r="D4504">
        <v>10021294224</v>
      </c>
      <c r="E4504" t="s">
        <v>47</v>
      </c>
      <c r="F4504" t="s">
        <v>171</v>
      </c>
      <c r="G4504" t="s">
        <v>172</v>
      </c>
      <c r="H4504" t="s">
        <v>2073</v>
      </c>
      <c r="I4504" t="s">
        <v>2074</v>
      </c>
      <c r="J4504" t="s">
        <v>52</v>
      </c>
      <c r="K4504" s="3">
        <v>100111830908</v>
      </c>
      <c r="L4504" s="10">
        <v>40880</v>
      </c>
      <c r="M4504">
        <v>450.28</v>
      </c>
      <c r="N4504" s="11">
        <v>25</v>
      </c>
      <c r="O4504" s="12">
        <v>17.98</v>
      </c>
      <c r="P4504" s="12">
        <v>8.51</v>
      </c>
      <c r="Q4504" s="13">
        <v>-12.3453</v>
      </c>
      <c r="R4504" s="36" t="s">
        <v>1430</v>
      </c>
      <c r="S4504" s="7">
        <f t="shared" si="379"/>
        <v>1</v>
      </c>
      <c r="T4504" s="15" t="str">
        <f>VLOOKUP(R4504,产品分类!$C$2:$D$1278,2,0)</f>
        <v>办公用品</v>
      </c>
    </row>
    <row r="4505" spans="1:20">
      <c r="A4505" s="8">
        <f>DATE(2012,12,31)-294</f>
        <v>40980</v>
      </c>
      <c r="B4505" s="8">
        <f>DATE(2012,12,31)-294</f>
        <v>40980</v>
      </c>
      <c r="C4505" s="9" t="s">
        <v>835</v>
      </c>
      <c r="D4505">
        <v>10021579878</v>
      </c>
      <c r="E4505" t="s">
        <v>47</v>
      </c>
      <c r="F4505" t="s">
        <v>171</v>
      </c>
      <c r="G4505" t="s">
        <v>172</v>
      </c>
      <c r="H4505" t="s">
        <v>2073</v>
      </c>
      <c r="I4505" t="s">
        <v>2074</v>
      </c>
      <c r="J4505" t="s">
        <v>52</v>
      </c>
      <c r="K4505" s="3">
        <v>100121466056</v>
      </c>
      <c r="L4505" s="10">
        <v>40981</v>
      </c>
      <c r="M4505">
        <v>2853.8835</v>
      </c>
      <c r="N4505" s="11">
        <v>27</v>
      </c>
      <c r="O4505" s="12">
        <v>125.99</v>
      </c>
      <c r="P4505" s="12">
        <v>7.69</v>
      </c>
      <c r="Q4505" s="13">
        <v>492.237</v>
      </c>
      <c r="R4505" s="36" t="s">
        <v>903</v>
      </c>
      <c r="S4505" s="7">
        <f t="shared" si="379"/>
        <v>1</v>
      </c>
      <c r="T4505" s="15" t="str">
        <f>VLOOKUP(R4505,产品分类!$C$2:$D$1278,2,0)</f>
        <v>家具产品</v>
      </c>
    </row>
    <row r="4506" spans="1:20">
      <c r="A4506" s="8">
        <f>DATE(2012,12,31)-408</f>
        <v>40866</v>
      </c>
      <c r="B4506" s="8">
        <f>DATE(2012,12,31)-408</f>
        <v>40866</v>
      </c>
      <c r="C4506" s="9" t="s">
        <v>1534</v>
      </c>
      <c r="D4506">
        <v>10021629708</v>
      </c>
      <c r="E4506" t="s">
        <v>47</v>
      </c>
      <c r="F4506" t="s">
        <v>177</v>
      </c>
      <c r="G4506" t="s">
        <v>178</v>
      </c>
      <c r="H4506" t="s">
        <v>2339</v>
      </c>
      <c r="I4506" t="s">
        <v>2340</v>
      </c>
      <c r="J4506" t="s">
        <v>52</v>
      </c>
      <c r="K4506" s="3">
        <v>100127322527</v>
      </c>
      <c r="L4506" s="10">
        <v>40866</v>
      </c>
      <c r="M4506">
        <v>1100</v>
      </c>
      <c r="N4506" s="11">
        <v>8</v>
      </c>
      <c r="O4506" s="12">
        <v>145.45</v>
      </c>
      <c r="P4506" s="12">
        <v>17.85</v>
      </c>
      <c r="Q4506" s="13">
        <v>-240.3114</v>
      </c>
      <c r="R4506" s="36" t="s">
        <v>322</v>
      </c>
      <c r="S4506" s="7">
        <f t="shared" si="379"/>
        <v>0</v>
      </c>
      <c r="T4506" s="15" t="str">
        <f>VLOOKUP(R4506,产品分类!$C$2:$D$1278,2,0)</f>
        <v>家具产品</v>
      </c>
    </row>
    <row r="4507" spans="1:20">
      <c r="A4507" s="8">
        <f>DATE(2012,12,31)-408</f>
        <v>40866</v>
      </c>
      <c r="B4507" s="8">
        <f>DATE(2012,12,31)-408</f>
        <v>40866</v>
      </c>
      <c r="C4507" s="9" t="s">
        <v>1534</v>
      </c>
      <c r="D4507">
        <v>10021574714</v>
      </c>
      <c r="E4507" t="s">
        <v>47</v>
      </c>
      <c r="F4507" t="s">
        <v>171</v>
      </c>
      <c r="G4507" t="s">
        <v>172</v>
      </c>
      <c r="H4507" t="s">
        <v>2073</v>
      </c>
      <c r="I4507" t="s">
        <v>2074</v>
      </c>
      <c r="J4507" t="s">
        <v>52</v>
      </c>
      <c r="K4507" s="3">
        <v>10044422053</v>
      </c>
      <c r="L4507" s="10">
        <v>40868</v>
      </c>
      <c r="M4507">
        <v>114.94</v>
      </c>
      <c r="N4507" s="11">
        <v>17</v>
      </c>
      <c r="O4507" s="12">
        <v>6.48</v>
      </c>
      <c r="P4507" s="12">
        <v>9.68</v>
      </c>
      <c r="Q4507" s="13">
        <v>-102.24</v>
      </c>
      <c r="R4507" s="36" t="s">
        <v>1905</v>
      </c>
      <c r="S4507" s="7">
        <f t="shared" si="379"/>
        <v>2</v>
      </c>
      <c r="T4507" s="15" t="str">
        <f>VLOOKUP(R4507,产品分类!$C$2:$D$1278,2,0)</f>
        <v>数码电子</v>
      </c>
    </row>
    <row r="4508" spans="1:20">
      <c r="A4508" s="8">
        <f>DATE(2012,12,31)-1263</f>
        <v>40011</v>
      </c>
      <c r="B4508" s="8">
        <f>DATE(2012,12,31)-1263</f>
        <v>40011</v>
      </c>
      <c r="C4508" s="9" t="s">
        <v>864</v>
      </c>
      <c r="D4508">
        <v>10021508748</v>
      </c>
      <c r="E4508" t="s">
        <v>47</v>
      </c>
      <c r="F4508" t="s">
        <v>171</v>
      </c>
      <c r="G4508" t="s">
        <v>172</v>
      </c>
      <c r="H4508" t="s">
        <v>2073</v>
      </c>
      <c r="I4508" t="s">
        <v>2074</v>
      </c>
      <c r="J4508" t="s">
        <v>52</v>
      </c>
      <c r="K4508" s="3">
        <v>100932312261</v>
      </c>
      <c r="L4508" s="10">
        <v>40011</v>
      </c>
      <c r="M4508">
        <v>86.7</v>
      </c>
      <c r="N4508" s="11">
        <v>50</v>
      </c>
      <c r="O4508" s="12">
        <v>1.76</v>
      </c>
      <c r="P4508" s="12">
        <v>4.86</v>
      </c>
      <c r="Q4508" s="13">
        <v>-185.34</v>
      </c>
      <c r="R4508" s="36" t="s">
        <v>1353</v>
      </c>
      <c r="S4508" s="7">
        <f t="shared" si="379"/>
        <v>0</v>
      </c>
      <c r="T4508" s="15" t="str">
        <f>VLOOKUP(R4508,产品分类!$C$2:$D$1278,2,0)</f>
        <v>办公用品</v>
      </c>
    </row>
    <row r="4509" spans="1:20">
      <c r="A4509" s="8">
        <f>DATE(2012,12,31)-971</f>
        <v>40303</v>
      </c>
      <c r="B4509" s="8">
        <f>DATE(2012,12,31)-971</f>
        <v>40303</v>
      </c>
      <c r="C4509" s="9" t="s">
        <v>2351</v>
      </c>
      <c r="D4509">
        <v>10021281066</v>
      </c>
      <c r="E4509" t="s">
        <v>47</v>
      </c>
      <c r="F4509" t="s">
        <v>171</v>
      </c>
      <c r="G4509" t="s">
        <v>172</v>
      </c>
      <c r="H4509" t="s">
        <v>2073</v>
      </c>
      <c r="I4509" t="s">
        <v>2074</v>
      </c>
      <c r="J4509" t="s">
        <v>52</v>
      </c>
      <c r="K4509" s="3">
        <v>100919683851</v>
      </c>
      <c r="L4509" s="10">
        <v>40303</v>
      </c>
      <c r="M4509">
        <v>506.73</v>
      </c>
      <c r="N4509" s="11">
        <v>41</v>
      </c>
      <c r="O4509" s="12">
        <v>12.28</v>
      </c>
      <c r="P4509" s="12">
        <v>6.47</v>
      </c>
      <c r="Q4509" s="13">
        <v>25.58</v>
      </c>
      <c r="R4509" s="36" t="s">
        <v>874</v>
      </c>
      <c r="S4509" s="7">
        <f t="shared" si="379"/>
        <v>0</v>
      </c>
      <c r="T4509" s="15" t="str">
        <f>VLOOKUP(R4509,产品分类!$C$2:$D$1278,2,0)</f>
        <v>办公用品</v>
      </c>
    </row>
    <row r="4510" spans="1:20">
      <c r="A4510" s="8">
        <f>DATE(2012,12,31)-222</f>
        <v>41052</v>
      </c>
      <c r="B4510" s="8">
        <f>DATE(2012,12,31)-222</f>
        <v>41052</v>
      </c>
      <c r="C4510" s="9" t="s">
        <v>808</v>
      </c>
      <c r="D4510">
        <v>10021622533</v>
      </c>
      <c r="E4510" t="s">
        <v>47</v>
      </c>
      <c r="F4510" t="s">
        <v>171</v>
      </c>
      <c r="G4510" t="s">
        <v>172</v>
      </c>
      <c r="H4510" t="s">
        <v>2073</v>
      </c>
      <c r="I4510" t="s">
        <v>2074</v>
      </c>
      <c r="J4510" t="s">
        <v>52</v>
      </c>
      <c r="K4510" s="3">
        <v>100417638834</v>
      </c>
      <c r="L4510" s="10">
        <v>41054</v>
      </c>
      <c r="M4510">
        <v>1104.28</v>
      </c>
      <c r="N4510" s="11">
        <v>29</v>
      </c>
      <c r="O4510" s="12">
        <v>40.98</v>
      </c>
      <c r="P4510" s="12">
        <v>1.99</v>
      </c>
      <c r="Q4510" s="13">
        <v>359.75</v>
      </c>
      <c r="R4510" s="36" t="s">
        <v>541</v>
      </c>
      <c r="S4510" s="7">
        <f t="shared" si="379"/>
        <v>2</v>
      </c>
      <c r="T4510" s="15" t="str">
        <f>VLOOKUP(R4510,产品分类!$C$2:$D$1278,2,0)</f>
        <v>办公用品</v>
      </c>
    </row>
    <row r="4511" spans="1:20">
      <c r="A4511" s="8">
        <f>DATE(2012,12,31)-1101</f>
        <v>40173</v>
      </c>
      <c r="B4511" s="8">
        <f>DATE(2012,12,31)-1101</f>
        <v>40173</v>
      </c>
      <c r="C4511" s="9" t="s">
        <v>523</v>
      </c>
      <c r="D4511">
        <v>10021250322</v>
      </c>
      <c r="E4511" t="s">
        <v>47</v>
      </c>
      <c r="F4511" t="s">
        <v>171</v>
      </c>
      <c r="G4511" t="s">
        <v>172</v>
      </c>
      <c r="H4511" t="s">
        <v>2352</v>
      </c>
      <c r="I4511" t="s">
        <v>2353</v>
      </c>
      <c r="J4511" t="s">
        <v>52</v>
      </c>
      <c r="K4511" s="3">
        <v>10048549563</v>
      </c>
      <c r="L4511" s="10">
        <v>40177</v>
      </c>
      <c r="M4511">
        <v>14567.15</v>
      </c>
      <c r="N4511" s="11">
        <v>48</v>
      </c>
      <c r="O4511" s="12">
        <v>291.73</v>
      </c>
      <c r="P4511" s="12">
        <v>48.8</v>
      </c>
      <c r="Q4511" s="13">
        <v>3799.59</v>
      </c>
      <c r="R4511" s="36" t="s">
        <v>791</v>
      </c>
      <c r="S4511" s="7">
        <f t="shared" si="379"/>
        <v>4</v>
      </c>
      <c r="T4511" s="15" t="str">
        <f>VLOOKUP(R4511,产品分类!$C$2:$D$1278,2,0)</f>
        <v>数码电子</v>
      </c>
    </row>
    <row r="4512" spans="1:20">
      <c r="A4512" s="8">
        <f>DATE(2012,12,31)-17</f>
        <v>41257</v>
      </c>
      <c r="B4512" s="8">
        <f>DATE(2012,12,31)-17</f>
        <v>41257</v>
      </c>
      <c r="C4512" s="9" t="s">
        <v>2354</v>
      </c>
      <c r="D4512">
        <v>10021301922</v>
      </c>
      <c r="E4512" t="s">
        <v>47</v>
      </c>
      <c r="F4512" t="s">
        <v>177</v>
      </c>
      <c r="G4512" t="s">
        <v>178</v>
      </c>
      <c r="H4512" t="s">
        <v>2339</v>
      </c>
      <c r="I4512" t="s">
        <v>2340</v>
      </c>
      <c r="J4512" t="s">
        <v>52</v>
      </c>
      <c r="K4512" s="3">
        <v>100430560303</v>
      </c>
      <c r="L4512" s="10">
        <v>41259</v>
      </c>
      <c r="M4512">
        <v>19.81</v>
      </c>
      <c r="N4512" s="11">
        <v>2</v>
      </c>
      <c r="O4512" s="12">
        <v>6.48</v>
      </c>
      <c r="P4512" s="12">
        <v>6.22</v>
      </c>
      <c r="Q4512" s="13">
        <v>-10.39</v>
      </c>
      <c r="R4512" s="36" t="s">
        <v>1393</v>
      </c>
      <c r="S4512" s="7">
        <f t="shared" si="379"/>
        <v>2</v>
      </c>
      <c r="T4512" s="15" t="str">
        <f>VLOOKUP(R4512,产品分类!$C$2:$D$1278,2,0)</f>
        <v>家具产品</v>
      </c>
    </row>
    <row r="4513" spans="1:20">
      <c r="A4513" s="8">
        <f>DATE(2012,12,31)-548</f>
        <v>40726</v>
      </c>
      <c r="B4513" s="8">
        <f>DATE(2012,12,31)-548</f>
        <v>40726</v>
      </c>
      <c r="C4513" s="9" t="s">
        <v>1749</v>
      </c>
      <c r="D4513">
        <v>10021337431</v>
      </c>
      <c r="E4513" t="s">
        <v>47</v>
      </c>
      <c r="F4513" t="s">
        <v>167</v>
      </c>
      <c r="G4513" t="s">
        <v>168</v>
      </c>
      <c r="H4513" t="s">
        <v>169</v>
      </c>
      <c r="I4513" t="s">
        <v>168</v>
      </c>
      <c r="J4513" t="s">
        <v>52</v>
      </c>
      <c r="K4513" s="3">
        <v>100922054241</v>
      </c>
      <c r="L4513" s="10">
        <v>40727</v>
      </c>
      <c r="M4513">
        <v>129.27</v>
      </c>
      <c r="N4513" s="11">
        <v>20</v>
      </c>
      <c r="O4513" s="12">
        <v>6.48</v>
      </c>
      <c r="P4513" s="12">
        <v>8.74</v>
      </c>
      <c r="Q4513" s="13">
        <v>-105.15</v>
      </c>
      <c r="R4513" s="36" t="s">
        <v>194</v>
      </c>
      <c r="S4513" s="7">
        <f t="shared" si="379"/>
        <v>1</v>
      </c>
      <c r="T4513" s="15" t="str">
        <f>VLOOKUP(R4513,产品分类!$C$2:$D$1278,2,0)</f>
        <v>办公用品</v>
      </c>
    </row>
    <row r="4514" spans="1:20">
      <c r="A4514" s="8">
        <f>DATE(2012,12,31)-548</f>
        <v>40726</v>
      </c>
      <c r="B4514" s="8">
        <f>DATE(2012,12,31)-548</f>
        <v>40726</v>
      </c>
      <c r="C4514" s="9" t="s">
        <v>1749</v>
      </c>
      <c r="D4514">
        <v>10021252402</v>
      </c>
      <c r="E4514" t="s">
        <v>47</v>
      </c>
      <c r="F4514" t="s">
        <v>183</v>
      </c>
      <c r="G4514" t="s">
        <v>184</v>
      </c>
      <c r="H4514" t="s">
        <v>2212</v>
      </c>
      <c r="I4514" t="s">
        <v>2213</v>
      </c>
      <c r="J4514" t="s">
        <v>52</v>
      </c>
      <c r="K4514" s="3">
        <v>100111146476</v>
      </c>
      <c r="L4514" s="10">
        <v>40728</v>
      </c>
      <c r="M4514">
        <v>8467.68</v>
      </c>
      <c r="N4514" s="11">
        <v>4</v>
      </c>
      <c r="O4514" s="12">
        <v>2036.48</v>
      </c>
      <c r="P4514" s="12">
        <v>14.7</v>
      </c>
      <c r="Q4514" s="13">
        <v>-3669.051</v>
      </c>
      <c r="R4514" s="36" t="s">
        <v>680</v>
      </c>
      <c r="S4514" s="7">
        <f t="shared" si="379"/>
        <v>2</v>
      </c>
      <c r="T4514" s="15" t="str">
        <f>VLOOKUP(R4514,产品分类!$C$2:$D$1278,2,0)</f>
        <v>数码电子</v>
      </c>
    </row>
    <row r="4515" spans="1:20">
      <c r="A4515" s="8">
        <f>DATE(2012,12,31)-735</f>
        <v>40539</v>
      </c>
      <c r="B4515" s="8">
        <f>DATE(2012,12,31)-735</f>
        <v>40539</v>
      </c>
      <c r="C4515" s="9" t="s">
        <v>1877</v>
      </c>
      <c r="D4515">
        <v>10021630339</v>
      </c>
      <c r="E4515" t="s">
        <v>47</v>
      </c>
      <c r="F4515" t="s">
        <v>177</v>
      </c>
      <c r="G4515" t="s">
        <v>178</v>
      </c>
      <c r="H4515" t="s">
        <v>2339</v>
      </c>
      <c r="I4515" t="s">
        <v>2340</v>
      </c>
      <c r="J4515" t="s">
        <v>52</v>
      </c>
      <c r="K4515" s="3">
        <v>100431983664</v>
      </c>
      <c r="L4515" s="10">
        <v>40541</v>
      </c>
      <c r="M4515">
        <v>126.62</v>
      </c>
      <c r="N4515" s="11">
        <v>34</v>
      </c>
      <c r="O4515" s="12">
        <v>3.78</v>
      </c>
      <c r="P4515" s="12">
        <v>0.71</v>
      </c>
      <c r="Q4515" s="13">
        <v>44.8</v>
      </c>
      <c r="R4515" s="36" t="s">
        <v>731</v>
      </c>
      <c r="S4515" s="7">
        <f t="shared" si="379"/>
        <v>2</v>
      </c>
      <c r="T4515" s="15" t="str">
        <f>VLOOKUP(R4515,产品分类!$C$2:$D$1278,2,0)</f>
        <v>家具产品</v>
      </c>
    </row>
    <row r="4516" spans="1:20">
      <c r="A4516" s="8">
        <f>DATE(2012,12,31)-767</f>
        <v>40507</v>
      </c>
      <c r="B4516" s="8">
        <f>DATE(2012,12,31)-767</f>
        <v>40507</v>
      </c>
      <c r="C4516" s="9" t="s">
        <v>1934</v>
      </c>
      <c r="D4516">
        <v>10021342053</v>
      </c>
      <c r="E4516" t="s">
        <v>47</v>
      </c>
      <c r="F4516" t="s">
        <v>177</v>
      </c>
      <c r="G4516" t="s">
        <v>178</v>
      </c>
      <c r="H4516" t="s">
        <v>2339</v>
      </c>
      <c r="I4516" t="s">
        <v>2340</v>
      </c>
      <c r="J4516" t="s">
        <v>52</v>
      </c>
      <c r="K4516" s="3">
        <v>100312969139</v>
      </c>
      <c r="L4516" s="10">
        <v>40509</v>
      </c>
      <c r="M4516">
        <v>1575.14</v>
      </c>
      <c r="N4516" s="11">
        <v>37</v>
      </c>
      <c r="O4516" s="12">
        <v>39.98</v>
      </c>
      <c r="P4516" s="12">
        <v>7.12</v>
      </c>
      <c r="Q4516" s="13">
        <v>160.68</v>
      </c>
      <c r="R4516" s="36" t="s">
        <v>1547</v>
      </c>
      <c r="S4516" s="7">
        <f t="shared" si="379"/>
        <v>2</v>
      </c>
      <c r="T4516" s="15" t="str">
        <f>VLOOKUP(R4516,产品分类!$C$2:$D$1278,2,0)</f>
        <v>办公用品</v>
      </c>
    </row>
    <row r="4517" spans="1:20">
      <c r="A4517" s="8">
        <f>DATE(2012,12,31)-767</f>
        <v>40507</v>
      </c>
      <c r="B4517" s="8">
        <f>DATE(2012,12,31)-767</f>
        <v>40507</v>
      </c>
      <c r="C4517" s="9" t="s">
        <v>1934</v>
      </c>
      <c r="D4517">
        <v>10021444055</v>
      </c>
      <c r="E4517" t="s">
        <v>47</v>
      </c>
      <c r="F4517" t="s">
        <v>127</v>
      </c>
      <c r="G4517" t="s">
        <v>128</v>
      </c>
      <c r="H4517" t="s">
        <v>2189</v>
      </c>
      <c r="I4517" t="s">
        <v>2190</v>
      </c>
      <c r="J4517" t="s">
        <v>52</v>
      </c>
      <c r="K4517" s="3">
        <v>10014380348</v>
      </c>
      <c r="L4517" s="10">
        <v>40509</v>
      </c>
      <c r="M4517">
        <v>187.78</v>
      </c>
      <c r="N4517" s="11">
        <v>16</v>
      </c>
      <c r="O4517" s="12">
        <v>11.99</v>
      </c>
      <c r="P4517" s="12">
        <v>5.99</v>
      </c>
      <c r="Q4517" s="13">
        <v>-21.8196</v>
      </c>
      <c r="R4517" s="36" t="s">
        <v>1275</v>
      </c>
      <c r="S4517" s="7">
        <f t="shared" si="379"/>
        <v>2</v>
      </c>
      <c r="T4517" s="15" t="str">
        <f>VLOOKUP(R4517,产品分类!$C$2:$D$1278,2,0)</f>
        <v>家具产品</v>
      </c>
    </row>
    <row r="4518" spans="1:20">
      <c r="A4518" s="8">
        <f t="shared" ref="A4518:B4520" si="380">DATE(2012,12,31)-1063</f>
        <v>40211</v>
      </c>
      <c r="B4518" s="8">
        <f t="shared" si="380"/>
        <v>40211</v>
      </c>
      <c r="C4518" s="9" t="s">
        <v>1689</v>
      </c>
      <c r="D4518">
        <v>10021332288</v>
      </c>
      <c r="E4518" t="s">
        <v>47</v>
      </c>
      <c r="F4518" t="s">
        <v>177</v>
      </c>
      <c r="G4518" t="s">
        <v>178</v>
      </c>
      <c r="H4518" t="s">
        <v>2339</v>
      </c>
      <c r="I4518" t="s">
        <v>2340</v>
      </c>
      <c r="J4518" t="s">
        <v>52</v>
      </c>
      <c r="K4518" s="3">
        <v>10015406636</v>
      </c>
      <c r="L4518" s="10">
        <v>40212</v>
      </c>
      <c r="M4518">
        <v>77.01</v>
      </c>
      <c r="N4518" s="11">
        <v>12</v>
      </c>
      <c r="O4518" s="12">
        <v>5.78</v>
      </c>
      <c r="P4518" s="12">
        <v>4.96</v>
      </c>
      <c r="Q4518" s="13">
        <v>-19.04</v>
      </c>
      <c r="R4518" s="36" t="s">
        <v>674</v>
      </c>
      <c r="S4518" s="7">
        <f t="shared" si="379"/>
        <v>1</v>
      </c>
      <c r="T4518" s="15" t="str">
        <f>VLOOKUP(R4518,产品分类!$C$2:$D$1278,2,0)</f>
        <v>家具产品</v>
      </c>
    </row>
    <row r="4519" spans="1:20">
      <c r="A4519" s="8">
        <f t="shared" si="380"/>
        <v>40211</v>
      </c>
      <c r="B4519" s="8">
        <f t="shared" si="380"/>
        <v>40211</v>
      </c>
      <c r="C4519" s="9" t="s">
        <v>1689</v>
      </c>
      <c r="D4519">
        <v>10021417569</v>
      </c>
      <c r="E4519" t="s">
        <v>47</v>
      </c>
      <c r="F4519" t="s">
        <v>342</v>
      </c>
      <c r="G4519" t="s">
        <v>343</v>
      </c>
      <c r="H4519" t="s">
        <v>2309</v>
      </c>
      <c r="I4519" t="s">
        <v>2310</v>
      </c>
      <c r="J4519" t="s">
        <v>52</v>
      </c>
      <c r="K4519" s="3">
        <v>100415588904</v>
      </c>
      <c r="L4519" s="10">
        <v>40212</v>
      </c>
      <c r="M4519">
        <v>111.83</v>
      </c>
      <c r="N4519" s="11">
        <v>34</v>
      </c>
      <c r="O4519" s="12">
        <v>3.28</v>
      </c>
      <c r="P4519" s="12">
        <v>3.97</v>
      </c>
      <c r="Q4519" s="13">
        <v>-92.16</v>
      </c>
      <c r="R4519" s="36" t="s">
        <v>1396</v>
      </c>
      <c r="S4519" s="7">
        <f t="shared" si="379"/>
        <v>1</v>
      </c>
      <c r="T4519" s="15" t="str">
        <f>VLOOKUP(R4519,产品分类!$C$2:$D$1278,2,0)</f>
        <v>家具产品</v>
      </c>
    </row>
    <row r="4520" spans="1:20">
      <c r="A4520" s="8">
        <f t="shared" si="380"/>
        <v>40211</v>
      </c>
      <c r="B4520" s="8">
        <f t="shared" si="380"/>
        <v>40211</v>
      </c>
      <c r="C4520" s="9" t="s">
        <v>1689</v>
      </c>
      <c r="D4520">
        <v>10021496346</v>
      </c>
      <c r="E4520" t="s">
        <v>47</v>
      </c>
      <c r="F4520" t="s">
        <v>342</v>
      </c>
      <c r="G4520" t="s">
        <v>343</v>
      </c>
      <c r="H4520" t="s">
        <v>2309</v>
      </c>
      <c r="I4520" t="s">
        <v>2310</v>
      </c>
      <c r="J4520" t="s">
        <v>52</v>
      </c>
      <c r="K4520" s="3">
        <v>10079153435</v>
      </c>
      <c r="L4520" s="10">
        <v>40212</v>
      </c>
      <c r="M4520">
        <v>6552.9</v>
      </c>
      <c r="N4520" s="11">
        <v>23</v>
      </c>
      <c r="O4520" s="12">
        <v>296.18</v>
      </c>
      <c r="P4520" s="12">
        <v>54.12</v>
      </c>
      <c r="Q4520" s="13">
        <v>-461.45</v>
      </c>
      <c r="R4520" s="36" t="s">
        <v>372</v>
      </c>
      <c r="S4520" s="7">
        <f t="shared" si="379"/>
        <v>1</v>
      </c>
      <c r="T4520" s="15" t="str">
        <f>VLOOKUP(R4520,产品分类!$C$2:$D$1278,2,0)</f>
        <v>办公用品</v>
      </c>
    </row>
    <row r="4521" spans="1:20">
      <c r="A4521" s="8">
        <f>DATE(2012,12,31)-78</f>
        <v>41196</v>
      </c>
      <c r="B4521" s="8">
        <f>DATE(2012,12,31)-78</f>
        <v>41196</v>
      </c>
      <c r="C4521" s="9" t="s">
        <v>1819</v>
      </c>
      <c r="D4521">
        <v>10021429792</v>
      </c>
      <c r="E4521" t="s">
        <v>47</v>
      </c>
      <c r="F4521" t="s">
        <v>61</v>
      </c>
      <c r="G4521" t="s">
        <v>62</v>
      </c>
      <c r="H4521" t="s">
        <v>2313</v>
      </c>
      <c r="I4521" t="s">
        <v>2314</v>
      </c>
      <c r="J4521" t="s">
        <v>52</v>
      </c>
      <c r="K4521" s="3">
        <v>100431670724</v>
      </c>
      <c r="L4521" s="10">
        <v>41198</v>
      </c>
      <c r="M4521">
        <v>3413.69</v>
      </c>
      <c r="N4521" s="11">
        <v>47</v>
      </c>
      <c r="O4521" s="12">
        <v>73.98</v>
      </c>
      <c r="P4521" s="12">
        <v>14.52</v>
      </c>
      <c r="Q4521" s="13">
        <v>175.24</v>
      </c>
      <c r="R4521" s="36" t="s">
        <v>885</v>
      </c>
      <c r="S4521" s="7">
        <f t="shared" si="379"/>
        <v>2</v>
      </c>
      <c r="T4521" s="15" t="str">
        <f>VLOOKUP(R4521,产品分类!$C$2:$D$1278,2,0)</f>
        <v>办公用品</v>
      </c>
    </row>
    <row r="4522" spans="1:20">
      <c r="A4522" s="8">
        <f>DATE(2012,12,31)-78</f>
        <v>41196</v>
      </c>
      <c r="B4522" s="8">
        <f>DATE(2012,12,31)-78</f>
        <v>41196</v>
      </c>
      <c r="C4522" s="9" t="s">
        <v>1819</v>
      </c>
      <c r="D4522">
        <v>10021249211</v>
      </c>
      <c r="E4522" t="s">
        <v>47</v>
      </c>
      <c r="F4522" t="s">
        <v>61</v>
      </c>
      <c r="G4522" t="s">
        <v>62</v>
      </c>
      <c r="H4522" t="s">
        <v>2313</v>
      </c>
      <c r="I4522" t="s">
        <v>2314</v>
      </c>
      <c r="J4522" t="s">
        <v>52</v>
      </c>
      <c r="K4522" s="3">
        <v>10043601893</v>
      </c>
      <c r="L4522" s="10">
        <v>41197</v>
      </c>
      <c r="M4522">
        <v>2939.6825</v>
      </c>
      <c r="N4522" s="11">
        <v>38</v>
      </c>
      <c r="O4522" s="12">
        <v>85.99</v>
      </c>
      <c r="P4522" s="12">
        <v>0.99</v>
      </c>
      <c r="Q4522" s="13">
        <v>192.06</v>
      </c>
      <c r="R4522" s="36" t="s">
        <v>228</v>
      </c>
      <c r="S4522" s="7">
        <f t="shared" si="379"/>
        <v>1</v>
      </c>
      <c r="T4522" s="15" t="str">
        <f>VLOOKUP(R4522,产品分类!$C$2:$D$1278,2,0)</f>
        <v>数码电子</v>
      </c>
    </row>
    <row r="4523" spans="1:20">
      <c r="A4523" s="8">
        <f>DATE(2012,12,31)-317</f>
        <v>40957</v>
      </c>
      <c r="B4523" s="8">
        <f>DATE(2012,12,31)-317</f>
        <v>40957</v>
      </c>
      <c r="C4523" s="9" t="s">
        <v>1251</v>
      </c>
      <c r="D4523">
        <v>10021425128</v>
      </c>
      <c r="E4523" t="s">
        <v>47</v>
      </c>
      <c r="F4523" t="s">
        <v>61</v>
      </c>
      <c r="G4523" t="s">
        <v>62</v>
      </c>
      <c r="H4523" t="s">
        <v>2313</v>
      </c>
      <c r="I4523" t="s">
        <v>2314</v>
      </c>
      <c r="J4523" t="s">
        <v>52</v>
      </c>
      <c r="K4523" s="3">
        <v>100329281549</v>
      </c>
      <c r="L4523" s="10">
        <v>40957</v>
      </c>
      <c r="M4523">
        <v>159.256</v>
      </c>
      <c r="N4523" s="11">
        <v>4</v>
      </c>
      <c r="O4523" s="12">
        <v>45.99</v>
      </c>
      <c r="P4523" s="12">
        <v>2.5</v>
      </c>
      <c r="Q4523" s="13">
        <v>-171.171</v>
      </c>
      <c r="R4523" s="36" t="s">
        <v>2057</v>
      </c>
      <c r="S4523" s="7">
        <f t="shared" si="379"/>
        <v>0</v>
      </c>
      <c r="T4523" s="15" t="str">
        <f>VLOOKUP(R4523,产品分类!$C$2:$D$1278,2,0)</f>
        <v>办公用品</v>
      </c>
    </row>
    <row r="4524" spans="1:20">
      <c r="A4524" s="8">
        <f>DATE(2012,12,31)-803</f>
        <v>40471</v>
      </c>
      <c r="B4524" s="8">
        <f>DATE(2012,12,31)-803</f>
        <v>40471</v>
      </c>
      <c r="C4524" s="9" t="s">
        <v>2068</v>
      </c>
      <c r="D4524">
        <v>10021428012</v>
      </c>
      <c r="E4524" t="s">
        <v>47</v>
      </c>
      <c r="F4524" t="s">
        <v>61</v>
      </c>
      <c r="G4524" t="s">
        <v>62</v>
      </c>
      <c r="H4524" t="s">
        <v>2313</v>
      </c>
      <c r="I4524" t="s">
        <v>2314</v>
      </c>
      <c r="J4524" t="s">
        <v>52</v>
      </c>
      <c r="K4524" s="3">
        <v>100731010825</v>
      </c>
      <c r="L4524" s="10">
        <v>40473</v>
      </c>
      <c r="M4524">
        <v>40.72</v>
      </c>
      <c r="N4524" s="11">
        <v>4</v>
      </c>
      <c r="O4524" s="12">
        <v>6.68</v>
      </c>
      <c r="P4524" s="12">
        <v>6.93</v>
      </c>
      <c r="Q4524" s="13">
        <v>-10.25</v>
      </c>
      <c r="R4524" s="36" t="s">
        <v>1002</v>
      </c>
      <c r="S4524" s="7">
        <f t="shared" si="379"/>
        <v>2</v>
      </c>
      <c r="T4524" s="15" t="str">
        <f>VLOOKUP(R4524,产品分类!$C$2:$D$1278,2,0)</f>
        <v>办公用品</v>
      </c>
    </row>
    <row r="4525" spans="1:20">
      <c r="A4525" s="8">
        <f>DATE(2012,12,31)-803</f>
        <v>40471</v>
      </c>
      <c r="B4525" s="8">
        <f>DATE(2012,12,31)-803</f>
        <v>40471</v>
      </c>
      <c r="C4525" s="9" t="s">
        <v>2068</v>
      </c>
      <c r="D4525">
        <v>10021606442</v>
      </c>
      <c r="E4525" t="s">
        <v>47</v>
      </c>
      <c r="F4525" t="s">
        <v>61</v>
      </c>
      <c r="G4525" t="s">
        <v>62</v>
      </c>
      <c r="H4525" t="s">
        <v>2313</v>
      </c>
      <c r="I4525" t="s">
        <v>2314</v>
      </c>
      <c r="J4525" t="s">
        <v>52</v>
      </c>
      <c r="K4525" s="3">
        <v>100716847815</v>
      </c>
      <c r="L4525" s="10">
        <v>40476</v>
      </c>
      <c r="M4525">
        <v>113.3</v>
      </c>
      <c r="N4525" s="11">
        <v>27</v>
      </c>
      <c r="O4525" s="12">
        <v>3.93</v>
      </c>
      <c r="P4525" s="12">
        <v>0.99</v>
      </c>
      <c r="Q4525" s="13">
        <v>37.33</v>
      </c>
      <c r="R4525" s="36" t="s">
        <v>1203</v>
      </c>
      <c r="S4525" s="7">
        <f t="shared" si="379"/>
        <v>5</v>
      </c>
      <c r="T4525" s="15" t="str">
        <f>VLOOKUP(R4525,产品分类!$C$2:$D$1278,2,0)</f>
        <v>家具产品</v>
      </c>
    </row>
    <row r="4526" spans="1:20">
      <c r="A4526" s="8">
        <f>DATE(2012,12,31)-1132</f>
        <v>40142</v>
      </c>
      <c r="B4526" s="8">
        <f>DATE(2012,12,31)-1132</f>
        <v>40142</v>
      </c>
      <c r="C4526" s="9" t="s">
        <v>2355</v>
      </c>
      <c r="D4526">
        <v>10021443384</v>
      </c>
      <c r="E4526" t="s">
        <v>47</v>
      </c>
      <c r="F4526" t="s">
        <v>66</v>
      </c>
      <c r="G4526" t="s">
        <v>67</v>
      </c>
      <c r="H4526" t="s">
        <v>2244</v>
      </c>
      <c r="I4526" t="s">
        <v>2245</v>
      </c>
      <c r="J4526" t="s">
        <v>52</v>
      </c>
      <c r="K4526" s="3">
        <v>100132985887</v>
      </c>
      <c r="L4526" s="10">
        <v>40145</v>
      </c>
      <c r="M4526">
        <v>86.29</v>
      </c>
      <c r="N4526" s="11">
        <v>7</v>
      </c>
      <c r="O4526" s="12">
        <v>11.58</v>
      </c>
      <c r="P4526" s="12">
        <v>6.97</v>
      </c>
      <c r="Q4526" s="13">
        <v>-14.03</v>
      </c>
      <c r="R4526" s="36" t="s">
        <v>1022</v>
      </c>
      <c r="S4526" s="7">
        <f t="shared" si="379"/>
        <v>3</v>
      </c>
      <c r="T4526" s="15" t="str">
        <f>VLOOKUP(R4526,产品分类!$C$2:$D$1278,2,0)</f>
        <v>办公用品</v>
      </c>
    </row>
    <row r="4527" spans="1:20">
      <c r="A4527" s="8">
        <f>DATE(2012,12,31)-418</f>
        <v>40856</v>
      </c>
      <c r="B4527" s="8">
        <f>DATE(2012,12,31)-418</f>
        <v>40856</v>
      </c>
      <c r="C4527" s="9" t="s">
        <v>1439</v>
      </c>
      <c r="D4527">
        <v>10021321966</v>
      </c>
      <c r="E4527" t="s">
        <v>47</v>
      </c>
      <c r="F4527" t="s">
        <v>72</v>
      </c>
      <c r="G4527" t="s">
        <v>73</v>
      </c>
      <c r="H4527" t="s">
        <v>2008</v>
      </c>
      <c r="I4527" t="s">
        <v>2009</v>
      </c>
      <c r="J4527" t="s">
        <v>52</v>
      </c>
      <c r="K4527" s="3">
        <v>100332833579</v>
      </c>
      <c r="L4527" s="10">
        <v>40856</v>
      </c>
      <c r="M4527">
        <v>240.63</v>
      </c>
      <c r="N4527" s="11">
        <v>31</v>
      </c>
      <c r="O4527" s="12">
        <v>7.37</v>
      </c>
      <c r="P4527" s="12">
        <v>5.53</v>
      </c>
      <c r="Q4527" s="13">
        <v>-117.92</v>
      </c>
      <c r="R4527" s="36" t="s">
        <v>1121</v>
      </c>
      <c r="S4527" s="7">
        <f t="shared" si="379"/>
        <v>0</v>
      </c>
      <c r="T4527" s="15" t="str">
        <f>VLOOKUP(R4527,产品分类!$C$2:$D$1278,2,0)</f>
        <v>家具产品</v>
      </c>
    </row>
    <row r="4528" spans="1:20">
      <c r="A4528" s="16">
        <f t="shared" ref="A4528:B4530" si="381">DATE(2012,12,31)-1265</f>
        <v>40009</v>
      </c>
      <c r="B4528" s="16">
        <f t="shared" si="381"/>
        <v>40009</v>
      </c>
      <c r="C4528" s="9" t="s">
        <v>989</v>
      </c>
      <c r="D4528">
        <v>10021644562</v>
      </c>
      <c r="E4528" t="s">
        <v>47</v>
      </c>
      <c r="F4528" t="s">
        <v>91</v>
      </c>
      <c r="G4528" t="s">
        <v>92</v>
      </c>
      <c r="H4528" t="s">
        <v>2053</v>
      </c>
      <c r="I4528" t="s">
        <v>2054</v>
      </c>
      <c r="J4528" t="s">
        <v>52</v>
      </c>
      <c r="K4528" s="3">
        <v>100133233637</v>
      </c>
      <c r="L4528" s="10">
        <v>40010</v>
      </c>
      <c r="M4528">
        <v>196.5</v>
      </c>
      <c r="N4528" s="17">
        <v>40</v>
      </c>
      <c r="O4528" s="5">
        <v>4.91</v>
      </c>
      <c r="P4528" s="5">
        <v>4.97</v>
      </c>
      <c r="Q4528" s="6">
        <v>-99.7625</v>
      </c>
      <c r="R4528" s="37" t="s">
        <v>2133</v>
      </c>
      <c r="S4528" s="7">
        <f t="shared" si="379"/>
        <v>1</v>
      </c>
      <c r="T4528" s="15" t="str">
        <f>VLOOKUP(R4528,产品分类!$C$2:$D$1278,2,0)</f>
        <v>数码电子</v>
      </c>
    </row>
    <row r="4529" spans="1:20">
      <c r="A4529" s="8">
        <f t="shared" si="381"/>
        <v>40009</v>
      </c>
      <c r="B4529" s="8">
        <f t="shared" si="381"/>
        <v>40009</v>
      </c>
      <c r="C4529" s="9" t="s">
        <v>989</v>
      </c>
      <c r="D4529">
        <v>10021376694</v>
      </c>
      <c r="E4529" t="s">
        <v>47</v>
      </c>
      <c r="F4529" t="s">
        <v>97</v>
      </c>
      <c r="G4529" t="s">
        <v>98</v>
      </c>
      <c r="H4529" t="s">
        <v>99</v>
      </c>
      <c r="I4529" t="s">
        <v>98</v>
      </c>
      <c r="J4529" t="s">
        <v>52</v>
      </c>
      <c r="K4529" s="3">
        <v>100832901032</v>
      </c>
      <c r="L4529" s="10">
        <v>40010</v>
      </c>
      <c r="M4529">
        <v>3672.89</v>
      </c>
      <c r="N4529" s="11">
        <v>1</v>
      </c>
      <c r="O4529" s="12">
        <v>3499.99</v>
      </c>
      <c r="P4529" s="12">
        <v>24.49</v>
      </c>
      <c r="Q4529" s="13">
        <v>-3061.82</v>
      </c>
      <c r="R4529" s="36" t="s">
        <v>1863</v>
      </c>
      <c r="S4529" s="7">
        <f t="shared" si="379"/>
        <v>1</v>
      </c>
      <c r="T4529" s="15" t="str">
        <f>VLOOKUP(R4529,产品分类!$C$2:$D$1278,2,0)</f>
        <v>办公用品</v>
      </c>
    </row>
    <row r="4530" spans="1:20">
      <c r="A4530" s="16">
        <f t="shared" si="381"/>
        <v>40009</v>
      </c>
      <c r="B4530" s="16">
        <f t="shared" si="381"/>
        <v>40009</v>
      </c>
      <c r="C4530" s="9" t="s">
        <v>989</v>
      </c>
      <c r="D4530">
        <v>10021633265</v>
      </c>
      <c r="E4530" t="s">
        <v>47</v>
      </c>
      <c r="F4530" t="s">
        <v>208</v>
      </c>
      <c r="G4530" t="s">
        <v>209</v>
      </c>
      <c r="H4530" t="s">
        <v>2300</v>
      </c>
      <c r="I4530" t="s">
        <v>2301</v>
      </c>
      <c r="J4530" t="s">
        <v>52</v>
      </c>
      <c r="K4530" s="3">
        <v>100133205647</v>
      </c>
      <c r="L4530" s="10">
        <v>40011</v>
      </c>
      <c r="M4530">
        <v>46.97</v>
      </c>
      <c r="N4530" s="17">
        <v>8</v>
      </c>
      <c r="O4530" s="5">
        <v>5.84</v>
      </c>
      <c r="P4530" s="5">
        <v>1.2</v>
      </c>
      <c r="Q4530" s="6">
        <v>-0.00999999999999979</v>
      </c>
      <c r="R4530" s="37" t="s">
        <v>1478</v>
      </c>
      <c r="S4530" s="7">
        <f t="shared" si="379"/>
        <v>2</v>
      </c>
      <c r="T4530" s="15" t="str">
        <f>VLOOKUP(R4530,产品分类!$C$2:$D$1278,2,0)</f>
        <v>办公用品</v>
      </c>
    </row>
    <row r="4531" spans="1:20">
      <c r="A4531" s="8">
        <f>DATE(2012,12,31)-788</f>
        <v>40486</v>
      </c>
      <c r="B4531" s="8">
        <f>DATE(2012,12,31)-788</f>
        <v>40486</v>
      </c>
      <c r="C4531" s="9" t="s">
        <v>1523</v>
      </c>
      <c r="D4531">
        <v>10021482015</v>
      </c>
      <c r="E4531" t="s">
        <v>47</v>
      </c>
      <c r="F4531" t="s">
        <v>122</v>
      </c>
      <c r="G4531" t="s">
        <v>123</v>
      </c>
      <c r="H4531" t="s">
        <v>2159</v>
      </c>
      <c r="I4531" t="s">
        <v>2160</v>
      </c>
      <c r="J4531" t="s">
        <v>52</v>
      </c>
      <c r="K4531" s="3">
        <v>100333027609</v>
      </c>
      <c r="L4531" s="10">
        <v>40488</v>
      </c>
      <c r="M4531">
        <v>209.63</v>
      </c>
      <c r="N4531" s="11">
        <v>35</v>
      </c>
      <c r="O4531" s="12">
        <v>5.84</v>
      </c>
      <c r="P4531" s="12">
        <v>1.2</v>
      </c>
      <c r="Q4531" s="13">
        <v>43.53</v>
      </c>
      <c r="R4531" s="36" t="s">
        <v>1478</v>
      </c>
      <c r="S4531" s="7">
        <f t="shared" si="379"/>
        <v>2</v>
      </c>
      <c r="T4531" s="15" t="str">
        <f>VLOOKUP(R4531,产品分类!$C$2:$D$1278,2,0)</f>
        <v>办公用品</v>
      </c>
    </row>
    <row r="4532" spans="1:20">
      <c r="A4532" s="8">
        <f>DATE(2012,12,31)-854</f>
        <v>40420</v>
      </c>
      <c r="B4532" s="8">
        <f>DATE(2012,12,31)-854</f>
        <v>40420</v>
      </c>
      <c r="C4532" s="9" t="s">
        <v>361</v>
      </c>
      <c r="D4532">
        <v>10021356065</v>
      </c>
      <c r="E4532" t="s">
        <v>47</v>
      </c>
      <c r="F4532" t="s">
        <v>91</v>
      </c>
      <c r="G4532" t="s">
        <v>92</v>
      </c>
      <c r="H4532" t="s">
        <v>2053</v>
      </c>
      <c r="I4532" t="s">
        <v>2054</v>
      </c>
      <c r="J4532" t="s">
        <v>52</v>
      </c>
      <c r="K4532" s="3">
        <v>100732870965</v>
      </c>
      <c r="L4532" s="10">
        <v>40420</v>
      </c>
      <c r="M4532">
        <v>1219.19</v>
      </c>
      <c r="N4532" s="11">
        <v>8</v>
      </c>
      <c r="O4532" s="12">
        <v>150.98</v>
      </c>
      <c r="P4532" s="12">
        <v>13.99</v>
      </c>
      <c r="Q4532" s="13">
        <v>44.3699999999999</v>
      </c>
      <c r="R4532" s="36" t="s">
        <v>126</v>
      </c>
      <c r="S4532" s="7">
        <f t="shared" si="379"/>
        <v>0</v>
      </c>
      <c r="T4532" s="15" t="str">
        <f>VLOOKUP(R4532,产品分类!$C$2:$D$1278,2,0)</f>
        <v>家具产品</v>
      </c>
    </row>
    <row r="4533" spans="1:20">
      <c r="A4533" s="8">
        <f>DATE(2012,12,31)-854</f>
        <v>40420</v>
      </c>
      <c r="B4533" s="8">
        <f>DATE(2012,12,31)-854</f>
        <v>40420</v>
      </c>
      <c r="C4533" s="9" t="s">
        <v>361</v>
      </c>
      <c r="D4533">
        <v>10021438550</v>
      </c>
      <c r="E4533" t="s">
        <v>47</v>
      </c>
      <c r="F4533" t="s">
        <v>61</v>
      </c>
      <c r="G4533" t="s">
        <v>62</v>
      </c>
      <c r="H4533" t="s">
        <v>2356</v>
      </c>
      <c r="I4533" t="s">
        <v>2357</v>
      </c>
      <c r="J4533" t="s">
        <v>52</v>
      </c>
      <c r="K4533" s="3">
        <v>100332973259</v>
      </c>
      <c r="L4533" s="10">
        <v>40421</v>
      </c>
      <c r="M4533">
        <v>28.68</v>
      </c>
      <c r="N4533" s="11">
        <v>15</v>
      </c>
      <c r="O4533" s="12">
        <v>1.76</v>
      </c>
      <c r="P4533" s="12">
        <v>0.7</v>
      </c>
      <c r="Q4533" s="13">
        <v>-0.12</v>
      </c>
      <c r="R4533" s="36" t="s">
        <v>561</v>
      </c>
      <c r="S4533" s="7">
        <f t="shared" si="379"/>
        <v>1</v>
      </c>
      <c r="T4533" s="15" t="str">
        <f>VLOOKUP(R4533,产品分类!$C$2:$D$1278,2,0)</f>
        <v>数码电子</v>
      </c>
    </row>
    <row r="4534" spans="1:20">
      <c r="A4534" s="8">
        <f>DATE(2012,12,31)-134</f>
        <v>41140</v>
      </c>
      <c r="B4534" s="8">
        <f>DATE(2012,12,31)-134</f>
        <v>41140</v>
      </c>
      <c r="C4534" s="9" t="s">
        <v>1153</v>
      </c>
      <c r="D4534">
        <v>10021573259</v>
      </c>
      <c r="E4534" t="s">
        <v>47</v>
      </c>
      <c r="F4534" t="s">
        <v>61</v>
      </c>
      <c r="G4534" t="s">
        <v>62</v>
      </c>
      <c r="H4534" t="s">
        <v>2356</v>
      </c>
      <c r="I4534" t="s">
        <v>2357</v>
      </c>
      <c r="J4534" t="s">
        <v>52</v>
      </c>
      <c r="K4534" s="3">
        <v>100133160386</v>
      </c>
      <c r="L4534" s="10">
        <v>41141</v>
      </c>
      <c r="M4534">
        <v>1753.75</v>
      </c>
      <c r="N4534" s="11">
        <v>46</v>
      </c>
      <c r="O4534" s="12">
        <v>39.98</v>
      </c>
      <c r="P4534" s="12">
        <v>9.2</v>
      </c>
      <c r="Q4534" s="13">
        <v>215.11</v>
      </c>
      <c r="R4534" s="36" t="s">
        <v>1787</v>
      </c>
      <c r="S4534" s="7">
        <f t="shared" si="379"/>
        <v>1</v>
      </c>
      <c r="T4534" s="15" t="str">
        <f>VLOOKUP(R4534,产品分类!$C$2:$D$1278,2,0)</f>
        <v>办公用品</v>
      </c>
    </row>
    <row r="4535" spans="1:20">
      <c r="A4535" s="8">
        <f>DATE(2012,12,31)-60</f>
        <v>41214</v>
      </c>
      <c r="B4535" s="8">
        <f>DATE(2012,12,31)-60</f>
        <v>41214</v>
      </c>
      <c r="C4535" s="9" t="s">
        <v>613</v>
      </c>
      <c r="D4535">
        <v>10021391698</v>
      </c>
      <c r="E4535" t="s">
        <v>47</v>
      </c>
      <c r="F4535" t="s">
        <v>91</v>
      </c>
      <c r="G4535" t="s">
        <v>92</v>
      </c>
      <c r="H4535" t="s">
        <v>2053</v>
      </c>
      <c r="I4535" t="s">
        <v>2054</v>
      </c>
      <c r="J4535" t="s">
        <v>52</v>
      </c>
      <c r="K4535" s="3">
        <v>100932396611</v>
      </c>
      <c r="L4535" s="10">
        <v>41218</v>
      </c>
      <c r="M4535">
        <v>192.33</v>
      </c>
      <c r="N4535" s="11">
        <v>44</v>
      </c>
      <c r="O4535" s="12">
        <v>4.26</v>
      </c>
      <c r="P4535" s="12">
        <v>1.2</v>
      </c>
      <c r="Q4535" s="13">
        <v>48.54</v>
      </c>
      <c r="R4535" s="36" t="s">
        <v>340</v>
      </c>
      <c r="S4535" s="7">
        <f t="shared" si="379"/>
        <v>4</v>
      </c>
      <c r="T4535" s="15" t="str">
        <f>VLOOKUP(R4535,产品分类!$C$2:$D$1278,2,0)</f>
        <v>办公用品</v>
      </c>
    </row>
    <row r="4536" spans="1:20">
      <c r="A4536" s="8">
        <f>DATE(2012,12,31)-1152</f>
        <v>40122</v>
      </c>
      <c r="B4536" s="8">
        <f>DATE(2012,12,31)-1152</f>
        <v>40122</v>
      </c>
      <c r="C4536" s="9" t="s">
        <v>2358</v>
      </c>
      <c r="D4536">
        <v>10021276114</v>
      </c>
      <c r="E4536" t="s">
        <v>47</v>
      </c>
      <c r="F4536" t="s">
        <v>171</v>
      </c>
      <c r="G4536" t="s">
        <v>172</v>
      </c>
      <c r="H4536" t="s">
        <v>2352</v>
      </c>
      <c r="I4536" t="s">
        <v>2353</v>
      </c>
      <c r="J4536" t="s">
        <v>52</v>
      </c>
      <c r="K4536" s="3">
        <v>100732161575</v>
      </c>
      <c r="L4536" s="10">
        <v>40122</v>
      </c>
      <c r="M4536">
        <v>183.22</v>
      </c>
      <c r="N4536" s="11">
        <v>13</v>
      </c>
      <c r="O4536" s="12">
        <v>12.99</v>
      </c>
      <c r="P4536" s="12">
        <v>14.37</v>
      </c>
      <c r="Q4536" s="13">
        <v>-100.89</v>
      </c>
      <c r="R4536" s="36" t="s">
        <v>1790</v>
      </c>
      <c r="S4536" s="7">
        <f t="shared" si="379"/>
        <v>0</v>
      </c>
      <c r="T4536" s="15" t="str">
        <f>VLOOKUP(R4536,产品分类!$C$2:$D$1278,2,0)</f>
        <v>办公用品</v>
      </c>
    </row>
    <row r="4537" spans="1:20">
      <c r="A4537" s="8">
        <f>DATE(2012,12,31)-1152</f>
        <v>40122</v>
      </c>
      <c r="B4537" s="8">
        <f>DATE(2012,12,31)-1152</f>
        <v>40122</v>
      </c>
      <c r="C4537" s="9" t="s">
        <v>2358</v>
      </c>
      <c r="D4537">
        <v>10021357000</v>
      </c>
      <c r="E4537" t="s">
        <v>47</v>
      </c>
      <c r="F4537" t="s">
        <v>253</v>
      </c>
      <c r="G4537" t="s">
        <v>254</v>
      </c>
      <c r="H4537" t="s">
        <v>2344</v>
      </c>
      <c r="I4537" t="s">
        <v>2345</v>
      </c>
      <c r="J4537" t="s">
        <v>52</v>
      </c>
      <c r="K4537" s="3">
        <v>100729456545</v>
      </c>
      <c r="L4537" s="10">
        <v>40123</v>
      </c>
      <c r="M4537">
        <v>68.03</v>
      </c>
      <c r="N4537" s="11">
        <v>4</v>
      </c>
      <c r="O4537" s="12">
        <v>15.14</v>
      </c>
      <c r="P4537" s="12">
        <v>4.53</v>
      </c>
      <c r="Q4537" s="13">
        <v>-29.42</v>
      </c>
      <c r="R4537" s="36" t="s">
        <v>836</v>
      </c>
      <c r="S4537" s="7">
        <f t="shared" si="379"/>
        <v>1</v>
      </c>
      <c r="T4537" s="15" t="str">
        <f>VLOOKUP(R4537,产品分类!$C$2:$D$1278,2,0)</f>
        <v>办公用品</v>
      </c>
    </row>
    <row r="4538" spans="1:20">
      <c r="A4538" s="8">
        <f>DATE(2012,12,31)-320</f>
        <v>40954</v>
      </c>
      <c r="B4538" s="8">
        <f>DATE(2012,12,31)-320</f>
        <v>40954</v>
      </c>
      <c r="C4538" s="9" t="s">
        <v>828</v>
      </c>
      <c r="D4538">
        <v>10021505143</v>
      </c>
      <c r="E4538" t="s">
        <v>47</v>
      </c>
      <c r="F4538" t="s">
        <v>48</v>
      </c>
      <c r="G4538" t="s">
        <v>49</v>
      </c>
      <c r="H4538" t="s">
        <v>2183</v>
      </c>
      <c r="I4538" t="s">
        <v>2184</v>
      </c>
      <c r="J4538" t="s">
        <v>52</v>
      </c>
      <c r="K4538" s="3">
        <v>100130783847</v>
      </c>
      <c r="L4538" s="10">
        <v>40961</v>
      </c>
      <c r="M4538">
        <v>5008.761</v>
      </c>
      <c r="N4538" s="11">
        <v>49</v>
      </c>
      <c r="O4538" s="12">
        <v>115.99</v>
      </c>
      <c r="P4538" s="12">
        <v>5.99</v>
      </c>
      <c r="Q4538" s="13">
        <v>1601.64</v>
      </c>
      <c r="R4538" s="36" t="s">
        <v>1082</v>
      </c>
      <c r="S4538" s="7">
        <f t="shared" si="379"/>
        <v>7</v>
      </c>
      <c r="T4538" s="15" t="str">
        <f>VLOOKUP(R4538,产品分类!$C$2:$D$1278,2,0)</f>
        <v>家具产品</v>
      </c>
    </row>
    <row r="4539" spans="1:20">
      <c r="A4539" s="8">
        <f>DATE(2012,12,31)-320</f>
        <v>40954</v>
      </c>
      <c r="B4539" s="8">
        <f>DATE(2012,12,31)-320</f>
        <v>40954</v>
      </c>
      <c r="C4539" s="9" t="s">
        <v>828</v>
      </c>
      <c r="D4539">
        <v>10021582801</v>
      </c>
      <c r="E4539" t="s">
        <v>47</v>
      </c>
      <c r="F4539" t="s">
        <v>72</v>
      </c>
      <c r="G4539" t="s">
        <v>73</v>
      </c>
      <c r="H4539" t="s">
        <v>2008</v>
      </c>
      <c r="I4539" t="s">
        <v>2009</v>
      </c>
      <c r="J4539" t="s">
        <v>52</v>
      </c>
      <c r="K4539" s="3">
        <v>100426011163</v>
      </c>
      <c r="L4539" s="10">
        <v>40956</v>
      </c>
      <c r="M4539">
        <v>13.53</v>
      </c>
      <c r="N4539" s="11">
        <v>1</v>
      </c>
      <c r="O4539" s="12">
        <v>11.55</v>
      </c>
      <c r="P4539" s="12">
        <v>2.36</v>
      </c>
      <c r="Q4539" s="13">
        <v>-6.73</v>
      </c>
      <c r="R4539" s="36" t="s">
        <v>1043</v>
      </c>
      <c r="S4539" s="7">
        <f t="shared" si="379"/>
        <v>2</v>
      </c>
      <c r="T4539" s="15" t="str">
        <f>VLOOKUP(R4539,产品分类!$C$2:$D$1278,2,0)</f>
        <v>家具产品</v>
      </c>
    </row>
    <row r="4540" spans="1:20">
      <c r="A4540" s="8">
        <f>DATE(2012,12,31)-1454</f>
        <v>39820</v>
      </c>
      <c r="B4540" s="8">
        <f>DATE(2012,12,31)-1454</f>
        <v>39820</v>
      </c>
      <c r="C4540" s="9" t="s">
        <v>119</v>
      </c>
      <c r="D4540">
        <v>10021341299</v>
      </c>
      <c r="E4540" t="s">
        <v>47</v>
      </c>
      <c r="F4540" t="s">
        <v>122</v>
      </c>
      <c r="G4540" t="s">
        <v>123</v>
      </c>
      <c r="H4540" t="s">
        <v>2159</v>
      </c>
      <c r="I4540" t="s">
        <v>2160</v>
      </c>
      <c r="J4540" t="s">
        <v>52</v>
      </c>
      <c r="K4540" s="3">
        <v>100127015988</v>
      </c>
      <c r="L4540" s="10">
        <v>39821</v>
      </c>
      <c r="M4540">
        <v>607.597</v>
      </c>
      <c r="N4540" s="11">
        <v>11</v>
      </c>
      <c r="O4540" s="12">
        <v>65.99</v>
      </c>
      <c r="P4540" s="12">
        <v>5.99</v>
      </c>
      <c r="Q4540" s="13">
        <v>-112.244</v>
      </c>
      <c r="R4540" s="36" t="s">
        <v>1660</v>
      </c>
      <c r="S4540" s="7">
        <f t="shared" si="379"/>
        <v>1</v>
      </c>
      <c r="T4540" s="15" t="str">
        <f>VLOOKUP(R4540,产品分类!$C$2:$D$1278,2,0)</f>
        <v>办公用品</v>
      </c>
    </row>
    <row r="4541" spans="1:20">
      <c r="A4541" s="8">
        <f t="shared" ref="A4541:B4543" si="382">DATE(2012,12,31)-892</f>
        <v>40382</v>
      </c>
      <c r="B4541" s="8">
        <f t="shared" si="382"/>
        <v>40382</v>
      </c>
      <c r="C4541" s="9" t="s">
        <v>518</v>
      </c>
      <c r="D4541">
        <v>10021433668</v>
      </c>
      <c r="E4541" t="s">
        <v>47</v>
      </c>
      <c r="F4541" t="s">
        <v>137</v>
      </c>
      <c r="G4541" t="s">
        <v>138</v>
      </c>
      <c r="H4541" t="s">
        <v>139</v>
      </c>
      <c r="I4541" t="s">
        <v>140</v>
      </c>
      <c r="J4541" t="s">
        <v>52</v>
      </c>
      <c r="K4541" s="3">
        <v>100332627479</v>
      </c>
      <c r="L4541" s="10">
        <v>40383</v>
      </c>
      <c r="M4541">
        <v>28.75</v>
      </c>
      <c r="N4541" s="11">
        <v>3</v>
      </c>
      <c r="O4541" s="12">
        <v>8.46</v>
      </c>
      <c r="P4541" s="12">
        <v>3.62</v>
      </c>
      <c r="Q4541" s="13">
        <v>-31.43</v>
      </c>
      <c r="R4541" s="36" t="s">
        <v>412</v>
      </c>
      <c r="S4541" s="7">
        <f t="shared" si="379"/>
        <v>1</v>
      </c>
      <c r="T4541" s="15" t="str">
        <f>VLOOKUP(R4541,产品分类!$C$2:$D$1278,2,0)</f>
        <v>数码电子</v>
      </c>
    </row>
    <row r="4542" spans="1:20">
      <c r="A4542" s="16">
        <f t="shared" si="382"/>
        <v>40382</v>
      </c>
      <c r="B4542" s="16">
        <f t="shared" si="382"/>
        <v>40382</v>
      </c>
      <c r="C4542" s="9" t="s">
        <v>518</v>
      </c>
      <c r="D4542">
        <v>10021350920</v>
      </c>
      <c r="E4542" t="s">
        <v>47</v>
      </c>
      <c r="F4542" t="s">
        <v>102</v>
      </c>
      <c r="G4542" t="s">
        <v>103</v>
      </c>
      <c r="H4542" t="s">
        <v>2326</v>
      </c>
      <c r="I4542" t="s">
        <v>2327</v>
      </c>
      <c r="J4542" t="s">
        <v>52</v>
      </c>
      <c r="K4542" s="3">
        <v>100432192003</v>
      </c>
      <c r="L4542" s="10">
        <v>40382</v>
      </c>
      <c r="M4542">
        <v>75.81</v>
      </c>
      <c r="N4542" s="17">
        <v>3</v>
      </c>
      <c r="O4542" s="5">
        <v>22.84</v>
      </c>
      <c r="P4542" s="5">
        <v>8.18</v>
      </c>
      <c r="Q4542" s="6">
        <v>-21.13</v>
      </c>
      <c r="R4542" s="37" t="s">
        <v>1569</v>
      </c>
      <c r="S4542" s="7">
        <f t="shared" si="379"/>
        <v>0</v>
      </c>
      <c r="T4542" s="15" t="str">
        <f>VLOOKUP(R4542,产品分类!$C$2:$D$1278,2,0)</f>
        <v>办公用品</v>
      </c>
    </row>
    <row r="4543" spans="1:20">
      <c r="A4543" s="8">
        <f t="shared" si="382"/>
        <v>40382</v>
      </c>
      <c r="B4543" s="8">
        <f t="shared" si="382"/>
        <v>40382</v>
      </c>
      <c r="C4543" s="9" t="s">
        <v>518</v>
      </c>
      <c r="D4543">
        <v>10021465988</v>
      </c>
      <c r="E4543" t="s">
        <v>47</v>
      </c>
      <c r="F4543" t="s">
        <v>61</v>
      </c>
      <c r="G4543" t="s">
        <v>62</v>
      </c>
      <c r="H4543" t="s">
        <v>2356</v>
      </c>
      <c r="I4543" t="s">
        <v>2357</v>
      </c>
      <c r="J4543" t="s">
        <v>52</v>
      </c>
      <c r="K4543" s="3">
        <v>100929074521</v>
      </c>
      <c r="L4543" s="10">
        <v>40384</v>
      </c>
      <c r="M4543">
        <v>259.7175</v>
      </c>
      <c r="N4543" s="11">
        <v>38</v>
      </c>
      <c r="O4543" s="12">
        <v>7.99</v>
      </c>
      <c r="P4543" s="12">
        <v>5.03</v>
      </c>
      <c r="Q4543" s="13">
        <v>-118.481</v>
      </c>
      <c r="R4543" s="36" t="s">
        <v>71</v>
      </c>
      <c r="S4543" s="7">
        <f t="shared" si="379"/>
        <v>2</v>
      </c>
      <c r="T4543" s="15" t="str">
        <f>VLOOKUP(R4543,产品分类!$C$2:$D$1278,2,0)</f>
        <v>办公用品</v>
      </c>
    </row>
    <row r="4544" spans="1:20">
      <c r="A4544" s="8">
        <f>DATE(2012,12,31)-60</f>
        <v>41214</v>
      </c>
      <c r="B4544" s="8">
        <f>DATE(2012,12,31)-60</f>
        <v>41214</v>
      </c>
      <c r="C4544" s="9" t="s">
        <v>1598</v>
      </c>
      <c r="D4544">
        <v>10021512362</v>
      </c>
      <c r="E4544" t="s">
        <v>47</v>
      </c>
      <c r="F4544" t="s">
        <v>66</v>
      </c>
      <c r="G4544" t="s">
        <v>67</v>
      </c>
      <c r="H4544" t="s">
        <v>2244</v>
      </c>
      <c r="I4544" t="s">
        <v>2245</v>
      </c>
      <c r="J4544" t="s">
        <v>52</v>
      </c>
      <c r="K4544" s="3">
        <v>100333057309</v>
      </c>
      <c r="L4544" s="10">
        <v>41215</v>
      </c>
      <c r="M4544">
        <v>1103.73</v>
      </c>
      <c r="N4544" s="11">
        <v>45</v>
      </c>
      <c r="O4544" s="12">
        <v>22.98</v>
      </c>
      <c r="P4544" s="12">
        <v>7.58</v>
      </c>
      <c r="Q4544" s="13">
        <v>189.28</v>
      </c>
      <c r="R4544" s="36" t="s">
        <v>616</v>
      </c>
      <c r="S4544" s="7">
        <f t="shared" si="379"/>
        <v>1</v>
      </c>
      <c r="T4544" s="15" t="str">
        <f>VLOOKUP(R4544,产品分类!$C$2:$D$1278,2,0)</f>
        <v>家具产品</v>
      </c>
    </row>
    <row r="4545" spans="1:20">
      <c r="A4545" s="8">
        <f>DATE(2012,12,31)-792</f>
        <v>40482</v>
      </c>
      <c r="B4545" s="8">
        <f>DATE(2012,12,31)-792</f>
        <v>40482</v>
      </c>
      <c r="C4545" s="9" t="s">
        <v>1406</v>
      </c>
      <c r="D4545">
        <v>10021564255</v>
      </c>
      <c r="E4545" t="s">
        <v>47</v>
      </c>
      <c r="F4545" t="s">
        <v>66</v>
      </c>
      <c r="G4545" t="s">
        <v>67</v>
      </c>
      <c r="H4545" t="s">
        <v>2359</v>
      </c>
      <c r="I4545" t="s">
        <v>2360</v>
      </c>
      <c r="J4545" t="s">
        <v>52</v>
      </c>
      <c r="K4545" s="3">
        <v>10049857614</v>
      </c>
      <c r="L4545" s="10">
        <v>40483</v>
      </c>
      <c r="M4545">
        <v>929.81</v>
      </c>
      <c r="N4545" s="11">
        <v>50</v>
      </c>
      <c r="O4545" s="12">
        <v>19.99</v>
      </c>
      <c r="P4545" s="12">
        <v>11.17</v>
      </c>
      <c r="Q4545" s="13">
        <v>-188.41</v>
      </c>
      <c r="R4545" s="36" t="s">
        <v>2017</v>
      </c>
      <c r="S4545" s="7">
        <f t="shared" si="379"/>
        <v>1</v>
      </c>
      <c r="T4545" s="15" t="str">
        <f>VLOOKUP(R4545,产品分类!$C$2:$D$1278,2,0)</f>
        <v>家具产品</v>
      </c>
    </row>
    <row r="4546" spans="1:20">
      <c r="A4546" s="8">
        <f>DATE(2012,12,31)-146</f>
        <v>41128</v>
      </c>
      <c r="B4546" s="8">
        <f>DATE(2012,12,31)-146</f>
        <v>41128</v>
      </c>
      <c r="C4546" s="9" t="s">
        <v>428</v>
      </c>
      <c r="D4546">
        <v>10021393421</v>
      </c>
      <c r="E4546" t="s">
        <v>47</v>
      </c>
      <c r="F4546" t="s">
        <v>66</v>
      </c>
      <c r="G4546" t="s">
        <v>67</v>
      </c>
      <c r="H4546" t="s">
        <v>2359</v>
      </c>
      <c r="I4546" t="s">
        <v>2360</v>
      </c>
      <c r="J4546" t="s">
        <v>52</v>
      </c>
      <c r="K4546" s="3">
        <v>100931965971</v>
      </c>
      <c r="L4546" s="10">
        <v>41135</v>
      </c>
      <c r="M4546">
        <v>20333.816</v>
      </c>
      <c r="N4546" s="11">
        <v>45</v>
      </c>
      <c r="O4546" s="12">
        <v>550.98</v>
      </c>
      <c r="P4546" s="12">
        <v>147.12</v>
      </c>
      <c r="Q4546" s="13">
        <v>-1430.451</v>
      </c>
      <c r="R4546" s="36" t="s">
        <v>1642</v>
      </c>
      <c r="S4546" s="7">
        <f t="shared" si="379"/>
        <v>7</v>
      </c>
      <c r="T4546" s="15" t="str">
        <f>VLOOKUP(R4546,产品分类!$C$2:$D$1278,2,0)</f>
        <v>家具产品</v>
      </c>
    </row>
    <row r="4547" spans="1:20">
      <c r="A4547" s="8">
        <f>DATE(2012,12,31)-1321</f>
        <v>39953</v>
      </c>
      <c r="B4547" s="8">
        <f>DATE(2012,12,31)-1321</f>
        <v>39953</v>
      </c>
      <c r="C4547" s="9" t="s">
        <v>1775</v>
      </c>
      <c r="D4547">
        <v>10021439867</v>
      </c>
      <c r="E4547" t="s">
        <v>47</v>
      </c>
      <c r="F4547" t="s">
        <v>91</v>
      </c>
      <c r="G4547" t="s">
        <v>92</v>
      </c>
      <c r="H4547" t="s">
        <v>2053</v>
      </c>
      <c r="I4547" t="s">
        <v>2054</v>
      </c>
      <c r="J4547" t="s">
        <v>52</v>
      </c>
      <c r="K4547" s="3">
        <v>10074627335</v>
      </c>
      <c r="L4547" s="10">
        <v>39956</v>
      </c>
      <c r="M4547">
        <v>211.86</v>
      </c>
      <c r="N4547" s="11">
        <v>34</v>
      </c>
      <c r="O4547" s="12">
        <v>5.94</v>
      </c>
      <c r="P4547" s="12">
        <v>9.92</v>
      </c>
      <c r="Q4547" s="13">
        <v>-239.315</v>
      </c>
      <c r="R4547" s="36" t="s">
        <v>2014</v>
      </c>
      <c r="S4547" s="7">
        <f t="shared" ref="S4547:S4610" si="383">+L4547-B4547</f>
        <v>3</v>
      </c>
      <c r="T4547" s="15" t="str">
        <f>VLOOKUP(R4547,产品分类!$C$2:$D$1278,2,0)</f>
        <v>办公用品</v>
      </c>
    </row>
    <row r="4548" spans="1:20">
      <c r="A4548" s="8">
        <f>DATE(2012,12,31)-1321</f>
        <v>39953</v>
      </c>
      <c r="B4548" s="8">
        <f>DATE(2012,12,31)-1321</f>
        <v>39953</v>
      </c>
      <c r="C4548" s="9" t="s">
        <v>1775</v>
      </c>
      <c r="D4548">
        <v>10021553025</v>
      </c>
      <c r="E4548" t="s">
        <v>47</v>
      </c>
      <c r="F4548" t="s">
        <v>91</v>
      </c>
      <c r="G4548" t="s">
        <v>92</v>
      </c>
      <c r="H4548" t="s">
        <v>2053</v>
      </c>
      <c r="I4548" t="s">
        <v>2054</v>
      </c>
      <c r="J4548" t="s">
        <v>52</v>
      </c>
      <c r="K4548" s="3">
        <v>100832612312</v>
      </c>
      <c r="L4548" s="10">
        <v>39955</v>
      </c>
      <c r="M4548">
        <v>355.03</v>
      </c>
      <c r="N4548" s="11">
        <v>50</v>
      </c>
      <c r="O4548" s="12">
        <v>6.48</v>
      </c>
      <c r="P4548" s="12">
        <v>5.11</v>
      </c>
      <c r="Q4548" s="13">
        <v>-33.31</v>
      </c>
      <c r="R4548" s="36" t="s">
        <v>1752</v>
      </c>
      <c r="S4548" s="7">
        <f t="shared" si="383"/>
        <v>2</v>
      </c>
      <c r="T4548" s="15" t="str">
        <f>VLOOKUP(R4548,产品分类!$C$2:$D$1278,2,0)</f>
        <v>办公用品</v>
      </c>
    </row>
    <row r="4549" spans="1:20">
      <c r="A4549" s="8">
        <f>DATE(2012,12,31)-82</f>
        <v>41192</v>
      </c>
      <c r="B4549" s="8">
        <f>DATE(2012,12,31)-82</f>
        <v>41192</v>
      </c>
      <c r="C4549" s="9" t="s">
        <v>2049</v>
      </c>
      <c r="D4549">
        <v>10021377143</v>
      </c>
      <c r="E4549" t="s">
        <v>47</v>
      </c>
      <c r="F4549" t="s">
        <v>83</v>
      </c>
      <c r="G4549" t="s">
        <v>84</v>
      </c>
      <c r="H4549" t="s">
        <v>2349</v>
      </c>
      <c r="I4549" t="s">
        <v>2350</v>
      </c>
      <c r="J4549" t="s">
        <v>52</v>
      </c>
      <c r="K4549" s="3">
        <v>100831490472</v>
      </c>
      <c r="L4549" s="10">
        <v>41193</v>
      </c>
      <c r="M4549">
        <v>768.41</v>
      </c>
      <c r="N4549" s="11">
        <v>12</v>
      </c>
      <c r="O4549" s="12">
        <v>67.28</v>
      </c>
      <c r="P4549" s="12">
        <v>19.99</v>
      </c>
      <c r="Q4549" s="13">
        <v>60.3755</v>
      </c>
      <c r="R4549" s="36" t="s">
        <v>862</v>
      </c>
      <c r="S4549" s="7">
        <f t="shared" si="383"/>
        <v>1</v>
      </c>
      <c r="T4549" s="15" t="str">
        <f>VLOOKUP(R4549,产品分类!$C$2:$D$1278,2,0)</f>
        <v>办公用品</v>
      </c>
    </row>
    <row r="4550" spans="1:20">
      <c r="A4550" s="8">
        <f>DATE(2012,12,31)-82</f>
        <v>41192</v>
      </c>
      <c r="B4550" s="8">
        <f>DATE(2012,12,31)-82</f>
        <v>41192</v>
      </c>
      <c r="C4550" s="9" t="s">
        <v>2049</v>
      </c>
      <c r="D4550">
        <v>10021377096</v>
      </c>
      <c r="E4550" t="s">
        <v>47</v>
      </c>
      <c r="F4550" t="s">
        <v>122</v>
      </c>
      <c r="G4550" t="s">
        <v>123</v>
      </c>
      <c r="H4550" t="s">
        <v>2159</v>
      </c>
      <c r="I4550" t="s">
        <v>2160</v>
      </c>
      <c r="J4550" t="s">
        <v>52</v>
      </c>
      <c r="K4550" s="3">
        <v>100432586123</v>
      </c>
      <c r="L4550" s="10">
        <v>41194</v>
      </c>
      <c r="M4550">
        <v>5238.192</v>
      </c>
      <c r="N4550" s="11">
        <v>47</v>
      </c>
      <c r="O4550" s="12">
        <v>145.98</v>
      </c>
      <c r="P4550" s="12">
        <v>46.2</v>
      </c>
      <c r="Q4550" s="13">
        <v>-503.77</v>
      </c>
      <c r="R4550" s="36" t="s">
        <v>955</v>
      </c>
      <c r="S4550" s="7">
        <f t="shared" si="383"/>
        <v>2</v>
      </c>
      <c r="T4550" s="15" t="str">
        <f>VLOOKUP(R4550,产品分类!$C$2:$D$1278,2,0)</f>
        <v>办公用品</v>
      </c>
    </row>
    <row r="4551" spans="1:20">
      <c r="A4551" s="8">
        <f>DATE(2012,12,31)-257</f>
        <v>41017</v>
      </c>
      <c r="B4551" s="8">
        <f>DATE(2012,12,31)-257</f>
        <v>41017</v>
      </c>
      <c r="C4551" s="9" t="s">
        <v>1502</v>
      </c>
      <c r="D4551">
        <v>10021619241</v>
      </c>
      <c r="E4551" t="s">
        <v>47</v>
      </c>
      <c r="F4551" t="s">
        <v>132</v>
      </c>
      <c r="G4551" t="s">
        <v>133</v>
      </c>
      <c r="H4551" t="s">
        <v>134</v>
      </c>
      <c r="I4551" t="s">
        <v>133</v>
      </c>
      <c r="J4551" t="s">
        <v>52</v>
      </c>
      <c r="K4551" s="3">
        <v>100120948548</v>
      </c>
      <c r="L4551" s="10">
        <v>41019</v>
      </c>
      <c r="M4551">
        <v>1996.16</v>
      </c>
      <c r="N4551" s="11">
        <v>1</v>
      </c>
      <c r="O4551" s="12">
        <v>1938.02</v>
      </c>
      <c r="P4551" s="12">
        <v>13.99</v>
      </c>
      <c r="Q4551" s="13">
        <v>-3974.4558</v>
      </c>
      <c r="R4551" s="36" t="s">
        <v>1737</v>
      </c>
      <c r="S4551" s="7">
        <f t="shared" si="383"/>
        <v>2</v>
      </c>
      <c r="T4551" s="15" t="str">
        <f>VLOOKUP(R4551,产品分类!$C$2:$D$1278,2,0)</f>
        <v>数码电子</v>
      </c>
    </row>
    <row r="4552" spans="1:20">
      <c r="A4552" s="8">
        <f t="shared" ref="A4552:B4554" si="384">DATE(2012,12,31)-792</f>
        <v>40482</v>
      </c>
      <c r="B4552" s="8">
        <f t="shared" si="384"/>
        <v>40482</v>
      </c>
      <c r="C4552" s="9" t="s">
        <v>520</v>
      </c>
      <c r="D4552">
        <v>10021648276</v>
      </c>
      <c r="E4552" t="s">
        <v>47</v>
      </c>
      <c r="F4552" t="s">
        <v>137</v>
      </c>
      <c r="G4552" t="s">
        <v>138</v>
      </c>
      <c r="H4552" t="s">
        <v>139</v>
      </c>
      <c r="I4552" t="s">
        <v>140</v>
      </c>
      <c r="J4552" t="s">
        <v>52</v>
      </c>
      <c r="K4552" s="3">
        <v>100133237796</v>
      </c>
      <c r="L4552" s="10">
        <v>40483</v>
      </c>
      <c r="M4552">
        <v>121.624</v>
      </c>
      <c r="N4552" s="11">
        <v>8</v>
      </c>
      <c r="O4552" s="12">
        <v>15.23</v>
      </c>
      <c r="P4552" s="12">
        <v>27.75</v>
      </c>
      <c r="Q4552" s="13">
        <v>11.65095</v>
      </c>
      <c r="R4552" s="36" t="s">
        <v>1728</v>
      </c>
      <c r="S4552" s="7">
        <f t="shared" si="383"/>
        <v>1</v>
      </c>
      <c r="T4552" s="15" t="str">
        <f>VLOOKUP(R4552,产品分类!$C$2:$D$1278,2,0)</f>
        <v>家具产品</v>
      </c>
    </row>
    <row r="4553" spans="1:20">
      <c r="A4553" s="8">
        <f t="shared" si="384"/>
        <v>40482</v>
      </c>
      <c r="B4553" s="8">
        <f t="shared" si="384"/>
        <v>40482</v>
      </c>
      <c r="C4553" s="9" t="s">
        <v>520</v>
      </c>
      <c r="D4553">
        <v>10021317588</v>
      </c>
      <c r="E4553" t="s">
        <v>47</v>
      </c>
      <c r="F4553" t="s">
        <v>102</v>
      </c>
      <c r="G4553" t="s">
        <v>103</v>
      </c>
      <c r="H4553" t="s">
        <v>2326</v>
      </c>
      <c r="I4553" t="s">
        <v>2327</v>
      </c>
      <c r="J4553" t="s">
        <v>52</v>
      </c>
      <c r="K4553" s="3">
        <v>100731230605</v>
      </c>
      <c r="L4553" s="10">
        <v>40484</v>
      </c>
      <c r="M4553">
        <v>934.07</v>
      </c>
      <c r="N4553" s="11">
        <v>23</v>
      </c>
      <c r="O4553" s="12">
        <v>39.99</v>
      </c>
      <c r="P4553" s="12">
        <v>10.25</v>
      </c>
      <c r="Q4553" s="13">
        <v>-7.5</v>
      </c>
      <c r="R4553" s="36" t="s">
        <v>1852</v>
      </c>
      <c r="S4553" s="7">
        <f t="shared" si="383"/>
        <v>2</v>
      </c>
      <c r="T4553" s="15" t="str">
        <f>VLOOKUP(R4553,产品分类!$C$2:$D$1278,2,0)</f>
        <v>办公用品</v>
      </c>
    </row>
    <row r="4554" spans="1:20">
      <c r="A4554" s="8">
        <f t="shared" si="384"/>
        <v>40482</v>
      </c>
      <c r="B4554" s="8">
        <f t="shared" si="384"/>
        <v>40482</v>
      </c>
      <c r="C4554" s="9" t="s">
        <v>520</v>
      </c>
      <c r="D4554">
        <v>10021539053</v>
      </c>
      <c r="E4554" t="s">
        <v>47</v>
      </c>
      <c r="F4554" t="s">
        <v>171</v>
      </c>
      <c r="G4554" t="s">
        <v>172</v>
      </c>
      <c r="H4554" t="s">
        <v>2352</v>
      </c>
      <c r="I4554" t="s">
        <v>2353</v>
      </c>
      <c r="J4554" t="s">
        <v>52</v>
      </c>
      <c r="K4554" s="3">
        <v>100428869674</v>
      </c>
      <c r="L4554" s="10">
        <v>40483</v>
      </c>
      <c r="M4554">
        <v>65.467</v>
      </c>
      <c r="N4554" s="11">
        <v>1</v>
      </c>
      <c r="O4554" s="12">
        <v>65.99</v>
      </c>
      <c r="P4554" s="12">
        <v>8.8</v>
      </c>
      <c r="Q4554" s="13">
        <v>-257.411</v>
      </c>
      <c r="R4554" s="36" t="s">
        <v>2179</v>
      </c>
      <c r="S4554" s="7">
        <f t="shared" si="383"/>
        <v>1</v>
      </c>
      <c r="T4554" s="15" t="str">
        <f>VLOOKUP(R4554,产品分类!$C$2:$D$1278,2,0)</f>
        <v>家具产品</v>
      </c>
    </row>
    <row r="4555" spans="1:20">
      <c r="A4555" s="8">
        <f>DATE(2012,12,31)-1456</f>
        <v>39818</v>
      </c>
      <c r="B4555" s="8">
        <f>DATE(2012,12,31)-1456</f>
        <v>39818</v>
      </c>
      <c r="C4555" s="9" t="s">
        <v>1698</v>
      </c>
      <c r="D4555">
        <v>10021288837</v>
      </c>
      <c r="E4555" t="s">
        <v>47</v>
      </c>
      <c r="F4555" t="s">
        <v>527</v>
      </c>
      <c r="G4555" t="s">
        <v>528</v>
      </c>
      <c r="H4555" t="s">
        <v>2293</v>
      </c>
      <c r="I4555" t="s">
        <v>2294</v>
      </c>
      <c r="J4555" t="s">
        <v>52</v>
      </c>
      <c r="K4555" s="3">
        <v>100432055384</v>
      </c>
      <c r="L4555" s="10">
        <v>39819</v>
      </c>
      <c r="M4555">
        <v>1244.19</v>
      </c>
      <c r="N4555" s="11">
        <v>5</v>
      </c>
      <c r="O4555" s="12">
        <v>243.98</v>
      </c>
      <c r="P4555" s="12">
        <v>43.32</v>
      </c>
      <c r="Q4555" s="13">
        <v>-131.31</v>
      </c>
      <c r="R4555" s="36" t="s">
        <v>704</v>
      </c>
      <c r="S4555" s="7">
        <f t="shared" si="383"/>
        <v>1</v>
      </c>
      <c r="T4555" s="15" t="str">
        <f>VLOOKUP(R4555,产品分类!$C$2:$D$1278,2,0)</f>
        <v>数码电子</v>
      </c>
    </row>
    <row r="4556" spans="1:20">
      <c r="A4556" s="8">
        <f>DATE(2012,12,31)-1251</f>
        <v>40023</v>
      </c>
      <c r="B4556" s="8">
        <f>DATE(2012,12,31)-1251</f>
        <v>40023</v>
      </c>
      <c r="C4556" s="9" t="s">
        <v>785</v>
      </c>
      <c r="D4556">
        <v>10021317228</v>
      </c>
      <c r="E4556" t="s">
        <v>47</v>
      </c>
      <c r="F4556" t="s">
        <v>527</v>
      </c>
      <c r="G4556" t="s">
        <v>528</v>
      </c>
      <c r="H4556" t="s">
        <v>2293</v>
      </c>
      <c r="I4556" t="s">
        <v>2294</v>
      </c>
      <c r="J4556" t="s">
        <v>52</v>
      </c>
      <c r="K4556" s="3">
        <v>10042790093</v>
      </c>
      <c r="L4556" s="10">
        <v>40025</v>
      </c>
      <c r="M4556">
        <v>175.08</v>
      </c>
      <c r="N4556" s="11">
        <v>35</v>
      </c>
      <c r="O4556" s="12">
        <v>5.02</v>
      </c>
      <c r="P4556" s="12">
        <v>5.14</v>
      </c>
      <c r="Q4556" s="13">
        <v>-168.72</v>
      </c>
      <c r="R4556" s="36" t="s">
        <v>597</v>
      </c>
      <c r="S4556" s="7">
        <f t="shared" si="383"/>
        <v>2</v>
      </c>
      <c r="T4556" s="15" t="str">
        <f>VLOOKUP(R4556,产品分类!$C$2:$D$1278,2,0)</f>
        <v>办公用品</v>
      </c>
    </row>
    <row r="4557" spans="1:20">
      <c r="A4557" s="8">
        <f>DATE(2012,12,31)-1251</f>
        <v>40023</v>
      </c>
      <c r="B4557" s="8">
        <f>DATE(2012,12,31)-1251</f>
        <v>40023</v>
      </c>
      <c r="C4557" s="9" t="s">
        <v>785</v>
      </c>
      <c r="D4557">
        <v>10021277246</v>
      </c>
      <c r="E4557" t="s">
        <v>47</v>
      </c>
      <c r="F4557" t="s">
        <v>177</v>
      </c>
      <c r="G4557" t="s">
        <v>178</v>
      </c>
      <c r="H4557" t="s">
        <v>2339</v>
      </c>
      <c r="I4557" t="s">
        <v>2340</v>
      </c>
      <c r="J4557" t="s">
        <v>52</v>
      </c>
      <c r="K4557" s="3">
        <v>100112976807</v>
      </c>
      <c r="L4557" s="10">
        <v>40025</v>
      </c>
      <c r="M4557">
        <v>5369.46</v>
      </c>
      <c r="N4557" s="11">
        <v>19</v>
      </c>
      <c r="O4557" s="12">
        <v>280.98</v>
      </c>
      <c r="P4557" s="12">
        <v>57</v>
      </c>
      <c r="Q4557" s="13">
        <v>-439.62</v>
      </c>
      <c r="R4557" s="36" t="s">
        <v>1283</v>
      </c>
      <c r="S4557" s="7">
        <f t="shared" si="383"/>
        <v>2</v>
      </c>
      <c r="T4557" s="15" t="str">
        <f>VLOOKUP(R4557,产品分类!$C$2:$D$1278,2,0)</f>
        <v>办公用品</v>
      </c>
    </row>
    <row r="4558" spans="1:20">
      <c r="A4558" s="8">
        <f t="shared" ref="A4558:B4560" si="385">DATE(2012,12,31)-22</f>
        <v>41252</v>
      </c>
      <c r="B4558" s="8">
        <f t="shared" si="385"/>
        <v>41252</v>
      </c>
      <c r="C4558" s="9" t="s">
        <v>1714</v>
      </c>
      <c r="D4558">
        <v>10021401495</v>
      </c>
      <c r="E4558" t="s">
        <v>47</v>
      </c>
      <c r="F4558" t="s">
        <v>177</v>
      </c>
      <c r="G4558" t="s">
        <v>178</v>
      </c>
      <c r="H4558" t="s">
        <v>2339</v>
      </c>
      <c r="I4558" t="s">
        <v>2340</v>
      </c>
      <c r="J4558" t="s">
        <v>52</v>
      </c>
      <c r="K4558" s="3">
        <v>100318301809</v>
      </c>
      <c r="L4558" s="10">
        <v>41253</v>
      </c>
      <c r="M4558">
        <v>277.58</v>
      </c>
      <c r="N4558" s="11">
        <v>39</v>
      </c>
      <c r="O4558" s="12">
        <v>7.28</v>
      </c>
      <c r="P4558" s="12">
        <v>11.15</v>
      </c>
      <c r="Q4558" s="13">
        <v>-276.88</v>
      </c>
      <c r="R4558" s="36" t="s">
        <v>1394</v>
      </c>
      <c r="S4558" s="7">
        <f t="shared" si="383"/>
        <v>1</v>
      </c>
      <c r="T4558" s="15" t="str">
        <f>VLOOKUP(R4558,产品分类!$C$2:$D$1278,2,0)</f>
        <v>办公用品</v>
      </c>
    </row>
    <row r="4559" spans="1:20">
      <c r="A4559" s="8">
        <f t="shared" si="385"/>
        <v>41252</v>
      </c>
      <c r="B4559" s="8">
        <f t="shared" si="385"/>
        <v>41252</v>
      </c>
      <c r="C4559" s="9" t="s">
        <v>1714</v>
      </c>
      <c r="D4559">
        <v>10021652390</v>
      </c>
      <c r="E4559" t="s">
        <v>47</v>
      </c>
      <c r="F4559" t="s">
        <v>83</v>
      </c>
      <c r="G4559" t="s">
        <v>84</v>
      </c>
      <c r="H4559" t="s">
        <v>2349</v>
      </c>
      <c r="I4559" t="s">
        <v>2350</v>
      </c>
      <c r="J4559" t="s">
        <v>52</v>
      </c>
      <c r="K4559" s="3">
        <v>10044903464</v>
      </c>
      <c r="L4559" s="10">
        <v>41253</v>
      </c>
      <c r="M4559">
        <v>4887.14</v>
      </c>
      <c r="N4559" s="11">
        <v>12</v>
      </c>
      <c r="O4559" s="12">
        <v>424.21</v>
      </c>
      <c r="P4559" s="12">
        <v>110.2</v>
      </c>
      <c r="Q4559" s="13">
        <v>-694.33</v>
      </c>
      <c r="R4559" s="36" t="s">
        <v>2260</v>
      </c>
      <c r="S4559" s="7">
        <f t="shared" si="383"/>
        <v>1</v>
      </c>
      <c r="T4559" s="15" t="str">
        <f>VLOOKUP(R4559,产品分类!$C$2:$D$1278,2,0)</f>
        <v>家具产品</v>
      </c>
    </row>
    <row r="4560" spans="1:20">
      <c r="A4560" s="8">
        <f t="shared" si="385"/>
        <v>41252</v>
      </c>
      <c r="B4560" s="8">
        <f t="shared" si="385"/>
        <v>41252</v>
      </c>
      <c r="C4560" s="9" t="s">
        <v>1714</v>
      </c>
      <c r="D4560">
        <v>10021456049</v>
      </c>
      <c r="E4560" t="s">
        <v>47</v>
      </c>
      <c r="F4560" t="s">
        <v>61</v>
      </c>
      <c r="G4560" t="s">
        <v>62</v>
      </c>
      <c r="H4560" t="s">
        <v>2356</v>
      </c>
      <c r="I4560" t="s">
        <v>2357</v>
      </c>
      <c r="J4560" t="s">
        <v>52</v>
      </c>
      <c r="K4560" s="3">
        <v>10099626331</v>
      </c>
      <c r="L4560" s="10">
        <v>41253</v>
      </c>
      <c r="M4560">
        <v>7195.2585</v>
      </c>
      <c r="N4560" s="11">
        <v>44</v>
      </c>
      <c r="O4560" s="12">
        <v>200.99</v>
      </c>
      <c r="P4560" s="12">
        <v>8.08</v>
      </c>
      <c r="Q4560" s="13">
        <v>1698.156</v>
      </c>
      <c r="R4560" s="36" t="s">
        <v>1199</v>
      </c>
      <c r="S4560" s="7">
        <f t="shared" si="383"/>
        <v>1</v>
      </c>
      <c r="T4560" s="15" t="str">
        <f>VLOOKUP(R4560,产品分类!$C$2:$D$1278,2,0)</f>
        <v>数码电子</v>
      </c>
    </row>
    <row r="4561" spans="1:20">
      <c r="A4561" s="8">
        <f>DATE(2012,12,31)-378</f>
        <v>40896</v>
      </c>
      <c r="B4561" s="8">
        <f>DATE(2012,12,31)-378</f>
        <v>40896</v>
      </c>
      <c r="C4561" s="9" t="s">
        <v>500</v>
      </c>
      <c r="D4561">
        <v>10021562321</v>
      </c>
      <c r="E4561" t="s">
        <v>47</v>
      </c>
      <c r="F4561" t="s">
        <v>48</v>
      </c>
      <c r="G4561" t="s">
        <v>49</v>
      </c>
      <c r="H4561" t="s">
        <v>2183</v>
      </c>
      <c r="I4561" t="s">
        <v>2184</v>
      </c>
      <c r="J4561" t="s">
        <v>52</v>
      </c>
      <c r="K4561" s="3">
        <v>100430750663</v>
      </c>
      <c r="L4561" s="10">
        <v>40896</v>
      </c>
      <c r="M4561">
        <v>2638.79</v>
      </c>
      <c r="N4561" s="11">
        <v>37</v>
      </c>
      <c r="O4561" s="12">
        <v>70.89</v>
      </c>
      <c r="P4561" s="12">
        <v>89.3</v>
      </c>
      <c r="Q4561" s="13">
        <v>54.23085</v>
      </c>
      <c r="R4561" s="36" t="s">
        <v>70</v>
      </c>
      <c r="S4561" s="7">
        <f t="shared" si="383"/>
        <v>0</v>
      </c>
      <c r="T4561" s="15" t="str">
        <f>VLOOKUP(R4561,产品分类!$C$2:$D$1278,2,0)</f>
        <v>数码电子</v>
      </c>
    </row>
    <row r="4562" spans="1:20">
      <c r="A4562" s="8">
        <f>DATE(2012,12,31)-1378</f>
        <v>39896</v>
      </c>
      <c r="B4562" s="8">
        <f>DATE(2012,12,31)-1378</f>
        <v>39896</v>
      </c>
      <c r="C4562" s="9" t="s">
        <v>2051</v>
      </c>
      <c r="D4562">
        <v>10021602064</v>
      </c>
      <c r="E4562" t="s">
        <v>47</v>
      </c>
      <c r="F4562" t="s">
        <v>97</v>
      </c>
      <c r="G4562" t="s">
        <v>98</v>
      </c>
      <c r="H4562" t="s">
        <v>99</v>
      </c>
      <c r="I4562" t="s">
        <v>98</v>
      </c>
      <c r="J4562" t="s">
        <v>52</v>
      </c>
      <c r="K4562" s="3">
        <v>10091254981</v>
      </c>
      <c r="L4562" s="10">
        <v>39897</v>
      </c>
      <c r="M4562">
        <v>580.56</v>
      </c>
      <c r="N4562" s="11">
        <v>42</v>
      </c>
      <c r="O4562" s="12">
        <v>14.28</v>
      </c>
      <c r="P4562" s="12">
        <v>2.99</v>
      </c>
      <c r="Q4562" s="13">
        <v>163.6335</v>
      </c>
      <c r="R4562" s="36" t="s">
        <v>2361</v>
      </c>
      <c r="S4562" s="7">
        <f t="shared" si="383"/>
        <v>1</v>
      </c>
      <c r="T4562" s="15" t="str">
        <f>VLOOKUP(R4562,产品分类!$C$2:$D$1278,2,0)</f>
        <v>数码电子</v>
      </c>
    </row>
    <row r="4563" spans="1:20">
      <c r="A4563" s="8">
        <f>DATE(2012,12,31)-532</f>
        <v>40742</v>
      </c>
      <c r="B4563" s="8">
        <f>DATE(2012,12,31)-532</f>
        <v>40742</v>
      </c>
      <c r="C4563" s="9" t="s">
        <v>1439</v>
      </c>
      <c r="D4563">
        <v>10021393679</v>
      </c>
      <c r="E4563" t="s">
        <v>47</v>
      </c>
      <c r="F4563" t="s">
        <v>55</v>
      </c>
      <c r="G4563" t="s">
        <v>56</v>
      </c>
      <c r="H4563" t="s">
        <v>2331</v>
      </c>
      <c r="I4563" t="s">
        <v>2332</v>
      </c>
      <c r="J4563" t="s">
        <v>52</v>
      </c>
      <c r="K4563" s="3">
        <v>100732168145</v>
      </c>
      <c r="L4563" s="10">
        <v>40743</v>
      </c>
      <c r="M4563">
        <v>8.6</v>
      </c>
      <c r="N4563" s="11">
        <v>3</v>
      </c>
      <c r="O4563" s="12">
        <v>2.88</v>
      </c>
      <c r="P4563" s="12">
        <v>0.5</v>
      </c>
      <c r="Q4563" s="13">
        <v>-2.03</v>
      </c>
      <c r="R4563" s="36" t="s">
        <v>2250</v>
      </c>
      <c r="S4563" s="7">
        <f t="shared" si="383"/>
        <v>1</v>
      </c>
      <c r="T4563" s="15" t="str">
        <f>VLOOKUP(R4563,产品分类!$C$2:$D$1278,2,0)</f>
        <v>数码电子</v>
      </c>
    </row>
    <row r="4564" spans="1:20">
      <c r="A4564" s="16">
        <f>DATE(2012,12,31)-641</f>
        <v>40633</v>
      </c>
      <c r="B4564" s="16">
        <f>DATE(2012,12,31)-641</f>
        <v>40633</v>
      </c>
      <c r="C4564" s="9" t="s">
        <v>2362</v>
      </c>
      <c r="D4564">
        <v>10021644058</v>
      </c>
      <c r="E4564" t="s">
        <v>47</v>
      </c>
      <c r="F4564" t="s">
        <v>91</v>
      </c>
      <c r="G4564" t="s">
        <v>92</v>
      </c>
      <c r="H4564" t="s">
        <v>2053</v>
      </c>
      <c r="I4564" t="s">
        <v>2054</v>
      </c>
      <c r="J4564" t="s">
        <v>52</v>
      </c>
      <c r="K4564" s="3">
        <v>100110041167</v>
      </c>
      <c r="L4564" s="10">
        <v>40634</v>
      </c>
      <c r="M4564">
        <v>83.89</v>
      </c>
      <c r="N4564" s="17">
        <v>12</v>
      </c>
      <c r="O4564" s="5">
        <v>6.81</v>
      </c>
      <c r="P4564" s="5">
        <v>5.48</v>
      </c>
      <c r="Q4564" s="6">
        <v>-29.5895</v>
      </c>
      <c r="R4564" s="37" t="s">
        <v>1617</v>
      </c>
      <c r="S4564" s="7">
        <f t="shared" si="383"/>
        <v>1</v>
      </c>
      <c r="T4564" s="15" t="str">
        <f>VLOOKUP(R4564,产品分类!$C$2:$D$1278,2,0)</f>
        <v>办公用品</v>
      </c>
    </row>
    <row r="4565" spans="1:20">
      <c r="A4565" s="8">
        <f>DATE(2012,12,31)-830</f>
        <v>40444</v>
      </c>
      <c r="B4565" s="8">
        <f>DATE(2012,12,31)-830</f>
        <v>40444</v>
      </c>
      <c r="C4565" s="9" t="s">
        <v>176</v>
      </c>
      <c r="D4565">
        <v>10021651918</v>
      </c>
      <c r="E4565" t="s">
        <v>47</v>
      </c>
      <c r="F4565" t="s">
        <v>171</v>
      </c>
      <c r="G4565" t="s">
        <v>172</v>
      </c>
      <c r="H4565" t="s">
        <v>2352</v>
      </c>
      <c r="I4565" t="s">
        <v>2353</v>
      </c>
      <c r="J4565" t="s">
        <v>52</v>
      </c>
      <c r="K4565" s="3">
        <v>100933182571</v>
      </c>
      <c r="L4565" s="10">
        <v>40445</v>
      </c>
      <c r="M4565">
        <v>4620.53</v>
      </c>
      <c r="N4565" s="11">
        <v>43</v>
      </c>
      <c r="O4565" s="12">
        <v>99.99</v>
      </c>
      <c r="P4565" s="12">
        <v>19.99</v>
      </c>
      <c r="Q4565" s="13">
        <v>1025.23</v>
      </c>
      <c r="R4565" s="36" t="s">
        <v>532</v>
      </c>
      <c r="S4565" s="7">
        <f t="shared" si="383"/>
        <v>1</v>
      </c>
      <c r="T4565" s="15" t="str">
        <f>VLOOKUP(R4565,产品分类!$C$2:$D$1278,2,0)</f>
        <v>办公用品</v>
      </c>
    </row>
    <row r="4566" spans="1:20">
      <c r="A4566" s="8">
        <f>DATE(2012,12,31)-696</f>
        <v>40578</v>
      </c>
      <c r="B4566" s="8">
        <f>DATE(2012,12,31)-696</f>
        <v>40578</v>
      </c>
      <c r="C4566" s="9" t="s">
        <v>1083</v>
      </c>
      <c r="D4566">
        <v>10021440207</v>
      </c>
      <c r="E4566" t="s">
        <v>47</v>
      </c>
      <c r="F4566" t="s">
        <v>97</v>
      </c>
      <c r="G4566" t="s">
        <v>98</v>
      </c>
      <c r="H4566" t="s">
        <v>99</v>
      </c>
      <c r="I4566" t="s">
        <v>98</v>
      </c>
      <c r="J4566" t="s">
        <v>52</v>
      </c>
      <c r="K4566" s="3">
        <v>100132260386</v>
      </c>
      <c r="L4566" s="10">
        <v>40579</v>
      </c>
      <c r="M4566">
        <v>2502.67</v>
      </c>
      <c r="N4566" s="11">
        <v>9</v>
      </c>
      <c r="O4566" s="12">
        <v>300.98</v>
      </c>
      <c r="P4566" s="12">
        <v>64.73</v>
      </c>
      <c r="Q4566" s="13">
        <v>-198.8</v>
      </c>
      <c r="R4566" s="36" t="s">
        <v>1063</v>
      </c>
      <c r="S4566" s="7">
        <f t="shared" si="383"/>
        <v>1</v>
      </c>
      <c r="T4566" s="15" t="str">
        <f>VLOOKUP(R4566,产品分类!$C$2:$D$1278,2,0)</f>
        <v>办公用品</v>
      </c>
    </row>
    <row r="4567" spans="1:20">
      <c r="A4567" s="8">
        <f>DATE(2012,12,31)-333</f>
        <v>40941</v>
      </c>
      <c r="B4567" s="8">
        <f>DATE(2012,12,31)-333</f>
        <v>40941</v>
      </c>
      <c r="C4567" s="9" t="s">
        <v>683</v>
      </c>
      <c r="D4567">
        <v>10021271594</v>
      </c>
      <c r="E4567" t="s">
        <v>47</v>
      </c>
      <c r="F4567" t="s">
        <v>342</v>
      </c>
      <c r="G4567" t="s">
        <v>343</v>
      </c>
      <c r="H4567" t="s">
        <v>2309</v>
      </c>
      <c r="I4567" t="s">
        <v>2310</v>
      </c>
      <c r="J4567" t="s">
        <v>52</v>
      </c>
      <c r="K4567" s="3">
        <v>100127154678</v>
      </c>
      <c r="L4567" s="10">
        <v>40946</v>
      </c>
      <c r="M4567">
        <v>3982.21</v>
      </c>
      <c r="N4567" s="11">
        <v>23</v>
      </c>
      <c r="O4567" s="12">
        <v>165.98</v>
      </c>
      <c r="P4567" s="12">
        <v>19.99</v>
      </c>
      <c r="Q4567" s="13">
        <v>1413.941</v>
      </c>
      <c r="R4567" s="36" t="s">
        <v>990</v>
      </c>
      <c r="S4567" s="7">
        <f t="shared" si="383"/>
        <v>5</v>
      </c>
      <c r="T4567" s="15" t="str">
        <f>VLOOKUP(R4567,产品分类!$C$2:$D$1278,2,0)</f>
        <v>家具产品</v>
      </c>
    </row>
    <row r="4568" spans="1:20">
      <c r="A4568" s="8">
        <f>DATE(2012,12,31)-333</f>
        <v>40941</v>
      </c>
      <c r="B4568" s="8">
        <f>DATE(2012,12,31)-333</f>
        <v>40941</v>
      </c>
      <c r="C4568" s="9" t="s">
        <v>683</v>
      </c>
      <c r="D4568">
        <v>10021643665</v>
      </c>
      <c r="E4568" t="s">
        <v>47</v>
      </c>
      <c r="F4568" t="s">
        <v>55</v>
      </c>
      <c r="G4568" t="s">
        <v>56</v>
      </c>
      <c r="H4568" t="s">
        <v>2331</v>
      </c>
      <c r="I4568" t="s">
        <v>2332</v>
      </c>
      <c r="J4568" t="s">
        <v>52</v>
      </c>
      <c r="K4568" s="3">
        <v>100922016081</v>
      </c>
      <c r="L4568" s="10">
        <v>40946</v>
      </c>
      <c r="M4568">
        <v>66.55</v>
      </c>
      <c r="N4568" s="11">
        <v>40</v>
      </c>
      <c r="O4568" s="12">
        <v>1.6</v>
      </c>
      <c r="P4568" s="12">
        <v>1.29</v>
      </c>
      <c r="Q4568" s="13">
        <v>-15.13</v>
      </c>
      <c r="R4568" s="36" t="s">
        <v>2253</v>
      </c>
      <c r="S4568" s="7">
        <f t="shared" si="383"/>
        <v>5</v>
      </c>
      <c r="T4568" s="15" t="str">
        <f>VLOOKUP(R4568,产品分类!$C$2:$D$1278,2,0)</f>
        <v>办公用品</v>
      </c>
    </row>
    <row r="4569" spans="1:20">
      <c r="A4569" s="16">
        <f>DATE(2012,12,31)-799</f>
        <v>40475</v>
      </c>
      <c r="B4569" s="16">
        <f>DATE(2012,12,31)-799</f>
        <v>40475</v>
      </c>
      <c r="C4569" s="9" t="s">
        <v>1428</v>
      </c>
      <c r="D4569">
        <v>10021497206</v>
      </c>
      <c r="E4569" t="s">
        <v>47</v>
      </c>
      <c r="F4569" t="s">
        <v>48</v>
      </c>
      <c r="G4569" t="s">
        <v>49</v>
      </c>
      <c r="H4569" t="s">
        <v>2183</v>
      </c>
      <c r="I4569" t="s">
        <v>2184</v>
      </c>
      <c r="J4569" t="s">
        <v>52</v>
      </c>
      <c r="K4569" s="3">
        <v>100310400339</v>
      </c>
      <c r="L4569" s="10">
        <v>40477</v>
      </c>
      <c r="M4569">
        <v>43.96</v>
      </c>
      <c r="N4569" s="17">
        <v>15</v>
      </c>
      <c r="O4569" s="5">
        <v>2.78</v>
      </c>
      <c r="P4569" s="5">
        <v>1.49</v>
      </c>
      <c r="Q4569" s="6">
        <v>-0.2415</v>
      </c>
      <c r="R4569" s="37" t="s">
        <v>1765</v>
      </c>
      <c r="S4569" s="7">
        <f t="shared" si="383"/>
        <v>2</v>
      </c>
      <c r="T4569" s="15" t="str">
        <f>VLOOKUP(R4569,产品分类!$C$2:$D$1278,2,0)</f>
        <v>家具产品</v>
      </c>
    </row>
    <row r="4570" spans="1:20">
      <c r="A4570" s="16">
        <f>DATE(2012,12,31)-799</f>
        <v>40475</v>
      </c>
      <c r="B4570" s="16">
        <f>DATE(2012,12,31)-799</f>
        <v>40475</v>
      </c>
      <c r="C4570" s="9" t="s">
        <v>1428</v>
      </c>
      <c r="D4570">
        <v>10021295264</v>
      </c>
      <c r="E4570" t="s">
        <v>47</v>
      </c>
      <c r="F4570" t="s">
        <v>152</v>
      </c>
      <c r="G4570" t="s">
        <v>153</v>
      </c>
      <c r="H4570" t="s">
        <v>2302</v>
      </c>
      <c r="I4570" t="s">
        <v>2303</v>
      </c>
      <c r="J4570" t="s">
        <v>52</v>
      </c>
      <c r="K4570" s="3">
        <v>100115622518</v>
      </c>
      <c r="L4570" s="10">
        <v>40477</v>
      </c>
      <c r="M4570">
        <v>60.19</v>
      </c>
      <c r="N4570" s="17">
        <v>7</v>
      </c>
      <c r="O4570" s="5">
        <v>7.78</v>
      </c>
      <c r="P4570" s="5">
        <v>2.5</v>
      </c>
      <c r="Q4570" s="6">
        <v>6.44</v>
      </c>
      <c r="R4570" s="37" t="s">
        <v>1886</v>
      </c>
      <c r="S4570" s="7">
        <f t="shared" si="383"/>
        <v>2</v>
      </c>
      <c r="T4570" s="15" t="str">
        <f>VLOOKUP(R4570,产品分类!$C$2:$D$1278,2,0)</f>
        <v>数码电子</v>
      </c>
    </row>
    <row r="4571" spans="1:20">
      <c r="A4571" s="8">
        <f>DATE(2012,12,31)-815</f>
        <v>40459</v>
      </c>
      <c r="B4571" s="8">
        <f>DATE(2012,12,31)-815</f>
        <v>40459</v>
      </c>
      <c r="C4571" s="9" t="s">
        <v>1330</v>
      </c>
      <c r="D4571">
        <v>10021268942</v>
      </c>
      <c r="E4571" t="s">
        <v>47</v>
      </c>
      <c r="F4571" t="s">
        <v>66</v>
      </c>
      <c r="G4571" t="s">
        <v>67</v>
      </c>
      <c r="H4571" t="s">
        <v>2359</v>
      </c>
      <c r="I4571" t="s">
        <v>2360</v>
      </c>
      <c r="J4571" t="s">
        <v>52</v>
      </c>
      <c r="K4571" s="3">
        <v>100832420342</v>
      </c>
      <c r="L4571" s="10">
        <v>40464</v>
      </c>
      <c r="M4571">
        <v>85.36</v>
      </c>
      <c r="N4571" s="11">
        <v>8</v>
      </c>
      <c r="O4571" s="12">
        <v>10.89</v>
      </c>
      <c r="P4571" s="12">
        <v>4.5</v>
      </c>
      <c r="Q4571" s="13">
        <v>-23.82</v>
      </c>
      <c r="R4571" s="36" t="s">
        <v>269</v>
      </c>
      <c r="S4571" s="7">
        <f t="shared" si="383"/>
        <v>5</v>
      </c>
      <c r="T4571" s="15" t="str">
        <f>VLOOKUP(R4571,产品分类!$C$2:$D$1278,2,0)</f>
        <v>办公用品</v>
      </c>
    </row>
    <row r="4572" spans="1:20">
      <c r="A4572" s="8">
        <f>DATE(2012,12,31)-654</f>
        <v>40620</v>
      </c>
      <c r="B4572" s="8">
        <f>DATE(2012,12,31)-654</f>
        <v>40620</v>
      </c>
      <c r="C4572" s="9" t="s">
        <v>1512</v>
      </c>
      <c r="D4572">
        <v>10021426897</v>
      </c>
      <c r="E4572" t="s">
        <v>47</v>
      </c>
      <c r="F4572" t="s">
        <v>48</v>
      </c>
      <c r="G4572" t="s">
        <v>49</v>
      </c>
      <c r="H4572" t="s">
        <v>2183</v>
      </c>
      <c r="I4572" t="s">
        <v>2184</v>
      </c>
      <c r="J4572" t="s">
        <v>52</v>
      </c>
      <c r="K4572" s="3">
        <v>100430296514</v>
      </c>
      <c r="L4572" s="10">
        <v>40622</v>
      </c>
      <c r="M4572">
        <v>156.09</v>
      </c>
      <c r="N4572" s="11">
        <v>6</v>
      </c>
      <c r="O4572" s="12">
        <v>22.38</v>
      </c>
      <c r="P4572" s="12">
        <v>15.1</v>
      </c>
      <c r="Q4572" s="13">
        <v>-34.845</v>
      </c>
      <c r="R4572" s="36" t="s">
        <v>938</v>
      </c>
      <c r="S4572" s="7">
        <f t="shared" si="383"/>
        <v>2</v>
      </c>
      <c r="T4572" s="15" t="str">
        <f>VLOOKUP(R4572,产品分类!$C$2:$D$1278,2,0)</f>
        <v>办公用品</v>
      </c>
    </row>
    <row r="4573" spans="1:20">
      <c r="A4573" s="8">
        <f>DATE(2012,12,31)-654</f>
        <v>40620</v>
      </c>
      <c r="B4573" s="8">
        <f>DATE(2012,12,31)-654</f>
        <v>40620</v>
      </c>
      <c r="C4573" s="9" t="s">
        <v>1512</v>
      </c>
      <c r="D4573">
        <v>10021262196</v>
      </c>
      <c r="E4573" t="s">
        <v>47</v>
      </c>
      <c r="F4573" t="s">
        <v>152</v>
      </c>
      <c r="G4573" t="s">
        <v>153</v>
      </c>
      <c r="H4573" t="s">
        <v>2302</v>
      </c>
      <c r="I4573" t="s">
        <v>2303</v>
      </c>
      <c r="J4573" t="s">
        <v>52</v>
      </c>
      <c r="K4573" s="3">
        <v>100428552783</v>
      </c>
      <c r="L4573" s="10">
        <v>40621</v>
      </c>
      <c r="M4573">
        <v>1294.023</v>
      </c>
      <c r="N4573" s="11">
        <v>47</v>
      </c>
      <c r="O4573" s="12">
        <v>35.99</v>
      </c>
      <c r="P4573" s="12">
        <v>1.25</v>
      </c>
      <c r="Q4573" s="13">
        <v>607.257</v>
      </c>
      <c r="R4573" s="36" t="s">
        <v>1822</v>
      </c>
      <c r="S4573" s="7">
        <f t="shared" si="383"/>
        <v>1</v>
      </c>
      <c r="T4573" s="15" t="str">
        <f>VLOOKUP(R4573,产品分类!$C$2:$D$1278,2,0)</f>
        <v>家具产品</v>
      </c>
    </row>
    <row r="4574" spans="1:20">
      <c r="A4574" s="8">
        <f>DATE(2012,12,31)-473</f>
        <v>40801</v>
      </c>
      <c r="B4574" s="8">
        <f>DATE(2012,12,31)-473</f>
        <v>40801</v>
      </c>
      <c r="C4574" s="9" t="s">
        <v>2363</v>
      </c>
      <c r="D4574">
        <v>10021255686</v>
      </c>
      <c r="E4574" t="s">
        <v>47</v>
      </c>
      <c r="F4574" t="s">
        <v>152</v>
      </c>
      <c r="G4574" t="s">
        <v>153</v>
      </c>
      <c r="H4574" t="s">
        <v>2302</v>
      </c>
      <c r="I4574" t="s">
        <v>2303</v>
      </c>
      <c r="J4574" t="s">
        <v>52</v>
      </c>
      <c r="K4574" s="3">
        <v>100124368007</v>
      </c>
      <c r="L4574" s="10">
        <v>40801</v>
      </c>
      <c r="M4574">
        <v>166.8</v>
      </c>
      <c r="N4574" s="11">
        <v>23</v>
      </c>
      <c r="O4574" s="12">
        <v>7.4</v>
      </c>
      <c r="P4574" s="12">
        <v>1.71</v>
      </c>
      <c r="Q4574" s="13">
        <v>44.59</v>
      </c>
      <c r="R4574" s="36" t="s">
        <v>1645</v>
      </c>
      <c r="S4574" s="7">
        <f t="shared" si="383"/>
        <v>0</v>
      </c>
      <c r="T4574" s="15" t="str">
        <f>VLOOKUP(R4574,产品分类!$C$2:$D$1278,2,0)</f>
        <v>办公用品</v>
      </c>
    </row>
    <row r="4575" spans="1:20">
      <c r="A4575" s="8">
        <f>DATE(2012,12,31)-473</f>
        <v>40801</v>
      </c>
      <c r="B4575" s="8">
        <f>DATE(2012,12,31)-473</f>
        <v>40801</v>
      </c>
      <c r="C4575" s="9" t="s">
        <v>2363</v>
      </c>
      <c r="D4575">
        <v>10021581427</v>
      </c>
      <c r="E4575" t="s">
        <v>47</v>
      </c>
      <c r="F4575" t="s">
        <v>66</v>
      </c>
      <c r="G4575" t="s">
        <v>67</v>
      </c>
      <c r="H4575" t="s">
        <v>2359</v>
      </c>
      <c r="I4575" t="s">
        <v>2360</v>
      </c>
      <c r="J4575" t="s">
        <v>52</v>
      </c>
      <c r="K4575" s="3">
        <v>100424375883</v>
      </c>
      <c r="L4575" s="10">
        <v>40803</v>
      </c>
      <c r="M4575">
        <v>261.38</v>
      </c>
      <c r="N4575" s="11">
        <v>38</v>
      </c>
      <c r="O4575" s="12">
        <v>6.48</v>
      </c>
      <c r="P4575" s="12">
        <v>8.74</v>
      </c>
      <c r="Q4575" s="13">
        <v>-172.35</v>
      </c>
      <c r="R4575" s="36" t="s">
        <v>194</v>
      </c>
      <c r="S4575" s="7">
        <f t="shared" si="383"/>
        <v>2</v>
      </c>
      <c r="T4575" s="15" t="str">
        <f>VLOOKUP(R4575,产品分类!$C$2:$D$1278,2,0)</f>
        <v>办公用品</v>
      </c>
    </row>
    <row r="4576" spans="1:20">
      <c r="A4576" s="8">
        <f>DATE(2012,12,31)-1285</f>
        <v>39989</v>
      </c>
      <c r="B4576" s="8">
        <f>DATE(2012,12,31)-1285</f>
        <v>39989</v>
      </c>
      <c r="C4576" s="9" t="s">
        <v>1662</v>
      </c>
      <c r="D4576">
        <v>10021337405</v>
      </c>
      <c r="E4576" t="s">
        <v>47</v>
      </c>
      <c r="F4576" t="s">
        <v>152</v>
      </c>
      <c r="G4576" t="s">
        <v>153</v>
      </c>
      <c r="H4576" t="s">
        <v>2302</v>
      </c>
      <c r="I4576" t="s">
        <v>2303</v>
      </c>
      <c r="J4576" t="s">
        <v>52</v>
      </c>
      <c r="K4576" s="3">
        <v>100122036566</v>
      </c>
      <c r="L4576" s="10">
        <v>39990</v>
      </c>
      <c r="M4576">
        <v>2780.88</v>
      </c>
      <c r="N4576" s="11">
        <v>27</v>
      </c>
      <c r="O4576" s="12">
        <v>105.34</v>
      </c>
      <c r="P4576" s="12">
        <v>24.49</v>
      </c>
      <c r="Q4576" s="13">
        <v>595.38</v>
      </c>
      <c r="R4576" s="36" t="s">
        <v>1441</v>
      </c>
      <c r="S4576" s="7">
        <f t="shared" si="383"/>
        <v>1</v>
      </c>
      <c r="T4576" s="15" t="str">
        <f>VLOOKUP(R4576,产品分类!$C$2:$D$1278,2,0)</f>
        <v>办公用品</v>
      </c>
    </row>
    <row r="4577" spans="1:20">
      <c r="A4577" s="16">
        <f>DATE(2012,12,31)-223</f>
        <v>41051</v>
      </c>
      <c r="B4577" s="16">
        <f>DATE(2012,12,31)-223</f>
        <v>41051</v>
      </c>
      <c r="C4577" s="9" t="s">
        <v>1060</v>
      </c>
      <c r="D4577">
        <v>10021348004</v>
      </c>
      <c r="E4577" t="s">
        <v>47</v>
      </c>
      <c r="F4577" t="s">
        <v>152</v>
      </c>
      <c r="G4577" t="s">
        <v>153</v>
      </c>
      <c r="H4577" t="s">
        <v>2302</v>
      </c>
      <c r="I4577" t="s">
        <v>2303</v>
      </c>
      <c r="J4577" t="s">
        <v>52</v>
      </c>
      <c r="K4577" s="3">
        <v>10015386198</v>
      </c>
      <c r="L4577" s="10">
        <v>41053</v>
      </c>
      <c r="M4577">
        <v>1361.91</v>
      </c>
      <c r="N4577" s="17">
        <v>20</v>
      </c>
      <c r="O4577" s="5">
        <v>70.97</v>
      </c>
      <c r="P4577" s="5">
        <v>3.5</v>
      </c>
      <c r="Q4577" s="6">
        <v>312.52</v>
      </c>
      <c r="R4577" s="37" t="s">
        <v>365</v>
      </c>
      <c r="S4577" s="7">
        <f t="shared" si="383"/>
        <v>2</v>
      </c>
      <c r="T4577" s="15" t="str">
        <f>VLOOKUP(R4577,产品分类!$C$2:$D$1278,2,0)</f>
        <v>数码电子</v>
      </c>
    </row>
    <row r="4578" spans="1:20">
      <c r="A4578" s="8">
        <f>DATE(2012,12,31)-134</f>
        <v>41140</v>
      </c>
      <c r="B4578" s="8">
        <f>DATE(2012,12,31)-134</f>
        <v>41140</v>
      </c>
      <c r="C4578" s="9" t="s">
        <v>763</v>
      </c>
      <c r="D4578">
        <v>10021577485</v>
      </c>
      <c r="E4578" t="s">
        <v>47</v>
      </c>
      <c r="F4578" t="s">
        <v>152</v>
      </c>
      <c r="G4578" t="s">
        <v>153</v>
      </c>
      <c r="H4578" t="s">
        <v>2302</v>
      </c>
      <c r="I4578" t="s">
        <v>2303</v>
      </c>
      <c r="J4578" t="s">
        <v>52</v>
      </c>
      <c r="K4578" s="3">
        <v>100111029818</v>
      </c>
      <c r="L4578" s="10">
        <v>41141</v>
      </c>
      <c r="M4578">
        <v>316.99</v>
      </c>
      <c r="N4578" s="11">
        <v>47</v>
      </c>
      <c r="O4578" s="12">
        <v>6.84</v>
      </c>
      <c r="P4578" s="12">
        <v>8.37</v>
      </c>
      <c r="Q4578" s="13">
        <v>-276.54</v>
      </c>
      <c r="R4578" s="36" t="s">
        <v>1239</v>
      </c>
      <c r="S4578" s="7">
        <f t="shared" si="383"/>
        <v>1</v>
      </c>
      <c r="T4578" s="15" t="str">
        <f>VLOOKUP(R4578,产品分类!$C$2:$D$1278,2,0)</f>
        <v>办公用品</v>
      </c>
    </row>
    <row r="4579" spans="1:20">
      <c r="A4579" s="8">
        <f>DATE(2012,12,31)-134</f>
        <v>41140</v>
      </c>
      <c r="B4579" s="8">
        <f>DATE(2012,12,31)-134</f>
        <v>41140</v>
      </c>
      <c r="C4579" s="9" t="s">
        <v>763</v>
      </c>
      <c r="D4579">
        <v>10021531050</v>
      </c>
      <c r="E4579" t="s">
        <v>47</v>
      </c>
      <c r="F4579" t="s">
        <v>66</v>
      </c>
      <c r="G4579" t="s">
        <v>67</v>
      </c>
      <c r="H4579" t="s">
        <v>2359</v>
      </c>
      <c r="I4579" t="s">
        <v>2360</v>
      </c>
      <c r="J4579" t="s">
        <v>52</v>
      </c>
      <c r="K4579" s="3">
        <v>100930718461</v>
      </c>
      <c r="L4579" s="10">
        <v>41141</v>
      </c>
      <c r="M4579">
        <v>1991.8985</v>
      </c>
      <c r="N4579" s="11">
        <v>20</v>
      </c>
      <c r="O4579" s="12">
        <v>125.99</v>
      </c>
      <c r="P4579" s="12">
        <v>7.69</v>
      </c>
      <c r="Q4579" s="13">
        <v>88.362</v>
      </c>
      <c r="R4579" s="36" t="s">
        <v>903</v>
      </c>
      <c r="S4579" s="7">
        <f t="shared" si="383"/>
        <v>1</v>
      </c>
      <c r="T4579" s="15" t="str">
        <f>VLOOKUP(R4579,产品分类!$C$2:$D$1278,2,0)</f>
        <v>家具产品</v>
      </c>
    </row>
    <row r="4580" spans="1:20">
      <c r="A4580" s="8">
        <f t="shared" ref="A4580:B4583" si="386">DATE(2012,12,31)-1222</f>
        <v>40052</v>
      </c>
      <c r="B4580" s="8">
        <f t="shared" si="386"/>
        <v>40052</v>
      </c>
      <c r="C4580" s="9" t="s">
        <v>826</v>
      </c>
      <c r="D4580">
        <v>10021469043</v>
      </c>
      <c r="E4580" t="s">
        <v>47</v>
      </c>
      <c r="F4580" t="s">
        <v>152</v>
      </c>
      <c r="G4580" t="s">
        <v>153</v>
      </c>
      <c r="H4580" t="s">
        <v>2302</v>
      </c>
      <c r="I4580" t="s">
        <v>2303</v>
      </c>
      <c r="J4580" t="s">
        <v>52</v>
      </c>
      <c r="K4580" s="3">
        <v>100931781641</v>
      </c>
      <c r="L4580" s="10">
        <v>40054</v>
      </c>
      <c r="M4580">
        <v>33.76</v>
      </c>
      <c r="N4580" s="11">
        <v>16</v>
      </c>
      <c r="O4580" s="12">
        <v>2.08</v>
      </c>
      <c r="P4580" s="12">
        <v>1.49</v>
      </c>
      <c r="Q4580" s="13">
        <v>-7.153</v>
      </c>
      <c r="R4580" s="36" t="s">
        <v>1351</v>
      </c>
      <c r="S4580" s="7">
        <f t="shared" si="383"/>
        <v>2</v>
      </c>
      <c r="T4580" s="15" t="str">
        <f>VLOOKUP(R4580,产品分类!$C$2:$D$1278,2,0)</f>
        <v>办公用品</v>
      </c>
    </row>
    <row r="4581" spans="1:20">
      <c r="A4581" s="8">
        <f t="shared" si="386"/>
        <v>40052</v>
      </c>
      <c r="B4581" s="8">
        <f t="shared" si="386"/>
        <v>40052</v>
      </c>
      <c r="C4581" s="9" t="s">
        <v>826</v>
      </c>
      <c r="D4581">
        <v>10021574558</v>
      </c>
      <c r="E4581" t="s">
        <v>47</v>
      </c>
      <c r="F4581" t="s">
        <v>48</v>
      </c>
      <c r="G4581" t="s">
        <v>49</v>
      </c>
      <c r="H4581" t="s">
        <v>2183</v>
      </c>
      <c r="I4581" t="s">
        <v>2184</v>
      </c>
      <c r="J4581" t="s">
        <v>52</v>
      </c>
      <c r="K4581" s="3">
        <v>10093594711</v>
      </c>
      <c r="L4581" s="10">
        <v>40053</v>
      </c>
      <c r="M4581">
        <v>3537.39</v>
      </c>
      <c r="N4581" s="11">
        <v>19</v>
      </c>
      <c r="O4581" s="12">
        <v>180.98</v>
      </c>
      <c r="P4581" s="12">
        <v>30</v>
      </c>
      <c r="Q4581" s="13">
        <v>232.78</v>
      </c>
      <c r="R4581" s="36" t="s">
        <v>1627</v>
      </c>
      <c r="S4581" s="7">
        <f t="shared" si="383"/>
        <v>1</v>
      </c>
      <c r="T4581" s="15" t="str">
        <f>VLOOKUP(R4581,产品分类!$C$2:$D$1278,2,0)</f>
        <v>办公用品</v>
      </c>
    </row>
    <row r="4582" spans="1:20">
      <c r="A4582" s="8">
        <f t="shared" si="386"/>
        <v>40052</v>
      </c>
      <c r="B4582" s="8">
        <f t="shared" si="386"/>
        <v>40052</v>
      </c>
      <c r="C4582" s="9" t="s">
        <v>826</v>
      </c>
      <c r="D4582">
        <v>10021623325</v>
      </c>
      <c r="E4582" t="s">
        <v>47</v>
      </c>
      <c r="F4582" t="s">
        <v>66</v>
      </c>
      <c r="G4582" t="s">
        <v>67</v>
      </c>
      <c r="H4582" t="s">
        <v>2359</v>
      </c>
      <c r="I4582" t="s">
        <v>2360</v>
      </c>
      <c r="J4582" t="s">
        <v>52</v>
      </c>
      <c r="K4582" s="3">
        <v>100121873117</v>
      </c>
      <c r="L4582" s="10">
        <v>40053</v>
      </c>
      <c r="M4582">
        <v>986.24</v>
      </c>
      <c r="N4582" s="11">
        <v>18</v>
      </c>
      <c r="O4582" s="12">
        <v>53.98</v>
      </c>
      <c r="P4582" s="12">
        <v>5.5</v>
      </c>
      <c r="Q4582" s="13">
        <v>68.9</v>
      </c>
      <c r="R4582" s="36" t="s">
        <v>814</v>
      </c>
      <c r="S4582" s="7">
        <f t="shared" si="383"/>
        <v>1</v>
      </c>
      <c r="T4582" s="15" t="str">
        <f>VLOOKUP(R4582,产品分类!$C$2:$D$1278,2,0)</f>
        <v>办公用品</v>
      </c>
    </row>
    <row r="4583" spans="1:20">
      <c r="A4583" s="8">
        <f t="shared" si="386"/>
        <v>40052</v>
      </c>
      <c r="B4583" s="8">
        <f t="shared" si="386"/>
        <v>40052</v>
      </c>
      <c r="C4583" s="9" t="s">
        <v>826</v>
      </c>
      <c r="D4583">
        <v>10021502692</v>
      </c>
      <c r="E4583" t="s">
        <v>47</v>
      </c>
      <c r="F4583" t="s">
        <v>152</v>
      </c>
      <c r="G4583" t="s">
        <v>153</v>
      </c>
      <c r="H4583" t="s">
        <v>2302</v>
      </c>
      <c r="I4583" t="s">
        <v>2303</v>
      </c>
      <c r="J4583" t="s">
        <v>52</v>
      </c>
      <c r="K4583" s="3">
        <v>100928936201</v>
      </c>
      <c r="L4583" s="10">
        <v>40052</v>
      </c>
      <c r="M4583">
        <v>81.66</v>
      </c>
      <c r="N4583" s="11">
        <v>15</v>
      </c>
      <c r="O4583" s="12">
        <v>4.98</v>
      </c>
      <c r="P4583" s="12">
        <v>5.02</v>
      </c>
      <c r="Q4583" s="13">
        <v>-31.99</v>
      </c>
      <c r="R4583" s="36" t="s">
        <v>2335</v>
      </c>
      <c r="S4583" s="7">
        <f t="shared" si="383"/>
        <v>0</v>
      </c>
      <c r="T4583" s="15" t="str">
        <f>VLOOKUP(R4583,产品分类!$C$2:$D$1278,2,0)</f>
        <v>办公用品</v>
      </c>
    </row>
    <row r="4584" spans="1:20">
      <c r="A4584" s="8">
        <f t="shared" ref="A4584:B4586" si="387">DATE(2012,12,31)-381</f>
        <v>40893</v>
      </c>
      <c r="B4584" s="8">
        <f t="shared" si="387"/>
        <v>40893</v>
      </c>
      <c r="C4584" s="9" t="s">
        <v>2364</v>
      </c>
      <c r="D4584">
        <v>10021587904</v>
      </c>
      <c r="E4584" t="s">
        <v>47</v>
      </c>
      <c r="F4584" t="s">
        <v>78</v>
      </c>
      <c r="G4584" t="s">
        <v>79</v>
      </c>
      <c r="H4584" t="s">
        <v>2105</v>
      </c>
      <c r="I4584" t="s">
        <v>2106</v>
      </c>
      <c r="J4584" t="s">
        <v>52</v>
      </c>
      <c r="K4584" s="3">
        <v>100430104363</v>
      </c>
      <c r="L4584" s="10">
        <v>40900</v>
      </c>
      <c r="M4584">
        <v>1359.74</v>
      </c>
      <c r="N4584" s="11">
        <v>31</v>
      </c>
      <c r="O4584" s="12">
        <v>43.98</v>
      </c>
      <c r="P4584" s="12">
        <v>8.99</v>
      </c>
      <c r="Q4584" s="13">
        <v>202.33</v>
      </c>
      <c r="R4584" s="36" t="s">
        <v>189</v>
      </c>
      <c r="S4584" s="7">
        <f t="shared" si="383"/>
        <v>7</v>
      </c>
      <c r="T4584" s="15" t="str">
        <f>VLOOKUP(R4584,产品分类!$C$2:$D$1278,2,0)</f>
        <v>数码电子</v>
      </c>
    </row>
    <row r="4585" spans="1:20">
      <c r="A4585" s="8">
        <f t="shared" si="387"/>
        <v>40893</v>
      </c>
      <c r="B4585" s="8">
        <f t="shared" si="387"/>
        <v>40893</v>
      </c>
      <c r="C4585" s="9" t="s">
        <v>2364</v>
      </c>
      <c r="D4585">
        <v>10021452308</v>
      </c>
      <c r="E4585" t="s">
        <v>47</v>
      </c>
      <c r="F4585" t="s">
        <v>72</v>
      </c>
      <c r="G4585" t="s">
        <v>73</v>
      </c>
      <c r="H4585" t="s">
        <v>2008</v>
      </c>
      <c r="I4585" t="s">
        <v>2009</v>
      </c>
      <c r="J4585" t="s">
        <v>52</v>
      </c>
      <c r="K4585" s="3">
        <v>100331051659</v>
      </c>
      <c r="L4585" s="10">
        <v>40895</v>
      </c>
      <c r="M4585">
        <v>5228.2</v>
      </c>
      <c r="N4585" s="11">
        <v>38</v>
      </c>
      <c r="O4585" s="12">
        <v>135.31</v>
      </c>
      <c r="P4585" s="12">
        <v>35</v>
      </c>
      <c r="Q4585" s="13">
        <v>-691.52</v>
      </c>
      <c r="R4585" s="36" t="s">
        <v>2365</v>
      </c>
      <c r="S4585" s="7">
        <f t="shared" si="383"/>
        <v>2</v>
      </c>
      <c r="T4585" s="15" t="str">
        <f>VLOOKUP(R4585,产品分类!$C$2:$D$1278,2,0)</f>
        <v>办公用品</v>
      </c>
    </row>
    <row r="4586" spans="1:20">
      <c r="A4586" s="8">
        <f t="shared" si="387"/>
        <v>40893</v>
      </c>
      <c r="B4586" s="8">
        <f t="shared" si="387"/>
        <v>40893</v>
      </c>
      <c r="C4586" s="9" t="s">
        <v>2364</v>
      </c>
      <c r="D4586">
        <v>10021386294</v>
      </c>
      <c r="E4586" t="s">
        <v>47</v>
      </c>
      <c r="F4586" t="s">
        <v>72</v>
      </c>
      <c r="G4586" t="s">
        <v>73</v>
      </c>
      <c r="H4586" t="s">
        <v>2008</v>
      </c>
      <c r="I4586" t="s">
        <v>2009</v>
      </c>
      <c r="J4586" t="s">
        <v>52</v>
      </c>
      <c r="K4586" s="3">
        <v>10088671422</v>
      </c>
      <c r="L4586" s="10">
        <v>40895</v>
      </c>
      <c r="M4586">
        <v>7174.9435</v>
      </c>
      <c r="N4586" s="11">
        <v>41</v>
      </c>
      <c r="O4586" s="12">
        <v>195.99</v>
      </c>
      <c r="P4586" s="12">
        <v>3.99</v>
      </c>
      <c r="Q4586" s="13">
        <v>2373.237</v>
      </c>
      <c r="R4586" s="36" t="s">
        <v>267</v>
      </c>
      <c r="S4586" s="7">
        <f t="shared" si="383"/>
        <v>2</v>
      </c>
      <c r="T4586" s="15" t="str">
        <f>VLOOKUP(R4586,产品分类!$C$2:$D$1278,2,0)</f>
        <v>办公用品</v>
      </c>
    </row>
    <row r="4587" spans="1:20">
      <c r="A4587" s="16">
        <f>DATE(2012,12,31)-107</f>
        <v>41167</v>
      </c>
      <c r="B4587" s="16">
        <f>DATE(2012,12,31)-107</f>
        <v>41167</v>
      </c>
      <c r="C4587" s="9" t="s">
        <v>338</v>
      </c>
      <c r="D4587">
        <v>10021260303</v>
      </c>
      <c r="E4587" t="s">
        <v>47</v>
      </c>
      <c r="F4587" t="s">
        <v>72</v>
      </c>
      <c r="G4587" t="s">
        <v>73</v>
      </c>
      <c r="H4587" t="s">
        <v>2008</v>
      </c>
      <c r="I4587" t="s">
        <v>2009</v>
      </c>
      <c r="J4587" t="s">
        <v>52</v>
      </c>
      <c r="K4587" s="3">
        <v>100328575139</v>
      </c>
      <c r="L4587" s="10">
        <v>41169</v>
      </c>
      <c r="M4587">
        <v>126.69</v>
      </c>
      <c r="N4587" s="17">
        <v>18</v>
      </c>
      <c r="O4587" s="5">
        <v>6.81</v>
      </c>
      <c r="P4587" s="5">
        <v>5.48</v>
      </c>
      <c r="Q4587" s="6">
        <v>-35.558</v>
      </c>
      <c r="R4587" s="37" t="s">
        <v>1617</v>
      </c>
      <c r="S4587" s="7">
        <f t="shared" si="383"/>
        <v>2</v>
      </c>
      <c r="T4587" s="15" t="str">
        <f>VLOOKUP(R4587,产品分类!$C$2:$D$1278,2,0)</f>
        <v>办公用品</v>
      </c>
    </row>
    <row r="4588" spans="1:20">
      <c r="A4588" s="16">
        <f>DATE(2012,12,31)-107</f>
        <v>41167</v>
      </c>
      <c r="B4588" s="16">
        <f>DATE(2012,12,31)-107</f>
        <v>41167</v>
      </c>
      <c r="C4588" s="9" t="s">
        <v>338</v>
      </c>
      <c r="D4588">
        <v>10021496642</v>
      </c>
      <c r="E4588" t="s">
        <v>47</v>
      </c>
      <c r="F4588" t="s">
        <v>78</v>
      </c>
      <c r="G4588" t="s">
        <v>79</v>
      </c>
      <c r="H4588" t="s">
        <v>2105</v>
      </c>
      <c r="I4588" t="s">
        <v>2106</v>
      </c>
      <c r="J4588" t="s">
        <v>52</v>
      </c>
      <c r="K4588" s="3">
        <v>100912445581</v>
      </c>
      <c r="L4588" s="10">
        <v>41169</v>
      </c>
      <c r="M4588">
        <v>162.11</v>
      </c>
      <c r="N4588" s="17">
        <v>12</v>
      </c>
      <c r="O4588" s="5">
        <v>12.28</v>
      </c>
      <c r="P4588" s="5">
        <v>6.47</v>
      </c>
      <c r="Q4588" s="6">
        <v>3.91</v>
      </c>
      <c r="R4588" s="37" t="s">
        <v>874</v>
      </c>
      <c r="S4588" s="7">
        <f t="shared" si="383"/>
        <v>2</v>
      </c>
      <c r="T4588" s="15" t="str">
        <f>VLOOKUP(R4588,产品分类!$C$2:$D$1278,2,0)</f>
        <v>办公用品</v>
      </c>
    </row>
    <row r="4589" spans="1:20">
      <c r="A4589" s="8">
        <f>DATE(2012,12,31)-1016</f>
        <v>40258</v>
      </c>
      <c r="B4589" s="8">
        <f>DATE(2012,12,31)-1016</f>
        <v>40258</v>
      </c>
      <c r="C4589" s="9" t="s">
        <v>669</v>
      </c>
      <c r="D4589">
        <v>10021268386</v>
      </c>
      <c r="E4589" t="s">
        <v>47</v>
      </c>
      <c r="F4589" t="s">
        <v>72</v>
      </c>
      <c r="G4589" t="s">
        <v>73</v>
      </c>
      <c r="H4589" t="s">
        <v>2008</v>
      </c>
      <c r="I4589" t="s">
        <v>2009</v>
      </c>
      <c r="J4589" t="s">
        <v>52</v>
      </c>
      <c r="K4589" s="3">
        <v>100132395936</v>
      </c>
      <c r="L4589" s="10">
        <v>40259</v>
      </c>
      <c r="M4589">
        <v>167.53</v>
      </c>
      <c r="N4589" s="11">
        <v>18</v>
      </c>
      <c r="O4589" s="12">
        <v>8.85</v>
      </c>
      <c r="P4589" s="12">
        <v>5.6</v>
      </c>
      <c r="Q4589" s="13">
        <v>-9.568</v>
      </c>
      <c r="R4589" s="36" t="s">
        <v>1281</v>
      </c>
      <c r="S4589" s="7">
        <f t="shared" si="383"/>
        <v>1</v>
      </c>
      <c r="T4589" s="15" t="str">
        <f>VLOOKUP(R4589,产品分类!$C$2:$D$1278,2,0)</f>
        <v>办公用品</v>
      </c>
    </row>
    <row r="4590" spans="1:20">
      <c r="A4590" s="8">
        <f>DATE(2012,12,31)-277</f>
        <v>40997</v>
      </c>
      <c r="B4590" s="8">
        <f>DATE(2012,12,31)-277</f>
        <v>40997</v>
      </c>
      <c r="C4590" s="9" t="s">
        <v>1348</v>
      </c>
      <c r="D4590">
        <v>10021387272</v>
      </c>
      <c r="E4590" t="s">
        <v>47</v>
      </c>
      <c r="F4590" t="s">
        <v>230</v>
      </c>
      <c r="G4590" t="s">
        <v>231</v>
      </c>
      <c r="H4590" t="s">
        <v>2276</v>
      </c>
      <c r="I4590" t="s">
        <v>2277</v>
      </c>
      <c r="J4590" t="s">
        <v>52</v>
      </c>
      <c r="K4590" s="3">
        <v>100917914431</v>
      </c>
      <c r="L4590" s="10">
        <v>40999</v>
      </c>
      <c r="M4590">
        <v>1507.16</v>
      </c>
      <c r="N4590" s="11">
        <v>50</v>
      </c>
      <c r="O4590" s="12">
        <v>28.48</v>
      </c>
      <c r="P4590" s="12">
        <v>1.99</v>
      </c>
      <c r="Q4590" s="13">
        <v>724.14</v>
      </c>
      <c r="R4590" s="36" t="s">
        <v>409</v>
      </c>
      <c r="S4590" s="7">
        <f t="shared" si="383"/>
        <v>2</v>
      </c>
      <c r="T4590" s="15" t="str">
        <f>VLOOKUP(R4590,产品分类!$C$2:$D$1278,2,0)</f>
        <v>办公用品</v>
      </c>
    </row>
    <row r="4591" spans="1:20">
      <c r="A4591" s="8">
        <f>DATE(2012,12,31)-409</f>
        <v>40865</v>
      </c>
      <c r="B4591" s="8">
        <f>DATE(2012,12,31)-409</f>
        <v>40865</v>
      </c>
      <c r="C4591" s="9" t="s">
        <v>2366</v>
      </c>
      <c r="D4591">
        <v>10021293412</v>
      </c>
      <c r="E4591" t="s">
        <v>47</v>
      </c>
      <c r="F4591" t="s">
        <v>230</v>
      </c>
      <c r="G4591" t="s">
        <v>231</v>
      </c>
      <c r="H4591" t="s">
        <v>2276</v>
      </c>
      <c r="I4591" t="s">
        <v>2277</v>
      </c>
      <c r="J4591" t="s">
        <v>52</v>
      </c>
      <c r="K4591" s="3">
        <v>10089247602</v>
      </c>
      <c r="L4591" s="10">
        <v>40867</v>
      </c>
      <c r="M4591">
        <v>671.75</v>
      </c>
      <c r="N4591" s="11">
        <v>32</v>
      </c>
      <c r="O4591" s="12">
        <v>20.97</v>
      </c>
      <c r="P4591" s="12">
        <v>4</v>
      </c>
      <c r="Q4591" s="13">
        <v>-56.83</v>
      </c>
      <c r="R4591" s="36" t="s">
        <v>420</v>
      </c>
      <c r="S4591" s="7">
        <f t="shared" si="383"/>
        <v>2</v>
      </c>
      <c r="T4591" s="15" t="str">
        <f>VLOOKUP(R4591,产品分类!$C$2:$D$1278,2,0)</f>
        <v>数码电子</v>
      </c>
    </row>
    <row r="4592" spans="1:20">
      <c r="A4592" s="8">
        <f>DATE(2012,12,31)-409</f>
        <v>40865</v>
      </c>
      <c r="B4592" s="8">
        <f>DATE(2012,12,31)-409</f>
        <v>40865</v>
      </c>
      <c r="C4592" s="9" t="s">
        <v>2366</v>
      </c>
      <c r="D4592">
        <v>10021496569</v>
      </c>
      <c r="E4592" t="s">
        <v>47</v>
      </c>
      <c r="F4592" t="s">
        <v>230</v>
      </c>
      <c r="G4592" t="s">
        <v>231</v>
      </c>
      <c r="H4592" t="s">
        <v>2276</v>
      </c>
      <c r="I4592" t="s">
        <v>2277</v>
      </c>
      <c r="J4592" t="s">
        <v>52</v>
      </c>
      <c r="K4592" s="3">
        <v>100411889373</v>
      </c>
      <c r="L4592" s="10">
        <v>40867</v>
      </c>
      <c r="M4592">
        <v>9541.04</v>
      </c>
      <c r="N4592" s="11">
        <v>27</v>
      </c>
      <c r="O4592" s="12">
        <v>348.21</v>
      </c>
      <c r="P4592" s="12">
        <v>84.84</v>
      </c>
      <c r="Q4592" s="13">
        <v>348.84</v>
      </c>
      <c r="R4592" s="36" t="s">
        <v>1195</v>
      </c>
      <c r="S4592" s="7">
        <f t="shared" si="383"/>
        <v>2</v>
      </c>
      <c r="T4592" s="15" t="str">
        <f>VLOOKUP(R4592,产品分类!$C$2:$D$1278,2,0)</f>
        <v>办公用品</v>
      </c>
    </row>
    <row r="4593" spans="1:20">
      <c r="A4593" s="8">
        <f>DATE(2012,12,31)-1154</f>
        <v>40120</v>
      </c>
      <c r="B4593" s="8">
        <f>DATE(2012,12,31)-1154</f>
        <v>40120</v>
      </c>
      <c r="C4593" s="9" t="s">
        <v>101</v>
      </c>
      <c r="D4593">
        <v>10021434350</v>
      </c>
      <c r="E4593" t="s">
        <v>47</v>
      </c>
      <c r="F4593" t="s">
        <v>434</v>
      </c>
      <c r="G4593" t="s">
        <v>435</v>
      </c>
      <c r="H4593" t="s">
        <v>436</v>
      </c>
      <c r="I4593" t="s">
        <v>437</v>
      </c>
      <c r="J4593" t="s">
        <v>52</v>
      </c>
      <c r="K4593" s="3">
        <v>100732658925</v>
      </c>
      <c r="L4593" s="10">
        <v>40121</v>
      </c>
      <c r="M4593">
        <v>6865.19</v>
      </c>
      <c r="N4593" s="11">
        <v>20</v>
      </c>
      <c r="O4593" s="12">
        <v>349.45</v>
      </c>
      <c r="P4593" s="12">
        <v>60</v>
      </c>
      <c r="Q4593" s="13">
        <v>1541.68</v>
      </c>
      <c r="R4593" s="36" t="s">
        <v>1081</v>
      </c>
      <c r="S4593" s="7">
        <f t="shared" si="383"/>
        <v>1</v>
      </c>
      <c r="T4593" s="15" t="str">
        <f>VLOOKUP(R4593,产品分类!$C$2:$D$1278,2,0)</f>
        <v>办公用品</v>
      </c>
    </row>
    <row r="4594" spans="1:20">
      <c r="A4594" s="8">
        <f>DATE(2012,12,31)-1429</f>
        <v>39845</v>
      </c>
      <c r="B4594" s="8">
        <f>DATE(2012,12,31)-1429</f>
        <v>39845</v>
      </c>
      <c r="C4594" s="9" t="s">
        <v>1517</v>
      </c>
      <c r="D4594">
        <v>10021523246</v>
      </c>
      <c r="E4594" t="s">
        <v>47</v>
      </c>
      <c r="F4594" t="s">
        <v>434</v>
      </c>
      <c r="G4594" t="s">
        <v>435</v>
      </c>
      <c r="H4594" t="s">
        <v>436</v>
      </c>
      <c r="I4594" t="s">
        <v>437</v>
      </c>
      <c r="J4594" t="s">
        <v>52</v>
      </c>
      <c r="K4594" s="3">
        <v>10093380961</v>
      </c>
      <c r="L4594" s="10">
        <v>39848</v>
      </c>
      <c r="M4594">
        <v>1697.44</v>
      </c>
      <c r="N4594" s="11">
        <v>37</v>
      </c>
      <c r="O4594" s="12">
        <v>45.19</v>
      </c>
      <c r="P4594" s="12">
        <v>1.99</v>
      </c>
      <c r="Q4594" s="13">
        <v>523.43</v>
      </c>
      <c r="R4594" s="36" t="s">
        <v>921</v>
      </c>
      <c r="S4594" s="7">
        <f t="shared" si="383"/>
        <v>3</v>
      </c>
      <c r="T4594" s="15" t="str">
        <f>VLOOKUP(R4594,产品分类!$C$2:$D$1278,2,0)</f>
        <v>家具产品</v>
      </c>
    </row>
    <row r="4595" spans="1:20">
      <c r="A4595" s="8">
        <f>DATE(2012,12,31)-1276</f>
        <v>39998</v>
      </c>
      <c r="B4595" s="8">
        <f>DATE(2012,12,31)-1276</f>
        <v>39998</v>
      </c>
      <c r="C4595" s="9" t="s">
        <v>182</v>
      </c>
      <c r="D4595">
        <v>10021433838</v>
      </c>
      <c r="E4595" t="s">
        <v>47</v>
      </c>
      <c r="F4595" t="s">
        <v>91</v>
      </c>
      <c r="G4595" t="s">
        <v>92</v>
      </c>
      <c r="H4595" t="s">
        <v>2053</v>
      </c>
      <c r="I4595" t="s">
        <v>2054</v>
      </c>
      <c r="J4595" t="s">
        <v>52</v>
      </c>
      <c r="K4595" s="3">
        <v>100832635812</v>
      </c>
      <c r="L4595" s="10">
        <v>40000</v>
      </c>
      <c r="M4595">
        <v>2017.5</v>
      </c>
      <c r="N4595" s="11">
        <v>5</v>
      </c>
      <c r="O4595" s="12">
        <v>399.98</v>
      </c>
      <c r="P4595" s="12">
        <v>12.06</v>
      </c>
      <c r="Q4595" s="13">
        <v>-663.5142</v>
      </c>
      <c r="R4595" s="36" t="s">
        <v>595</v>
      </c>
      <c r="S4595" s="7">
        <f t="shared" si="383"/>
        <v>2</v>
      </c>
      <c r="T4595" s="15" t="str">
        <f>VLOOKUP(R4595,产品分类!$C$2:$D$1278,2,0)</f>
        <v>办公用品</v>
      </c>
    </row>
    <row r="4596" spans="1:20">
      <c r="A4596" s="8">
        <f>DATE(2012,12,31)-1141</f>
        <v>40133</v>
      </c>
      <c r="B4596" s="8">
        <f>DATE(2012,12,31)-1141</f>
        <v>40133</v>
      </c>
      <c r="C4596" s="9" t="s">
        <v>1882</v>
      </c>
      <c r="D4596">
        <v>10021494624</v>
      </c>
      <c r="E4596" t="s">
        <v>47</v>
      </c>
      <c r="F4596" t="s">
        <v>91</v>
      </c>
      <c r="G4596" t="s">
        <v>92</v>
      </c>
      <c r="H4596" t="s">
        <v>2053</v>
      </c>
      <c r="I4596" t="s">
        <v>2054</v>
      </c>
      <c r="J4596" t="s">
        <v>52</v>
      </c>
      <c r="K4596" s="3">
        <v>10019795037</v>
      </c>
      <c r="L4596" s="10">
        <v>40134</v>
      </c>
      <c r="M4596">
        <v>540.33</v>
      </c>
      <c r="N4596" s="11">
        <v>43</v>
      </c>
      <c r="O4596" s="12">
        <v>12.44</v>
      </c>
      <c r="P4596" s="12">
        <v>6.27</v>
      </c>
      <c r="Q4596" s="13">
        <v>-59.06</v>
      </c>
      <c r="R4596" s="36" t="s">
        <v>150</v>
      </c>
      <c r="S4596" s="7">
        <f t="shared" si="383"/>
        <v>1</v>
      </c>
      <c r="T4596" s="15" t="str">
        <f>VLOOKUP(R4596,产品分类!$C$2:$D$1278,2,0)</f>
        <v>家具产品</v>
      </c>
    </row>
    <row r="4597" spans="1:20">
      <c r="A4597" s="8">
        <f>DATE(2012,12,31)-1160</f>
        <v>40114</v>
      </c>
      <c r="B4597" s="8">
        <f>DATE(2012,12,31)-1160</f>
        <v>40114</v>
      </c>
      <c r="C4597" s="9" t="s">
        <v>2324</v>
      </c>
      <c r="D4597">
        <v>10021461037</v>
      </c>
      <c r="E4597" t="s">
        <v>47</v>
      </c>
      <c r="F4597" t="s">
        <v>122</v>
      </c>
      <c r="G4597" t="s">
        <v>123</v>
      </c>
      <c r="H4597" t="s">
        <v>2159</v>
      </c>
      <c r="I4597" t="s">
        <v>2160</v>
      </c>
      <c r="J4597" t="s">
        <v>52</v>
      </c>
      <c r="K4597" s="3">
        <v>100812879832</v>
      </c>
      <c r="L4597" s="10">
        <v>40116</v>
      </c>
      <c r="M4597">
        <v>367.11</v>
      </c>
      <c r="N4597" s="11">
        <v>14</v>
      </c>
      <c r="O4597" s="12">
        <v>28.53</v>
      </c>
      <c r="P4597" s="12">
        <v>1.49</v>
      </c>
      <c r="Q4597" s="13">
        <v>116.7985</v>
      </c>
      <c r="R4597" s="36" t="s">
        <v>1651</v>
      </c>
      <c r="S4597" s="7">
        <f t="shared" si="383"/>
        <v>2</v>
      </c>
      <c r="T4597" s="15" t="str">
        <f>VLOOKUP(R4597,产品分类!$C$2:$D$1278,2,0)</f>
        <v>数码电子</v>
      </c>
    </row>
    <row r="4598" spans="1:20">
      <c r="A4598" s="8">
        <f>DATE(2012,12,31)-1415</f>
        <v>39859</v>
      </c>
      <c r="B4598" s="8">
        <f>DATE(2012,12,31)-1415</f>
        <v>39859</v>
      </c>
      <c r="C4598" s="9" t="s">
        <v>309</v>
      </c>
      <c r="D4598">
        <v>10021501009</v>
      </c>
      <c r="E4598" t="s">
        <v>47</v>
      </c>
      <c r="F4598" t="s">
        <v>122</v>
      </c>
      <c r="G4598" t="s">
        <v>123</v>
      </c>
      <c r="H4598" t="s">
        <v>2159</v>
      </c>
      <c r="I4598" t="s">
        <v>2160</v>
      </c>
      <c r="J4598" t="s">
        <v>52</v>
      </c>
      <c r="K4598" s="3">
        <v>100826901192</v>
      </c>
      <c r="L4598" s="10">
        <v>39866</v>
      </c>
      <c r="M4598">
        <v>136.24</v>
      </c>
      <c r="N4598" s="11">
        <v>13</v>
      </c>
      <c r="O4598" s="12">
        <v>9.71</v>
      </c>
      <c r="P4598" s="12">
        <v>9.45</v>
      </c>
      <c r="Q4598" s="13">
        <v>-81.77</v>
      </c>
      <c r="R4598" s="36" t="s">
        <v>135</v>
      </c>
      <c r="S4598" s="7">
        <f t="shared" si="383"/>
        <v>7</v>
      </c>
      <c r="T4598" s="15" t="str">
        <f>VLOOKUP(R4598,产品分类!$C$2:$D$1278,2,0)</f>
        <v>办公用品</v>
      </c>
    </row>
    <row r="4599" spans="1:20">
      <c r="A4599" s="8">
        <f>DATE(2012,12,31)-969</f>
        <v>40305</v>
      </c>
      <c r="B4599" s="8">
        <f>DATE(2012,12,31)-969</f>
        <v>40305</v>
      </c>
      <c r="C4599" s="9" t="s">
        <v>653</v>
      </c>
      <c r="D4599">
        <v>10021338510</v>
      </c>
      <c r="E4599" t="s">
        <v>47</v>
      </c>
      <c r="F4599" t="s">
        <v>122</v>
      </c>
      <c r="G4599" t="s">
        <v>123</v>
      </c>
      <c r="H4599" t="s">
        <v>2159</v>
      </c>
      <c r="I4599" t="s">
        <v>2160</v>
      </c>
      <c r="J4599" t="s">
        <v>52</v>
      </c>
      <c r="K4599" s="3">
        <v>100423955844</v>
      </c>
      <c r="L4599" s="10">
        <v>40307</v>
      </c>
      <c r="M4599">
        <v>3548.67</v>
      </c>
      <c r="N4599" s="11">
        <v>19</v>
      </c>
      <c r="O4599" s="12">
        <v>177.98</v>
      </c>
      <c r="P4599" s="12">
        <v>0.99</v>
      </c>
      <c r="Q4599" s="13">
        <v>1280.19</v>
      </c>
      <c r="R4599" s="36" t="s">
        <v>2367</v>
      </c>
      <c r="S4599" s="7">
        <f t="shared" si="383"/>
        <v>2</v>
      </c>
      <c r="T4599" s="15" t="str">
        <f>VLOOKUP(R4599,产品分类!$C$2:$D$1278,2,0)</f>
        <v>家具产品</v>
      </c>
    </row>
    <row r="4600" spans="1:20">
      <c r="A4600" s="8">
        <f t="shared" ref="A4600:B4602" si="388">DATE(2012,12,31)-1440</f>
        <v>39834</v>
      </c>
      <c r="B4600" s="8">
        <f t="shared" si="388"/>
        <v>39834</v>
      </c>
      <c r="C4600" s="9" t="s">
        <v>1535</v>
      </c>
      <c r="D4600">
        <v>10021476699</v>
      </c>
      <c r="E4600" t="s">
        <v>47</v>
      </c>
      <c r="F4600" t="s">
        <v>91</v>
      </c>
      <c r="G4600" t="s">
        <v>92</v>
      </c>
      <c r="H4600" t="s">
        <v>2053</v>
      </c>
      <c r="I4600" t="s">
        <v>2054</v>
      </c>
      <c r="J4600" t="s">
        <v>52</v>
      </c>
      <c r="K4600" s="3">
        <v>100124177397</v>
      </c>
      <c r="L4600" s="10">
        <v>39835</v>
      </c>
      <c r="M4600">
        <v>11336.37</v>
      </c>
      <c r="N4600" s="11">
        <v>33</v>
      </c>
      <c r="O4600" s="12">
        <v>355.98</v>
      </c>
      <c r="P4600" s="12">
        <v>58.92</v>
      </c>
      <c r="Q4600" s="13">
        <v>1161.75</v>
      </c>
      <c r="R4600" s="36" t="s">
        <v>1545</v>
      </c>
      <c r="S4600" s="7">
        <f t="shared" si="383"/>
        <v>1</v>
      </c>
      <c r="T4600" s="15" t="str">
        <f>VLOOKUP(R4600,产品分类!$C$2:$D$1278,2,0)</f>
        <v>办公用品</v>
      </c>
    </row>
    <row r="4601" spans="1:20">
      <c r="A4601" s="8">
        <f t="shared" si="388"/>
        <v>39834</v>
      </c>
      <c r="B4601" s="8">
        <f t="shared" si="388"/>
        <v>39834</v>
      </c>
      <c r="C4601" s="9" t="s">
        <v>1535</v>
      </c>
      <c r="D4601">
        <v>10021591218</v>
      </c>
      <c r="E4601" t="s">
        <v>47</v>
      </c>
      <c r="F4601" t="s">
        <v>55</v>
      </c>
      <c r="G4601" t="s">
        <v>56</v>
      </c>
      <c r="H4601" t="s">
        <v>2331</v>
      </c>
      <c r="I4601" t="s">
        <v>2332</v>
      </c>
      <c r="J4601" t="s">
        <v>52</v>
      </c>
      <c r="K4601" s="3">
        <v>100431764504</v>
      </c>
      <c r="L4601" s="10">
        <v>39835</v>
      </c>
      <c r="M4601">
        <v>354.13</v>
      </c>
      <c r="N4601" s="11">
        <v>19</v>
      </c>
      <c r="O4601" s="12">
        <v>19.98</v>
      </c>
      <c r="P4601" s="12">
        <v>8.68</v>
      </c>
      <c r="Q4601" s="13">
        <v>8.79</v>
      </c>
      <c r="R4601" s="36" t="s">
        <v>1340</v>
      </c>
      <c r="S4601" s="7">
        <f t="shared" si="383"/>
        <v>1</v>
      </c>
      <c r="T4601" s="15" t="str">
        <f>VLOOKUP(R4601,产品分类!$C$2:$D$1278,2,0)</f>
        <v>办公用品</v>
      </c>
    </row>
    <row r="4602" spans="1:20">
      <c r="A4602" s="8">
        <f t="shared" si="388"/>
        <v>39834</v>
      </c>
      <c r="B4602" s="8">
        <f t="shared" si="388"/>
        <v>39834</v>
      </c>
      <c r="C4602" s="9" t="s">
        <v>1535</v>
      </c>
      <c r="D4602">
        <v>10021262341</v>
      </c>
      <c r="E4602" t="s">
        <v>47</v>
      </c>
      <c r="F4602" t="s">
        <v>91</v>
      </c>
      <c r="G4602" t="s">
        <v>92</v>
      </c>
      <c r="H4602" t="s">
        <v>2053</v>
      </c>
      <c r="I4602" t="s">
        <v>2054</v>
      </c>
      <c r="J4602" t="s">
        <v>52</v>
      </c>
      <c r="K4602" s="3">
        <v>100730055755</v>
      </c>
      <c r="L4602" s="10">
        <v>39836</v>
      </c>
      <c r="M4602">
        <v>751.94</v>
      </c>
      <c r="N4602" s="11">
        <v>40</v>
      </c>
      <c r="O4602" s="12">
        <v>19.98</v>
      </c>
      <c r="P4602" s="12">
        <v>8.68</v>
      </c>
      <c r="Q4602" s="13">
        <v>69.08</v>
      </c>
      <c r="R4602" s="36" t="s">
        <v>1340</v>
      </c>
      <c r="S4602" s="7">
        <f t="shared" si="383"/>
        <v>2</v>
      </c>
      <c r="T4602" s="15" t="str">
        <f>VLOOKUP(R4602,产品分类!$C$2:$D$1278,2,0)</f>
        <v>办公用品</v>
      </c>
    </row>
    <row r="4603" spans="1:20">
      <c r="A4603" s="8">
        <f>DATE(2012,12,31)-381</f>
        <v>40893</v>
      </c>
      <c r="B4603" s="8">
        <f>DATE(2012,12,31)-381</f>
        <v>40893</v>
      </c>
      <c r="C4603" s="9" t="s">
        <v>818</v>
      </c>
      <c r="D4603">
        <v>10021336785</v>
      </c>
      <c r="E4603" t="s">
        <v>47</v>
      </c>
      <c r="F4603" t="s">
        <v>91</v>
      </c>
      <c r="G4603" t="s">
        <v>92</v>
      </c>
      <c r="H4603" t="s">
        <v>2053</v>
      </c>
      <c r="I4603" t="s">
        <v>2054</v>
      </c>
      <c r="J4603" t="s">
        <v>52</v>
      </c>
      <c r="K4603" s="3">
        <v>100420502353</v>
      </c>
      <c r="L4603" s="10">
        <v>40894</v>
      </c>
      <c r="M4603">
        <v>371.95</v>
      </c>
      <c r="N4603" s="11">
        <v>49</v>
      </c>
      <c r="O4603" s="12">
        <v>7.84</v>
      </c>
      <c r="P4603" s="12">
        <v>4.71</v>
      </c>
      <c r="Q4603" s="13">
        <v>-10.327</v>
      </c>
      <c r="R4603" s="36" t="s">
        <v>817</v>
      </c>
      <c r="S4603" s="7">
        <f t="shared" si="383"/>
        <v>1</v>
      </c>
      <c r="T4603" s="15" t="str">
        <f>VLOOKUP(R4603,产品分类!$C$2:$D$1278,2,0)</f>
        <v>办公用品</v>
      </c>
    </row>
    <row r="4604" spans="1:20">
      <c r="A4604" s="8">
        <f>DATE(2012,12,31)-381</f>
        <v>40893</v>
      </c>
      <c r="B4604" s="8">
        <f>DATE(2012,12,31)-381</f>
        <v>40893</v>
      </c>
      <c r="C4604" s="9" t="s">
        <v>818</v>
      </c>
      <c r="D4604">
        <v>10021267633</v>
      </c>
      <c r="E4604" t="s">
        <v>47</v>
      </c>
      <c r="F4604" t="s">
        <v>91</v>
      </c>
      <c r="G4604" t="s">
        <v>92</v>
      </c>
      <c r="H4604" t="s">
        <v>2053</v>
      </c>
      <c r="I4604" t="s">
        <v>2054</v>
      </c>
      <c r="J4604" t="s">
        <v>52</v>
      </c>
      <c r="K4604" s="3">
        <v>100732102615</v>
      </c>
      <c r="L4604" s="10">
        <v>40895</v>
      </c>
      <c r="M4604">
        <v>96.07</v>
      </c>
      <c r="N4604" s="11">
        <v>22</v>
      </c>
      <c r="O4604" s="12">
        <v>4.48</v>
      </c>
      <c r="P4604" s="12">
        <v>2.5</v>
      </c>
      <c r="Q4604" s="13">
        <v>-4.36</v>
      </c>
      <c r="R4604" s="36" t="s">
        <v>1701</v>
      </c>
      <c r="S4604" s="7">
        <f t="shared" si="383"/>
        <v>2</v>
      </c>
      <c r="T4604" s="15" t="str">
        <f>VLOOKUP(R4604,产品分类!$C$2:$D$1278,2,0)</f>
        <v>办公用品</v>
      </c>
    </row>
    <row r="4605" spans="1:20">
      <c r="A4605" s="8">
        <f>DATE(2012,12,31)-113</f>
        <v>41161</v>
      </c>
      <c r="B4605" s="8">
        <f>DATE(2012,12,31)-113</f>
        <v>41161</v>
      </c>
      <c r="C4605" s="9" t="s">
        <v>743</v>
      </c>
      <c r="D4605">
        <v>10021521315</v>
      </c>
      <c r="E4605" t="s">
        <v>47</v>
      </c>
      <c r="F4605" t="s">
        <v>91</v>
      </c>
      <c r="G4605" t="s">
        <v>92</v>
      </c>
      <c r="H4605" t="s">
        <v>2053</v>
      </c>
      <c r="I4605" t="s">
        <v>2054</v>
      </c>
      <c r="J4605" t="s">
        <v>52</v>
      </c>
      <c r="K4605" s="3">
        <v>1004952013</v>
      </c>
      <c r="L4605" s="10">
        <v>41162</v>
      </c>
      <c r="M4605">
        <v>174.81</v>
      </c>
      <c r="N4605" s="11">
        <v>49</v>
      </c>
      <c r="O4605" s="12">
        <v>3.75</v>
      </c>
      <c r="P4605" s="12">
        <v>0.5</v>
      </c>
      <c r="Q4605" s="13">
        <v>74.82</v>
      </c>
      <c r="R4605" s="36" t="s">
        <v>1027</v>
      </c>
      <c r="S4605" s="7">
        <f t="shared" si="383"/>
        <v>1</v>
      </c>
      <c r="T4605" s="15" t="str">
        <f>VLOOKUP(R4605,产品分类!$C$2:$D$1278,2,0)</f>
        <v>数码电子</v>
      </c>
    </row>
    <row r="4606" spans="1:20">
      <c r="A4606" s="8">
        <f>DATE(2012,12,31)-113</f>
        <v>41161</v>
      </c>
      <c r="B4606" s="8">
        <f>DATE(2012,12,31)-113</f>
        <v>41161</v>
      </c>
      <c r="C4606" s="9" t="s">
        <v>743</v>
      </c>
      <c r="D4606">
        <v>10021494449</v>
      </c>
      <c r="E4606" t="s">
        <v>47</v>
      </c>
      <c r="F4606" t="s">
        <v>91</v>
      </c>
      <c r="G4606" t="s">
        <v>92</v>
      </c>
      <c r="H4606" t="s">
        <v>2053</v>
      </c>
      <c r="I4606" t="s">
        <v>2054</v>
      </c>
      <c r="J4606" t="s">
        <v>52</v>
      </c>
      <c r="K4606" s="3">
        <v>10095597031</v>
      </c>
      <c r="L4606" s="10">
        <v>41163</v>
      </c>
      <c r="M4606">
        <v>89.51</v>
      </c>
      <c r="N4606" s="11">
        <v>20</v>
      </c>
      <c r="O4606" s="12">
        <v>3.98</v>
      </c>
      <c r="P4606" s="12">
        <v>5.26</v>
      </c>
      <c r="Q4606" s="13">
        <v>-61.985</v>
      </c>
      <c r="R4606" s="36" t="s">
        <v>479</v>
      </c>
      <c r="S4606" s="7">
        <f t="shared" si="383"/>
        <v>2</v>
      </c>
      <c r="T4606" s="15" t="str">
        <f>VLOOKUP(R4606,产品分类!$C$2:$D$1278,2,0)</f>
        <v>办公用品</v>
      </c>
    </row>
    <row r="4607" spans="1:20">
      <c r="A4607" s="8">
        <f t="shared" ref="A4607:B4609" si="389">DATE(2012,12,31)-559</f>
        <v>40715</v>
      </c>
      <c r="B4607" s="8">
        <f t="shared" si="389"/>
        <v>40715</v>
      </c>
      <c r="C4607" s="9" t="s">
        <v>742</v>
      </c>
      <c r="D4607">
        <v>10021493178</v>
      </c>
      <c r="E4607" t="s">
        <v>47</v>
      </c>
      <c r="F4607" t="s">
        <v>91</v>
      </c>
      <c r="G4607" t="s">
        <v>92</v>
      </c>
      <c r="H4607" t="s">
        <v>2053</v>
      </c>
      <c r="I4607" t="s">
        <v>2054</v>
      </c>
      <c r="J4607" t="s">
        <v>52</v>
      </c>
      <c r="K4607" s="3">
        <v>1004312013</v>
      </c>
      <c r="L4607" s="10">
        <v>40716</v>
      </c>
      <c r="M4607">
        <v>178.78</v>
      </c>
      <c r="N4607" s="11">
        <v>8</v>
      </c>
      <c r="O4607" s="12">
        <v>20.24</v>
      </c>
      <c r="P4607" s="12">
        <v>8.99</v>
      </c>
      <c r="Q4607" s="13">
        <v>-28.34</v>
      </c>
      <c r="R4607" s="36" t="s">
        <v>2368</v>
      </c>
      <c r="S4607" s="7">
        <f t="shared" si="383"/>
        <v>1</v>
      </c>
      <c r="T4607" s="15" t="str">
        <f>VLOOKUP(R4607,产品分类!$C$2:$D$1278,2,0)</f>
        <v>数码电子</v>
      </c>
    </row>
    <row r="4608" spans="1:20">
      <c r="A4608" s="8">
        <f t="shared" si="389"/>
        <v>40715</v>
      </c>
      <c r="B4608" s="8">
        <f t="shared" si="389"/>
        <v>40715</v>
      </c>
      <c r="C4608" s="9" t="s">
        <v>743</v>
      </c>
      <c r="D4608">
        <v>10021249117</v>
      </c>
      <c r="E4608" t="s">
        <v>47</v>
      </c>
      <c r="F4608" t="s">
        <v>91</v>
      </c>
      <c r="G4608" t="s">
        <v>92</v>
      </c>
      <c r="H4608" t="s">
        <v>2053</v>
      </c>
      <c r="I4608" t="s">
        <v>2054</v>
      </c>
      <c r="J4608" t="s">
        <v>52</v>
      </c>
      <c r="K4608" s="3">
        <v>1001787567</v>
      </c>
      <c r="L4608" s="10">
        <v>40716</v>
      </c>
      <c r="M4608">
        <v>175.99</v>
      </c>
      <c r="N4608" s="11">
        <v>48</v>
      </c>
      <c r="O4608" s="12">
        <v>3.69</v>
      </c>
      <c r="P4608" s="12">
        <v>0.5</v>
      </c>
      <c r="Q4608" s="13">
        <v>77.3</v>
      </c>
      <c r="R4608" s="36" t="s">
        <v>1224</v>
      </c>
      <c r="S4608" s="7">
        <f t="shared" si="383"/>
        <v>1</v>
      </c>
      <c r="T4608" s="15" t="str">
        <f>VLOOKUP(R4608,产品分类!$C$2:$D$1278,2,0)</f>
        <v>办公用品</v>
      </c>
    </row>
    <row r="4609" spans="1:20">
      <c r="A4609" s="8">
        <f t="shared" si="389"/>
        <v>40715</v>
      </c>
      <c r="B4609" s="8">
        <f t="shared" si="389"/>
        <v>40715</v>
      </c>
      <c r="C4609" s="9" t="s">
        <v>743</v>
      </c>
      <c r="D4609">
        <v>10021506669</v>
      </c>
      <c r="E4609" t="s">
        <v>47</v>
      </c>
      <c r="F4609" t="s">
        <v>83</v>
      </c>
      <c r="G4609" t="s">
        <v>84</v>
      </c>
      <c r="H4609" t="s">
        <v>2349</v>
      </c>
      <c r="I4609" t="s">
        <v>2350</v>
      </c>
      <c r="J4609" t="s">
        <v>52</v>
      </c>
      <c r="K4609" s="3">
        <v>100131486378</v>
      </c>
      <c r="L4609" s="10">
        <v>40717</v>
      </c>
      <c r="M4609">
        <v>221.23</v>
      </c>
      <c r="N4609" s="11">
        <v>33</v>
      </c>
      <c r="O4609" s="12">
        <v>6.68</v>
      </c>
      <c r="P4609" s="12">
        <v>5.2</v>
      </c>
      <c r="Q4609" s="13">
        <v>-45.29</v>
      </c>
      <c r="R4609" s="36" t="s">
        <v>1377</v>
      </c>
      <c r="S4609" s="7">
        <f t="shared" si="383"/>
        <v>2</v>
      </c>
      <c r="T4609" s="15" t="str">
        <f>VLOOKUP(R4609,产品分类!$C$2:$D$1278,2,0)</f>
        <v>办公用品</v>
      </c>
    </row>
    <row r="4610" spans="1:20">
      <c r="A4610" s="8">
        <f>DATE(2012,12,31)-857</f>
        <v>40417</v>
      </c>
      <c r="B4610" s="8">
        <f>DATE(2012,12,31)-857</f>
        <v>40417</v>
      </c>
      <c r="C4610" s="9" t="s">
        <v>1838</v>
      </c>
      <c r="D4610">
        <v>10021532326</v>
      </c>
      <c r="E4610" t="s">
        <v>47</v>
      </c>
      <c r="F4610" t="s">
        <v>122</v>
      </c>
      <c r="G4610" t="s">
        <v>123</v>
      </c>
      <c r="H4610" t="s">
        <v>2159</v>
      </c>
      <c r="I4610" t="s">
        <v>2160</v>
      </c>
      <c r="J4610" t="s">
        <v>52</v>
      </c>
      <c r="K4610" s="3">
        <v>100121841176</v>
      </c>
      <c r="L4610" s="10">
        <v>40418</v>
      </c>
      <c r="M4610">
        <v>3460.5625</v>
      </c>
      <c r="N4610" s="11">
        <v>39</v>
      </c>
      <c r="O4610" s="12">
        <v>115.99</v>
      </c>
      <c r="P4610" s="12">
        <v>5.92</v>
      </c>
      <c r="Q4610" s="13">
        <v>573.057</v>
      </c>
      <c r="R4610" s="36" t="s">
        <v>1104</v>
      </c>
      <c r="S4610" s="7">
        <f t="shared" si="383"/>
        <v>1</v>
      </c>
      <c r="T4610" s="15" t="str">
        <f>VLOOKUP(R4610,产品分类!$C$2:$D$1278,2,0)</f>
        <v>办公用品</v>
      </c>
    </row>
    <row r="4611" spans="1:20">
      <c r="A4611" s="8">
        <f>DATE(2012,12,31)-177</f>
        <v>41097</v>
      </c>
      <c r="B4611" s="8">
        <f>DATE(2012,12,31)-177</f>
        <v>41097</v>
      </c>
      <c r="C4611" s="9" t="s">
        <v>1517</v>
      </c>
      <c r="D4611">
        <v>10021347766</v>
      </c>
      <c r="E4611" t="s">
        <v>47</v>
      </c>
      <c r="F4611" t="s">
        <v>91</v>
      </c>
      <c r="G4611" t="s">
        <v>92</v>
      </c>
      <c r="H4611" t="s">
        <v>2053</v>
      </c>
      <c r="I4611" t="s">
        <v>2054</v>
      </c>
      <c r="J4611" t="s">
        <v>52</v>
      </c>
      <c r="K4611" s="3">
        <v>100131298386</v>
      </c>
      <c r="L4611" s="10">
        <v>41099</v>
      </c>
      <c r="M4611">
        <v>572.4325</v>
      </c>
      <c r="N4611" s="11">
        <v>15</v>
      </c>
      <c r="O4611" s="12">
        <v>45.99</v>
      </c>
      <c r="P4611" s="12">
        <v>4.99</v>
      </c>
      <c r="Q4611" s="13">
        <v>-19.437</v>
      </c>
      <c r="R4611" s="36" t="s">
        <v>1108</v>
      </c>
      <c r="S4611" s="7">
        <f t="shared" ref="S4611:S4674" si="390">+L4611-B4611</f>
        <v>2</v>
      </c>
      <c r="T4611" s="15" t="str">
        <f>VLOOKUP(R4611,产品分类!$C$2:$D$1278,2,0)</f>
        <v>办公用品</v>
      </c>
    </row>
    <row r="4612" spans="1:20">
      <c r="A4612" s="8">
        <f>DATE(2012,12,31)-1444</f>
        <v>39830</v>
      </c>
      <c r="B4612" s="8">
        <f>DATE(2012,12,31)-1444</f>
        <v>39830</v>
      </c>
      <c r="C4612" s="9" t="s">
        <v>1118</v>
      </c>
      <c r="D4612">
        <v>10021586191</v>
      </c>
      <c r="E4612" t="s">
        <v>47</v>
      </c>
      <c r="F4612" t="s">
        <v>83</v>
      </c>
      <c r="G4612" t="s">
        <v>84</v>
      </c>
      <c r="H4612" t="s">
        <v>2349</v>
      </c>
      <c r="I4612" t="s">
        <v>2350</v>
      </c>
      <c r="J4612" t="s">
        <v>52</v>
      </c>
      <c r="K4612" s="3">
        <v>100329024139</v>
      </c>
      <c r="L4612" s="10">
        <v>39831</v>
      </c>
      <c r="M4612">
        <v>1101.28</v>
      </c>
      <c r="N4612" s="11">
        <v>39</v>
      </c>
      <c r="O4612" s="12">
        <v>28.15</v>
      </c>
      <c r="P4612" s="12">
        <v>6.17</v>
      </c>
      <c r="Q4612" s="13">
        <v>200.53</v>
      </c>
      <c r="R4612" s="36" t="s">
        <v>645</v>
      </c>
      <c r="S4612" s="7">
        <f t="shared" si="390"/>
        <v>1</v>
      </c>
      <c r="T4612" s="15" t="str">
        <f>VLOOKUP(R4612,产品分类!$C$2:$D$1278,2,0)</f>
        <v>数码电子</v>
      </c>
    </row>
    <row r="4613" spans="1:20">
      <c r="A4613" s="8">
        <f t="shared" ref="A4613:B4616" si="391">DATE(2012,12,31)-1375</f>
        <v>39899</v>
      </c>
      <c r="B4613" s="8">
        <f t="shared" si="391"/>
        <v>39899</v>
      </c>
      <c r="C4613" s="9" t="s">
        <v>1473</v>
      </c>
      <c r="D4613">
        <v>10021574849</v>
      </c>
      <c r="E4613" t="s">
        <v>47</v>
      </c>
      <c r="F4613" t="s">
        <v>55</v>
      </c>
      <c r="G4613" t="s">
        <v>56</v>
      </c>
      <c r="H4613" t="s">
        <v>2331</v>
      </c>
      <c r="I4613" t="s">
        <v>2332</v>
      </c>
      <c r="J4613" t="s">
        <v>52</v>
      </c>
      <c r="K4613" s="3">
        <v>10038125419</v>
      </c>
      <c r="L4613" s="10">
        <v>39900</v>
      </c>
      <c r="M4613">
        <v>322.03</v>
      </c>
      <c r="N4613" s="11">
        <v>41</v>
      </c>
      <c r="O4613" s="12">
        <v>8.12</v>
      </c>
      <c r="P4613" s="12">
        <v>2.83</v>
      </c>
      <c r="Q4613" s="13">
        <v>-82.83</v>
      </c>
      <c r="R4613" s="36" t="s">
        <v>923</v>
      </c>
      <c r="S4613" s="7">
        <f t="shared" si="390"/>
        <v>1</v>
      </c>
      <c r="T4613" s="15" t="str">
        <f>VLOOKUP(R4613,产品分类!$C$2:$D$1278,2,0)</f>
        <v>办公用品</v>
      </c>
    </row>
    <row r="4614" spans="1:20">
      <c r="A4614" s="8">
        <f t="shared" si="391"/>
        <v>39899</v>
      </c>
      <c r="B4614" s="8">
        <f t="shared" si="391"/>
        <v>39899</v>
      </c>
      <c r="C4614" s="9" t="s">
        <v>1473</v>
      </c>
      <c r="D4614">
        <v>10021293278</v>
      </c>
      <c r="E4614" t="s">
        <v>47</v>
      </c>
      <c r="F4614" t="s">
        <v>127</v>
      </c>
      <c r="G4614" t="s">
        <v>128</v>
      </c>
      <c r="H4614" t="s">
        <v>2189</v>
      </c>
      <c r="I4614" t="s">
        <v>2190</v>
      </c>
      <c r="J4614" t="s">
        <v>52</v>
      </c>
      <c r="K4614" s="3">
        <v>10095855701</v>
      </c>
      <c r="L4614" s="10">
        <v>39900</v>
      </c>
      <c r="M4614">
        <v>2470.84</v>
      </c>
      <c r="N4614" s="11">
        <v>49</v>
      </c>
      <c r="O4614" s="12">
        <v>51.65</v>
      </c>
      <c r="P4614" s="12">
        <v>18.45</v>
      </c>
      <c r="Q4614" s="13">
        <v>25.04</v>
      </c>
      <c r="R4614" s="36" t="s">
        <v>1271</v>
      </c>
      <c r="S4614" s="7">
        <f t="shared" si="390"/>
        <v>1</v>
      </c>
      <c r="T4614" s="15" t="str">
        <f>VLOOKUP(R4614,产品分类!$C$2:$D$1278,2,0)</f>
        <v>数码电子</v>
      </c>
    </row>
    <row r="4615" spans="1:20">
      <c r="A4615" s="16">
        <f t="shared" si="391"/>
        <v>39899</v>
      </c>
      <c r="B4615" s="16">
        <f t="shared" si="391"/>
        <v>39899</v>
      </c>
      <c r="C4615" s="9" t="s">
        <v>1473</v>
      </c>
      <c r="D4615">
        <v>10021451751</v>
      </c>
      <c r="E4615" t="s">
        <v>47</v>
      </c>
      <c r="F4615" t="s">
        <v>127</v>
      </c>
      <c r="G4615" t="s">
        <v>128</v>
      </c>
      <c r="H4615" t="s">
        <v>2189</v>
      </c>
      <c r="I4615" t="s">
        <v>2190</v>
      </c>
      <c r="J4615" t="s">
        <v>52</v>
      </c>
      <c r="K4615" s="3">
        <v>100921630711</v>
      </c>
      <c r="L4615" s="10">
        <v>39900</v>
      </c>
      <c r="M4615">
        <v>15.26</v>
      </c>
      <c r="N4615" s="17">
        <v>2</v>
      </c>
      <c r="O4615" s="5">
        <v>6.68</v>
      </c>
      <c r="P4615" s="5">
        <v>1.5</v>
      </c>
      <c r="Q4615" s="6">
        <v>-7.51</v>
      </c>
      <c r="R4615" s="37" t="s">
        <v>900</v>
      </c>
      <c r="S4615" s="7">
        <f t="shared" si="390"/>
        <v>1</v>
      </c>
      <c r="T4615" s="15" t="str">
        <f>VLOOKUP(R4615,产品分类!$C$2:$D$1278,2,0)</f>
        <v>数码电子</v>
      </c>
    </row>
    <row r="4616" spans="1:20">
      <c r="A4616" s="8">
        <f t="shared" si="391"/>
        <v>39899</v>
      </c>
      <c r="B4616" s="8">
        <f t="shared" si="391"/>
        <v>39899</v>
      </c>
      <c r="C4616" s="9" t="s">
        <v>1473</v>
      </c>
      <c r="D4616">
        <v>10021269640</v>
      </c>
      <c r="E4616" t="s">
        <v>47</v>
      </c>
      <c r="F4616" t="s">
        <v>127</v>
      </c>
      <c r="G4616" t="s">
        <v>128</v>
      </c>
      <c r="H4616" t="s">
        <v>2189</v>
      </c>
      <c r="I4616" t="s">
        <v>2190</v>
      </c>
      <c r="J4616" t="s">
        <v>52</v>
      </c>
      <c r="K4616" s="3">
        <v>100132455687</v>
      </c>
      <c r="L4616" s="10">
        <v>39900</v>
      </c>
      <c r="M4616">
        <v>5250.6625</v>
      </c>
      <c r="N4616" s="11">
        <v>39</v>
      </c>
      <c r="O4616" s="12">
        <v>175.99</v>
      </c>
      <c r="P4616" s="12">
        <v>8.99</v>
      </c>
      <c r="Q4616" s="13">
        <v>930.987</v>
      </c>
      <c r="R4616" s="36" t="s">
        <v>1570</v>
      </c>
      <c r="S4616" s="7">
        <f t="shared" si="390"/>
        <v>1</v>
      </c>
      <c r="T4616" s="15" t="str">
        <f>VLOOKUP(R4616,产品分类!$C$2:$D$1278,2,0)</f>
        <v>办公用品</v>
      </c>
    </row>
    <row r="4617" spans="1:20">
      <c r="A4617" s="8">
        <f t="shared" ref="A4617:B4619" si="392">DATE(2012,12,31)-66</f>
        <v>41208</v>
      </c>
      <c r="B4617" s="8">
        <f t="shared" si="392"/>
        <v>41208</v>
      </c>
      <c r="C4617" s="9" t="s">
        <v>1336</v>
      </c>
      <c r="D4617">
        <v>10021507664</v>
      </c>
      <c r="E4617" t="s">
        <v>47</v>
      </c>
      <c r="F4617" t="s">
        <v>97</v>
      </c>
      <c r="G4617" t="s">
        <v>98</v>
      </c>
      <c r="H4617" t="s">
        <v>99</v>
      </c>
      <c r="I4617" t="s">
        <v>98</v>
      </c>
      <c r="J4617" t="s">
        <v>52</v>
      </c>
      <c r="K4617" s="3">
        <v>100132005488</v>
      </c>
      <c r="L4617" s="10">
        <v>41210</v>
      </c>
      <c r="M4617">
        <v>107.92</v>
      </c>
      <c r="N4617" s="11">
        <v>9</v>
      </c>
      <c r="O4617" s="12">
        <v>10.97</v>
      </c>
      <c r="P4617" s="12">
        <v>6.5</v>
      </c>
      <c r="Q4617" s="13">
        <v>-57.65</v>
      </c>
      <c r="R4617" s="36" t="s">
        <v>381</v>
      </c>
      <c r="S4617" s="7">
        <f t="shared" si="390"/>
        <v>2</v>
      </c>
      <c r="T4617" s="15" t="str">
        <f>VLOOKUP(R4617,产品分类!$C$2:$D$1278,2,0)</f>
        <v>数码电子</v>
      </c>
    </row>
    <row r="4618" spans="1:20">
      <c r="A4618" s="8">
        <f t="shared" si="392"/>
        <v>41208</v>
      </c>
      <c r="B4618" s="8">
        <f t="shared" si="392"/>
        <v>41208</v>
      </c>
      <c r="C4618" s="9" t="s">
        <v>1336</v>
      </c>
      <c r="D4618">
        <v>10021585186</v>
      </c>
      <c r="E4618" t="s">
        <v>47</v>
      </c>
      <c r="F4618" t="s">
        <v>97</v>
      </c>
      <c r="G4618" t="s">
        <v>98</v>
      </c>
      <c r="H4618" t="s">
        <v>99</v>
      </c>
      <c r="I4618" t="s">
        <v>98</v>
      </c>
      <c r="J4618" t="s">
        <v>52</v>
      </c>
      <c r="K4618" s="3">
        <v>100327998159</v>
      </c>
      <c r="L4618" s="10">
        <v>41210</v>
      </c>
      <c r="M4618">
        <v>2151.08</v>
      </c>
      <c r="N4618" s="11">
        <v>14</v>
      </c>
      <c r="O4618" s="12">
        <v>145.45</v>
      </c>
      <c r="P4618" s="12">
        <v>17.85</v>
      </c>
      <c r="Q4618" s="13">
        <v>179.05</v>
      </c>
      <c r="R4618" s="36" t="s">
        <v>322</v>
      </c>
      <c r="S4618" s="7">
        <f t="shared" si="390"/>
        <v>2</v>
      </c>
      <c r="T4618" s="15" t="str">
        <f>VLOOKUP(R4618,产品分类!$C$2:$D$1278,2,0)</f>
        <v>家具产品</v>
      </c>
    </row>
    <row r="4619" spans="1:20">
      <c r="A4619" s="8">
        <f t="shared" si="392"/>
        <v>41208</v>
      </c>
      <c r="B4619" s="8">
        <f t="shared" si="392"/>
        <v>41208</v>
      </c>
      <c r="C4619" s="9" t="s">
        <v>1336</v>
      </c>
      <c r="D4619">
        <v>10021335668</v>
      </c>
      <c r="E4619" t="s">
        <v>47</v>
      </c>
      <c r="F4619" t="s">
        <v>132</v>
      </c>
      <c r="G4619" t="s">
        <v>133</v>
      </c>
      <c r="H4619" t="s">
        <v>134</v>
      </c>
      <c r="I4619" t="s">
        <v>133</v>
      </c>
      <c r="J4619" t="s">
        <v>52</v>
      </c>
      <c r="K4619" s="3">
        <v>100915600071</v>
      </c>
      <c r="L4619" s="10">
        <v>41211</v>
      </c>
      <c r="M4619">
        <v>939.77</v>
      </c>
      <c r="N4619" s="11">
        <v>42</v>
      </c>
      <c r="O4619" s="12">
        <v>20.97</v>
      </c>
      <c r="P4619" s="12">
        <v>4</v>
      </c>
      <c r="Q4619" s="13">
        <v>9.72</v>
      </c>
      <c r="R4619" s="36" t="s">
        <v>420</v>
      </c>
      <c r="S4619" s="7">
        <f t="shared" si="390"/>
        <v>3</v>
      </c>
      <c r="T4619" s="15" t="str">
        <f>VLOOKUP(R4619,产品分类!$C$2:$D$1278,2,0)</f>
        <v>数码电子</v>
      </c>
    </row>
    <row r="4620" spans="1:20">
      <c r="A4620" s="8">
        <f>DATE(2012,12,31)-721</f>
        <v>40553</v>
      </c>
      <c r="B4620" s="8">
        <f>DATE(2012,12,31)-721</f>
        <v>40553</v>
      </c>
      <c r="C4620" s="9" t="s">
        <v>826</v>
      </c>
      <c r="D4620">
        <v>10021505350</v>
      </c>
      <c r="E4620" t="s">
        <v>47</v>
      </c>
      <c r="F4620" t="s">
        <v>97</v>
      </c>
      <c r="G4620" t="s">
        <v>98</v>
      </c>
      <c r="H4620" t="s">
        <v>99</v>
      </c>
      <c r="I4620" t="s">
        <v>98</v>
      </c>
      <c r="J4620" t="s">
        <v>52</v>
      </c>
      <c r="K4620" s="3">
        <v>100130798247</v>
      </c>
      <c r="L4620" s="10">
        <v>40554</v>
      </c>
      <c r="M4620">
        <v>49.74</v>
      </c>
      <c r="N4620" s="11">
        <v>13</v>
      </c>
      <c r="O4620" s="12">
        <v>3.75</v>
      </c>
      <c r="P4620" s="12">
        <v>0.5</v>
      </c>
      <c r="Q4620" s="13">
        <v>17.7</v>
      </c>
      <c r="R4620" s="36" t="s">
        <v>1759</v>
      </c>
      <c r="S4620" s="7">
        <f t="shared" si="390"/>
        <v>1</v>
      </c>
      <c r="T4620" s="15" t="str">
        <f>VLOOKUP(R4620,产品分类!$C$2:$D$1278,2,0)</f>
        <v>家具产品</v>
      </c>
    </row>
    <row r="4621" spans="1:20">
      <c r="A4621" s="16">
        <f t="shared" ref="A4621:B4623" si="393">DATE(2012,12,31)-303</f>
        <v>40971</v>
      </c>
      <c r="B4621" s="16">
        <f t="shared" si="393"/>
        <v>40971</v>
      </c>
      <c r="C4621" s="9" t="s">
        <v>2369</v>
      </c>
      <c r="D4621">
        <v>10021495661</v>
      </c>
      <c r="E4621" t="s">
        <v>47</v>
      </c>
      <c r="F4621" t="s">
        <v>132</v>
      </c>
      <c r="G4621" t="s">
        <v>133</v>
      </c>
      <c r="H4621" t="s">
        <v>134</v>
      </c>
      <c r="I4621" t="s">
        <v>133</v>
      </c>
      <c r="J4621" t="s">
        <v>52</v>
      </c>
      <c r="K4621" s="3">
        <v>100910752501</v>
      </c>
      <c r="L4621" s="10">
        <v>40972</v>
      </c>
      <c r="M4621">
        <v>145.48</v>
      </c>
      <c r="N4621" s="17">
        <v>34</v>
      </c>
      <c r="O4621" s="5">
        <v>4.26</v>
      </c>
      <c r="P4621" s="5">
        <v>1.2</v>
      </c>
      <c r="Q4621" s="6">
        <v>32.43</v>
      </c>
      <c r="R4621" s="37" t="s">
        <v>340</v>
      </c>
      <c r="S4621" s="7">
        <f t="shared" si="390"/>
        <v>1</v>
      </c>
      <c r="T4621" s="15" t="str">
        <f>VLOOKUP(R4621,产品分类!$C$2:$D$1278,2,0)</f>
        <v>办公用品</v>
      </c>
    </row>
    <row r="4622" spans="1:20">
      <c r="A4622" s="8">
        <f t="shared" si="393"/>
        <v>40971</v>
      </c>
      <c r="B4622" s="8">
        <f t="shared" si="393"/>
        <v>40971</v>
      </c>
      <c r="C4622" s="9" t="s">
        <v>2369</v>
      </c>
      <c r="D4622">
        <v>10021500885</v>
      </c>
      <c r="E4622" t="s">
        <v>47</v>
      </c>
      <c r="F4622" t="s">
        <v>97</v>
      </c>
      <c r="G4622" t="s">
        <v>98</v>
      </c>
      <c r="H4622" t="s">
        <v>99</v>
      </c>
      <c r="I4622" t="s">
        <v>98</v>
      </c>
      <c r="J4622" t="s">
        <v>52</v>
      </c>
      <c r="K4622" s="3">
        <v>100426857453</v>
      </c>
      <c r="L4622" s="10">
        <v>40973</v>
      </c>
      <c r="M4622">
        <v>1638.67</v>
      </c>
      <c r="N4622" s="11">
        <v>23</v>
      </c>
      <c r="O4622" s="12">
        <v>68.81</v>
      </c>
      <c r="P4622" s="12">
        <v>60</v>
      </c>
      <c r="Q4622" s="13">
        <v>-527.83</v>
      </c>
      <c r="R4622" s="36" t="s">
        <v>390</v>
      </c>
      <c r="S4622" s="7">
        <f t="shared" si="390"/>
        <v>2</v>
      </c>
      <c r="T4622" s="15" t="str">
        <f>VLOOKUP(R4622,产品分类!$C$2:$D$1278,2,0)</f>
        <v>办公用品</v>
      </c>
    </row>
    <row r="4623" spans="1:20">
      <c r="A4623" s="8">
        <f t="shared" si="393"/>
        <v>40971</v>
      </c>
      <c r="B4623" s="8">
        <f t="shared" si="393"/>
        <v>40971</v>
      </c>
      <c r="C4623" s="9" t="s">
        <v>2369</v>
      </c>
      <c r="D4623">
        <v>10021501224</v>
      </c>
      <c r="E4623" t="s">
        <v>47</v>
      </c>
      <c r="F4623" t="s">
        <v>132</v>
      </c>
      <c r="G4623" t="s">
        <v>133</v>
      </c>
      <c r="H4623" t="s">
        <v>134</v>
      </c>
      <c r="I4623" t="s">
        <v>133</v>
      </c>
      <c r="J4623" t="s">
        <v>52</v>
      </c>
      <c r="K4623" s="3">
        <v>100116620906</v>
      </c>
      <c r="L4623" s="10">
        <v>40973</v>
      </c>
      <c r="M4623">
        <v>64.1</v>
      </c>
      <c r="N4623" s="11">
        <v>8</v>
      </c>
      <c r="O4623" s="12">
        <v>6.84</v>
      </c>
      <c r="P4623" s="12">
        <v>8.37</v>
      </c>
      <c r="Q4623" s="13">
        <v>-48.28</v>
      </c>
      <c r="R4623" s="36" t="s">
        <v>1239</v>
      </c>
      <c r="S4623" s="7">
        <f t="shared" si="390"/>
        <v>2</v>
      </c>
      <c r="T4623" s="15" t="str">
        <f>VLOOKUP(R4623,产品分类!$C$2:$D$1278,2,0)</f>
        <v>办公用品</v>
      </c>
    </row>
    <row r="4624" spans="1:20">
      <c r="A4624" s="8">
        <f>DATE(2012,12,31)-158</f>
        <v>41116</v>
      </c>
      <c r="B4624" s="8">
        <f>DATE(2012,12,31)-158</f>
        <v>41116</v>
      </c>
      <c r="C4624" s="9" t="s">
        <v>1145</v>
      </c>
      <c r="D4624">
        <v>10021506053</v>
      </c>
      <c r="E4624" t="s">
        <v>47</v>
      </c>
      <c r="F4624" t="s">
        <v>132</v>
      </c>
      <c r="G4624" t="s">
        <v>133</v>
      </c>
      <c r="H4624" t="s">
        <v>134</v>
      </c>
      <c r="I4624" t="s">
        <v>133</v>
      </c>
      <c r="J4624" t="s">
        <v>52</v>
      </c>
      <c r="K4624" s="3">
        <v>100431170873</v>
      </c>
      <c r="L4624" s="10">
        <v>41123</v>
      </c>
      <c r="M4624">
        <v>454.58</v>
      </c>
      <c r="N4624" s="11">
        <v>31</v>
      </c>
      <c r="O4624" s="12">
        <v>15.31</v>
      </c>
      <c r="P4624" s="12">
        <v>8.78</v>
      </c>
      <c r="Q4624" s="13">
        <v>-118.75</v>
      </c>
      <c r="R4624" s="36" t="s">
        <v>1131</v>
      </c>
      <c r="S4624" s="7">
        <f t="shared" si="390"/>
        <v>7</v>
      </c>
      <c r="T4624" s="15" t="str">
        <f>VLOOKUP(R4624,产品分类!$C$2:$D$1278,2,0)</f>
        <v>数码电子</v>
      </c>
    </row>
    <row r="4625" spans="1:20">
      <c r="A4625" s="16">
        <f>DATE(2012,12,31)-609</f>
        <v>40665</v>
      </c>
      <c r="B4625" s="16">
        <f>DATE(2012,12,31)-609</f>
        <v>40665</v>
      </c>
      <c r="C4625" s="9" t="s">
        <v>523</v>
      </c>
      <c r="D4625">
        <v>10021509467</v>
      </c>
      <c r="E4625" t="s">
        <v>47</v>
      </c>
      <c r="F4625" t="s">
        <v>102</v>
      </c>
      <c r="G4625" t="s">
        <v>103</v>
      </c>
      <c r="H4625" t="s">
        <v>2326</v>
      </c>
      <c r="I4625" t="s">
        <v>2327</v>
      </c>
      <c r="J4625" t="s">
        <v>52</v>
      </c>
      <c r="K4625" s="3">
        <v>100132368927</v>
      </c>
      <c r="L4625" s="10">
        <v>40669</v>
      </c>
      <c r="M4625">
        <v>44.56</v>
      </c>
      <c r="N4625" s="17">
        <v>8</v>
      </c>
      <c r="O4625" s="5">
        <v>5.68</v>
      </c>
      <c r="P4625" s="5">
        <v>1.39</v>
      </c>
      <c r="Q4625" s="6">
        <v>4.81</v>
      </c>
      <c r="R4625" s="37" t="s">
        <v>217</v>
      </c>
      <c r="S4625" s="7">
        <f t="shared" si="390"/>
        <v>4</v>
      </c>
      <c r="T4625" s="15" t="str">
        <f>VLOOKUP(R4625,产品分类!$C$2:$D$1278,2,0)</f>
        <v>办公用品</v>
      </c>
    </row>
    <row r="4626" spans="1:20">
      <c r="A4626" s="16">
        <f>DATE(2012,12,31)-609</f>
        <v>40665</v>
      </c>
      <c r="B4626" s="16">
        <f>DATE(2012,12,31)-609</f>
        <v>40665</v>
      </c>
      <c r="C4626" s="9" t="s">
        <v>523</v>
      </c>
      <c r="D4626">
        <v>10021331939</v>
      </c>
      <c r="E4626" t="s">
        <v>47</v>
      </c>
      <c r="F4626" t="s">
        <v>208</v>
      </c>
      <c r="G4626" t="s">
        <v>209</v>
      </c>
      <c r="H4626" t="s">
        <v>2300</v>
      </c>
      <c r="I4626" t="s">
        <v>2301</v>
      </c>
      <c r="J4626" t="s">
        <v>52</v>
      </c>
      <c r="K4626" s="3">
        <v>10019439807</v>
      </c>
      <c r="L4626" s="10">
        <v>40670</v>
      </c>
      <c r="M4626">
        <v>152.14</v>
      </c>
      <c r="N4626" s="17">
        <v>13</v>
      </c>
      <c r="O4626" s="5">
        <v>12.21</v>
      </c>
      <c r="P4626" s="5">
        <v>4.81</v>
      </c>
      <c r="Q4626" s="6">
        <v>-26.87</v>
      </c>
      <c r="R4626" s="37" t="s">
        <v>1767</v>
      </c>
      <c r="S4626" s="7">
        <f t="shared" si="390"/>
        <v>5</v>
      </c>
      <c r="T4626" s="15" t="str">
        <f>VLOOKUP(R4626,产品分类!$C$2:$D$1278,2,0)</f>
        <v>数码电子</v>
      </c>
    </row>
    <row r="4627" spans="1:20">
      <c r="A4627" s="8">
        <f>DATE(2012,12,31)-1050</f>
        <v>40224</v>
      </c>
      <c r="B4627" s="8">
        <f>DATE(2012,12,31)-1050</f>
        <v>40224</v>
      </c>
      <c r="C4627" s="9" t="s">
        <v>2285</v>
      </c>
      <c r="D4627">
        <v>10021586005</v>
      </c>
      <c r="E4627" t="s">
        <v>47</v>
      </c>
      <c r="F4627" t="s">
        <v>102</v>
      </c>
      <c r="G4627" t="s">
        <v>103</v>
      </c>
      <c r="H4627" t="s">
        <v>2326</v>
      </c>
      <c r="I4627" t="s">
        <v>2327</v>
      </c>
      <c r="J4627" t="s">
        <v>52</v>
      </c>
      <c r="K4627" s="3">
        <v>100428700733</v>
      </c>
      <c r="L4627" s="10">
        <v>40231</v>
      </c>
      <c r="M4627">
        <v>86.1</v>
      </c>
      <c r="N4627" s="11">
        <v>31</v>
      </c>
      <c r="O4627" s="12">
        <v>2.88</v>
      </c>
      <c r="P4627" s="12">
        <v>0.5</v>
      </c>
      <c r="Q4627" s="13">
        <v>32.7</v>
      </c>
      <c r="R4627" s="36" t="s">
        <v>2370</v>
      </c>
      <c r="S4627" s="7">
        <f t="shared" si="390"/>
        <v>7</v>
      </c>
      <c r="T4627" s="15" t="str">
        <f>VLOOKUP(R4627,产品分类!$C$2:$D$1278,2,0)</f>
        <v>办公用品</v>
      </c>
    </row>
    <row r="4628" spans="1:20">
      <c r="A4628" s="8">
        <f>DATE(2012,12,31)-1050</f>
        <v>40224</v>
      </c>
      <c r="B4628" s="8">
        <f>DATE(2012,12,31)-1050</f>
        <v>40224</v>
      </c>
      <c r="C4628" s="9" t="s">
        <v>2285</v>
      </c>
      <c r="D4628">
        <v>10021332523</v>
      </c>
      <c r="E4628" t="s">
        <v>47</v>
      </c>
      <c r="F4628" t="s">
        <v>102</v>
      </c>
      <c r="G4628" t="s">
        <v>103</v>
      </c>
      <c r="H4628" t="s">
        <v>2326</v>
      </c>
      <c r="I4628" t="s">
        <v>2327</v>
      </c>
      <c r="J4628" t="s">
        <v>52</v>
      </c>
      <c r="K4628" s="3">
        <v>100910171901</v>
      </c>
      <c r="L4628" s="10">
        <v>40229</v>
      </c>
      <c r="M4628">
        <v>298.11</v>
      </c>
      <c r="N4628" s="11">
        <v>25</v>
      </c>
      <c r="O4628" s="12">
        <v>12.44</v>
      </c>
      <c r="P4628" s="12">
        <v>6.27</v>
      </c>
      <c r="Q4628" s="13">
        <v>-60.79</v>
      </c>
      <c r="R4628" s="36" t="s">
        <v>150</v>
      </c>
      <c r="S4628" s="7">
        <f t="shared" si="390"/>
        <v>5</v>
      </c>
      <c r="T4628" s="15" t="str">
        <f>VLOOKUP(R4628,产品分类!$C$2:$D$1278,2,0)</f>
        <v>家具产品</v>
      </c>
    </row>
    <row r="4629" spans="1:20">
      <c r="A4629" s="8">
        <f>DATE(2012,12,31)-1087</f>
        <v>40187</v>
      </c>
      <c r="B4629" s="8">
        <f>DATE(2012,12,31)-1087</f>
        <v>40187</v>
      </c>
      <c r="C4629" s="9" t="s">
        <v>373</v>
      </c>
      <c r="D4629">
        <v>10021500006</v>
      </c>
      <c r="E4629" t="s">
        <v>47</v>
      </c>
      <c r="F4629" t="s">
        <v>177</v>
      </c>
      <c r="G4629" t="s">
        <v>178</v>
      </c>
      <c r="H4629" t="s">
        <v>2339</v>
      </c>
      <c r="I4629" t="s">
        <v>2340</v>
      </c>
      <c r="J4629" t="s">
        <v>52</v>
      </c>
      <c r="K4629" s="3">
        <v>100925408561</v>
      </c>
      <c r="L4629" s="10">
        <v>40191</v>
      </c>
      <c r="M4629">
        <v>29884.6</v>
      </c>
      <c r="N4629" s="11">
        <v>49</v>
      </c>
      <c r="O4629" s="12">
        <v>599.99</v>
      </c>
      <c r="P4629" s="12">
        <v>24.49</v>
      </c>
      <c r="Q4629" s="13">
        <v>12748.86</v>
      </c>
      <c r="R4629" s="36" t="s">
        <v>1880</v>
      </c>
      <c r="S4629" s="7">
        <f t="shared" si="390"/>
        <v>4</v>
      </c>
      <c r="T4629" s="15" t="str">
        <f>VLOOKUP(R4629,产品分类!$C$2:$D$1278,2,0)</f>
        <v>办公用品</v>
      </c>
    </row>
    <row r="4630" spans="1:20">
      <c r="A4630" s="8">
        <f>DATE(2012,12,31)-676</f>
        <v>40598</v>
      </c>
      <c r="B4630" s="8">
        <f>DATE(2012,12,31)-676</f>
        <v>40598</v>
      </c>
      <c r="C4630" s="9" t="s">
        <v>995</v>
      </c>
      <c r="D4630">
        <v>10021251236</v>
      </c>
      <c r="E4630" t="s">
        <v>47</v>
      </c>
      <c r="F4630" t="s">
        <v>171</v>
      </c>
      <c r="G4630" t="s">
        <v>172</v>
      </c>
      <c r="H4630" t="s">
        <v>2352</v>
      </c>
      <c r="I4630" t="s">
        <v>2353</v>
      </c>
      <c r="J4630" t="s">
        <v>52</v>
      </c>
      <c r="K4630" s="3">
        <v>10096824631</v>
      </c>
      <c r="L4630" s="10">
        <v>40599</v>
      </c>
      <c r="M4630">
        <v>11.15</v>
      </c>
      <c r="N4630" s="11">
        <v>2</v>
      </c>
      <c r="O4630" s="12">
        <v>3.98</v>
      </c>
      <c r="P4630" s="12">
        <v>2.97</v>
      </c>
      <c r="Q4630" s="13">
        <v>-5.54</v>
      </c>
      <c r="R4630" s="36" t="s">
        <v>1098</v>
      </c>
      <c r="S4630" s="7">
        <f t="shared" si="390"/>
        <v>1</v>
      </c>
      <c r="T4630" s="15" t="str">
        <f>VLOOKUP(R4630,产品分类!$C$2:$D$1278,2,0)</f>
        <v>办公用品</v>
      </c>
    </row>
    <row r="4631" spans="1:20">
      <c r="A4631" s="8">
        <f>DATE(2012,12,31)-676</f>
        <v>40598</v>
      </c>
      <c r="B4631" s="8">
        <f>DATE(2012,12,31)-676</f>
        <v>40598</v>
      </c>
      <c r="C4631" s="9" t="s">
        <v>995</v>
      </c>
      <c r="D4631">
        <v>10021257063</v>
      </c>
      <c r="E4631" t="s">
        <v>47</v>
      </c>
      <c r="F4631" t="s">
        <v>171</v>
      </c>
      <c r="G4631" t="s">
        <v>172</v>
      </c>
      <c r="H4631" t="s">
        <v>2352</v>
      </c>
      <c r="I4631" t="s">
        <v>2353</v>
      </c>
      <c r="J4631" t="s">
        <v>52</v>
      </c>
      <c r="K4631" s="3">
        <v>100125982888</v>
      </c>
      <c r="L4631" s="10">
        <v>40599</v>
      </c>
      <c r="M4631">
        <v>2427.25</v>
      </c>
      <c r="N4631" s="11">
        <v>25</v>
      </c>
      <c r="O4631" s="12">
        <v>99.99</v>
      </c>
      <c r="P4631" s="12">
        <v>19.99</v>
      </c>
      <c r="Q4631" s="13">
        <v>227.67</v>
      </c>
      <c r="R4631" s="36" t="s">
        <v>532</v>
      </c>
      <c r="S4631" s="7">
        <f t="shared" si="390"/>
        <v>1</v>
      </c>
      <c r="T4631" s="15" t="str">
        <f>VLOOKUP(R4631,产品分类!$C$2:$D$1278,2,0)</f>
        <v>办公用品</v>
      </c>
    </row>
    <row r="4632" spans="1:20">
      <c r="A4632" s="8">
        <f>DATE(2012,12,31)-340</f>
        <v>40934</v>
      </c>
      <c r="B4632" s="8">
        <f>DATE(2012,12,31)-340</f>
        <v>40934</v>
      </c>
      <c r="C4632" s="9" t="s">
        <v>1497</v>
      </c>
      <c r="D4632">
        <v>10021288539</v>
      </c>
      <c r="E4632" t="s">
        <v>47</v>
      </c>
      <c r="F4632" t="s">
        <v>171</v>
      </c>
      <c r="G4632" t="s">
        <v>172</v>
      </c>
      <c r="H4632" t="s">
        <v>2352</v>
      </c>
      <c r="I4632" t="s">
        <v>2353</v>
      </c>
      <c r="J4632" t="s">
        <v>52</v>
      </c>
      <c r="K4632" s="3">
        <v>100431484154</v>
      </c>
      <c r="L4632" s="10">
        <v>40941</v>
      </c>
      <c r="M4632">
        <v>1035.2</v>
      </c>
      <c r="N4632" s="11">
        <v>4</v>
      </c>
      <c r="O4632" s="12">
        <v>270.97</v>
      </c>
      <c r="P4632" s="12">
        <v>28.06</v>
      </c>
      <c r="Q4632" s="13">
        <v>-668.0643</v>
      </c>
      <c r="R4632" s="36" t="s">
        <v>1975</v>
      </c>
      <c r="S4632" s="7">
        <f t="shared" si="390"/>
        <v>7</v>
      </c>
      <c r="T4632" s="15" t="str">
        <f>VLOOKUP(R4632,产品分类!$C$2:$D$1278,2,0)</f>
        <v>办公用品</v>
      </c>
    </row>
    <row r="4633" spans="1:20">
      <c r="A4633" s="8">
        <f>DATE(2012,12,31)-340</f>
        <v>40934</v>
      </c>
      <c r="B4633" s="8">
        <f>DATE(2012,12,31)-340</f>
        <v>40934</v>
      </c>
      <c r="C4633" s="9" t="s">
        <v>1497</v>
      </c>
      <c r="D4633">
        <v>10021574023</v>
      </c>
      <c r="E4633" t="s">
        <v>47</v>
      </c>
      <c r="F4633" t="s">
        <v>167</v>
      </c>
      <c r="G4633" t="s">
        <v>168</v>
      </c>
      <c r="H4633" t="s">
        <v>169</v>
      </c>
      <c r="I4633" t="s">
        <v>168</v>
      </c>
      <c r="J4633" t="s">
        <v>52</v>
      </c>
      <c r="K4633" s="3">
        <v>1001303428</v>
      </c>
      <c r="L4633" s="10">
        <v>40938</v>
      </c>
      <c r="M4633">
        <v>74.17</v>
      </c>
      <c r="N4633" s="11">
        <v>43</v>
      </c>
      <c r="O4633" s="12">
        <v>1.6</v>
      </c>
      <c r="P4633" s="12">
        <v>1.29</v>
      </c>
      <c r="Q4633" s="13">
        <v>-13.4</v>
      </c>
      <c r="R4633" s="36" t="s">
        <v>2253</v>
      </c>
      <c r="S4633" s="7">
        <f t="shared" si="390"/>
        <v>4</v>
      </c>
      <c r="T4633" s="15" t="str">
        <f>VLOOKUP(R4633,产品分类!$C$2:$D$1278,2,0)</f>
        <v>办公用品</v>
      </c>
    </row>
    <row r="4634" spans="1:20">
      <c r="A4634" s="8">
        <f>DATE(2012,12,31)-106</f>
        <v>41168</v>
      </c>
      <c r="B4634" s="8">
        <f>DATE(2012,12,31)-106</f>
        <v>41168</v>
      </c>
      <c r="C4634" s="9" t="s">
        <v>1080</v>
      </c>
      <c r="D4634">
        <v>10021418236</v>
      </c>
      <c r="E4634" t="s">
        <v>47</v>
      </c>
      <c r="F4634" t="s">
        <v>342</v>
      </c>
      <c r="G4634" t="s">
        <v>343</v>
      </c>
      <c r="H4634" t="s">
        <v>2309</v>
      </c>
      <c r="I4634" t="s">
        <v>2310</v>
      </c>
      <c r="J4634" t="s">
        <v>52</v>
      </c>
      <c r="K4634" s="3">
        <v>100920640161</v>
      </c>
      <c r="L4634" s="10">
        <v>41168</v>
      </c>
      <c r="M4634">
        <v>226.41</v>
      </c>
      <c r="N4634" s="11">
        <v>34</v>
      </c>
      <c r="O4634" s="12">
        <v>6.48</v>
      </c>
      <c r="P4634" s="12">
        <v>8.73</v>
      </c>
      <c r="Q4634" s="13">
        <v>-164.89</v>
      </c>
      <c r="R4634" s="36" t="s">
        <v>924</v>
      </c>
      <c r="S4634" s="7">
        <f t="shared" si="390"/>
        <v>0</v>
      </c>
      <c r="T4634" s="15" t="str">
        <f>VLOOKUP(R4634,产品分类!$C$2:$D$1278,2,0)</f>
        <v>数码电子</v>
      </c>
    </row>
    <row r="4635" spans="1:20">
      <c r="A4635" s="8">
        <f>DATE(2012,12,31)-745</f>
        <v>40529</v>
      </c>
      <c r="B4635" s="8">
        <f>DATE(2012,12,31)-745</f>
        <v>40529</v>
      </c>
      <c r="C4635" s="9" t="s">
        <v>466</v>
      </c>
      <c r="D4635">
        <v>10021564947</v>
      </c>
      <c r="E4635" t="s">
        <v>47</v>
      </c>
      <c r="F4635" t="s">
        <v>177</v>
      </c>
      <c r="G4635" t="s">
        <v>178</v>
      </c>
      <c r="H4635" t="s">
        <v>2339</v>
      </c>
      <c r="I4635" t="s">
        <v>2340</v>
      </c>
      <c r="J4635" t="s">
        <v>52</v>
      </c>
      <c r="K4635" s="3">
        <v>100110218747</v>
      </c>
      <c r="L4635" s="10">
        <v>40532</v>
      </c>
      <c r="M4635">
        <v>262.29</v>
      </c>
      <c r="N4635" s="11">
        <v>15</v>
      </c>
      <c r="O4635" s="12">
        <v>17.78</v>
      </c>
      <c r="P4635" s="12">
        <v>5.03</v>
      </c>
      <c r="Q4635" s="13">
        <v>7.26</v>
      </c>
      <c r="R4635" s="36" t="s">
        <v>1190</v>
      </c>
      <c r="S4635" s="7">
        <f t="shared" si="390"/>
        <v>3</v>
      </c>
      <c r="T4635" s="15" t="str">
        <f>VLOOKUP(R4635,产品分类!$C$2:$D$1278,2,0)</f>
        <v>办公用品</v>
      </c>
    </row>
    <row r="4636" spans="1:20">
      <c r="A4636" s="8">
        <f>DATE(2012,12,31)-745</f>
        <v>40529</v>
      </c>
      <c r="B4636" s="8">
        <f>DATE(2012,12,31)-745</f>
        <v>40529</v>
      </c>
      <c r="C4636" s="9" t="s">
        <v>466</v>
      </c>
      <c r="D4636">
        <v>10021529419</v>
      </c>
      <c r="E4636" t="s">
        <v>47</v>
      </c>
      <c r="F4636" t="s">
        <v>177</v>
      </c>
      <c r="G4636" t="s">
        <v>178</v>
      </c>
      <c r="H4636" t="s">
        <v>2339</v>
      </c>
      <c r="I4636" t="s">
        <v>2340</v>
      </c>
      <c r="J4636" t="s">
        <v>52</v>
      </c>
      <c r="K4636" s="3">
        <v>100127195907</v>
      </c>
      <c r="L4636" s="10">
        <v>40531</v>
      </c>
      <c r="M4636">
        <v>116.314</v>
      </c>
      <c r="N4636" s="11">
        <v>2</v>
      </c>
      <c r="O4636" s="12">
        <v>65.99</v>
      </c>
      <c r="P4636" s="12">
        <v>3.9</v>
      </c>
      <c r="Q4636" s="13">
        <v>-300.85</v>
      </c>
      <c r="R4636" s="36" t="s">
        <v>1114</v>
      </c>
      <c r="S4636" s="7">
        <f t="shared" si="390"/>
        <v>2</v>
      </c>
      <c r="T4636" s="15" t="str">
        <f>VLOOKUP(R4636,产品分类!$C$2:$D$1278,2,0)</f>
        <v>家具产品</v>
      </c>
    </row>
    <row r="4637" spans="1:20">
      <c r="A4637" s="8">
        <f>DATE(2012,12,31)-824</f>
        <v>40450</v>
      </c>
      <c r="B4637" s="8">
        <f>DATE(2012,12,31)-824</f>
        <v>40450</v>
      </c>
      <c r="C4637" s="9" t="s">
        <v>1152</v>
      </c>
      <c r="D4637">
        <v>10021505908</v>
      </c>
      <c r="E4637" t="s">
        <v>47</v>
      </c>
      <c r="F4637" t="s">
        <v>177</v>
      </c>
      <c r="G4637" t="s">
        <v>178</v>
      </c>
      <c r="H4637" t="s">
        <v>2339</v>
      </c>
      <c r="I4637" t="s">
        <v>2340</v>
      </c>
      <c r="J4637" t="s">
        <v>52</v>
      </c>
      <c r="K4637" s="3">
        <v>100131148706</v>
      </c>
      <c r="L4637" s="10">
        <v>40451</v>
      </c>
      <c r="M4637">
        <v>1663.83</v>
      </c>
      <c r="N4637" s="11">
        <v>13</v>
      </c>
      <c r="O4637" s="12">
        <v>130.98</v>
      </c>
      <c r="P4637" s="12">
        <v>54.74</v>
      </c>
      <c r="Q4637" s="13">
        <v>-484.64</v>
      </c>
      <c r="R4637" s="36" t="s">
        <v>142</v>
      </c>
      <c r="S4637" s="7">
        <f t="shared" si="390"/>
        <v>1</v>
      </c>
      <c r="T4637" s="15" t="str">
        <f>VLOOKUP(R4637,产品分类!$C$2:$D$1278,2,0)</f>
        <v>数码电子</v>
      </c>
    </row>
    <row r="4638" spans="1:20">
      <c r="A4638" s="8">
        <f>DATE(2012,12,31)-1357</f>
        <v>39917</v>
      </c>
      <c r="B4638" s="8">
        <f>DATE(2012,12,31)-1357</f>
        <v>39917</v>
      </c>
      <c r="C4638" s="9" t="s">
        <v>1917</v>
      </c>
      <c r="D4638">
        <v>10021420599</v>
      </c>
      <c r="E4638" t="s">
        <v>47</v>
      </c>
      <c r="F4638" t="s">
        <v>177</v>
      </c>
      <c r="G4638" t="s">
        <v>178</v>
      </c>
      <c r="H4638" t="s">
        <v>2339</v>
      </c>
      <c r="I4638" t="s">
        <v>2340</v>
      </c>
      <c r="J4638" t="s">
        <v>52</v>
      </c>
      <c r="K4638" s="3">
        <v>100821992692</v>
      </c>
      <c r="L4638" s="10">
        <v>39922</v>
      </c>
      <c r="M4638">
        <v>1386.65</v>
      </c>
      <c r="N4638" s="11">
        <v>14</v>
      </c>
      <c r="O4638" s="12">
        <v>100.98</v>
      </c>
      <c r="P4638" s="12">
        <v>35.84</v>
      </c>
      <c r="Q4638" s="13">
        <v>-193.58</v>
      </c>
      <c r="R4638" s="36" t="s">
        <v>471</v>
      </c>
      <c r="S4638" s="7">
        <f t="shared" si="390"/>
        <v>5</v>
      </c>
      <c r="T4638" s="15" t="str">
        <f>VLOOKUP(R4638,产品分类!$C$2:$D$1278,2,0)</f>
        <v>办公用品</v>
      </c>
    </row>
    <row r="4639" spans="1:20">
      <c r="A4639" s="16">
        <f>DATE(2012,12,31)-1437</f>
        <v>39837</v>
      </c>
      <c r="B4639" s="16">
        <f>DATE(2012,12,31)-1437</f>
        <v>39837</v>
      </c>
      <c r="C4639" s="9" t="s">
        <v>1301</v>
      </c>
      <c r="D4639">
        <v>10021646631</v>
      </c>
      <c r="E4639" t="s">
        <v>47</v>
      </c>
      <c r="F4639" t="s">
        <v>61</v>
      </c>
      <c r="G4639" t="s">
        <v>62</v>
      </c>
      <c r="H4639" t="s">
        <v>2356</v>
      </c>
      <c r="I4639" t="s">
        <v>2357</v>
      </c>
      <c r="J4639" t="s">
        <v>52</v>
      </c>
      <c r="K4639" s="3">
        <v>100117330448</v>
      </c>
      <c r="L4639" s="10">
        <v>39842</v>
      </c>
      <c r="M4639">
        <v>318.31</v>
      </c>
      <c r="N4639" s="17">
        <v>5</v>
      </c>
      <c r="O4639" s="5">
        <v>67.84</v>
      </c>
      <c r="P4639" s="5">
        <v>0.99</v>
      </c>
      <c r="Q4639" s="6">
        <v>-19.06</v>
      </c>
      <c r="R4639" s="37" t="s">
        <v>2154</v>
      </c>
      <c r="S4639" s="7">
        <f t="shared" si="390"/>
        <v>5</v>
      </c>
      <c r="T4639" s="15" t="str">
        <f>VLOOKUP(R4639,产品分类!$C$2:$D$1278,2,0)</f>
        <v>家具产品</v>
      </c>
    </row>
    <row r="4640" spans="1:20">
      <c r="A4640" s="8">
        <f>DATE(2012,12,31)-214</f>
        <v>41060</v>
      </c>
      <c r="B4640" s="8">
        <f>DATE(2012,12,31)-214</f>
        <v>41060</v>
      </c>
      <c r="C4640" s="9" t="s">
        <v>991</v>
      </c>
      <c r="D4640">
        <v>10021413909</v>
      </c>
      <c r="E4640" t="s">
        <v>47</v>
      </c>
      <c r="F4640" t="s">
        <v>66</v>
      </c>
      <c r="G4640" t="s">
        <v>67</v>
      </c>
      <c r="H4640" t="s">
        <v>2359</v>
      </c>
      <c r="I4640" t="s">
        <v>2360</v>
      </c>
      <c r="J4640" t="s">
        <v>52</v>
      </c>
      <c r="K4640" s="3">
        <v>10073404685</v>
      </c>
      <c r="L4640" s="10">
        <v>41062</v>
      </c>
      <c r="M4640">
        <v>16028.26</v>
      </c>
      <c r="N4640" s="11">
        <v>39</v>
      </c>
      <c r="O4640" s="12">
        <v>417.4</v>
      </c>
      <c r="P4640" s="12">
        <v>75.23</v>
      </c>
      <c r="Q4640" s="13">
        <v>-1008.73058</v>
      </c>
      <c r="R4640" s="36" t="s">
        <v>2110</v>
      </c>
      <c r="S4640" s="7">
        <f t="shared" si="390"/>
        <v>2</v>
      </c>
      <c r="T4640" s="15" t="str">
        <f>VLOOKUP(R4640,产品分类!$C$2:$D$1278,2,0)</f>
        <v>办公用品</v>
      </c>
    </row>
    <row r="4641" spans="1:20">
      <c r="A4641" s="8">
        <f>DATE(2012,12,31)-214</f>
        <v>41060</v>
      </c>
      <c r="B4641" s="8">
        <f>DATE(2012,12,31)-214</f>
        <v>41060</v>
      </c>
      <c r="C4641" s="9" t="s">
        <v>991</v>
      </c>
      <c r="D4641">
        <v>10021295121</v>
      </c>
      <c r="E4641" t="s">
        <v>47</v>
      </c>
      <c r="F4641" t="s">
        <v>342</v>
      </c>
      <c r="G4641" t="s">
        <v>343</v>
      </c>
      <c r="H4641" t="s">
        <v>2309</v>
      </c>
      <c r="I4641" t="s">
        <v>2310</v>
      </c>
      <c r="J4641" t="s">
        <v>52</v>
      </c>
      <c r="K4641" s="3">
        <v>100414487844</v>
      </c>
      <c r="L4641" s="10">
        <v>41061</v>
      </c>
      <c r="M4641">
        <v>738.2505</v>
      </c>
      <c r="N4641" s="11">
        <v>8</v>
      </c>
      <c r="O4641" s="12">
        <v>115.99</v>
      </c>
      <c r="P4641" s="12">
        <v>2.5</v>
      </c>
      <c r="Q4641" s="13">
        <v>-286.363</v>
      </c>
      <c r="R4641" s="36" t="s">
        <v>914</v>
      </c>
      <c r="S4641" s="7">
        <f t="shared" si="390"/>
        <v>1</v>
      </c>
      <c r="T4641" s="15" t="str">
        <f>VLOOKUP(R4641,产品分类!$C$2:$D$1278,2,0)</f>
        <v>家具产品</v>
      </c>
    </row>
    <row r="4642" spans="1:20">
      <c r="A4642" s="8">
        <f>DATE(2012,12,31)-129</f>
        <v>41145</v>
      </c>
      <c r="B4642" s="8">
        <f>DATE(2012,12,31)-129</f>
        <v>41145</v>
      </c>
      <c r="C4642" s="9" t="s">
        <v>250</v>
      </c>
      <c r="D4642">
        <v>10021586268</v>
      </c>
      <c r="E4642" t="s">
        <v>47</v>
      </c>
      <c r="F4642" t="s">
        <v>61</v>
      </c>
      <c r="G4642" t="s">
        <v>62</v>
      </c>
      <c r="H4642" t="s">
        <v>2356</v>
      </c>
      <c r="I4642" t="s">
        <v>2357</v>
      </c>
      <c r="J4642" t="s">
        <v>52</v>
      </c>
      <c r="K4642" s="3">
        <v>100129046117</v>
      </c>
      <c r="L4642" s="10">
        <v>41147</v>
      </c>
      <c r="M4642">
        <v>550.68</v>
      </c>
      <c r="N4642" s="11">
        <v>24</v>
      </c>
      <c r="O4642" s="12">
        <v>23.99</v>
      </c>
      <c r="P4642" s="12">
        <v>15.68</v>
      </c>
      <c r="Q4642" s="13">
        <v>-134.63</v>
      </c>
      <c r="R4642" s="36" t="s">
        <v>2100</v>
      </c>
      <c r="S4642" s="7">
        <f t="shared" si="390"/>
        <v>2</v>
      </c>
      <c r="T4642" s="15" t="str">
        <f>VLOOKUP(R4642,产品分类!$C$2:$D$1278,2,0)</f>
        <v>家具产品</v>
      </c>
    </row>
    <row r="4643" spans="1:20">
      <c r="A4643" s="8">
        <f>DATE(2012,12,31)-129</f>
        <v>41145</v>
      </c>
      <c r="B4643" s="8">
        <f>DATE(2012,12,31)-129</f>
        <v>41145</v>
      </c>
      <c r="C4643" s="9" t="s">
        <v>250</v>
      </c>
      <c r="D4643">
        <v>10021351162</v>
      </c>
      <c r="E4643" t="s">
        <v>47</v>
      </c>
      <c r="F4643" t="s">
        <v>61</v>
      </c>
      <c r="G4643" t="s">
        <v>62</v>
      </c>
      <c r="H4643" t="s">
        <v>2356</v>
      </c>
      <c r="I4643" t="s">
        <v>2357</v>
      </c>
      <c r="J4643" t="s">
        <v>52</v>
      </c>
      <c r="K4643" s="3">
        <v>100732208645</v>
      </c>
      <c r="L4643" s="10">
        <v>41146</v>
      </c>
      <c r="M4643">
        <v>120.96</v>
      </c>
      <c r="N4643" s="11">
        <v>18</v>
      </c>
      <c r="O4643" s="12">
        <v>6.48</v>
      </c>
      <c r="P4643" s="12">
        <v>6.65</v>
      </c>
      <c r="Q4643" s="13">
        <v>-53.69</v>
      </c>
      <c r="R4643" s="36" t="s">
        <v>1103</v>
      </c>
      <c r="S4643" s="7">
        <f t="shared" si="390"/>
        <v>1</v>
      </c>
      <c r="T4643" s="15" t="str">
        <f>VLOOKUP(R4643,产品分类!$C$2:$D$1278,2,0)</f>
        <v>办公用品</v>
      </c>
    </row>
    <row r="4644" spans="1:20">
      <c r="A4644" s="8">
        <f>DATE(2012,12,31)-1046</f>
        <v>40228</v>
      </c>
      <c r="B4644" s="8">
        <f>DATE(2012,12,31)-1046</f>
        <v>40228</v>
      </c>
      <c r="C4644" s="9" t="s">
        <v>111</v>
      </c>
      <c r="D4644">
        <v>10021337300</v>
      </c>
      <c r="E4644" t="s">
        <v>47</v>
      </c>
      <c r="F4644" t="s">
        <v>61</v>
      </c>
      <c r="G4644" t="s">
        <v>62</v>
      </c>
      <c r="H4644" t="s">
        <v>2356</v>
      </c>
      <c r="I4644" t="s">
        <v>2357</v>
      </c>
      <c r="J4644" t="s">
        <v>52</v>
      </c>
      <c r="K4644" s="3">
        <v>100721517455</v>
      </c>
      <c r="L4644" s="10">
        <v>40229</v>
      </c>
      <c r="M4644">
        <v>15.88</v>
      </c>
      <c r="N4644" s="11">
        <v>3</v>
      </c>
      <c r="O4644" s="12">
        <v>3.74</v>
      </c>
      <c r="P4644" s="12">
        <v>4.69</v>
      </c>
      <c r="Q4644" s="13">
        <v>-11.04</v>
      </c>
      <c r="R4644" s="36" t="s">
        <v>1981</v>
      </c>
      <c r="S4644" s="7">
        <f t="shared" si="390"/>
        <v>1</v>
      </c>
      <c r="T4644" s="15" t="str">
        <f>VLOOKUP(R4644,产品分类!$C$2:$D$1278,2,0)</f>
        <v>数码电子</v>
      </c>
    </row>
    <row r="4645" spans="1:20">
      <c r="A4645" s="8">
        <f>DATE(2012,12,31)-535</f>
        <v>40739</v>
      </c>
      <c r="B4645" s="8">
        <f>DATE(2012,12,31)-535</f>
        <v>40739</v>
      </c>
      <c r="C4645" s="9" t="s">
        <v>1688</v>
      </c>
      <c r="D4645">
        <v>10021331728</v>
      </c>
      <c r="E4645" t="s">
        <v>47</v>
      </c>
      <c r="F4645" t="s">
        <v>61</v>
      </c>
      <c r="G4645" t="s">
        <v>62</v>
      </c>
      <c r="H4645" t="s">
        <v>2356</v>
      </c>
      <c r="I4645" t="s">
        <v>2357</v>
      </c>
      <c r="J4645" t="s">
        <v>52</v>
      </c>
      <c r="K4645" s="3">
        <v>10035119419</v>
      </c>
      <c r="L4645" s="10">
        <v>40741</v>
      </c>
      <c r="M4645">
        <v>5318.89</v>
      </c>
      <c r="N4645" s="11">
        <v>48</v>
      </c>
      <c r="O4645" s="12">
        <v>111.03</v>
      </c>
      <c r="P4645" s="12">
        <v>8.64</v>
      </c>
      <c r="Q4645" s="13">
        <v>525.15</v>
      </c>
      <c r="R4645" s="36" t="s">
        <v>1646</v>
      </c>
      <c r="S4645" s="7">
        <f t="shared" si="390"/>
        <v>2</v>
      </c>
      <c r="T4645" s="15" t="str">
        <f>VLOOKUP(R4645,产品分类!$C$2:$D$1278,2,0)</f>
        <v>数码电子</v>
      </c>
    </row>
    <row r="4646" spans="1:20">
      <c r="A4646" s="8">
        <f>DATE(2012,12,31)-1244</f>
        <v>40030</v>
      </c>
      <c r="B4646" s="8">
        <f>DATE(2012,12,31)-1244</f>
        <v>40030</v>
      </c>
      <c r="C4646" s="9" t="s">
        <v>553</v>
      </c>
      <c r="D4646">
        <v>10021386113</v>
      </c>
      <c r="E4646" t="s">
        <v>47</v>
      </c>
      <c r="F4646" t="s">
        <v>55</v>
      </c>
      <c r="G4646" t="s">
        <v>56</v>
      </c>
      <c r="H4646" t="s">
        <v>2331</v>
      </c>
      <c r="I4646" t="s">
        <v>2332</v>
      </c>
      <c r="J4646" t="s">
        <v>52</v>
      </c>
      <c r="K4646" s="3">
        <v>10015967607</v>
      </c>
      <c r="L4646" s="10">
        <v>40031</v>
      </c>
      <c r="M4646">
        <v>1033.93</v>
      </c>
      <c r="N4646" s="11">
        <v>26</v>
      </c>
      <c r="O4646" s="12">
        <v>37.76</v>
      </c>
      <c r="P4646" s="12">
        <v>12.9</v>
      </c>
      <c r="Q4646" s="13">
        <v>63.41</v>
      </c>
      <c r="R4646" s="36" t="s">
        <v>1506</v>
      </c>
      <c r="S4646" s="7">
        <f t="shared" si="390"/>
        <v>1</v>
      </c>
      <c r="T4646" s="15" t="str">
        <f>VLOOKUP(R4646,产品分类!$C$2:$D$1278,2,0)</f>
        <v>办公用品</v>
      </c>
    </row>
    <row r="4647" spans="1:20">
      <c r="A4647" s="8">
        <f>DATE(2012,12,31)-706</f>
        <v>40568</v>
      </c>
      <c r="B4647" s="8">
        <f>DATE(2012,12,31)-706</f>
        <v>40568</v>
      </c>
      <c r="C4647" s="9" t="s">
        <v>759</v>
      </c>
      <c r="D4647">
        <v>10021502053</v>
      </c>
      <c r="E4647" t="s">
        <v>47</v>
      </c>
      <c r="F4647" t="s">
        <v>61</v>
      </c>
      <c r="G4647" t="s">
        <v>62</v>
      </c>
      <c r="H4647" t="s">
        <v>2356</v>
      </c>
      <c r="I4647" t="s">
        <v>2357</v>
      </c>
      <c r="J4647" t="s">
        <v>52</v>
      </c>
      <c r="K4647" s="3">
        <v>100827955002</v>
      </c>
      <c r="L4647" s="10">
        <v>40570</v>
      </c>
      <c r="M4647">
        <v>265.35</v>
      </c>
      <c r="N4647" s="11">
        <v>24</v>
      </c>
      <c r="O4647" s="12">
        <v>9.99</v>
      </c>
      <c r="P4647" s="12">
        <v>11.59</v>
      </c>
      <c r="Q4647" s="13">
        <v>-128.69</v>
      </c>
      <c r="R4647" s="36" t="s">
        <v>1467</v>
      </c>
      <c r="S4647" s="7">
        <f t="shared" si="390"/>
        <v>2</v>
      </c>
      <c r="T4647" s="15" t="str">
        <f>VLOOKUP(R4647,产品分类!$C$2:$D$1278,2,0)</f>
        <v>数码电子</v>
      </c>
    </row>
    <row r="4648" spans="1:20">
      <c r="A4648" s="8">
        <f>DATE(2012,12,31)-1415</f>
        <v>39859</v>
      </c>
      <c r="B4648" s="8">
        <f>DATE(2012,12,31)-1415</f>
        <v>39859</v>
      </c>
      <c r="C4648" s="9" t="s">
        <v>2208</v>
      </c>
      <c r="D4648">
        <v>10021586321</v>
      </c>
      <c r="E4648" t="s">
        <v>47</v>
      </c>
      <c r="F4648" t="s">
        <v>61</v>
      </c>
      <c r="G4648" t="s">
        <v>62</v>
      </c>
      <c r="H4648" t="s">
        <v>2356</v>
      </c>
      <c r="I4648" t="s">
        <v>2357</v>
      </c>
      <c r="J4648" t="s">
        <v>52</v>
      </c>
      <c r="K4648" s="3">
        <v>100329060689</v>
      </c>
      <c r="L4648" s="10">
        <v>39861</v>
      </c>
      <c r="M4648">
        <v>4846.74</v>
      </c>
      <c r="N4648" s="11">
        <v>30</v>
      </c>
      <c r="O4648" s="12">
        <v>159.99</v>
      </c>
      <c r="P4648" s="12">
        <v>5.5</v>
      </c>
      <c r="Q4648" s="13">
        <v>1689.93</v>
      </c>
      <c r="R4648" s="36" t="s">
        <v>1288</v>
      </c>
      <c r="S4648" s="7">
        <f t="shared" si="390"/>
        <v>2</v>
      </c>
      <c r="T4648" s="15" t="str">
        <f>VLOOKUP(R4648,产品分类!$C$2:$D$1278,2,0)</f>
        <v>数码电子</v>
      </c>
    </row>
    <row r="4649" spans="1:20">
      <c r="A4649" s="8">
        <f>DATE(2012,12,31)-1415</f>
        <v>39859</v>
      </c>
      <c r="B4649" s="8">
        <f>DATE(2012,12,31)-1415</f>
        <v>39859</v>
      </c>
      <c r="C4649" s="9" t="s">
        <v>2208</v>
      </c>
      <c r="D4649">
        <v>10021302319</v>
      </c>
      <c r="E4649" t="s">
        <v>47</v>
      </c>
      <c r="F4649" t="s">
        <v>61</v>
      </c>
      <c r="G4649" t="s">
        <v>62</v>
      </c>
      <c r="H4649" t="s">
        <v>2356</v>
      </c>
      <c r="I4649" t="s">
        <v>2357</v>
      </c>
      <c r="J4649" t="s">
        <v>52</v>
      </c>
      <c r="K4649" s="3">
        <v>100931003571</v>
      </c>
      <c r="L4649" s="10">
        <v>39860</v>
      </c>
      <c r="M4649">
        <v>2548.3</v>
      </c>
      <c r="N4649" s="11">
        <v>34</v>
      </c>
      <c r="O4649" s="12">
        <v>78.69</v>
      </c>
      <c r="P4649" s="12">
        <v>19.99</v>
      </c>
      <c r="Q4649" s="13">
        <v>875.57</v>
      </c>
      <c r="R4649" s="36" t="s">
        <v>2041</v>
      </c>
      <c r="S4649" s="7">
        <f t="shared" si="390"/>
        <v>1</v>
      </c>
      <c r="T4649" s="15" t="str">
        <f>VLOOKUP(R4649,产品分类!$C$2:$D$1278,2,0)</f>
        <v>办公用品</v>
      </c>
    </row>
    <row r="4650" spans="1:20">
      <c r="A4650" s="8">
        <f>DATE(2012,12,31)-926</f>
        <v>40348</v>
      </c>
      <c r="B4650" s="8">
        <f>DATE(2012,12,31)-926</f>
        <v>40348</v>
      </c>
      <c r="C4650" s="9" t="s">
        <v>2012</v>
      </c>
      <c r="D4650">
        <v>10021336945</v>
      </c>
      <c r="E4650" t="s">
        <v>47</v>
      </c>
      <c r="F4650" t="s">
        <v>61</v>
      </c>
      <c r="G4650" t="s">
        <v>62</v>
      </c>
      <c r="H4650" t="s">
        <v>2356</v>
      </c>
      <c r="I4650" t="s">
        <v>2357</v>
      </c>
      <c r="J4650" t="s">
        <v>52</v>
      </c>
      <c r="K4650" s="3">
        <v>100120933517</v>
      </c>
      <c r="L4650" s="10">
        <v>40355</v>
      </c>
      <c r="M4650">
        <v>8468.63</v>
      </c>
      <c r="N4650" s="11">
        <v>21</v>
      </c>
      <c r="O4650" s="12">
        <v>400.97</v>
      </c>
      <c r="P4650" s="12">
        <v>48.26</v>
      </c>
      <c r="Q4650" s="13">
        <v>2819.96</v>
      </c>
      <c r="R4650" s="36" t="s">
        <v>2058</v>
      </c>
      <c r="S4650" s="7">
        <f t="shared" si="390"/>
        <v>7</v>
      </c>
      <c r="T4650" s="15" t="str">
        <f>VLOOKUP(R4650,产品分类!$C$2:$D$1278,2,0)</f>
        <v>数码电子</v>
      </c>
    </row>
    <row r="4651" spans="1:20">
      <c r="A4651" s="8">
        <f>DATE(2012,12,31)-768</f>
        <v>40506</v>
      </c>
      <c r="B4651" s="8">
        <f>DATE(2012,12,31)-768</f>
        <v>40506</v>
      </c>
      <c r="C4651" s="9" t="s">
        <v>861</v>
      </c>
      <c r="D4651">
        <v>10021423164</v>
      </c>
      <c r="E4651" t="s">
        <v>47</v>
      </c>
      <c r="F4651" t="s">
        <v>61</v>
      </c>
      <c r="G4651" t="s">
        <v>62</v>
      </c>
      <c r="H4651" t="s">
        <v>2356</v>
      </c>
      <c r="I4651" t="s">
        <v>2357</v>
      </c>
      <c r="J4651" t="s">
        <v>52</v>
      </c>
      <c r="K4651" s="3">
        <v>100827719752</v>
      </c>
      <c r="L4651" s="10">
        <v>40508</v>
      </c>
      <c r="M4651">
        <v>6045.98</v>
      </c>
      <c r="N4651" s="11">
        <v>41</v>
      </c>
      <c r="O4651" s="12">
        <v>150.98</v>
      </c>
      <c r="P4651" s="12">
        <v>66.27</v>
      </c>
      <c r="Q4651" s="13">
        <v>-996.67</v>
      </c>
      <c r="R4651" s="36" t="s">
        <v>1166</v>
      </c>
      <c r="S4651" s="7">
        <f t="shared" si="390"/>
        <v>2</v>
      </c>
      <c r="T4651" s="15" t="str">
        <f>VLOOKUP(R4651,产品分类!$C$2:$D$1278,2,0)</f>
        <v>办公用品</v>
      </c>
    </row>
    <row r="4652" spans="1:20">
      <c r="A4652" s="8">
        <f>DATE(2012,12,31)-415</f>
        <v>40859</v>
      </c>
      <c r="B4652" s="8">
        <f>DATE(2012,12,31)-415</f>
        <v>40859</v>
      </c>
      <c r="C4652" s="9" t="s">
        <v>1612</v>
      </c>
      <c r="D4652">
        <v>10021578243</v>
      </c>
      <c r="E4652" t="s">
        <v>47</v>
      </c>
      <c r="F4652" t="s">
        <v>61</v>
      </c>
      <c r="G4652" t="s">
        <v>62</v>
      </c>
      <c r="H4652" t="s">
        <v>2356</v>
      </c>
      <c r="I4652" t="s">
        <v>2357</v>
      </c>
      <c r="J4652" t="s">
        <v>52</v>
      </c>
      <c r="K4652" s="3">
        <v>10039653999</v>
      </c>
      <c r="L4652" s="10">
        <v>40860</v>
      </c>
      <c r="M4652">
        <v>5979.84</v>
      </c>
      <c r="N4652" s="11">
        <v>46</v>
      </c>
      <c r="O4652" s="12">
        <v>128.24</v>
      </c>
      <c r="P4652" s="12">
        <v>12.65</v>
      </c>
      <c r="Q4652" s="13">
        <v>1779.01</v>
      </c>
      <c r="R4652" s="36" t="s">
        <v>622</v>
      </c>
      <c r="S4652" s="7">
        <f t="shared" si="390"/>
        <v>1</v>
      </c>
      <c r="T4652" s="15" t="str">
        <f>VLOOKUP(R4652,产品分类!$C$2:$D$1278,2,0)</f>
        <v>办公用品</v>
      </c>
    </row>
    <row r="4653" spans="1:20">
      <c r="A4653" s="8">
        <f>DATE(2012,12,31)-415</f>
        <v>40859</v>
      </c>
      <c r="B4653" s="8">
        <f>DATE(2012,12,31)-415</f>
        <v>40859</v>
      </c>
      <c r="C4653" s="9" t="s">
        <v>1612</v>
      </c>
      <c r="D4653">
        <v>10021497761</v>
      </c>
      <c r="E4653" t="s">
        <v>47</v>
      </c>
      <c r="F4653" t="s">
        <v>61</v>
      </c>
      <c r="G4653" t="s">
        <v>62</v>
      </c>
      <c r="H4653" t="s">
        <v>2356</v>
      </c>
      <c r="I4653" t="s">
        <v>2357</v>
      </c>
      <c r="J4653" t="s">
        <v>52</v>
      </c>
      <c r="K4653" s="3">
        <v>100819782832</v>
      </c>
      <c r="L4653" s="10">
        <v>40861</v>
      </c>
      <c r="M4653">
        <v>175.76</v>
      </c>
      <c r="N4653" s="11">
        <v>28</v>
      </c>
      <c r="O4653" s="12">
        <v>6.3</v>
      </c>
      <c r="P4653" s="12">
        <v>0.5</v>
      </c>
      <c r="Q4653" s="13">
        <v>80.36</v>
      </c>
      <c r="R4653" s="36" t="s">
        <v>961</v>
      </c>
      <c r="S4653" s="7">
        <f t="shared" si="390"/>
        <v>2</v>
      </c>
      <c r="T4653" s="15" t="str">
        <f>VLOOKUP(R4653,产品分类!$C$2:$D$1278,2,0)</f>
        <v>办公用品</v>
      </c>
    </row>
    <row r="4654" spans="1:20">
      <c r="A4654" s="8">
        <f>DATE(2012,12,31)-771</f>
        <v>40503</v>
      </c>
      <c r="B4654" s="8">
        <f>DATE(2012,12,31)-771</f>
        <v>40503</v>
      </c>
      <c r="C4654" s="9" t="s">
        <v>323</v>
      </c>
      <c r="D4654">
        <v>10021252714</v>
      </c>
      <c r="E4654" t="s">
        <v>47</v>
      </c>
      <c r="F4654" t="s">
        <v>61</v>
      </c>
      <c r="G4654" t="s">
        <v>62</v>
      </c>
      <c r="H4654" t="s">
        <v>2356</v>
      </c>
      <c r="I4654" t="s">
        <v>2357</v>
      </c>
      <c r="J4654" t="s">
        <v>52</v>
      </c>
      <c r="K4654" s="3">
        <v>100112693838</v>
      </c>
      <c r="L4654" s="10">
        <v>40505</v>
      </c>
      <c r="M4654">
        <v>2569.6265</v>
      </c>
      <c r="N4654" s="11">
        <v>19</v>
      </c>
      <c r="O4654" s="12">
        <v>155.99</v>
      </c>
      <c r="P4654" s="12">
        <v>8.99</v>
      </c>
      <c r="Q4654" s="13">
        <v>398.007</v>
      </c>
      <c r="R4654" s="36" t="s">
        <v>2243</v>
      </c>
      <c r="S4654" s="7">
        <f t="shared" si="390"/>
        <v>2</v>
      </c>
      <c r="T4654" s="15" t="str">
        <f>VLOOKUP(R4654,产品分类!$C$2:$D$1278,2,0)</f>
        <v>数码电子</v>
      </c>
    </row>
    <row r="4655" spans="1:20">
      <c r="A4655" s="8">
        <f>DATE(2012,12,31)-881</f>
        <v>40393</v>
      </c>
      <c r="B4655" s="8">
        <f>DATE(2012,12,31)-881</f>
        <v>40393</v>
      </c>
      <c r="C4655" s="9" t="s">
        <v>417</v>
      </c>
      <c r="D4655">
        <v>10021258835</v>
      </c>
      <c r="E4655" t="s">
        <v>47</v>
      </c>
      <c r="F4655" t="s">
        <v>61</v>
      </c>
      <c r="G4655" t="s">
        <v>62</v>
      </c>
      <c r="H4655" t="s">
        <v>2356</v>
      </c>
      <c r="I4655" t="s">
        <v>2357</v>
      </c>
      <c r="J4655" t="s">
        <v>52</v>
      </c>
      <c r="K4655" s="3">
        <v>100127422706</v>
      </c>
      <c r="L4655" s="10">
        <v>40396</v>
      </c>
      <c r="M4655">
        <v>368.0245</v>
      </c>
      <c r="N4655" s="11">
        <v>7</v>
      </c>
      <c r="O4655" s="12">
        <v>65.99</v>
      </c>
      <c r="P4655" s="12">
        <v>4.2</v>
      </c>
      <c r="Q4655" s="13">
        <v>-218.812</v>
      </c>
      <c r="R4655" s="36" t="s">
        <v>1875</v>
      </c>
      <c r="S4655" s="7">
        <f t="shared" si="390"/>
        <v>3</v>
      </c>
      <c r="T4655" s="15" t="str">
        <f>VLOOKUP(R4655,产品分类!$C$2:$D$1278,2,0)</f>
        <v>家具产品</v>
      </c>
    </row>
    <row r="4656" spans="1:20">
      <c r="A4656" s="8">
        <f>DATE(2012,12,31)-248</f>
        <v>41026</v>
      </c>
      <c r="B4656" s="8">
        <f>DATE(2012,12,31)-248</f>
        <v>41026</v>
      </c>
      <c r="C4656" s="9" t="s">
        <v>2084</v>
      </c>
      <c r="D4656">
        <v>10021504192</v>
      </c>
      <c r="E4656" t="s">
        <v>47</v>
      </c>
      <c r="F4656" t="s">
        <v>61</v>
      </c>
      <c r="G4656" t="s">
        <v>62</v>
      </c>
      <c r="H4656" t="s">
        <v>2356</v>
      </c>
      <c r="I4656" t="s">
        <v>2357</v>
      </c>
      <c r="J4656" t="s">
        <v>52</v>
      </c>
      <c r="K4656" s="3">
        <v>100110291908</v>
      </c>
      <c r="L4656" s="10">
        <v>41028</v>
      </c>
      <c r="M4656">
        <v>56.695</v>
      </c>
      <c r="N4656" s="11">
        <v>3</v>
      </c>
      <c r="O4656" s="12">
        <v>20.99</v>
      </c>
      <c r="P4656" s="12">
        <v>0.99</v>
      </c>
      <c r="Q4656" s="13">
        <v>-70.972</v>
      </c>
      <c r="R4656" s="36" t="s">
        <v>1154</v>
      </c>
      <c r="S4656" s="7">
        <f t="shared" si="390"/>
        <v>2</v>
      </c>
      <c r="T4656" s="15" t="str">
        <f>VLOOKUP(R4656,产品分类!$C$2:$D$1278,2,0)</f>
        <v>办公用品</v>
      </c>
    </row>
    <row r="4657" spans="1:20">
      <c r="A4657" s="8">
        <f>DATE(2012,12,31)-322</f>
        <v>40952</v>
      </c>
      <c r="B4657" s="8">
        <f>DATE(2012,12,31)-322</f>
        <v>40952</v>
      </c>
      <c r="C4657" s="9" t="s">
        <v>1381</v>
      </c>
      <c r="D4657">
        <v>10021569352</v>
      </c>
      <c r="E4657" t="s">
        <v>47</v>
      </c>
      <c r="F4657" t="s">
        <v>72</v>
      </c>
      <c r="G4657" t="s">
        <v>73</v>
      </c>
      <c r="H4657" t="s">
        <v>2008</v>
      </c>
      <c r="I4657" t="s">
        <v>2009</v>
      </c>
      <c r="J4657" t="s">
        <v>52</v>
      </c>
      <c r="K4657" s="3">
        <v>100125195387</v>
      </c>
      <c r="L4657" s="10">
        <v>40954</v>
      </c>
      <c r="M4657">
        <v>402.49</v>
      </c>
      <c r="N4657" s="11">
        <v>32</v>
      </c>
      <c r="O4657" s="12">
        <v>11.7</v>
      </c>
      <c r="P4657" s="12">
        <v>5.63</v>
      </c>
      <c r="Q4657" s="13">
        <v>41.7945</v>
      </c>
      <c r="R4657" s="36" t="s">
        <v>348</v>
      </c>
      <c r="S4657" s="7">
        <f t="shared" si="390"/>
        <v>2</v>
      </c>
      <c r="T4657" s="15" t="str">
        <f>VLOOKUP(R4657,产品分类!$C$2:$D$1278,2,0)</f>
        <v>办公用品</v>
      </c>
    </row>
    <row r="4658" spans="1:20">
      <c r="A4658" s="8">
        <f>DATE(2012,12,31)-322</f>
        <v>40952</v>
      </c>
      <c r="B4658" s="8">
        <f>DATE(2012,12,31)-322</f>
        <v>40952</v>
      </c>
      <c r="C4658" s="9" t="s">
        <v>1381</v>
      </c>
      <c r="D4658">
        <v>10021457881</v>
      </c>
      <c r="E4658" t="s">
        <v>47</v>
      </c>
      <c r="F4658" t="s">
        <v>55</v>
      </c>
      <c r="G4658" t="s">
        <v>56</v>
      </c>
      <c r="H4658" t="s">
        <v>2331</v>
      </c>
      <c r="I4658" t="s">
        <v>2332</v>
      </c>
      <c r="J4658" t="s">
        <v>52</v>
      </c>
      <c r="K4658" s="3">
        <v>100832475252</v>
      </c>
      <c r="L4658" s="10">
        <v>40954</v>
      </c>
      <c r="M4658">
        <v>1754.29</v>
      </c>
      <c r="N4658" s="11">
        <v>1</v>
      </c>
      <c r="O4658" s="12">
        <v>1889.99</v>
      </c>
      <c r="P4658" s="12">
        <v>19.99</v>
      </c>
      <c r="Q4658" s="13">
        <v>-961.5035</v>
      </c>
      <c r="R4658" s="36" t="s">
        <v>2249</v>
      </c>
      <c r="S4658" s="7">
        <f t="shared" si="390"/>
        <v>2</v>
      </c>
      <c r="T4658" s="15" t="str">
        <f>VLOOKUP(R4658,产品分类!$C$2:$D$1278,2,0)</f>
        <v>数码电子</v>
      </c>
    </row>
    <row r="4659" spans="1:20">
      <c r="A4659" s="8">
        <f>DATE(2012,12,31)-125</f>
        <v>41149</v>
      </c>
      <c r="B4659" s="8">
        <f>DATE(2012,12,31)-125</f>
        <v>41149</v>
      </c>
      <c r="C4659" s="9" t="s">
        <v>1097</v>
      </c>
      <c r="D4659">
        <v>10021261731</v>
      </c>
      <c r="E4659" t="s">
        <v>47</v>
      </c>
      <c r="F4659" t="s">
        <v>48</v>
      </c>
      <c r="G4659" t="s">
        <v>49</v>
      </c>
      <c r="H4659" t="s">
        <v>2183</v>
      </c>
      <c r="I4659" t="s">
        <v>2184</v>
      </c>
      <c r="J4659" t="s">
        <v>52</v>
      </c>
      <c r="K4659" s="3">
        <v>100429714304</v>
      </c>
      <c r="L4659" s="10">
        <v>41151</v>
      </c>
      <c r="M4659">
        <v>1350.531</v>
      </c>
      <c r="N4659" s="11">
        <v>24</v>
      </c>
      <c r="O4659" s="12">
        <v>65.99</v>
      </c>
      <c r="P4659" s="12">
        <v>5.26</v>
      </c>
      <c r="Q4659" s="13">
        <v>221.184</v>
      </c>
      <c r="R4659" s="36" t="s">
        <v>522</v>
      </c>
      <c r="S4659" s="7">
        <f t="shared" si="390"/>
        <v>2</v>
      </c>
      <c r="T4659" s="15" t="str">
        <f>VLOOKUP(R4659,产品分类!$C$2:$D$1278,2,0)</f>
        <v>家具产品</v>
      </c>
    </row>
    <row r="4660" spans="1:20">
      <c r="A4660" s="8">
        <f>DATE(2012,12,31)-1137</f>
        <v>40137</v>
      </c>
      <c r="B4660" s="8">
        <f>DATE(2012,12,31)-1137</f>
        <v>40137</v>
      </c>
      <c r="C4660" s="9" t="s">
        <v>1339</v>
      </c>
      <c r="D4660">
        <v>10021348799</v>
      </c>
      <c r="E4660" t="s">
        <v>47</v>
      </c>
      <c r="F4660" t="s">
        <v>72</v>
      </c>
      <c r="G4660" t="s">
        <v>73</v>
      </c>
      <c r="H4660" t="s">
        <v>2008</v>
      </c>
      <c r="I4660" t="s">
        <v>2009</v>
      </c>
      <c r="J4660" t="s">
        <v>52</v>
      </c>
      <c r="K4660" s="3">
        <v>100131617426</v>
      </c>
      <c r="L4660" s="10">
        <v>40144</v>
      </c>
      <c r="M4660">
        <v>87.21</v>
      </c>
      <c r="N4660" s="11">
        <v>3</v>
      </c>
      <c r="O4660" s="12">
        <v>27.48</v>
      </c>
      <c r="P4660" s="12">
        <v>4</v>
      </c>
      <c r="Q4660" s="13">
        <v>-96.54</v>
      </c>
      <c r="R4660" s="36" t="s">
        <v>1392</v>
      </c>
      <c r="S4660" s="7">
        <f t="shared" si="390"/>
        <v>7</v>
      </c>
      <c r="T4660" s="15" t="str">
        <f>VLOOKUP(R4660,产品分类!$C$2:$D$1278,2,0)</f>
        <v>办公用品</v>
      </c>
    </row>
    <row r="4661" spans="1:20">
      <c r="A4661" s="8">
        <f>DATE(2012,12,31)-1137</f>
        <v>40137</v>
      </c>
      <c r="B4661" s="8">
        <f>DATE(2012,12,31)-1137</f>
        <v>40137</v>
      </c>
      <c r="C4661" s="9" t="s">
        <v>1339</v>
      </c>
      <c r="D4661">
        <v>10021341846</v>
      </c>
      <c r="E4661" t="s">
        <v>47</v>
      </c>
      <c r="F4661" t="s">
        <v>91</v>
      </c>
      <c r="G4661" t="s">
        <v>92</v>
      </c>
      <c r="H4661" t="s">
        <v>2053</v>
      </c>
      <c r="I4661" t="s">
        <v>2054</v>
      </c>
      <c r="J4661" t="s">
        <v>52</v>
      </c>
      <c r="K4661" s="3">
        <v>100427558814</v>
      </c>
      <c r="L4661" s="10">
        <v>40141</v>
      </c>
      <c r="M4661">
        <v>50.19</v>
      </c>
      <c r="N4661" s="11">
        <v>5</v>
      </c>
      <c r="O4661" s="12">
        <v>10.06</v>
      </c>
      <c r="P4661" s="12">
        <v>2.06</v>
      </c>
      <c r="Q4661" s="13">
        <v>0.149999999999999</v>
      </c>
      <c r="R4661" s="36" t="s">
        <v>880</v>
      </c>
      <c r="S4661" s="7">
        <f t="shared" si="390"/>
        <v>4</v>
      </c>
      <c r="T4661" s="15" t="str">
        <f>VLOOKUP(R4661,产品分类!$C$2:$D$1278,2,0)</f>
        <v>办公用品</v>
      </c>
    </row>
    <row r="4662" spans="1:20">
      <c r="A4662" s="8">
        <f>DATE(2012,12,31)-1390</f>
        <v>39884</v>
      </c>
      <c r="B4662" s="8">
        <f>DATE(2012,12,31)-1390</f>
        <v>39884</v>
      </c>
      <c r="C4662" s="9" t="s">
        <v>1129</v>
      </c>
      <c r="D4662">
        <v>10021593613</v>
      </c>
      <c r="E4662" t="s">
        <v>47</v>
      </c>
      <c r="F4662" t="s">
        <v>132</v>
      </c>
      <c r="G4662" t="s">
        <v>133</v>
      </c>
      <c r="H4662" t="s">
        <v>134</v>
      </c>
      <c r="I4662" t="s">
        <v>133</v>
      </c>
      <c r="J4662" t="s">
        <v>52</v>
      </c>
      <c r="K4662" s="3">
        <v>100932434581</v>
      </c>
      <c r="L4662" s="10">
        <v>39885</v>
      </c>
      <c r="M4662">
        <v>1388.91</v>
      </c>
      <c r="N4662" s="11">
        <v>20</v>
      </c>
      <c r="O4662" s="12">
        <v>73.98</v>
      </c>
      <c r="P4662" s="12">
        <v>4</v>
      </c>
      <c r="Q4662" s="13">
        <v>-229.87</v>
      </c>
      <c r="R4662" s="36" t="s">
        <v>885</v>
      </c>
      <c r="S4662" s="7">
        <f t="shared" si="390"/>
        <v>1</v>
      </c>
      <c r="T4662" s="15" t="str">
        <f>VLOOKUP(R4662,产品分类!$C$2:$D$1278,2,0)</f>
        <v>办公用品</v>
      </c>
    </row>
    <row r="4663" spans="1:20">
      <c r="A4663" s="8">
        <f>DATE(2012,12,31)-1390</f>
        <v>39884</v>
      </c>
      <c r="B4663" s="8">
        <f>DATE(2012,12,31)-1390</f>
        <v>39884</v>
      </c>
      <c r="C4663" s="9" t="s">
        <v>1129</v>
      </c>
      <c r="D4663">
        <v>10021426557</v>
      </c>
      <c r="E4663" t="s">
        <v>47</v>
      </c>
      <c r="F4663" t="s">
        <v>171</v>
      </c>
      <c r="G4663" t="s">
        <v>172</v>
      </c>
      <c r="H4663" t="s">
        <v>2352</v>
      </c>
      <c r="I4663" t="s">
        <v>2353</v>
      </c>
      <c r="J4663" t="s">
        <v>52</v>
      </c>
      <c r="K4663" s="3">
        <v>100930230931</v>
      </c>
      <c r="L4663" s="10">
        <v>39885</v>
      </c>
      <c r="M4663">
        <v>1806.65</v>
      </c>
      <c r="N4663" s="11">
        <v>34</v>
      </c>
      <c r="O4663" s="12">
        <v>51.98</v>
      </c>
      <c r="P4663" s="12">
        <v>10.17</v>
      </c>
      <c r="Q4663" s="13">
        <v>599.04</v>
      </c>
      <c r="R4663" s="36" t="s">
        <v>1255</v>
      </c>
      <c r="S4663" s="7">
        <f t="shared" si="390"/>
        <v>1</v>
      </c>
      <c r="T4663" s="15" t="str">
        <f>VLOOKUP(R4663,产品分类!$C$2:$D$1278,2,0)</f>
        <v>办公用品</v>
      </c>
    </row>
    <row r="4664" spans="1:20">
      <c r="A4664" s="8">
        <f>DATE(2012,12,31)-1090</f>
        <v>40184</v>
      </c>
      <c r="B4664" s="8">
        <f>DATE(2012,12,31)-1090</f>
        <v>40184</v>
      </c>
      <c r="C4664" s="9" t="s">
        <v>1315</v>
      </c>
      <c r="D4664">
        <v>10021451363</v>
      </c>
      <c r="E4664" t="s">
        <v>47</v>
      </c>
      <c r="F4664" t="s">
        <v>177</v>
      </c>
      <c r="G4664" t="s">
        <v>178</v>
      </c>
      <c r="H4664" t="s">
        <v>2339</v>
      </c>
      <c r="I4664" t="s">
        <v>2340</v>
      </c>
      <c r="J4664" t="s">
        <v>52</v>
      </c>
      <c r="K4664" s="3">
        <v>100830253782</v>
      </c>
      <c r="L4664" s="10">
        <v>40186</v>
      </c>
      <c r="M4664">
        <v>113.8</v>
      </c>
      <c r="N4664" s="11">
        <v>25</v>
      </c>
      <c r="O4664" s="12">
        <v>4.57</v>
      </c>
      <c r="P4664" s="12">
        <v>5.42</v>
      </c>
      <c r="Q4664" s="13">
        <v>-84.0765</v>
      </c>
      <c r="R4664" s="36" t="s">
        <v>577</v>
      </c>
      <c r="S4664" s="7">
        <f t="shared" si="390"/>
        <v>2</v>
      </c>
      <c r="T4664" s="15" t="str">
        <f>VLOOKUP(R4664,产品分类!$C$2:$D$1278,2,0)</f>
        <v>办公用品</v>
      </c>
    </row>
    <row r="4665" spans="1:20">
      <c r="A4665" s="8">
        <f>DATE(2012,12,31)-1090</f>
        <v>40184</v>
      </c>
      <c r="B4665" s="8">
        <f>DATE(2012,12,31)-1090</f>
        <v>40184</v>
      </c>
      <c r="C4665" s="9" t="s">
        <v>1315</v>
      </c>
      <c r="D4665">
        <v>10021506893</v>
      </c>
      <c r="E4665" t="s">
        <v>47</v>
      </c>
      <c r="F4665" t="s">
        <v>61</v>
      </c>
      <c r="G4665" t="s">
        <v>62</v>
      </c>
      <c r="H4665" t="s">
        <v>2356</v>
      </c>
      <c r="I4665" t="s">
        <v>2357</v>
      </c>
      <c r="J4665" t="s">
        <v>52</v>
      </c>
      <c r="K4665" s="3">
        <v>100731719595</v>
      </c>
      <c r="L4665" s="10">
        <v>40185</v>
      </c>
      <c r="M4665">
        <v>480.13</v>
      </c>
      <c r="N4665" s="11">
        <v>29</v>
      </c>
      <c r="O4665" s="12">
        <v>16.16</v>
      </c>
      <c r="P4665" s="12">
        <v>7.74</v>
      </c>
      <c r="Q4665" s="13">
        <v>53.67</v>
      </c>
      <c r="R4665" s="36" t="s">
        <v>2371</v>
      </c>
      <c r="S4665" s="7">
        <f t="shared" si="390"/>
        <v>1</v>
      </c>
      <c r="T4665" s="15" t="str">
        <f>VLOOKUP(R4665,产品分类!$C$2:$D$1278,2,0)</f>
        <v>家具产品</v>
      </c>
    </row>
    <row r="4666" spans="1:20">
      <c r="A4666" s="8">
        <f>DATE(2012,12,31)-387</f>
        <v>40887</v>
      </c>
      <c r="B4666" s="8">
        <f>DATE(2012,12,31)-387</f>
        <v>40887</v>
      </c>
      <c r="C4666" s="9" t="s">
        <v>313</v>
      </c>
      <c r="D4666">
        <v>10021632781</v>
      </c>
      <c r="E4666" t="s">
        <v>47</v>
      </c>
      <c r="F4666" t="s">
        <v>78</v>
      </c>
      <c r="G4666" t="s">
        <v>79</v>
      </c>
      <c r="H4666" t="s">
        <v>2105</v>
      </c>
      <c r="I4666" t="s">
        <v>2106</v>
      </c>
      <c r="J4666" t="s">
        <v>52</v>
      </c>
      <c r="K4666" s="3">
        <v>100427416424</v>
      </c>
      <c r="L4666" s="10">
        <v>40888</v>
      </c>
      <c r="M4666">
        <v>7341.96</v>
      </c>
      <c r="N4666" s="11">
        <v>32</v>
      </c>
      <c r="O4666" s="12">
        <v>216.6</v>
      </c>
      <c r="P4666" s="12">
        <v>64.2</v>
      </c>
      <c r="Q4666" s="13">
        <v>764.95</v>
      </c>
      <c r="R4666" s="36" t="s">
        <v>898</v>
      </c>
      <c r="S4666" s="7">
        <f t="shared" si="390"/>
        <v>1</v>
      </c>
      <c r="T4666" s="15" t="str">
        <f>VLOOKUP(R4666,产品分类!$C$2:$D$1278,2,0)</f>
        <v>数码电子</v>
      </c>
    </row>
    <row r="4667" spans="1:20">
      <c r="A4667" s="8">
        <f>DATE(2012,12,31)-1356</f>
        <v>39918</v>
      </c>
      <c r="B4667" s="8">
        <f>DATE(2012,12,31)-1356</f>
        <v>39918</v>
      </c>
      <c r="C4667" s="9" t="s">
        <v>1092</v>
      </c>
      <c r="D4667">
        <v>10021489899</v>
      </c>
      <c r="E4667" t="s">
        <v>47</v>
      </c>
      <c r="F4667" t="s">
        <v>72</v>
      </c>
      <c r="G4667" t="s">
        <v>73</v>
      </c>
      <c r="H4667" t="s">
        <v>2008</v>
      </c>
      <c r="I4667" t="s">
        <v>2009</v>
      </c>
      <c r="J4667" t="s">
        <v>52</v>
      </c>
      <c r="K4667" s="3">
        <v>100832434662</v>
      </c>
      <c r="L4667" s="10">
        <v>39918</v>
      </c>
      <c r="M4667">
        <v>3291.13</v>
      </c>
      <c r="N4667" s="11">
        <v>49</v>
      </c>
      <c r="O4667" s="12">
        <v>70.97</v>
      </c>
      <c r="P4667" s="12">
        <v>3.5</v>
      </c>
      <c r="Q4667" s="13">
        <v>925.95</v>
      </c>
      <c r="R4667" s="36" t="s">
        <v>365</v>
      </c>
      <c r="S4667" s="7">
        <f t="shared" si="390"/>
        <v>0</v>
      </c>
      <c r="T4667" s="15" t="str">
        <f>VLOOKUP(R4667,产品分类!$C$2:$D$1278,2,0)</f>
        <v>数码电子</v>
      </c>
    </row>
    <row r="4668" spans="1:20">
      <c r="A4668" s="8">
        <f>DATE(2012,12,31)-1356</f>
        <v>39918</v>
      </c>
      <c r="B4668" s="8">
        <f>DATE(2012,12,31)-1356</f>
        <v>39918</v>
      </c>
      <c r="C4668" s="9" t="s">
        <v>1092</v>
      </c>
      <c r="D4668">
        <v>10021567721</v>
      </c>
      <c r="E4668" t="s">
        <v>47</v>
      </c>
      <c r="F4668" t="s">
        <v>78</v>
      </c>
      <c r="G4668" t="s">
        <v>79</v>
      </c>
      <c r="H4668" t="s">
        <v>2105</v>
      </c>
      <c r="I4668" t="s">
        <v>2106</v>
      </c>
      <c r="J4668" t="s">
        <v>52</v>
      </c>
      <c r="K4668" s="3">
        <v>100131758196</v>
      </c>
      <c r="L4668" s="10">
        <v>39921</v>
      </c>
      <c r="M4668">
        <v>736.96</v>
      </c>
      <c r="N4668" s="11">
        <v>40</v>
      </c>
      <c r="O4668" s="12">
        <v>19.98</v>
      </c>
      <c r="P4668" s="12">
        <v>10.49</v>
      </c>
      <c r="Q4668" s="13">
        <v>-34.29</v>
      </c>
      <c r="R4668" s="36" t="s">
        <v>932</v>
      </c>
      <c r="S4668" s="7">
        <f t="shared" si="390"/>
        <v>3</v>
      </c>
      <c r="T4668" s="15" t="str">
        <f>VLOOKUP(R4668,产品分类!$C$2:$D$1278,2,0)</f>
        <v>数码电子</v>
      </c>
    </row>
    <row r="4669" spans="1:20">
      <c r="A4669" s="8">
        <f t="shared" ref="A4669:B4671" si="394">DATE(2012,12,31)-195</f>
        <v>41079</v>
      </c>
      <c r="B4669" s="8">
        <f t="shared" si="394"/>
        <v>41079</v>
      </c>
      <c r="C4669" s="9" t="s">
        <v>446</v>
      </c>
      <c r="D4669">
        <v>10021305306</v>
      </c>
      <c r="E4669" t="s">
        <v>47</v>
      </c>
      <c r="F4669" t="s">
        <v>230</v>
      </c>
      <c r="G4669" t="s">
        <v>231</v>
      </c>
      <c r="H4669" t="s">
        <v>2372</v>
      </c>
      <c r="I4669" t="s">
        <v>2373</v>
      </c>
      <c r="J4669" t="s">
        <v>52</v>
      </c>
      <c r="K4669" s="3">
        <v>100125751947</v>
      </c>
      <c r="L4669" s="10">
        <v>41081</v>
      </c>
      <c r="M4669">
        <v>420.76</v>
      </c>
      <c r="N4669" s="11">
        <v>18</v>
      </c>
      <c r="O4669" s="12">
        <v>22.38</v>
      </c>
      <c r="P4669" s="12">
        <v>15.1</v>
      </c>
      <c r="Q4669" s="13">
        <v>-56.212</v>
      </c>
      <c r="R4669" s="36" t="s">
        <v>938</v>
      </c>
      <c r="S4669" s="7">
        <f t="shared" si="390"/>
        <v>2</v>
      </c>
      <c r="T4669" s="15" t="str">
        <f>VLOOKUP(R4669,产品分类!$C$2:$D$1278,2,0)</f>
        <v>办公用品</v>
      </c>
    </row>
    <row r="4670" spans="1:20">
      <c r="A4670" s="8">
        <f t="shared" si="394"/>
        <v>41079</v>
      </c>
      <c r="B4670" s="8">
        <f t="shared" si="394"/>
        <v>41079</v>
      </c>
      <c r="C4670" s="9" t="s">
        <v>446</v>
      </c>
      <c r="D4670">
        <v>10021655168</v>
      </c>
      <c r="E4670" t="s">
        <v>47</v>
      </c>
      <c r="F4670" t="s">
        <v>114</v>
      </c>
      <c r="G4670" t="s">
        <v>115</v>
      </c>
      <c r="H4670" t="s">
        <v>2297</v>
      </c>
      <c r="I4670" t="s">
        <v>2298</v>
      </c>
      <c r="J4670" t="s">
        <v>52</v>
      </c>
      <c r="K4670" s="3">
        <v>100332324709</v>
      </c>
      <c r="L4670" s="10">
        <v>41080</v>
      </c>
      <c r="M4670">
        <v>1676.46</v>
      </c>
      <c r="N4670" s="11">
        <v>30</v>
      </c>
      <c r="O4670" s="12">
        <v>60.98</v>
      </c>
      <c r="P4670" s="12">
        <v>30</v>
      </c>
      <c r="Q4670" s="13">
        <v>-626.08</v>
      </c>
      <c r="R4670" s="36" t="s">
        <v>1631</v>
      </c>
      <c r="S4670" s="7">
        <f t="shared" si="390"/>
        <v>1</v>
      </c>
      <c r="T4670" s="15" t="str">
        <f>VLOOKUP(R4670,产品分类!$C$2:$D$1278,2,0)</f>
        <v>办公用品</v>
      </c>
    </row>
    <row r="4671" spans="1:20">
      <c r="A4671" s="8">
        <f t="shared" si="394"/>
        <v>41079</v>
      </c>
      <c r="B4671" s="8">
        <f t="shared" si="394"/>
        <v>41079</v>
      </c>
      <c r="C4671" s="9" t="s">
        <v>446</v>
      </c>
      <c r="D4671">
        <v>10021315786</v>
      </c>
      <c r="E4671" t="s">
        <v>47</v>
      </c>
      <c r="F4671" t="s">
        <v>55</v>
      </c>
      <c r="G4671" t="s">
        <v>56</v>
      </c>
      <c r="H4671" t="s">
        <v>2331</v>
      </c>
      <c r="I4671" t="s">
        <v>2332</v>
      </c>
      <c r="J4671" t="s">
        <v>52</v>
      </c>
      <c r="K4671" s="3">
        <v>100117253507</v>
      </c>
      <c r="L4671" s="10">
        <v>41081</v>
      </c>
      <c r="M4671">
        <v>145.66</v>
      </c>
      <c r="N4671" s="11">
        <v>48</v>
      </c>
      <c r="O4671" s="12">
        <v>2.88</v>
      </c>
      <c r="P4671" s="12">
        <v>0.7</v>
      </c>
      <c r="Q4671" s="13">
        <v>28.89</v>
      </c>
      <c r="R4671" s="36" t="s">
        <v>514</v>
      </c>
      <c r="S4671" s="7">
        <f t="shared" si="390"/>
        <v>2</v>
      </c>
      <c r="T4671" s="15" t="str">
        <f>VLOOKUP(R4671,产品分类!$C$2:$D$1278,2,0)</f>
        <v>办公用品</v>
      </c>
    </row>
    <row r="4672" spans="1:20">
      <c r="A4672" s="8">
        <f>DATE(2012,12,31)-1285</f>
        <v>39989</v>
      </c>
      <c r="B4672" s="8">
        <f>DATE(2012,12,31)-1285</f>
        <v>39989</v>
      </c>
      <c r="C4672" s="9" t="s">
        <v>1152</v>
      </c>
      <c r="D4672">
        <v>10021489365</v>
      </c>
      <c r="E4672" t="s">
        <v>47</v>
      </c>
      <c r="F4672" t="s">
        <v>91</v>
      </c>
      <c r="G4672" t="s">
        <v>92</v>
      </c>
      <c r="H4672" t="s">
        <v>2053</v>
      </c>
      <c r="I4672" t="s">
        <v>2054</v>
      </c>
      <c r="J4672" t="s">
        <v>52</v>
      </c>
      <c r="K4672" s="3">
        <v>100430535464</v>
      </c>
      <c r="L4672" s="10">
        <v>39991</v>
      </c>
      <c r="M4672">
        <v>7381.19</v>
      </c>
      <c r="N4672" s="11">
        <v>40</v>
      </c>
      <c r="O4672" s="12">
        <v>177.98</v>
      </c>
      <c r="P4672" s="12">
        <v>0.99</v>
      </c>
      <c r="Q4672" s="13">
        <v>2998.88</v>
      </c>
      <c r="R4672" s="36" t="s">
        <v>2367</v>
      </c>
      <c r="S4672" s="7">
        <f t="shared" si="390"/>
        <v>2</v>
      </c>
      <c r="T4672" s="15" t="str">
        <f>VLOOKUP(R4672,产品分类!$C$2:$D$1278,2,0)</f>
        <v>家具产品</v>
      </c>
    </row>
    <row r="4673" spans="1:20">
      <c r="A4673" s="16">
        <f>DATE(2012,12,31)-397</f>
        <v>40877</v>
      </c>
      <c r="B4673" s="16">
        <f>DATE(2012,12,31)-397</f>
        <v>40877</v>
      </c>
      <c r="C4673" s="9" t="s">
        <v>589</v>
      </c>
      <c r="D4673">
        <v>10021654164</v>
      </c>
      <c r="E4673" t="s">
        <v>47</v>
      </c>
      <c r="F4673" t="s">
        <v>91</v>
      </c>
      <c r="G4673" t="s">
        <v>92</v>
      </c>
      <c r="H4673" t="s">
        <v>2053</v>
      </c>
      <c r="I4673" t="s">
        <v>2054</v>
      </c>
      <c r="J4673" t="s">
        <v>52</v>
      </c>
      <c r="K4673" s="3">
        <v>10043074583</v>
      </c>
      <c r="L4673" s="10">
        <v>40879</v>
      </c>
      <c r="M4673">
        <v>24.2</v>
      </c>
      <c r="N4673" s="17">
        <v>6</v>
      </c>
      <c r="O4673" s="5">
        <v>4.13</v>
      </c>
      <c r="P4673" s="5">
        <v>1.17</v>
      </c>
      <c r="Q4673" s="6">
        <v>-5.2</v>
      </c>
      <c r="R4673" s="37" t="s">
        <v>1904</v>
      </c>
      <c r="S4673" s="7">
        <f t="shared" si="390"/>
        <v>2</v>
      </c>
      <c r="T4673" s="15" t="str">
        <f>VLOOKUP(R4673,产品分类!$C$2:$D$1278,2,0)</f>
        <v>办公用品</v>
      </c>
    </row>
    <row r="4674" spans="1:20">
      <c r="A4674" s="8">
        <f>DATE(2012,12,31)-397</f>
        <v>40877</v>
      </c>
      <c r="B4674" s="8">
        <f>DATE(2012,12,31)-397</f>
        <v>40877</v>
      </c>
      <c r="C4674" s="9" t="s">
        <v>589</v>
      </c>
      <c r="D4674">
        <v>10021434878</v>
      </c>
      <c r="E4674" t="s">
        <v>47</v>
      </c>
      <c r="F4674" t="s">
        <v>122</v>
      </c>
      <c r="G4674" t="s">
        <v>123</v>
      </c>
      <c r="H4674" t="s">
        <v>2159</v>
      </c>
      <c r="I4674" t="s">
        <v>2160</v>
      </c>
      <c r="J4674" t="s">
        <v>52</v>
      </c>
      <c r="K4674" s="3">
        <v>100729905375</v>
      </c>
      <c r="L4674" s="10">
        <v>40879</v>
      </c>
      <c r="M4674">
        <v>524.212</v>
      </c>
      <c r="N4674" s="11">
        <v>17</v>
      </c>
      <c r="O4674" s="12">
        <v>35.99</v>
      </c>
      <c r="P4674" s="12">
        <v>3.3</v>
      </c>
      <c r="Q4674" s="13">
        <v>127.854</v>
      </c>
      <c r="R4674" s="36" t="s">
        <v>1817</v>
      </c>
      <c r="S4674" s="7">
        <f t="shared" si="390"/>
        <v>2</v>
      </c>
      <c r="T4674" s="15" t="str">
        <f>VLOOKUP(R4674,产品分类!$C$2:$D$1278,2,0)</f>
        <v>数码电子</v>
      </c>
    </row>
    <row r="4675" spans="1:20">
      <c r="A4675" s="8">
        <f>DATE(2012,12,31)-424</f>
        <v>40850</v>
      </c>
      <c r="B4675" s="8">
        <f>DATE(2012,12,31)-424</f>
        <v>40850</v>
      </c>
      <c r="C4675" s="9" t="s">
        <v>111</v>
      </c>
      <c r="D4675">
        <v>10021357330</v>
      </c>
      <c r="E4675" t="s">
        <v>47</v>
      </c>
      <c r="F4675" t="s">
        <v>132</v>
      </c>
      <c r="G4675" t="s">
        <v>133</v>
      </c>
      <c r="H4675" t="s">
        <v>134</v>
      </c>
      <c r="I4675" t="s">
        <v>133</v>
      </c>
      <c r="J4675" t="s">
        <v>52</v>
      </c>
      <c r="K4675" s="3">
        <v>100925189591</v>
      </c>
      <c r="L4675" s="10">
        <v>40852</v>
      </c>
      <c r="M4675">
        <v>466.35</v>
      </c>
      <c r="N4675" s="11">
        <v>11</v>
      </c>
      <c r="O4675" s="12">
        <v>39.98</v>
      </c>
      <c r="P4675" s="12">
        <v>9.2</v>
      </c>
      <c r="Q4675" s="13">
        <v>159.25</v>
      </c>
      <c r="R4675" s="36" t="s">
        <v>1787</v>
      </c>
      <c r="S4675" s="7">
        <f t="shared" ref="S4675:S4738" si="395">+L4675-B4675</f>
        <v>2</v>
      </c>
      <c r="T4675" s="15" t="str">
        <f>VLOOKUP(R4675,产品分类!$C$2:$D$1278,2,0)</f>
        <v>办公用品</v>
      </c>
    </row>
    <row r="4676" spans="1:20">
      <c r="A4676" s="16">
        <f>DATE(2012,12,31)-921</f>
        <v>40353</v>
      </c>
      <c r="B4676" s="16">
        <f>DATE(2012,12,31)-921</f>
        <v>40353</v>
      </c>
      <c r="C4676" s="9" t="s">
        <v>1485</v>
      </c>
      <c r="D4676">
        <v>10021616808</v>
      </c>
      <c r="E4676" t="s">
        <v>47</v>
      </c>
      <c r="F4676" t="s">
        <v>102</v>
      </c>
      <c r="G4676" t="s">
        <v>103</v>
      </c>
      <c r="H4676" t="s">
        <v>2326</v>
      </c>
      <c r="I4676" t="s">
        <v>2327</v>
      </c>
      <c r="J4676" t="s">
        <v>52</v>
      </c>
      <c r="K4676" s="3">
        <v>100432061963</v>
      </c>
      <c r="L4676" s="10">
        <v>40354</v>
      </c>
      <c r="M4676">
        <v>108.21</v>
      </c>
      <c r="N4676" s="17">
        <v>19</v>
      </c>
      <c r="O4676" s="5">
        <v>5.28</v>
      </c>
      <c r="P4676" s="5">
        <v>5.66</v>
      </c>
      <c r="Q4676" s="6">
        <v>-50.02</v>
      </c>
      <c r="R4676" s="37" t="s">
        <v>2318</v>
      </c>
      <c r="S4676" s="7">
        <f t="shared" si="395"/>
        <v>1</v>
      </c>
      <c r="T4676" s="15" t="str">
        <f>VLOOKUP(R4676,产品分类!$C$2:$D$1278,2,0)</f>
        <v>家具产品</v>
      </c>
    </row>
    <row r="4677" spans="1:20">
      <c r="A4677" s="8">
        <f>DATE(2012,12,31)-1017</f>
        <v>40257</v>
      </c>
      <c r="B4677" s="8">
        <f>DATE(2012,12,31)-1017</f>
        <v>40257</v>
      </c>
      <c r="C4677" s="9" t="s">
        <v>1821</v>
      </c>
      <c r="D4677">
        <v>10021310221</v>
      </c>
      <c r="E4677" t="s">
        <v>47</v>
      </c>
      <c r="F4677" t="s">
        <v>78</v>
      </c>
      <c r="G4677" t="s">
        <v>79</v>
      </c>
      <c r="H4677" t="s">
        <v>2105</v>
      </c>
      <c r="I4677" t="s">
        <v>2106</v>
      </c>
      <c r="J4677" t="s">
        <v>52</v>
      </c>
      <c r="K4677" s="3">
        <v>100430604403</v>
      </c>
      <c r="L4677" s="10">
        <v>40257</v>
      </c>
      <c r="M4677">
        <v>10462.54</v>
      </c>
      <c r="N4677" s="11">
        <v>48</v>
      </c>
      <c r="O4677" s="12">
        <v>218.75</v>
      </c>
      <c r="P4677" s="12">
        <v>69.64</v>
      </c>
      <c r="Q4677" s="13">
        <v>-1402.68</v>
      </c>
      <c r="R4677" s="36" t="s">
        <v>456</v>
      </c>
      <c r="S4677" s="7">
        <f t="shared" si="395"/>
        <v>0</v>
      </c>
      <c r="T4677" s="15" t="str">
        <f>VLOOKUP(R4677,产品分类!$C$2:$D$1278,2,0)</f>
        <v>办公用品</v>
      </c>
    </row>
    <row r="4678" spans="1:20">
      <c r="A4678" s="8">
        <f>DATE(2012,12,31)-275</f>
        <v>40999</v>
      </c>
      <c r="B4678" s="8">
        <f>DATE(2012,12,31)-275</f>
        <v>40999</v>
      </c>
      <c r="C4678" s="9" t="s">
        <v>442</v>
      </c>
      <c r="D4678">
        <v>10021372976</v>
      </c>
      <c r="E4678" t="s">
        <v>47</v>
      </c>
      <c r="F4678" t="s">
        <v>473</v>
      </c>
      <c r="G4678" t="s">
        <v>474</v>
      </c>
      <c r="H4678" t="s">
        <v>2142</v>
      </c>
      <c r="I4678" t="s">
        <v>2143</v>
      </c>
      <c r="J4678" t="s">
        <v>52</v>
      </c>
      <c r="K4678" s="3">
        <v>10075906875</v>
      </c>
      <c r="L4678" s="10">
        <v>41001</v>
      </c>
      <c r="M4678">
        <v>480.39</v>
      </c>
      <c r="N4678" s="11">
        <v>21</v>
      </c>
      <c r="O4678" s="12">
        <v>22.23</v>
      </c>
      <c r="P4678" s="12">
        <v>8.99</v>
      </c>
      <c r="Q4678" s="13">
        <v>144.66</v>
      </c>
      <c r="R4678" s="36" t="s">
        <v>798</v>
      </c>
      <c r="S4678" s="7">
        <f t="shared" si="395"/>
        <v>2</v>
      </c>
      <c r="T4678" s="15" t="str">
        <f>VLOOKUP(R4678,产品分类!$C$2:$D$1278,2,0)</f>
        <v>数码电子</v>
      </c>
    </row>
    <row r="4679" spans="1:20">
      <c r="A4679" s="8">
        <f>DATE(2012,12,31)-347</f>
        <v>40927</v>
      </c>
      <c r="B4679" s="8">
        <f>DATE(2012,12,31)-347</f>
        <v>40927</v>
      </c>
      <c r="C4679" s="9" t="s">
        <v>1773</v>
      </c>
      <c r="D4679">
        <v>10021655538</v>
      </c>
      <c r="E4679" t="s">
        <v>47</v>
      </c>
      <c r="F4679" t="s">
        <v>127</v>
      </c>
      <c r="G4679" t="s">
        <v>128</v>
      </c>
      <c r="H4679" t="s">
        <v>2189</v>
      </c>
      <c r="I4679" t="s">
        <v>2190</v>
      </c>
      <c r="J4679" t="s">
        <v>52</v>
      </c>
      <c r="K4679" s="3">
        <v>100133016656</v>
      </c>
      <c r="L4679" s="10">
        <v>40928</v>
      </c>
      <c r="M4679">
        <v>66.92</v>
      </c>
      <c r="N4679" s="11">
        <v>5</v>
      </c>
      <c r="O4679" s="12">
        <v>12.28</v>
      </c>
      <c r="P4679" s="12">
        <v>6.13</v>
      </c>
      <c r="Q4679" s="13">
        <v>-23.29</v>
      </c>
      <c r="R4679" s="36" t="s">
        <v>1802</v>
      </c>
      <c r="S4679" s="7">
        <f t="shared" si="395"/>
        <v>1</v>
      </c>
      <c r="T4679" s="15" t="str">
        <f>VLOOKUP(R4679,产品分类!$C$2:$D$1278,2,0)</f>
        <v>办公用品</v>
      </c>
    </row>
    <row r="4680" spans="1:20">
      <c r="A4680" s="8">
        <f>DATE(2012,12,31)-619</f>
        <v>40655</v>
      </c>
      <c r="B4680" s="8">
        <f>DATE(2012,12,31)-619</f>
        <v>40655</v>
      </c>
      <c r="C4680" s="9" t="s">
        <v>388</v>
      </c>
      <c r="D4680">
        <v>10021521015</v>
      </c>
      <c r="E4680" t="s">
        <v>47</v>
      </c>
      <c r="F4680" t="s">
        <v>253</v>
      </c>
      <c r="G4680" t="s">
        <v>254</v>
      </c>
      <c r="H4680" t="s">
        <v>2344</v>
      </c>
      <c r="I4680" t="s">
        <v>2345</v>
      </c>
      <c r="J4680" t="s">
        <v>52</v>
      </c>
      <c r="K4680" s="3">
        <v>100932182761</v>
      </c>
      <c r="L4680" s="10">
        <v>40658</v>
      </c>
      <c r="M4680">
        <v>11904.55</v>
      </c>
      <c r="N4680" s="11">
        <v>44</v>
      </c>
      <c r="O4680" s="12">
        <v>270.97</v>
      </c>
      <c r="P4680" s="12">
        <v>28.06</v>
      </c>
      <c r="Q4680" s="13">
        <v>3909.33</v>
      </c>
      <c r="R4680" s="36" t="s">
        <v>1975</v>
      </c>
      <c r="S4680" s="7">
        <f t="shared" si="395"/>
        <v>3</v>
      </c>
      <c r="T4680" s="15" t="str">
        <f>VLOOKUP(R4680,产品分类!$C$2:$D$1278,2,0)</f>
        <v>办公用品</v>
      </c>
    </row>
    <row r="4681" spans="1:20">
      <c r="A4681" s="8">
        <f t="shared" ref="A4681:B4684" si="396">DATE(2012,12,31)-1330</f>
        <v>39944</v>
      </c>
      <c r="B4681" s="8">
        <f t="shared" si="396"/>
        <v>39944</v>
      </c>
      <c r="C4681" s="9" t="s">
        <v>728</v>
      </c>
      <c r="D4681">
        <v>10021564545</v>
      </c>
      <c r="E4681" t="s">
        <v>47</v>
      </c>
      <c r="F4681" t="s">
        <v>61</v>
      </c>
      <c r="G4681" t="s">
        <v>62</v>
      </c>
      <c r="H4681" t="s">
        <v>2356</v>
      </c>
      <c r="I4681" t="s">
        <v>2357</v>
      </c>
      <c r="J4681" t="s">
        <v>52</v>
      </c>
      <c r="K4681" s="3">
        <v>100412003923</v>
      </c>
      <c r="L4681" s="10">
        <v>39946</v>
      </c>
      <c r="M4681">
        <v>203.35</v>
      </c>
      <c r="N4681" s="11">
        <v>35</v>
      </c>
      <c r="O4681" s="12">
        <v>4.48</v>
      </c>
      <c r="P4681" s="12">
        <v>49</v>
      </c>
      <c r="Q4681" s="13">
        <v>-1605.73</v>
      </c>
      <c r="R4681" s="36" t="s">
        <v>337</v>
      </c>
      <c r="S4681" s="7">
        <f t="shared" si="395"/>
        <v>2</v>
      </c>
      <c r="T4681" s="15" t="str">
        <f>VLOOKUP(R4681,产品分类!$C$2:$D$1278,2,0)</f>
        <v>数码电子</v>
      </c>
    </row>
    <row r="4682" spans="1:20">
      <c r="A4682" s="8">
        <f t="shared" si="396"/>
        <v>39944</v>
      </c>
      <c r="B4682" s="8">
        <f t="shared" si="396"/>
        <v>39944</v>
      </c>
      <c r="C4682" s="9" t="s">
        <v>728</v>
      </c>
      <c r="D4682">
        <v>10021392072</v>
      </c>
      <c r="E4682" t="s">
        <v>47</v>
      </c>
      <c r="F4682" t="s">
        <v>61</v>
      </c>
      <c r="G4682" t="s">
        <v>62</v>
      </c>
      <c r="H4682" t="s">
        <v>2356</v>
      </c>
      <c r="I4682" t="s">
        <v>2357</v>
      </c>
      <c r="J4682" t="s">
        <v>52</v>
      </c>
      <c r="K4682" s="3">
        <v>100131821906</v>
      </c>
      <c r="L4682" s="10">
        <v>39945</v>
      </c>
      <c r="M4682">
        <v>44.52</v>
      </c>
      <c r="N4682" s="11">
        <v>18</v>
      </c>
      <c r="O4682" s="12">
        <v>2.16</v>
      </c>
      <c r="P4682" s="12">
        <v>6.05</v>
      </c>
      <c r="Q4682" s="13">
        <v>-90.5855</v>
      </c>
      <c r="R4682" s="36" t="s">
        <v>507</v>
      </c>
      <c r="S4682" s="7">
        <f t="shared" si="395"/>
        <v>1</v>
      </c>
      <c r="T4682" s="15" t="str">
        <f>VLOOKUP(R4682,产品分类!$C$2:$D$1278,2,0)</f>
        <v>家具产品</v>
      </c>
    </row>
    <row r="4683" spans="1:20">
      <c r="A4683" s="8">
        <f t="shared" si="396"/>
        <v>39944</v>
      </c>
      <c r="B4683" s="8">
        <f t="shared" si="396"/>
        <v>39944</v>
      </c>
      <c r="C4683" s="9" t="s">
        <v>728</v>
      </c>
      <c r="D4683">
        <v>10021563135</v>
      </c>
      <c r="E4683" t="s">
        <v>47</v>
      </c>
      <c r="F4683" t="s">
        <v>72</v>
      </c>
      <c r="G4683" t="s">
        <v>73</v>
      </c>
      <c r="H4683" t="s">
        <v>2008</v>
      </c>
      <c r="I4683" t="s">
        <v>2009</v>
      </c>
      <c r="J4683" t="s">
        <v>52</v>
      </c>
      <c r="K4683" s="3">
        <v>100115335346</v>
      </c>
      <c r="L4683" s="10">
        <v>39944</v>
      </c>
      <c r="M4683">
        <v>58.9</v>
      </c>
      <c r="N4683" s="11">
        <v>5</v>
      </c>
      <c r="O4683" s="12">
        <v>9.71</v>
      </c>
      <c r="P4683" s="12">
        <v>9.45</v>
      </c>
      <c r="Q4683" s="13">
        <v>-36.9</v>
      </c>
      <c r="R4683" s="36" t="s">
        <v>135</v>
      </c>
      <c r="S4683" s="7">
        <f t="shared" si="395"/>
        <v>0</v>
      </c>
      <c r="T4683" s="15" t="str">
        <f>VLOOKUP(R4683,产品分类!$C$2:$D$1278,2,0)</f>
        <v>办公用品</v>
      </c>
    </row>
    <row r="4684" spans="1:20">
      <c r="A4684" s="8">
        <f t="shared" si="396"/>
        <v>39944</v>
      </c>
      <c r="B4684" s="8">
        <f t="shared" si="396"/>
        <v>39944</v>
      </c>
      <c r="C4684" s="9" t="s">
        <v>728</v>
      </c>
      <c r="D4684">
        <v>10021278698</v>
      </c>
      <c r="E4684" t="s">
        <v>47</v>
      </c>
      <c r="F4684" t="s">
        <v>72</v>
      </c>
      <c r="G4684" t="s">
        <v>73</v>
      </c>
      <c r="H4684" t="s">
        <v>2008</v>
      </c>
      <c r="I4684" t="s">
        <v>2009</v>
      </c>
      <c r="J4684" t="s">
        <v>52</v>
      </c>
      <c r="K4684" s="3">
        <v>100132702097</v>
      </c>
      <c r="L4684" s="10">
        <v>39946</v>
      </c>
      <c r="M4684">
        <v>602.4205</v>
      </c>
      <c r="N4684" s="11">
        <v>13</v>
      </c>
      <c r="O4684" s="12">
        <v>55.99</v>
      </c>
      <c r="P4684" s="12">
        <v>1.25</v>
      </c>
      <c r="Q4684" s="13">
        <v>10.9799999999999</v>
      </c>
      <c r="R4684" s="36" t="s">
        <v>1075</v>
      </c>
      <c r="S4684" s="7">
        <f t="shared" si="395"/>
        <v>2</v>
      </c>
      <c r="T4684" s="15" t="str">
        <f>VLOOKUP(R4684,产品分类!$C$2:$D$1278,2,0)</f>
        <v>数码电子</v>
      </c>
    </row>
    <row r="4685" spans="1:20">
      <c r="A4685" s="8">
        <f>DATE(2012,12,31)-1375</f>
        <v>39899</v>
      </c>
      <c r="B4685" s="8">
        <f>DATE(2012,12,31)-1375</f>
        <v>39899</v>
      </c>
      <c r="C4685" s="9" t="s">
        <v>453</v>
      </c>
      <c r="D4685">
        <v>10021570772</v>
      </c>
      <c r="E4685" t="s">
        <v>47</v>
      </c>
      <c r="F4685" t="s">
        <v>114</v>
      </c>
      <c r="G4685" t="s">
        <v>115</v>
      </c>
      <c r="H4685" t="s">
        <v>2374</v>
      </c>
      <c r="I4685" t="s">
        <v>2375</v>
      </c>
      <c r="J4685" t="s">
        <v>52</v>
      </c>
      <c r="K4685" s="3">
        <v>100413307673</v>
      </c>
      <c r="L4685" s="10">
        <v>39902</v>
      </c>
      <c r="M4685">
        <v>1736.26</v>
      </c>
      <c r="N4685" s="11">
        <v>11</v>
      </c>
      <c r="O4685" s="12">
        <v>150.89</v>
      </c>
      <c r="P4685" s="12">
        <v>60.2</v>
      </c>
      <c r="Q4685" s="13">
        <v>-505.76</v>
      </c>
      <c r="R4685" s="36" t="s">
        <v>274</v>
      </c>
      <c r="S4685" s="7">
        <f t="shared" si="395"/>
        <v>3</v>
      </c>
      <c r="T4685" s="15" t="str">
        <f>VLOOKUP(R4685,产品分类!$C$2:$D$1278,2,0)</f>
        <v>办公用品</v>
      </c>
    </row>
    <row r="4686" spans="1:20">
      <c r="A4686" s="8">
        <f>DATE(2012,12,31)-1259</f>
        <v>40015</v>
      </c>
      <c r="B4686" s="8">
        <f>DATE(2012,12,31)-1259</f>
        <v>40015</v>
      </c>
      <c r="C4686" s="9" t="s">
        <v>984</v>
      </c>
      <c r="D4686">
        <v>10021604495</v>
      </c>
      <c r="E4686" t="s">
        <v>47</v>
      </c>
      <c r="F4686" t="s">
        <v>122</v>
      </c>
      <c r="G4686" t="s">
        <v>123</v>
      </c>
      <c r="H4686" t="s">
        <v>2159</v>
      </c>
      <c r="I4686" t="s">
        <v>2160</v>
      </c>
      <c r="J4686" t="s">
        <v>52</v>
      </c>
      <c r="K4686" s="3">
        <v>100125076208</v>
      </c>
      <c r="L4686" s="10">
        <v>40015</v>
      </c>
      <c r="M4686">
        <v>1786.04</v>
      </c>
      <c r="N4686" s="11">
        <v>1</v>
      </c>
      <c r="O4686" s="12">
        <v>1889.99</v>
      </c>
      <c r="P4686" s="12">
        <v>19.99</v>
      </c>
      <c r="Q4686" s="13">
        <v>-924.991</v>
      </c>
      <c r="R4686" s="36" t="s">
        <v>2249</v>
      </c>
      <c r="S4686" s="7">
        <f t="shared" si="395"/>
        <v>0</v>
      </c>
      <c r="T4686" s="15" t="str">
        <f>VLOOKUP(R4686,产品分类!$C$2:$D$1278,2,0)</f>
        <v>数码电子</v>
      </c>
    </row>
    <row r="4687" spans="1:20">
      <c r="A4687" s="8">
        <f>DATE(2012,12,31)-519</f>
        <v>40755</v>
      </c>
      <c r="B4687" s="8">
        <f>DATE(2012,12,31)-519</f>
        <v>40755</v>
      </c>
      <c r="C4687" s="9" t="s">
        <v>1109</v>
      </c>
      <c r="D4687">
        <v>10021376311</v>
      </c>
      <c r="E4687" t="s">
        <v>47</v>
      </c>
      <c r="F4687" t="s">
        <v>91</v>
      </c>
      <c r="G4687" t="s">
        <v>92</v>
      </c>
      <c r="H4687" t="s">
        <v>2053</v>
      </c>
      <c r="I4687" t="s">
        <v>2054</v>
      </c>
      <c r="J4687" t="s">
        <v>52</v>
      </c>
      <c r="K4687" s="3">
        <v>10012086897</v>
      </c>
      <c r="L4687" s="10">
        <v>40757</v>
      </c>
      <c r="M4687">
        <v>100.4</v>
      </c>
      <c r="N4687" s="11">
        <v>20</v>
      </c>
      <c r="O4687" s="12">
        <v>5.18</v>
      </c>
      <c r="P4687" s="12">
        <v>2.04</v>
      </c>
      <c r="Q4687" s="13">
        <v>11.94</v>
      </c>
      <c r="R4687" s="36" t="s">
        <v>1522</v>
      </c>
      <c r="S4687" s="7">
        <f t="shared" si="395"/>
        <v>2</v>
      </c>
      <c r="T4687" s="15" t="str">
        <f>VLOOKUP(R4687,产品分类!$C$2:$D$1278,2,0)</f>
        <v>办公用品</v>
      </c>
    </row>
    <row r="4688" spans="1:20">
      <c r="A4688" s="8">
        <f>DATE(2012,12,31)-519</f>
        <v>40755</v>
      </c>
      <c r="B4688" s="8">
        <f>DATE(2012,12,31)-519</f>
        <v>40755</v>
      </c>
      <c r="C4688" s="9" t="s">
        <v>1109</v>
      </c>
      <c r="D4688">
        <v>10021651088</v>
      </c>
      <c r="E4688" t="s">
        <v>47</v>
      </c>
      <c r="F4688" t="s">
        <v>132</v>
      </c>
      <c r="G4688" t="s">
        <v>133</v>
      </c>
      <c r="H4688" t="s">
        <v>134</v>
      </c>
      <c r="I4688" t="s">
        <v>133</v>
      </c>
      <c r="J4688" t="s">
        <v>52</v>
      </c>
      <c r="K4688" s="3">
        <v>100429721694</v>
      </c>
      <c r="L4688" s="10">
        <v>40756</v>
      </c>
      <c r="M4688">
        <v>327.15</v>
      </c>
      <c r="N4688" s="11">
        <v>19</v>
      </c>
      <c r="O4688" s="12">
        <v>17.24</v>
      </c>
      <c r="P4688" s="12">
        <v>3.26</v>
      </c>
      <c r="Q4688" s="13">
        <v>47.3</v>
      </c>
      <c r="R4688" s="36" t="s">
        <v>2376</v>
      </c>
      <c r="S4688" s="7">
        <f t="shared" si="395"/>
        <v>1</v>
      </c>
      <c r="T4688" s="15" t="str">
        <f>VLOOKUP(R4688,产品分类!$C$2:$D$1278,2,0)</f>
        <v>办公用品</v>
      </c>
    </row>
    <row r="4689" spans="1:20">
      <c r="A4689" s="8">
        <f>DATE(2012,12,31)-248</f>
        <v>41026</v>
      </c>
      <c r="B4689" s="8">
        <f>DATE(2012,12,31)-248</f>
        <v>41026</v>
      </c>
      <c r="C4689" s="9" t="s">
        <v>1439</v>
      </c>
      <c r="D4689">
        <v>10021407209</v>
      </c>
      <c r="E4689" t="s">
        <v>47</v>
      </c>
      <c r="F4689" t="s">
        <v>97</v>
      </c>
      <c r="G4689" t="s">
        <v>98</v>
      </c>
      <c r="H4689" t="s">
        <v>99</v>
      </c>
      <c r="I4689" t="s">
        <v>98</v>
      </c>
      <c r="J4689" t="s">
        <v>52</v>
      </c>
      <c r="K4689" s="3">
        <v>100910529851</v>
      </c>
      <c r="L4689" s="10">
        <v>41027</v>
      </c>
      <c r="M4689">
        <v>945.36</v>
      </c>
      <c r="N4689" s="11">
        <v>25</v>
      </c>
      <c r="O4689" s="12">
        <v>39.98</v>
      </c>
      <c r="P4689" s="12">
        <v>9.83</v>
      </c>
      <c r="Q4689" s="13">
        <v>219.85</v>
      </c>
      <c r="R4689" s="36" t="s">
        <v>1705</v>
      </c>
      <c r="S4689" s="7">
        <f t="shared" si="395"/>
        <v>1</v>
      </c>
      <c r="T4689" s="15" t="str">
        <f>VLOOKUP(R4689,产品分类!$C$2:$D$1278,2,0)</f>
        <v>办公用品</v>
      </c>
    </row>
    <row r="4690" spans="1:20">
      <c r="A4690" s="16">
        <f>DATE(2012,12,31)-325</f>
        <v>40949</v>
      </c>
      <c r="B4690" s="16">
        <f>DATE(2012,12,31)-325</f>
        <v>40949</v>
      </c>
      <c r="C4690" s="9" t="s">
        <v>382</v>
      </c>
      <c r="D4690">
        <v>10021552460</v>
      </c>
      <c r="E4690" t="s">
        <v>47</v>
      </c>
      <c r="F4690" t="s">
        <v>171</v>
      </c>
      <c r="G4690" t="s">
        <v>172</v>
      </c>
      <c r="H4690" t="s">
        <v>2352</v>
      </c>
      <c r="I4690" t="s">
        <v>2353</v>
      </c>
      <c r="J4690" t="s">
        <v>52</v>
      </c>
      <c r="K4690" s="3">
        <v>100132761678</v>
      </c>
      <c r="L4690" s="10">
        <v>40949</v>
      </c>
      <c r="M4690">
        <v>37.22</v>
      </c>
      <c r="N4690" s="17">
        <v>9</v>
      </c>
      <c r="O4690" s="5">
        <v>4.13</v>
      </c>
      <c r="P4690" s="5">
        <v>1.17</v>
      </c>
      <c r="Q4690" s="6">
        <v>-2.76</v>
      </c>
      <c r="R4690" s="37" t="s">
        <v>1904</v>
      </c>
      <c r="S4690" s="7">
        <f t="shared" si="395"/>
        <v>0</v>
      </c>
      <c r="T4690" s="15" t="str">
        <f>VLOOKUP(R4690,产品分类!$C$2:$D$1278,2,0)</f>
        <v>办公用品</v>
      </c>
    </row>
    <row r="4691" spans="1:20">
      <c r="A4691" s="8">
        <f>DATE(2012,12,31)-86</f>
        <v>41188</v>
      </c>
      <c r="B4691" s="8">
        <f>DATE(2012,12,31)-86</f>
        <v>41188</v>
      </c>
      <c r="C4691" s="9" t="s">
        <v>693</v>
      </c>
      <c r="D4691">
        <v>10021506679</v>
      </c>
      <c r="E4691" t="s">
        <v>47</v>
      </c>
      <c r="F4691" t="s">
        <v>152</v>
      </c>
      <c r="G4691" t="s">
        <v>153</v>
      </c>
      <c r="H4691" t="s">
        <v>2302</v>
      </c>
      <c r="I4691" t="s">
        <v>2303</v>
      </c>
      <c r="J4691" t="s">
        <v>52</v>
      </c>
      <c r="K4691" s="3">
        <v>100431487773</v>
      </c>
      <c r="L4691" s="10">
        <v>41189</v>
      </c>
      <c r="M4691">
        <v>30.51</v>
      </c>
      <c r="N4691" s="11">
        <v>11</v>
      </c>
      <c r="O4691" s="12">
        <v>2.6</v>
      </c>
      <c r="P4691" s="12">
        <v>2.4</v>
      </c>
      <c r="Q4691" s="13">
        <v>-17.68</v>
      </c>
      <c r="R4691" s="36" t="s">
        <v>1884</v>
      </c>
      <c r="S4691" s="7">
        <f t="shared" si="395"/>
        <v>1</v>
      </c>
      <c r="T4691" s="15" t="str">
        <f>VLOOKUP(R4691,产品分类!$C$2:$D$1278,2,0)</f>
        <v>数码电子</v>
      </c>
    </row>
    <row r="4692" spans="1:20">
      <c r="A4692" s="8">
        <f>DATE(2012,12,31)-86</f>
        <v>41188</v>
      </c>
      <c r="B4692" s="8">
        <f>DATE(2012,12,31)-86</f>
        <v>41188</v>
      </c>
      <c r="C4692" s="9" t="s">
        <v>693</v>
      </c>
      <c r="D4692">
        <v>10021531956</v>
      </c>
      <c r="E4692" t="s">
        <v>47</v>
      </c>
      <c r="F4692" t="s">
        <v>152</v>
      </c>
      <c r="G4692" t="s">
        <v>153</v>
      </c>
      <c r="H4692" t="s">
        <v>2302</v>
      </c>
      <c r="I4692" t="s">
        <v>2303</v>
      </c>
      <c r="J4692" t="s">
        <v>52</v>
      </c>
      <c r="K4692" s="3">
        <v>100131181088</v>
      </c>
      <c r="L4692" s="10">
        <v>41190</v>
      </c>
      <c r="M4692">
        <v>127.8</v>
      </c>
      <c r="N4692" s="11">
        <v>8</v>
      </c>
      <c r="O4692" s="12">
        <v>14.97</v>
      </c>
      <c r="P4692" s="12">
        <v>7.51</v>
      </c>
      <c r="Q4692" s="13">
        <v>-30.48</v>
      </c>
      <c r="R4692" s="36" t="s">
        <v>1733</v>
      </c>
      <c r="S4692" s="7">
        <f t="shared" si="395"/>
        <v>2</v>
      </c>
      <c r="T4692" s="15" t="str">
        <f>VLOOKUP(R4692,产品分类!$C$2:$D$1278,2,0)</f>
        <v>办公用品</v>
      </c>
    </row>
    <row r="4693" spans="1:20">
      <c r="A4693" s="8">
        <f t="shared" ref="A4693:B4695" si="397">DATE(2012,12,31)-151</f>
        <v>41123</v>
      </c>
      <c r="B4693" s="8">
        <f t="shared" si="397"/>
        <v>41123</v>
      </c>
      <c r="C4693" s="9" t="s">
        <v>2203</v>
      </c>
      <c r="D4693">
        <v>10021430273</v>
      </c>
      <c r="E4693" t="s">
        <v>47</v>
      </c>
      <c r="F4693" t="s">
        <v>66</v>
      </c>
      <c r="G4693" t="s">
        <v>67</v>
      </c>
      <c r="H4693" t="s">
        <v>2359</v>
      </c>
      <c r="I4693" t="s">
        <v>2360</v>
      </c>
      <c r="J4693" t="s">
        <v>52</v>
      </c>
      <c r="K4693" s="3">
        <v>100931914831</v>
      </c>
      <c r="L4693" s="10">
        <v>41128</v>
      </c>
      <c r="M4693">
        <v>1776.96</v>
      </c>
      <c r="N4693" s="11">
        <v>18</v>
      </c>
      <c r="O4693" s="12">
        <v>100.98</v>
      </c>
      <c r="P4693" s="12">
        <v>35.84</v>
      </c>
      <c r="Q4693" s="13">
        <v>-197.06</v>
      </c>
      <c r="R4693" s="36" t="s">
        <v>471</v>
      </c>
      <c r="S4693" s="7">
        <f t="shared" si="395"/>
        <v>5</v>
      </c>
      <c r="T4693" s="15" t="str">
        <f>VLOOKUP(R4693,产品分类!$C$2:$D$1278,2,0)</f>
        <v>办公用品</v>
      </c>
    </row>
    <row r="4694" spans="1:20">
      <c r="A4694" s="8">
        <f t="shared" si="397"/>
        <v>41123</v>
      </c>
      <c r="B4694" s="8">
        <f t="shared" si="397"/>
        <v>41123</v>
      </c>
      <c r="C4694" s="9" t="s">
        <v>2203</v>
      </c>
      <c r="D4694">
        <v>10021336376</v>
      </c>
      <c r="E4694" t="s">
        <v>47</v>
      </c>
      <c r="F4694" t="s">
        <v>48</v>
      </c>
      <c r="G4694" t="s">
        <v>49</v>
      </c>
      <c r="H4694" t="s">
        <v>2183</v>
      </c>
      <c r="I4694" t="s">
        <v>2184</v>
      </c>
      <c r="J4694" t="s">
        <v>52</v>
      </c>
      <c r="K4694" s="3">
        <v>100417960953</v>
      </c>
      <c r="L4694" s="10">
        <v>41128</v>
      </c>
      <c r="M4694">
        <v>3642.14</v>
      </c>
      <c r="N4694" s="11">
        <v>49</v>
      </c>
      <c r="O4694" s="12">
        <v>70.98</v>
      </c>
      <c r="P4694" s="12">
        <v>26.74</v>
      </c>
      <c r="Q4694" s="13">
        <v>103.11</v>
      </c>
      <c r="R4694" s="36" t="s">
        <v>1300</v>
      </c>
      <c r="S4694" s="7">
        <f t="shared" si="395"/>
        <v>5</v>
      </c>
      <c r="T4694" s="15" t="str">
        <f>VLOOKUP(R4694,产品分类!$C$2:$D$1278,2,0)</f>
        <v>家具产品</v>
      </c>
    </row>
    <row r="4695" spans="1:20">
      <c r="A4695" s="8">
        <f t="shared" si="397"/>
        <v>41123</v>
      </c>
      <c r="B4695" s="8">
        <f t="shared" si="397"/>
        <v>41123</v>
      </c>
      <c r="C4695" s="9" t="s">
        <v>2203</v>
      </c>
      <c r="D4695">
        <v>10021423823</v>
      </c>
      <c r="E4695" t="s">
        <v>47</v>
      </c>
      <c r="F4695" t="s">
        <v>152</v>
      </c>
      <c r="G4695" t="s">
        <v>153</v>
      </c>
      <c r="H4695" t="s">
        <v>2302</v>
      </c>
      <c r="I4695" t="s">
        <v>2303</v>
      </c>
      <c r="J4695" t="s">
        <v>52</v>
      </c>
      <c r="K4695" s="3">
        <v>100328309549</v>
      </c>
      <c r="L4695" s="10">
        <v>41125</v>
      </c>
      <c r="M4695">
        <v>2982.5</v>
      </c>
      <c r="N4695" s="11">
        <v>16</v>
      </c>
      <c r="O4695" s="12">
        <v>182.55</v>
      </c>
      <c r="P4695" s="12">
        <v>69</v>
      </c>
      <c r="Q4695" s="13">
        <v>-589.58</v>
      </c>
      <c r="R4695" s="36" t="s">
        <v>2377</v>
      </c>
      <c r="S4695" s="7">
        <f t="shared" si="395"/>
        <v>2</v>
      </c>
      <c r="T4695" s="15" t="str">
        <f>VLOOKUP(R4695,产品分类!$C$2:$D$1278,2,0)</f>
        <v>办公用品</v>
      </c>
    </row>
    <row r="4696" spans="1:20">
      <c r="A4696" s="8">
        <f>DATE(2012,12,31)-727</f>
        <v>40547</v>
      </c>
      <c r="B4696" s="8">
        <f>DATE(2012,12,31)-727</f>
        <v>40547</v>
      </c>
      <c r="C4696" s="9" t="s">
        <v>1342</v>
      </c>
      <c r="D4696">
        <v>10021249400</v>
      </c>
      <c r="E4696" t="s">
        <v>47</v>
      </c>
      <c r="F4696" t="s">
        <v>66</v>
      </c>
      <c r="G4696" t="s">
        <v>67</v>
      </c>
      <c r="H4696" t="s">
        <v>2359</v>
      </c>
      <c r="I4696" t="s">
        <v>2360</v>
      </c>
      <c r="J4696" t="s">
        <v>52</v>
      </c>
      <c r="K4696" s="3">
        <v>10079259285</v>
      </c>
      <c r="L4696" s="10">
        <v>40547</v>
      </c>
      <c r="M4696">
        <v>600.22</v>
      </c>
      <c r="N4696" s="11">
        <v>50</v>
      </c>
      <c r="O4696" s="12">
        <v>12.98</v>
      </c>
      <c r="P4696" s="12">
        <v>3.14</v>
      </c>
      <c r="Q4696" s="13">
        <v>27.86</v>
      </c>
      <c r="R4696" s="36" t="s">
        <v>161</v>
      </c>
      <c r="S4696" s="7">
        <f t="shared" si="395"/>
        <v>0</v>
      </c>
      <c r="T4696" s="15" t="str">
        <f>VLOOKUP(R4696,产品分类!$C$2:$D$1278,2,0)</f>
        <v>办公用品</v>
      </c>
    </row>
    <row r="4697" spans="1:20">
      <c r="A4697" s="8">
        <f>DATE(2012,12,31)-73</f>
        <v>41201</v>
      </c>
      <c r="B4697" s="8">
        <f>DATE(2012,12,31)-73</f>
        <v>41201</v>
      </c>
      <c r="C4697" s="9" t="s">
        <v>313</v>
      </c>
      <c r="D4697">
        <v>10021629591</v>
      </c>
      <c r="E4697" t="s">
        <v>47</v>
      </c>
      <c r="F4697" t="s">
        <v>48</v>
      </c>
      <c r="G4697" t="s">
        <v>49</v>
      </c>
      <c r="H4697" t="s">
        <v>2183</v>
      </c>
      <c r="I4697" t="s">
        <v>2184</v>
      </c>
      <c r="J4697" t="s">
        <v>52</v>
      </c>
      <c r="K4697" s="3">
        <v>10083053982</v>
      </c>
      <c r="L4697" s="10">
        <v>41203</v>
      </c>
      <c r="M4697">
        <v>269.28</v>
      </c>
      <c r="N4697" s="11">
        <v>28</v>
      </c>
      <c r="O4697" s="12">
        <v>10.35</v>
      </c>
      <c r="P4697" s="12">
        <v>0.99</v>
      </c>
      <c r="Q4697" s="13">
        <v>113.63</v>
      </c>
      <c r="R4697" s="36" t="s">
        <v>1442</v>
      </c>
      <c r="S4697" s="7">
        <f t="shared" si="395"/>
        <v>2</v>
      </c>
      <c r="T4697" s="15" t="str">
        <f>VLOOKUP(R4697,产品分类!$C$2:$D$1278,2,0)</f>
        <v>家具产品</v>
      </c>
    </row>
    <row r="4698" spans="1:20">
      <c r="A4698" s="8">
        <f>DATE(2012,12,31)-931</f>
        <v>40343</v>
      </c>
      <c r="B4698" s="8">
        <f>DATE(2012,12,31)-931</f>
        <v>40343</v>
      </c>
      <c r="C4698" s="9" t="s">
        <v>2378</v>
      </c>
      <c r="D4698">
        <v>10021334565</v>
      </c>
      <c r="E4698" t="s">
        <v>47</v>
      </c>
      <c r="F4698" t="s">
        <v>152</v>
      </c>
      <c r="G4698" t="s">
        <v>153</v>
      </c>
      <c r="H4698" t="s">
        <v>2302</v>
      </c>
      <c r="I4698" t="s">
        <v>2303</v>
      </c>
      <c r="J4698" t="s">
        <v>52</v>
      </c>
      <c r="K4698" s="3">
        <v>100914977741</v>
      </c>
      <c r="L4698" s="10">
        <v>40345</v>
      </c>
      <c r="M4698">
        <v>125.9</v>
      </c>
      <c r="N4698" s="11">
        <v>21</v>
      </c>
      <c r="O4698" s="12">
        <v>5.88</v>
      </c>
      <c r="P4698" s="12">
        <v>3.04</v>
      </c>
      <c r="Q4698" s="13">
        <v>5.85</v>
      </c>
      <c r="R4698" s="36" t="s">
        <v>1031</v>
      </c>
      <c r="S4698" s="7">
        <f t="shared" si="395"/>
        <v>2</v>
      </c>
      <c r="T4698" s="15" t="str">
        <f>VLOOKUP(R4698,产品分类!$C$2:$D$1278,2,0)</f>
        <v>办公用品</v>
      </c>
    </row>
    <row r="4699" spans="1:20">
      <c r="A4699" s="8">
        <f t="shared" ref="A4699:B4701" si="398">DATE(2012,12,31)-104</f>
        <v>41170</v>
      </c>
      <c r="B4699" s="8">
        <f t="shared" si="398"/>
        <v>41170</v>
      </c>
      <c r="C4699" s="9" t="s">
        <v>160</v>
      </c>
      <c r="D4699">
        <v>10021349377</v>
      </c>
      <c r="E4699" t="s">
        <v>47</v>
      </c>
      <c r="F4699" t="s">
        <v>152</v>
      </c>
      <c r="G4699" t="s">
        <v>153</v>
      </c>
      <c r="H4699" t="s">
        <v>2302</v>
      </c>
      <c r="I4699" t="s">
        <v>2303</v>
      </c>
      <c r="J4699" t="s">
        <v>52</v>
      </c>
      <c r="K4699" s="3">
        <v>100431858753</v>
      </c>
      <c r="L4699" s="10">
        <v>41172</v>
      </c>
      <c r="M4699">
        <v>762.2</v>
      </c>
      <c r="N4699" s="11">
        <v>50</v>
      </c>
      <c r="O4699" s="12">
        <v>15.01</v>
      </c>
      <c r="P4699" s="12">
        <v>8.4</v>
      </c>
      <c r="Q4699" s="13">
        <v>16.5665</v>
      </c>
      <c r="R4699" s="36" t="s">
        <v>1374</v>
      </c>
      <c r="S4699" s="7">
        <f t="shared" si="395"/>
        <v>2</v>
      </c>
      <c r="T4699" s="15" t="str">
        <f>VLOOKUP(R4699,产品分类!$C$2:$D$1278,2,0)</f>
        <v>办公用品</v>
      </c>
    </row>
    <row r="4700" spans="1:20">
      <c r="A4700" s="8">
        <f t="shared" si="398"/>
        <v>41170</v>
      </c>
      <c r="B4700" s="8">
        <f t="shared" si="398"/>
        <v>41170</v>
      </c>
      <c r="C4700" s="9" t="s">
        <v>160</v>
      </c>
      <c r="D4700">
        <v>10021424875</v>
      </c>
      <c r="E4700" t="s">
        <v>47</v>
      </c>
      <c r="F4700" t="s">
        <v>78</v>
      </c>
      <c r="G4700" t="s">
        <v>79</v>
      </c>
      <c r="H4700" t="s">
        <v>2105</v>
      </c>
      <c r="I4700" t="s">
        <v>2106</v>
      </c>
      <c r="J4700" t="s">
        <v>52</v>
      </c>
      <c r="K4700" s="3">
        <v>100129222337</v>
      </c>
      <c r="L4700" s="10">
        <v>41172</v>
      </c>
      <c r="M4700">
        <v>235.45</v>
      </c>
      <c r="N4700" s="11">
        <v>27</v>
      </c>
      <c r="O4700" s="12">
        <v>8.56</v>
      </c>
      <c r="P4700" s="12">
        <v>5.16</v>
      </c>
      <c r="Q4700" s="13">
        <v>-8.82</v>
      </c>
      <c r="R4700" s="36" t="s">
        <v>2037</v>
      </c>
      <c r="S4700" s="7">
        <f t="shared" si="395"/>
        <v>2</v>
      </c>
      <c r="T4700" s="15" t="str">
        <f>VLOOKUP(R4700,产品分类!$C$2:$D$1278,2,0)</f>
        <v>家具产品</v>
      </c>
    </row>
    <row r="4701" spans="1:20">
      <c r="A4701" s="8">
        <f t="shared" si="398"/>
        <v>41170</v>
      </c>
      <c r="B4701" s="8">
        <f t="shared" si="398"/>
        <v>41170</v>
      </c>
      <c r="C4701" s="9" t="s">
        <v>160</v>
      </c>
      <c r="D4701">
        <v>10021531198</v>
      </c>
      <c r="E4701" t="s">
        <v>47</v>
      </c>
      <c r="F4701" t="s">
        <v>78</v>
      </c>
      <c r="G4701" t="s">
        <v>79</v>
      </c>
      <c r="H4701" t="s">
        <v>2105</v>
      </c>
      <c r="I4701" t="s">
        <v>2106</v>
      </c>
      <c r="J4701" t="s">
        <v>52</v>
      </c>
      <c r="K4701" s="3">
        <v>100130783577</v>
      </c>
      <c r="L4701" s="10">
        <v>41172</v>
      </c>
      <c r="M4701">
        <v>161.87</v>
      </c>
      <c r="N4701" s="11">
        <v>24</v>
      </c>
      <c r="O4701" s="12">
        <v>6.48</v>
      </c>
      <c r="P4701" s="12">
        <v>5.11</v>
      </c>
      <c r="Q4701" s="13">
        <v>-31.27</v>
      </c>
      <c r="R4701" s="36" t="s">
        <v>1752</v>
      </c>
      <c r="S4701" s="7">
        <f t="shared" si="395"/>
        <v>2</v>
      </c>
      <c r="T4701" s="15" t="str">
        <f>VLOOKUP(R4701,产品分类!$C$2:$D$1278,2,0)</f>
        <v>办公用品</v>
      </c>
    </row>
    <row r="4702" spans="1:20">
      <c r="A4702" s="8">
        <f>DATE(2012,12,31)-828</f>
        <v>40446</v>
      </c>
      <c r="B4702" s="8">
        <f>DATE(2012,12,31)-828</f>
        <v>40446</v>
      </c>
      <c r="C4702" s="9" t="s">
        <v>635</v>
      </c>
      <c r="D4702">
        <v>10021285159</v>
      </c>
      <c r="E4702" t="s">
        <v>47</v>
      </c>
      <c r="F4702" t="s">
        <v>78</v>
      </c>
      <c r="G4702" t="s">
        <v>79</v>
      </c>
      <c r="H4702" t="s">
        <v>2105</v>
      </c>
      <c r="I4702" t="s">
        <v>2106</v>
      </c>
      <c r="J4702" t="s">
        <v>52</v>
      </c>
      <c r="K4702" s="3">
        <v>100829481862</v>
      </c>
      <c r="L4702" s="10">
        <v>40450</v>
      </c>
      <c r="M4702">
        <v>117.78</v>
      </c>
      <c r="N4702" s="11">
        <v>32</v>
      </c>
      <c r="O4702" s="12">
        <v>4</v>
      </c>
      <c r="P4702" s="12">
        <v>1.3</v>
      </c>
      <c r="Q4702" s="13">
        <v>20.82</v>
      </c>
      <c r="R4702" s="36" t="s">
        <v>1003</v>
      </c>
      <c r="S4702" s="7">
        <f t="shared" si="395"/>
        <v>4</v>
      </c>
      <c r="T4702" s="15" t="str">
        <f>VLOOKUP(R4702,产品分类!$C$2:$D$1278,2,0)</f>
        <v>数码电子</v>
      </c>
    </row>
    <row r="4703" spans="1:20">
      <c r="A4703" s="8">
        <f>DATE(2012,12,31)-828</f>
        <v>40446</v>
      </c>
      <c r="B4703" s="8">
        <f>DATE(2012,12,31)-828</f>
        <v>40446</v>
      </c>
      <c r="C4703" s="9" t="s">
        <v>635</v>
      </c>
      <c r="D4703">
        <v>10021348605</v>
      </c>
      <c r="E4703" t="s">
        <v>47</v>
      </c>
      <c r="F4703" t="s">
        <v>72</v>
      </c>
      <c r="G4703" t="s">
        <v>73</v>
      </c>
      <c r="H4703" t="s">
        <v>2008</v>
      </c>
      <c r="I4703" t="s">
        <v>2009</v>
      </c>
      <c r="J4703" t="s">
        <v>52</v>
      </c>
      <c r="K4703" s="3">
        <v>100931591831</v>
      </c>
      <c r="L4703" s="10">
        <v>40446</v>
      </c>
      <c r="M4703">
        <v>2463.2405</v>
      </c>
      <c r="N4703" s="11">
        <v>35</v>
      </c>
      <c r="O4703" s="12">
        <v>85.99</v>
      </c>
      <c r="P4703" s="12">
        <v>10.78</v>
      </c>
      <c r="Q4703" s="13">
        <v>310.572</v>
      </c>
      <c r="R4703" s="36" t="s">
        <v>1210</v>
      </c>
      <c r="S4703" s="7">
        <f t="shared" si="395"/>
        <v>0</v>
      </c>
      <c r="T4703" s="15" t="str">
        <f>VLOOKUP(R4703,产品分类!$C$2:$D$1278,2,0)</f>
        <v>家具产品</v>
      </c>
    </row>
    <row r="4704" spans="1:20">
      <c r="A4704" s="8">
        <f>DATE(2012,12,31)-395</f>
        <v>40879</v>
      </c>
      <c r="B4704" s="8">
        <f>DATE(2012,12,31)-395</f>
        <v>40879</v>
      </c>
      <c r="C4704" s="9" t="s">
        <v>1751</v>
      </c>
      <c r="D4704">
        <v>10021431554</v>
      </c>
      <c r="E4704" t="s">
        <v>47</v>
      </c>
      <c r="F4704" t="s">
        <v>72</v>
      </c>
      <c r="G4704" t="s">
        <v>73</v>
      </c>
      <c r="H4704" t="s">
        <v>2008</v>
      </c>
      <c r="I4704" t="s">
        <v>2009</v>
      </c>
      <c r="J4704" t="s">
        <v>52</v>
      </c>
      <c r="K4704" s="3">
        <v>100832241512</v>
      </c>
      <c r="L4704" s="10">
        <v>40880</v>
      </c>
      <c r="M4704">
        <v>267.06</v>
      </c>
      <c r="N4704" s="11">
        <v>42</v>
      </c>
      <c r="O4704" s="12">
        <v>6.24</v>
      </c>
      <c r="P4704" s="12">
        <v>5.22</v>
      </c>
      <c r="Q4704" s="13">
        <v>-96.95</v>
      </c>
      <c r="R4704" s="36" t="s">
        <v>368</v>
      </c>
      <c r="S4704" s="7">
        <f t="shared" si="395"/>
        <v>1</v>
      </c>
      <c r="T4704" s="15" t="str">
        <f>VLOOKUP(R4704,产品分类!$C$2:$D$1278,2,0)</f>
        <v>办公用品</v>
      </c>
    </row>
    <row r="4705" spans="1:20">
      <c r="A4705" s="16">
        <f>DATE(2012,12,31)-395</f>
        <v>40879</v>
      </c>
      <c r="B4705" s="16">
        <f>DATE(2012,12,31)-395</f>
        <v>40879</v>
      </c>
      <c r="C4705" s="9" t="s">
        <v>1751</v>
      </c>
      <c r="D4705">
        <v>10021415072</v>
      </c>
      <c r="E4705" t="s">
        <v>47</v>
      </c>
      <c r="F4705" t="s">
        <v>78</v>
      </c>
      <c r="G4705" t="s">
        <v>79</v>
      </c>
      <c r="H4705" t="s">
        <v>2379</v>
      </c>
      <c r="I4705" t="s">
        <v>2380</v>
      </c>
      <c r="J4705" t="s">
        <v>52</v>
      </c>
      <c r="K4705" s="3">
        <v>100310225019</v>
      </c>
      <c r="L4705" s="10">
        <v>40879</v>
      </c>
      <c r="M4705">
        <v>449.79</v>
      </c>
      <c r="N4705" s="17">
        <v>11</v>
      </c>
      <c r="O4705" s="5">
        <v>40.99</v>
      </c>
      <c r="P4705" s="5">
        <v>17.48</v>
      </c>
      <c r="Q4705" s="6">
        <v>13.21</v>
      </c>
      <c r="R4705" s="37" t="s">
        <v>620</v>
      </c>
      <c r="S4705" s="7">
        <f t="shared" si="395"/>
        <v>0</v>
      </c>
      <c r="T4705" s="15" t="str">
        <f>VLOOKUP(R4705,产品分类!$C$2:$D$1278,2,0)</f>
        <v>数码电子</v>
      </c>
    </row>
    <row r="4706" spans="1:20">
      <c r="A4706" s="8">
        <f>DATE(2012,12,31)-871</f>
        <v>40403</v>
      </c>
      <c r="B4706" s="8">
        <f>DATE(2012,12,31)-871</f>
        <v>40403</v>
      </c>
      <c r="C4706" s="9" t="s">
        <v>859</v>
      </c>
      <c r="D4706">
        <v>10021443606</v>
      </c>
      <c r="E4706" t="s">
        <v>47</v>
      </c>
      <c r="F4706" t="s">
        <v>78</v>
      </c>
      <c r="G4706" t="s">
        <v>79</v>
      </c>
      <c r="H4706" t="s">
        <v>2379</v>
      </c>
      <c r="I4706" t="s">
        <v>2380</v>
      </c>
      <c r="J4706" t="s">
        <v>52</v>
      </c>
      <c r="K4706" s="3">
        <v>1004315074</v>
      </c>
      <c r="L4706" s="10">
        <v>40405</v>
      </c>
      <c r="M4706">
        <v>45.38</v>
      </c>
      <c r="N4706" s="11">
        <v>26</v>
      </c>
      <c r="O4706" s="12">
        <v>1.76</v>
      </c>
      <c r="P4706" s="12">
        <v>0.7</v>
      </c>
      <c r="Q4706" s="13">
        <v>-1.97</v>
      </c>
      <c r="R4706" s="36" t="s">
        <v>561</v>
      </c>
      <c r="S4706" s="7">
        <f t="shared" si="395"/>
        <v>2</v>
      </c>
      <c r="T4706" s="15" t="str">
        <f>VLOOKUP(R4706,产品分类!$C$2:$D$1278,2,0)</f>
        <v>数码电子</v>
      </c>
    </row>
    <row r="4707" spans="1:20">
      <c r="A4707" s="8">
        <f>DATE(2012,12,31)-871</f>
        <v>40403</v>
      </c>
      <c r="B4707" s="8">
        <f>DATE(2012,12,31)-871</f>
        <v>40403</v>
      </c>
      <c r="C4707" s="9" t="s">
        <v>859</v>
      </c>
      <c r="D4707">
        <v>10021279801</v>
      </c>
      <c r="E4707" t="s">
        <v>47</v>
      </c>
      <c r="F4707" t="s">
        <v>72</v>
      </c>
      <c r="G4707" t="s">
        <v>73</v>
      </c>
      <c r="H4707" t="s">
        <v>2008</v>
      </c>
      <c r="I4707" t="s">
        <v>2009</v>
      </c>
      <c r="J4707" t="s">
        <v>52</v>
      </c>
      <c r="K4707" s="3">
        <v>10087224672</v>
      </c>
      <c r="L4707" s="10">
        <v>40404</v>
      </c>
      <c r="M4707">
        <v>163.3105</v>
      </c>
      <c r="N4707" s="11">
        <v>9</v>
      </c>
      <c r="O4707" s="12">
        <v>20.99</v>
      </c>
      <c r="P4707" s="12">
        <v>3.3</v>
      </c>
      <c r="Q4707" s="13">
        <v>-105.094</v>
      </c>
      <c r="R4707" s="36" t="s">
        <v>810</v>
      </c>
      <c r="S4707" s="7">
        <f t="shared" si="395"/>
        <v>1</v>
      </c>
      <c r="T4707" s="15" t="str">
        <f>VLOOKUP(R4707,产品分类!$C$2:$D$1278,2,0)</f>
        <v>家具产品</v>
      </c>
    </row>
    <row r="4708" spans="1:20">
      <c r="A4708" s="8">
        <f>DATE(2012,12,31)-574</f>
        <v>40700</v>
      </c>
      <c r="B4708" s="8">
        <f>DATE(2012,12,31)-574</f>
        <v>40700</v>
      </c>
      <c r="C4708" s="9" t="s">
        <v>500</v>
      </c>
      <c r="D4708">
        <v>10021506848</v>
      </c>
      <c r="E4708" t="s">
        <v>47</v>
      </c>
      <c r="F4708" t="s">
        <v>78</v>
      </c>
      <c r="G4708" t="s">
        <v>79</v>
      </c>
      <c r="H4708" t="s">
        <v>2379</v>
      </c>
      <c r="I4708" t="s">
        <v>2380</v>
      </c>
      <c r="J4708" t="s">
        <v>52</v>
      </c>
      <c r="K4708" s="3">
        <v>100931710521</v>
      </c>
      <c r="L4708" s="10">
        <v>40704</v>
      </c>
      <c r="M4708">
        <v>190.99</v>
      </c>
      <c r="N4708" s="11">
        <v>21</v>
      </c>
      <c r="O4708" s="12">
        <v>9.85</v>
      </c>
      <c r="P4708" s="12">
        <v>4.82</v>
      </c>
      <c r="Q4708" s="13">
        <v>-27.15</v>
      </c>
      <c r="R4708" s="36" t="s">
        <v>2229</v>
      </c>
      <c r="S4708" s="7">
        <f t="shared" si="395"/>
        <v>4</v>
      </c>
      <c r="T4708" s="15" t="str">
        <f>VLOOKUP(R4708,产品分类!$C$2:$D$1278,2,0)</f>
        <v>办公用品</v>
      </c>
    </row>
    <row r="4709" spans="1:20">
      <c r="A4709" s="8">
        <f>DATE(2012,12,31)-195</f>
        <v>41079</v>
      </c>
      <c r="B4709" s="8">
        <f>DATE(2012,12,31)-195</f>
        <v>41079</v>
      </c>
      <c r="C4709" s="9" t="s">
        <v>536</v>
      </c>
      <c r="D4709">
        <v>10021453489</v>
      </c>
      <c r="E4709" t="s">
        <v>47</v>
      </c>
      <c r="F4709" t="s">
        <v>72</v>
      </c>
      <c r="G4709" t="s">
        <v>73</v>
      </c>
      <c r="H4709" t="s">
        <v>2008</v>
      </c>
      <c r="I4709" t="s">
        <v>2009</v>
      </c>
      <c r="J4709" t="s">
        <v>52</v>
      </c>
      <c r="K4709" s="3">
        <v>100832240342</v>
      </c>
      <c r="L4709" s="10">
        <v>41079</v>
      </c>
      <c r="M4709">
        <v>512.78</v>
      </c>
      <c r="N4709" s="11">
        <v>43</v>
      </c>
      <c r="O4709" s="12">
        <v>12.2</v>
      </c>
      <c r="P4709" s="12">
        <v>6.02</v>
      </c>
      <c r="Q4709" s="13">
        <v>16.14</v>
      </c>
      <c r="R4709" s="36" t="s">
        <v>1460</v>
      </c>
      <c r="S4709" s="7">
        <f t="shared" si="395"/>
        <v>0</v>
      </c>
      <c r="T4709" s="15" t="str">
        <f>VLOOKUP(R4709,产品分类!$C$2:$D$1278,2,0)</f>
        <v>办公用品</v>
      </c>
    </row>
    <row r="4710" spans="1:20">
      <c r="A4710" s="8">
        <f>DATE(2012,12,31)-163</f>
        <v>41111</v>
      </c>
      <c r="B4710" s="8">
        <f>DATE(2012,12,31)-163</f>
        <v>41111</v>
      </c>
      <c r="C4710" s="9" t="s">
        <v>2336</v>
      </c>
      <c r="D4710">
        <v>10021340369</v>
      </c>
      <c r="E4710" t="s">
        <v>47</v>
      </c>
      <c r="F4710" t="s">
        <v>72</v>
      </c>
      <c r="G4710" t="s">
        <v>73</v>
      </c>
      <c r="H4710" t="s">
        <v>2008</v>
      </c>
      <c r="I4710" t="s">
        <v>2009</v>
      </c>
      <c r="J4710" t="s">
        <v>52</v>
      </c>
      <c r="K4710" s="3">
        <v>100426095783</v>
      </c>
      <c r="L4710" s="10">
        <v>41112</v>
      </c>
      <c r="M4710">
        <v>628.73</v>
      </c>
      <c r="N4710" s="11">
        <v>10</v>
      </c>
      <c r="O4710" s="12">
        <v>55.5</v>
      </c>
      <c r="P4710" s="12">
        <v>52.2</v>
      </c>
      <c r="Q4710" s="13">
        <v>-181.87</v>
      </c>
      <c r="R4710" s="36" t="s">
        <v>1995</v>
      </c>
      <c r="S4710" s="7">
        <f t="shared" si="395"/>
        <v>1</v>
      </c>
      <c r="T4710" s="15" t="str">
        <f>VLOOKUP(R4710,产品分类!$C$2:$D$1278,2,0)</f>
        <v>家具产品</v>
      </c>
    </row>
    <row r="4711" spans="1:20">
      <c r="A4711" s="8">
        <f>DATE(2012,12,31)-163</f>
        <v>41111</v>
      </c>
      <c r="B4711" s="8">
        <f>DATE(2012,12,31)-163</f>
        <v>41111</v>
      </c>
      <c r="C4711" s="9" t="s">
        <v>2336</v>
      </c>
      <c r="D4711">
        <v>10021251381</v>
      </c>
      <c r="E4711" t="s">
        <v>47</v>
      </c>
      <c r="F4711" t="s">
        <v>78</v>
      </c>
      <c r="G4711" t="s">
        <v>79</v>
      </c>
      <c r="H4711" t="s">
        <v>2379</v>
      </c>
      <c r="I4711" t="s">
        <v>2380</v>
      </c>
      <c r="J4711" t="s">
        <v>52</v>
      </c>
      <c r="K4711" s="3">
        <v>10087477762</v>
      </c>
      <c r="L4711" s="10">
        <v>41112</v>
      </c>
      <c r="M4711">
        <v>385.81</v>
      </c>
      <c r="N4711" s="11">
        <v>23</v>
      </c>
      <c r="O4711" s="12">
        <v>15.51</v>
      </c>
      <c r="P4711" s="12">
        <v>5.8</v>
      </c>
      <c r="Q4711" s="13">
        <v>7.35</v>
      </c>
      <c r="R4711" s="36" t="s">
        <v>2381</v>
      </c>
      <c r="S4711" s="7">
        <f t="shared" si="395"/>
        <v>1</v>
      </c>
      <c r="T4711" s="15" t="str">
        <f>VLOOKUP(R4711,产品分类!$C$2:$D$1278,2,0)</f>
        <v>家具产品</v>
      </c>
    </row>
    <row r="4712" spans="1:20">
      <c r="A4712" s="8">
        <f>DATE(2012,12,31)-1221</f>
        <v>40053</v>
      </c>
      <c r="B4712" s="8">
        <f>DATE(2012,12,31)-1221</f>
        <v>40053</v>
      </c>
      <c r="C4712" s="9" t="s">
        <v>2013</v>
      </c>
      <c r="D4712">
        <v>10021267719</v>
      </c>
      <c r="E4712" t="s">
        <v>47</v>
      </c>
      <c r="F4712" t="s">
        <v>72</v>
      </c>
      <c r="G4712" t="s">
        <v>73</v>
      </c>
      <c r="H4712" t="s">
        <v>2008</v>
      </c>
      <c r="I4712" t="s">
        <v>2009</v>
      </c>
      <c r="J4712" t="s">
        <v>52</v>
      </c>
      <c r="K4712" s="3">
        <v>100732108745</v>
      </c>
      <c r="L4712" s="10">
        <v>40057</v>
      </c>
      <c r="M4712">
        <v>123.92</v>
      </c>
      <c r="N4712" s="11">
        <v>9</v>
      </c>
      <c r="O4712" s="12">
        <v>14.2</v>
      </c>
      <c r="P4712" s="12">
        <v>5.3</v>
      </c>
      <c r="Q4712" s="13">
        <v>45.83</v>
      </c>
      <c r="R4712" s="36" t="s">
        <v>975</v>
      </c>
      <c r="S4712" s="7">
        <f t="shared" si="395"/>
        <v>4</v>
      </c>
      <c r="T4712" s="15" t="str">
        <f>VLOOKUP(R4712,产品分类!$C$2:$D$1278,2,0)</f>
        <v>家具产品</v>
      </c>
    </row>
    <row r="4713" spans="1:20">
      <c r="A4713" s="8">
        <f t="shared" ref="A4713:B4715" si="399">DATE(2012,12,31)-15</f>
        <v>41259</v>
      </c>
      <c r="B4713" s="8">
        <f t="shared" si="399"/>
        <v>41259</v>
      </c>
      <c r="C4713" s="9" t="s">
        <v>873</v>
      </c>
      <c r="D4713">
        <v>10021388007</v>
      </c>
      <c r="E4713" t="s">
        <v>47</v>
      </c>
      <c r="F4713" t="s">
        <v>78</v>
      </c>
      <c r="G4713" t="s">
        <v>79</v>
      </c>
      <c r="H4713" t="s">
        <v>2379</v>
      </c>
      <c r="I4713" t="s">
        <v>2380</v>
      </c>
      <c r="J4713" t="s">
        <v>52</v>
      </c>
      <c r="K4713" s="3">
        <v>100423935873</v>
      </c>
      <c r="L4713" s="10">
        <v>41261</v>
      </c>
      <c r="M4713">
        <v>265.88</v>
      </c>
      <c r="N4713" s="11">
        <v>46</v>
      </c>
      <c r="O4713" s="12">
        <v>5.74</v>
      </c>
      <c r="P4713" s="12">
        <v>5.01</v>
      </c>
      <c r="Q4713" s="13">
        <v>-90.896</v>
      </c>
      <c r="R4713" s="36" t="s">
        <v>876</v>
      </c>
      <c r="S4713" s="7">
        <f t="shared" si="395"/>
        <v>2</v>
      </c>
      <c r="T4713" s="15" t="str">
        <f>VLOOKUP(R4713,产品分类!$C$2:$D$1278,2,0)</f>
        <v>办公用品</v>
      </c>
    </row>
    <row r="4714" spans="1:20">
      <c r="A4714" s="8">
        <f t="shared" si="399"/>
        <v>41259</v>
      </c>
      <c r="B4714" s="8">
        <f t="shared" si="399"/>
        <v>41259</v>
      </c>
      <c r="C4714" s="9" t="s">
        <v>873</v>
      </c>
      <c r="D4714">
        <v>10021645795</v>
      </c>
      <c r="E4714" t="s">
        <v>47</v>
      </c>
      <c r="F4714" t="s">
        <v>230</v>
      </c>
      <c r="G4714" t="s">
        <v>231</v>
      </c>
      <c r="H4714" t="s">
        <v>2372</v>
      </c>
      <c r="I4714" t="s">
        <v>2373</v>
      </c>
      <c r="J4714" t="s">
        <v>52</v>
      </c>
      <c r="K4714" s="3">
        <v>10038349349</v>
      </c>
      <c r="L4714" s="10">
        <v>41261</v>
      </c>
      <c r="M4714">
        <v>1500.82</v>
      </c>
      <c r="N4714" s="11">
        <v>1</v>
      </c>
      <c r="O4714" s="12">
        <v>1500.97</v>
      </c>
      <c r="P4714" s="12">
        <v>29.7</v>
      </c>
      <c r="Q4714" s="13">
        <v>-3381.9858</v>
      </c>
      <c r="R4714" s="36" t="s">
        <v>1402</v>
      </c>
      <c r="S4714" s="7">
        <f t="shared" si="395"/>
        <v>2</v>
      </c>
      <c r="T4714" s="15" t="str">
        <f>VLOOKUP(R4714,产品分类!$C$2:$D$1278,2,0)</f>
        <v>家具产品</v>
      </c>
    </row>
    <row r="4715" spans="1:20">
      <c r="A4715" s="8">
        <f t="shared" si="399"/>
        <v>41259</v>
      </c>
      <c r="B4715" s="8">
        <f t="shared" si="399"/>
        <v>41259</v>
      </c>
      <c r="C4715" s="9" t="s">
        <v>873</v>
      </c>
      <c r="D4715">
        <v>10021249354</v>
      </c>
      <c r="E4715" t="s">
        <v>47</v>
      </c>
      <c r="F4715" t="s">
        <v>473</v>
      </c>
      <c r="G4715" t="s">
        <v>474</v>
      </c>
      <c r="H4715" t="s">
        <v>2142</v>
      </c>
      <c r="I4715" t="s">
        <v>2143</v>
      </c>
      <c r="J4715" t="s">
        <v>52</v>
      </c>
      <c r="K4715" s="3">
        <v>10015500398</v>
      </c>
      <c r="L4715" s="10">
        <v>41259</v>
      </c>
      <c r="M4715">
        <v>3093.864</v>
      </c>
      <c r="N4715" s="11">
        <v>19</v>
      </c>
      <c r="O4715" s="12">
        <v>205.99</v>
      </c>
      <c r="P4715" s="12">
        <v>5.26</v>
      </c>
      <c r="Q4715" s="13">
        <v>286.398</v>
      </c>
      <c r="R4715" s="36" t="s">
        <v>688</v>
      </c>
      <c r="S4715" s="7">
        <f t="shared" si="395"/>
        <v>0</v>
      </c>
      <c r="T4715" s="15" t="str">
        <f>VLOOKUP(R4715,产品分类!$C$2:$D$1278,2,0)</f>
        <v>办公用品</v>
      </c>
    </row>
    <row r="4716" spans="1:20">
      <c r="A4716" s="8">
        <f>DATE(2012,12,31)-447</f>
        <v>40827</v>
      </c>
      <c r="B4716" s="8">
        <f>DATE(2012,12,31)-447</f>
        <v>40827</v>
      </c>
      <c r="C4716" s="9" t="s">
        <v>893</v>
      </c>
      <c r="D4716">
        <v>10021424438</v>
      </c>
      <c r="E4716" t="s">
        <v>47</v>
      </c>
      <c r="F4716" t="s">
        <v>122</v>
      </c>
      <c r="G4716" t="s">
        <v>123</v>
      </c>
      <c r="H4716" t="s">
        <v>2159</v>
      </c>
      <c r="I4716" t="s">
        <v>2160</v>
      </c>
      <c r="J4716" t="s">
        <v>52</v>
      </c>
      <c r="K4716" s="3">
        <v>100928845121</v>
      </c>
      <c r="L4716" s="10">
        <v>40830</v>
      </c>
      <c r="M4716">
        <v>7.15</v>
      </c>
      <c r="N4716" s="11">
        <v>1</v>
      </c>
      <c r="O4716" s="12">
        <v>5.08</v>
      </c>
      <c r="P4716" s="12">
        <v>2.03</v>
      </c>
      <c r="Q4716" s="13">
        <v>-2.55</v>
      </c>
      <c r="R4716" s="36" t="s">
        <v>1179</v>
      </c>
      <c r="S4716" s="7">
        <f t="shared" si="395"/>
        <v>3</v>
      </c>
      <c r="T4716" s="15" t="str">
        <f>VLOOKUP(R4716,产品分类!$C$2:$D$1278,2,0)</f>
        <v>办公用品</v>
      </c>
    </row>
    <row r="4717" spans="1:20">
      <c r="A4717" s="8">
        <f>DATE(2012,12,31)-819</f>
        <v>40455</v>
      </c>
      <c r="B4717" s="8">
        <f>DATE(2012,12,31)-819</f>
        <v>40455</v>
      </c>
      <c r="C4717" s="9" t="s">
        <v>1879</v>
      </c>
      <c r="D4717">
        <v>10021434604</v>
      </c>
      <c r="E4717" t="s">
        <v>47</v>
      </c>
      <c r="F4717" t="s">
        <v>122</v>
      </c>
      <c r="G4717" t="s">
        <v>123</v>
      </c>
      <c r="H4717" t="s">
        <v>2159</v>
      </c>
      <c r="I4717" t="s">
        <v>2160</v>
      </c>
      <c r="J4717" t="s">
        <v>52</v>
      </c>
      <c r="K4717" s="3">
        <v>100432663334</v>
      </c>
      <c r="L4717" s="10">
        <v>40455</v>
      </c>
      <c r="M4717">
        <v>2272.56</v>
      </c>
      <c r="N4717" s="11">
        <v>15</v>
      </c>
      <c r="O4717" s="12">
        <v>150.98</v>
      </c>
      <c r="P4717" s="12">
        <v>16.01</v>
      </c>
      <c r="Q4717" s="13">
        <v>111.0474</v>
      </c>
      <c r="R4717" s="36" t="s">
        <v>986</v>
      </c>
      <c r="S4717" s="7">
        <f t="shared" si="395"/>
        <v>0</v>
      </c>
      <c r="T4717" s="15" t="str">
        <f>VLOOKUP(R4717,产品分类!$C$2:$D$1278,2,0)</f>
        <v>办公用品</v>
      </c>
    </row>
    <row r="4718" spans="1:20">
      <c r="A4718" s="8">
        <f>DATE(2012,12,31)-817</f>
        <v>40457</v>
      </c>
      <c r="B4718" s="8">
        <f>DATE(2012,12,31)-817</f>
        <v>40457</v>
      </c>
      <c r="C4718" s="9" t="s">
        <v>197</v>
      </c>
      <c r="D4718">
        <v>10021508295</v>
      </c>
      <c r="E4718" t="s">
        <v>47</v>
      </c>
      <c r="F4718" t="s">
        <v>91</v>
      </c>
      <c r="G4718" t="s">
        <v>92</v>
      </c>
      <c r="H4718" t="s">
        <v>2053</v>
      </c>
      <c r="I4718" t="s">
        <v>2054</v>
      </c>
      <c r="J4718" t="s">
        <v>52</v>
      </c>
      <c r="K4718" s="3">
        <v>100430429264</v>
      </c>
      <c r="L4718" s="10">
        <v>40459</v>
      </c>
      <c r="M4718">
        <v>187.28</v>
      </c>
      <c r="N4718" s="11">
        <v>42</v>
      </c>
      <c r="O4718" s="12">
        <v>4.28</v>
      </c>
      <c r="P4718" s="12">
        <v>4.79</v>
      </c>
      <c r="Q4718" s="13">
        <v>-94.36</v>
      </c>
      <c r="R4718" s="36" t="s">
        <v>1515</v>
      </c>
      <c r="S4718" s="7">
        <f t="shared" si="395"/>
        <v>2</v>
      </c>
      <c r="T4718" s="15" t="str">
        <f>VLOOKUP(R4718,产品分类!$C$2:$D$1278,2,0)</f>
        <v>办公用品</v>
      </c>
    </row>
    <row r="4719" spans="1:20">
      <c r="A4719" s="8">
        <f>DATE(2012,12,31)-501</f>
        <v>40773</v>
      </c>
      <c r="B4719" s="8">
        <f>DATE(2012,12,31)-501</f>
        <v>40773</v>
      </c>
      <c r="C4719" s="9" t="s">
        <v>1595</v>
      </c>
      <c r="D4719">
        <v>10021418211</v>
      </c>
      <c r="E4719" t="s">
        <v>47</v>
      </c>
      <c r="F4719" t="s">
        <v>55</v>
      </c>
      <c r="G4719" t="s">
        <v>56</v>
      </c>
      <c r="H4719" t="s">
        <v>2331</v>
      </c>
      <c r="I4719" t="s">
        <v>2332</v>
      </c>
      <c r="J4719" t="s">
        <v>52</v>
      </c>
      <c r="K4719" s="3">
        <v>100120177418</v>
      </c>
      <c r="L4719" s="10">
        <v>40775</v>
      </c>
      <c r="M4719">
        <v>59.62</v>
      </c>
      <c r="N4719" s="11">
        <v>10</v>
      </c>
      <c r="O4719" s="12">
        <v>5.4</v>
      </c>
      <c r="P4719" s="12">
        <v>7.78</v>
      </c>
      <c r="Q4719" s="13">
        <v>-56.304</v>
      </c>
      <c r="R4719" s="36" t="s">
        <v>200</v>
      </c>
      <c r="S4719" s="7">
        <f t="shared" si="395"/>
        <v>2</v>
      </c>
      <c r="T4719" s="15" t="str">
        <f>VLOOKUP(R4719,产品分类!$C$2:$D$1278,2,0)</f>
        <v>数码电子</v>
      </c>
    </row>
    <row r="4720" spans="1:20">
      <c r="A4720" s="8">
        <f>DATE(2012,12,31)-272</f>
        <v>41002</v>
      </c>
      <c r="B4720" s="8">
        <f>DATE(2012,12,31)-272</f>
        <v>41002</v>
      </c>
      <c r="C4720" s="9" t="s">
        <v>1882</v>
      </c>
      <c r="D4720">
        <v>10021623834</v>
      </c>
      <c r="E4720" t="s">
        <v>47</v>
      </c>
      <c r="F4720" t="s">
        <v>91</v>
      </c>
      <c r="G4720" t="s">
        <v>92</v>
      </c>
      <c r="H4720" t="s">
        <v>2053</v>
      </c>
      <c r="I4720" t="s">
        <v>2054</v>
      </c>
      <c r="J4720" t="s">
        <v>52</v>
      </c>
      <c r="K4720" s="3">
        <v>100923173591</v>
      </c>
      <c r="L4720" s="10">
        <v>41004</v>
      </c>
      <c r="M4720">
        <v>153.01</v>
      </c>
      <c r="N4720" s="11">
        <v>42</v>
      </c>
      <c r="O4720" s="12">
        <v>3.52</v>
      </c>
      <c r="P4720" s="12">
        <v>6.83</v>
      </c>
      <c r="Q4720" s="13">
        <v>-218.5345</v>
      </c>
      <c r="R4720" s="36" t="s">
        <v>1969</v>
      </c>
      <c r="S4720" s="7">
        <f t="shared" si="395"/>
        <v>2</v>
      </c>
      <c r="T4720" s="15" t="str">
        <f>VLOOKUP(R4720,产品分类!$C$2:$D$1278,2,0)</f>
        <v>办公用品</v>
      </c>
    </row>
    <row r="4721" spans="1:20">
      <c r="A4721" s="8">
        <f>DATE(2012,12,31)-305</f>
        <v>40969</v>
      </c>
      <c r="B4721" s="8">
        <f>DATE(2012,12,31)-305</f>
        <v>40969</v>
      </c>
      <c r="C4721" s="9" t="s">
        <v>1132</v>
      </c>
      <c r="D4721">
        <v>10021630852</v>
      </c>
      <c r="E4721" t="s">
        <v>47</v>
      </c>
      <c r="F4721" t="s">
        <v>83</v>
      </c>
      <c r="G4721" t="s">
        <v>84</v>
      </c>
      <c r="H4721" t="s">
        <v>2349</v>
      </c>
      <c r="I4721" t="s">
        <v>2350</v>
      </c>
      <c r="J4721" t="s">
        <v>52</v>
      </c>
      <c r="K4721" s="3">
        <v>100432211713</v>
      </c>
      <c r="L4721" s="10">
        <v>40971</v>
      </c>
      <c r="M4721">
        <v>410.03</v>
      </c>
      <c r="N4721" s="11">
        <v>46</v>
      </c>
      <c r="O4721" s="12">
        <v>8.75</v>
      </c>
      <c r="P4721" s="12">
        <v>8.54</v>
      </c>
      <c r="Q4721" s="13">
        <v>-138.39</v>
      </c>
      <c r="R4721" s="36" t="s">
        <v>1033</v>
      </c>
      <c r="S4721" s="7">
        <f t="shared" si="395"/>
        <v>2</v>
      </c>
      <c r="T4721" s="15" t="str">
        <f>VLOOKUP(R4721,产品分类!$C$2:$D$1278,2,0)</f>
        <v>办公用品</v>
      </c>
    </row>
    <row r="4722" spans="1:20">
      <c r="A4722" s="8">
        <f>DATE(2012,12,31)-1024</f>
        <v>40250</v>
      </c>
      <c r="B4722" s="8">
        <f>DATE(2012,12,31)-1024</f>
        <v>40250</v>
      </c>
      <c r="C4722" s="9" t="s">
        <v>567</v>
      </c>
      <c r="D4722">
        <v>10021418302</v>
      </c>
      <c r="E4722" t="s">
        <v>47</v>
      </c>
      <c r="F4722" t="s">
        <v>122</v>
      </c>
      <c r="G4722" t="s">
        <v>123</v>
      </c>
      <c r="H4722" t="s">
        <v>2159</v>
      </c>
      <c r="I4722" t="s">
        <v>2160</v>
      </c>
      <c r="J4722" t="s">
        <v>52</v>
      </c>
      <c r="K4722" s="3">
        <v>100820954802</v>
      </c>
      <c r="L4722" s="10">
        <v>40251</v>
      </c>
      <c r="M4722">
        <v>763.6485</v>
      </c>
      <c r="N4722" s="11">
        <v>8</v>
      </c>
      <c r="O4722" s="12">
        <v>115.99</v>
      </c>
      <c r="P4722" s="12">
        <v>5.26</v>
      </c>
      <c r="Q4722" s="13">
        <v>-277.783</v>
      </c>
      <c r="R4722" s="36" t="s">
        <v>265</v>
      </c>
      <c r="S4722" s="7">
        <f t="shared" si="395"/>
        <v>1</v>
      </c>
      <c r="T4722" s="15" t="str">
        <f>VLOOKUP(R4722,产品分类!$C$2:$D$1278,2,0)</f>
        <v>办公用品</v>
      </c>
    </row>
    <row r="4723" spans="1:20">
      <c r="A4723" s="8">
        <f>DATE(2012,12,31)-853</f>
        <v>40421</v>
      </c>
      <c r="B4723" s="8">
        <f>DATE(2012,12,31)-853</f>
        <v>40421</v>
      </c>
      <c r="C4723" s="9" t="s">
        <v>1251</v>
      </c>
      <c r="D4723">
        <v>10021531517</v>
      </c>
      <c r="E4723" t="s">
        <v>47</v>
      </c>
      <c r="F4723" t="s">
        <v>55</v>
      </c>
      <c r="G4723" t="s">
        <v>56</v>
      </c>
      <c r="H4723" t="s">
        <v>2331</v>
      </c>
      <c r="I4723" t="s">
        <v>2332</v>
      </c>
      <c r="J4723" t="s">
        <v>52</v>
      </c>
      <c r="K4723" s="3">
        <v>100130764028</v>
      </c>
      <c r="L4723" s="10">
        <v>40423</v>
      </c>
      <c r="M4723">
        <v>271.34</v>
      </c>
      <c r="N4723" s="11">
        <v>40</v>
      </c>
      <c r="O4723" s="12">
        <v>6.48</v>
      </c>
      <c r="P4723" s="12">
        <v>7.86</v>
      </c>
      <c r="Q4723" s="13">
        <v>-151.92</v>
      </c>
      <c r="R4723" s="36" t="s">
        <v>957</v>
      </c>
      <c r="S4723" s="7">
        <f t="shared" si="395"/>
        <v>2</v>
      </c>
      <c r="T4723" s="15" t="str">
        <f>VLOOKUP(R4723,产品分类!$C$2:$D$1278,2,0)</f>
        <v>办公用品</v>
      </c>
    </row>
    <row r="4724" spans="1:20">
      <c r="A4724" s="8">
        <f>DATE(2012,12,31)-1268</f>
        <v>40006</v>
      </c>
      <c r="B4724" s="8">
        <f>DATE(2012,12,31)-1268</f>
        <v>40006</v>
      </c>
      <c r="C4724" s="9" t="s">
        <v>262</v>
      </c>
      <c r="D4724">
        <v>10021416766</v>
      </c>
      <c r="E4724" t="s">
        <v>47</v>
      </c>
      <c r="F4724" t="s">
        <v>91</v>
      </c>
      <c r="G4724" t="s">
        <v>92</v>
      </c>
      <c r="H4724" t="s">
        <v>2053</v>
      </c>
      <c r="I4724" t="s">
        <v>2054</v>
      </c>
      <c r="J4724" t="s">
        <v>52</v>
      </c>
      <c r="K4724" s="3">
        <v>100112219898</v>
      </c>
      <c r="L4724" s="10">
        <v>40007</v>
      </c>
      <c r="M4724">
        <v>477.76</v>
      </c>
      <c r="N4724" s="11">
        <v>5</v>
      </c>
      <c r="O4724" s="12">
        <v>90.97</v>
      </c>
      <c r="P4724" s="12">
        <v>28</v>
      </c>
      <c r="Q4724" s="13">
        <v>-173.0952</v>
      </c>
      <c r="R4724" s="36" t="s">
        <v>1519</v>
      </c>
      <c r="S4724" s="7">
        <f t="shared" si="395"/>
        <v>1</v>
      </c>
      <c r="T4724" s="15" t="str">
        <f>VLOOKUP(R4724,产品分类!$C$2:$D$1278,2,0)</f>
        <v>办公用品</v>
      </c>
    </row>
    <row r="4725" spans="1:20">
      <c r="A4725" s="16">
        <f>DATE(2012,12,31)-1268</f>
        <v>40006</v>
      </c>
      <c r="B4725" s="16">
        <f>DATE(2012,12,31)-1268</f>
        <v>40006</v>
      </c>
      <c r="C4725" s="9" t="s">
        <v>262</v>
      </c>
      <c r="D4725">
        <v>10021547870</v>
      </c>
      <c r="E4725" t="s">
        <v>47</v>
      </c>
      <c r="F4725" t="s">
        <v>91</v>
      </c>
      <c r="G4725" t="s">
        <v>92</v>
      </c>
      <c r="H4725" t="s">
        <v>2053</v>
      </c>
      <c r="I4725" t="s">
        <v>2054</v>
      </c>
      <c r="J4725" t="s">
        <v>52</v>
      </c>
      <c r="K4725" s="3">
        <v>100832051252</v>
      </c>
      <c r="L4725" s="10">
        <v>40007</v>
      </c>
      <c r="M4725">
        <v>112.18</v>
      </c>
      <c r="N4725" s="17">
        <v>4</v>
      </c>
      <c r="O4725" s="5">
        <v>20.34</v>
      </c>
      <c r="P4725" s="5">
        <v>35</v>
      </c>
      <c r="Q4725" s="6">
        <v>-96.16</v>
      </c>
      <c r="R4725" s="37" t="s">
        <v>1783</v>
      </c>
      <c r="S4725" s="7">
        <f t="shared" si="395"/>
        <v>1</v>
      </c>
      <c r="T4725" s="15" t="str">
        <f>VLOOKUP(R4725,产品分类!$C$2:$D$1278,2,0)</f>
        <v>办公用品</v>
      </c>
    </row>
    <row r="4726" spans="1:20">
      <c r="A4726" s="8">
        <f>DATE(2012,12,31)-37</f>
        <v>41237</v>
      </c>
      <c r="B4726" s="8">
        <f>DATE(2012,12,31)-37</f>
        <v>41237</v>
      </c>
      <c r="C4726" s="9" t="s">
        <v>1773</v>
      </c>
      <c r="D4726">
        <v>10021585643</v>
      </c>
      <c r="E4726" t="s">
        <v>47</v>
      </c>
      <c r="F4726" t="s">
        <v>91</v>
      </c>
      <c r="G4726" t="s">
        <v>92</v>
      </c>
      <c r="H4726" t="s">
        <v>2053</v>
      </c>
      <c r="I4726" t="s">
        <v>2054</v>
      </c>
      <c r="J4726" t="s">
        <v>52</v>
      </c>
      <c r="K4726" s="3">
        <v>100928552251</v>
      </c>
      <c r="L4726" s="10">
        <v>41239</v>
      </c>
      <c r="M4726">
        <v>192.21</v>
      </c>
      <c r="N4726" s="11">
        <v>35</v>
      </c>
      <c r="O4726" s="12">
        <v>5.47</v>
      </c>
      <c r="P4726" s="12">
        <v>5.26</v>
      </c>
      <c r="Q4726" s="13">
        <v>-61.36</v>
      </c>
      <c r="R4726" s="36" t="s">
        <v>707</v>
      </c>
      <c r="S4726" s="7">
        <f t="shared" si="395"/>
        <v>2</v>
      </c>
      <c r="T4726" s="15" t="str">
        <f>VLOOKUP(R4726,产品分类!$C$2:$D$1278,2,0)</f>
        <v>家具产品</v>
      </c>
    </row>
    <row r="4727" spans="1:20">
      <c r="A4727" s="8">
        <f>DATE(2012,12,31)-586</f>
        <v>40688</v>
      </c>
      <c r="B4727" s="8">
        <f>DATE(2012,12,31)-586</f>
        <v>40688</v>
      </c>
      <c r="C4727" s="9" t="s">
        <v>849</v>
      </c>
      <c r="D4727">
        <v>10021444177</v>
      </c>
      <c r="E4727" t="s">
        <v>47</v>
      </c>
      <c r="F4727" t="s">
        <v>55</v>
      </c>
      <c r="G4727" t="s">
        <v>56</v>
      </c>
      <c r="H4727" t="s">
        <v>2331</v>
      </c>
      <c r="I4727" t="s">
        <v>2332</v>
      </c>
      <c r="J4727" t="s">
        <v>52</v>
      </c>
      <c r="K4727" s="3">
        <v>10015608678</v>
      </c>
      <c r="L4727" s="10">
        <v>40693</v>
      </c>
      <c r="M4727">
        <v>12457.63</v>
      </c>
      <c r="N4727" s="11">
        <v>45</v>
      </c>
      <c r="O4727" s="12">
        <v>284.98</v>
      </c>
      <c r="P4727" s="12">
        <v>69.55</v>
      </c>
      <c r="Q4727" s="13">
        <v>1063.46</v>
      </c>
      <c r="R4727" s="36" t="s">
        <v>1740</v>
      </c>
      <c r="S4727" s="7">
        <f t="shared" si="395"/>
        <v>5</v>
      </c>
      <c r="T4727" s="15" t="str">
        <f>VLOOKUP(R4727,产品分类!$C$2:$D$1278,2,0)</f>
        <v>办公用品</v>
      </c>
    </row>
    <row r="4728" spans="1:20">
      <c r="A4728" s="8">
        <f>DATE(2012,12,31)-168</f>
        <v>41106</v>
      </c>
      <c r="B4728" s="8">
        <f>DATE(2012,12,31)-168</f>
        <v>41106</v>
      </c>
      <c r="C4728" s="9" t="s">
        <v>748</v>
      </c>
      <c r="D4728">
        <v>10021448693</v>
      </c>
      <c r="E4728" t="s">
        <v>47</v>
      </c>
      <c r="F4728" t="s">
        <v>122</v>
      </c>
      <c r="G4728" t="s">
        <v>123</v>
      </c>
      <c r="H4728" t="s">
        <v>2159</v>
      </c>
      <c r="I4728" t="s">
        <v>2160</v>
      </c>
      <c r="J4728" t="s">
        <v>52</v>
      </c>
      <c r="K4728" s="3">
        <v>100124071547</v>
      </c>
      <c r="L4728" s="10">
        <v>41108</v>
      </c>
      <c r="M4728">
        <v>3801.27</v>
      </c>
      <c r="N4728" s="11">
        <v>17</v>
      </c>
      <c r="O4728" s="12">
        <v>209.37</v>
      </c>
      <c r="P4728" s="12">
        <v>69</v>
      </c>
      <c r="Q4728" s="13">
        <v>-861.3033</v>
      </c>
      <c r="R4728" s="36" t="s">
        <v>1184</v>
      </c>
      <c r="S4728" s="7">
        <f t="shared" si="395"/>
        <v>2</v>
      </c>
      <c r="T4728" s="15" t="str">
        <f>VLOOKUP(R4728,产品分类!$C$2:$D$1278,2,0)</f>
        <v>数码电子</v>
      </c>
    </row>
    <row r="4729" spans="1:20">
      <c r="A4729" s="8">
        <f>DATE(2012,12,31)-248</f>
        <v>41026</v>
      </c>
      <c r="B4729" s="8">
        <f>DATE(2012,12,31)-248</f>
        <v>41026</v>
      </c>
      <c r="C4729" s="9" t="s">
        <v>859</v>
      </c>
      <c r="D4729">
        <v>10021447291</v>
      </c>
      <c r="E4729" t="s">
        <v>47</v>
      </c>
      <c r="F4729" t="s">
        <v>122</v>
      </c>
      <c r="G4729" t="s">
        <v>123</v>
      </c>
      <c r="H4729" t="s">
        <v>2159</v>
      </c>
      <c r="I4729" t="s">
        <v>2160</v>
      </c>
      <c r="J4729" t="s">
        <v>52</v>
      </c>
      <c r="K4729" s="3">
        <v>100123332908</v>
      </c>
      <c r="L4729" s="10">
        <v>41028</v>
      </c>
      <c r="M4729">
        <v>207.54</v>
      </c>
      <c r="N4729" s="11">
        <v>50</v>
      </c>
      <c r="O4729" s="12">
        <v>4.13</v>
      </c>
      <c r="P4729" s="12">
        <v>1.23</v>
      </c>
      <c r="Q4729" s="13">
        <v>24.21</v>
      </c>
      <c r="R4729" s="36" t="s">
        <v>2382</v>
      </c>
      <c r="S4729" s="7">
        <f t="shared" si="395"/>
        <v>2</v>
      </c>
      <c r="T4729" s="15" t="str">
        <f>VLOOKUP(R4729,产品分类!$C$2:$D$1278,2,0)</f>
        <v>办公用品</v>
      </c>
    </row>
    <row r="4730" spans="1:20">
      <c r="A4730" s="8">
        <f>DATE(2012,12,31)-248</f>
        <v>41026</v>
      </c>
      <c r="B4730" s="8">
        <f>DATE(2012,12,31)-248</f>
        <v>41026</v>
      </c>
      <c r="C4730" s="9" t="s">
        <v>859</v>
      </c>
      <c r="D4730">
        <v>10021349364</v>
      </c>
      <c r="E4730" t="s">
        <v>47</v>
      </c>
      <c r="F4730" t="s">
        <v>91</v>
      </c>
      <c r="G4730" t="s">
        <v>92</v>
      </c>
      <c r="H4730" t="s">
        <v>2053</v>
      </c>
      <c r="I4730" t="s">
        <v>2054</v>
      </c>
      <c r="J4730" t="s">
        <v>52</v>
      </c>
      <c r="K4730" s="3">
        <v>100431857114</v>
      </c>
      <c r="L4730" s="10">
        <v>41027</v>
      </c>
      <c r="M4730">
        <v>17.33</v>
      </c>
      <c r="N4730" s="11">
        <v>4</v>
      </c>
      <c r="O4730" s="12">
        <v>3.28</v>
      </c>
      <c r="P4730" s="12">
        <v>5</v>
      </c>
      <c r="Q4730" s="13">
        <v>-16.58</v>
      </c>
      <c r="R4730" s="36" t="s">
        <v>906</v>
      </c>
      <c r="S4730" s="7">
        <f t="shared" si="395"/>
        <v>1</v>
      </c>
      <c r="T4730" s="15" t="str">
        <f>VLOOKUP(R4730,产品分类!$C$2:$D$1278,2,0)</f>
        <v>数码电子</v>
      </c>
    </row>
    <row r="4731" spans="1:20">
      <c r="A4731" s="8">
        <f>DATE(2012,12,31)-1334</f>
        <v>39940</v>
      </c>
      <c r="B4731" s="8">
        <f>DATE(2012,12,31)-1334</f>
        <v>39940</v>
      </c>
      <c r="C4731" s="9" t="s">
        <v>811</v>
      </c>
      <c r="D4731">
        <v>10021611552</v>
      </c>
      <c r="E4731" t="s">
        <v>47</v>
      </c>
      <c r="F4731" t="s">
        <v>122</v>
      </c>
      <c r="G4731" t="s">
        <v>123</v>
      </c>
      <c r="H4731" t="s">
        <v>2159</v>
      </c>
      <c r="I4731" t="s">
        <v>2160</v>
      </c>
      <c r="J4731" t="s">
        <v>52</v>
      </c>
      <c r="K4731" s="3">
        <v>100930352701</v>
      </c>
      <c r="L4731" s="10">
        <v>39942</v>
      </c>
      <c r="M4731">
        <v>57.73</v>
      </c>
      <c r="N4731" s="11">
        <v>2</v>
      </c>
      <c r="O4731" s="12">
        <v>27.48</v>
      </c>
      <c r="P4731" s="12">
        <v>4</v>
      </c>
      <c r="Q4731" s="13">
        <v>-101.41</v>
      </c>
      <c r="R4731" s="36" t="s">
        <v>1392</v>
      </c>
      <c r="S4731" s="7">
        <f t="shared" si="395"/>
        <v>2</v>
      </c>
      <c r="T4731" s="15" t="str">
        <f>VLOOKUP(R4731,产品分类!$C$2:$D$1278,2,0)</f>
        <v>办公用品</v>
      </c>
    </row>
    <row r="4732" spans="1:20">
      <c r="A4732" s="8">
        <f t="shared" ref="A4732:B4734" si="400">DATE(2012,12,31)-1254</f>
        <v>40020</v>
      </c>
      <c r="B4732" s="8">
        <f t="shared" si="400"/>
        <v>40020</v>
      </c>
      <c r="C4732" s="9" t="s">
        <v>1730</v>
      </c>
      <c r="D4732">
        <v>10021337863</v>
      </c>
      <c r="E4732" t="s">
        <v>47</v>
      </c>
      <c r="F4732" t="s">
        <v>91</v>
      </c>
      <c r="G4732" t="s">
        <v>92</v>
      </c>
      <c r="H4732" t="s">
        <v>2053</v>
      </c>
      <c r="I4732" t="s">
        <v>2054</v>
      </c>
      <c r="J4732" t="s">
        <v>52</v>
      </c>
      <c r="K4732" s="3">
        <v>100923138941</v>
      </c>
      <c r="L4732" s="10">
        <v>40027</v>
      </c>
      <c r="M4732">
        <v>290.07</v>
      </c>
      <c r="N4732" s="11">
        <v>18</v>
      </c>
      <c r="O4732" s="12">
        <v>16.74</v>
      </c>
      <c r="P4732" s="12">
        <v>7.04</v>
      </c>
      <c r="Q4732" s="13">
        <v>-114.2</v>
      </c>
      <c r="R4732" s="36" t="s">
        <v>1687</v>
      </c>
      <c r="S4732" s="7">
        <f t="shared" si="395"/>
        <v>7</v>
      </c>
      <c r="T4732" s="15" t="str">
        <f>VLOOKUP(R4732,产品分类!$C$2:$D$1278,2,0)</f>
        <v>办公用品</v>
      </c>
    </row>
    <row r="4733" spans="1:20">
      <c r="A4733" s="8">
        <f t="shared" si="400"/>
        <v>40020</v>
      </c>
      <c r="B4733" s="8">
        <f t="shared" si="400"/>
        <v>40020</v>
      </c>
      <c r="C4733" s="9" t="s">
        <v>1730</v>
      </c>
      <c r="D4733">
        <v>10021526483</v>
      </c>
      <c r="E4733" t="s">
        <v>47</v>
      </c>
      <c r="F4733" t="s">
        <v>122</v>
      </c>
      <c r="G4733" t="s">
        <v>123</v>
      </c>
      <c r="H4733" t="s">
        <v>2159</v>
      </c>
      <c r="I4733" t="s">
        <v>2160</v>
      </c>
      <c r="J4733" t="s">
        <v>52</v>
      </c>
      <c r="K4733" s="3">
        <v>100124700386</v>
      </c>
      <c r="L4733" s="10">
        <v>40024</v>
      </c>
      <c r="M4733">
        <v>1619.51</v>
      </c>
      <c r="N4733" s="11">
        <v>13</v>
      </c>
      <c r="O4733" s="12">
        <v>122.99</v>
      </c>
      <c r="P4733" s="12">
        <v>70.2</v>
      </c>
      <c r="Q4733" s="13">
        <v>-722.23</v>
      </c>
      <c r="R4733" s="36" t="s">
        <v>860</v>
      </c>
      <c r="S4733" s="7">
        <f t="shared" si="395"/>
        <v>4</v>
      </c>
      <c r="T4733" s="15" t="str">
        <f>VLOOKUP(R4733,产品分类!$C$2:$D$1278,2,0)</f>
        <v>办公用品</v>
      </c>
    </row>
    <row r="4734" spans="1:20">
      <c r="A4734" s="8">
        <f t="shared" si="400"/>
        <v>40020</v>
      </c>
      <c r="B4734" s="8">
        <f t="shared" si="400"/>
        <v>40020</v>
      </c>
      <c r="C4734" s="9" t="s">
        <v>1730</v>
      </c>
      <c r="D4734">
        <v>10021451262</v>
      </c>
      <c r="E4734" t="s">
        <v>47</v>
      </c>
      <c r="F4734" t="s">
        <v>122</v>
      </c>
      <c r="G4734" t="s">
        <v>123</v>
      </c>
      <c r="H4734" t="s">
        <v>2159</v>
      </c>
      <c r="I4734" t="s">
        <v>2160</v>
      </c>
      <c r="J4734" t="s">
        <v>52</v>
      </c>
      <c r="K4734" s="3">
        <v>100430111464</v>
      </c>
      <c r="L4734" s="10">
        <v>40025</v>
      </c>
      <c r="M4734">
        <v>196.81</v>
      </c>
      <c r="N4734" s="11">
        <v>31</v>
      </c>
      <c r="O4734" s="12">
        <v>6.45</v>
      </c>
      <c r="P4734" s="12">
        <v>1.34</v>
      </c>
      <c r="Q4734" s="13">
        <v>70.39</v>
      </c>
      <c r="R4734" s="36" t="s">
        <v>1991</v>
      </c>
      <c r="S4734" s="7">
        <f t="shared" si="395"/>
        <v>5</v>
      </c>
      <c r="T4734" s="15" t="str">
        <f>VLOOKUP(R4734,产品分类!$C$2:$D$1278,2,0)</f>
        <v>办公用品</v>
      </c>
    </row>
    <row r="4735" spans="1:20">
      <c r="A4735" s="8">
        <f>DATE(2012,12,31)-634</f>
        <v>40640</v>
      </c>
      <c r="B4735" s="8">
        <f>DATE(2012,12,31)-634</f>
        <v>40640</v>
      </c>
      <c r="C4735" s="9" t="s">
        <v>1258</v>
      </c>
      <c r="D4735">
        <v>10021589296</v>
      </c>
      <c r="E4735" t="s">
        <v>47</v>
      </c>
      <c r="F4735" t="s">
        <v>127</v>
      </c>
      <c r="G4735" t="s">
        <v>128</v>
      </c>
      <c r="H4735" t="s">
        <v>2189</v>
      </c>
      <c r="I4735" t="s">
        <v>2190</v>
      </c>
      <c r="J4735" t="s">
        <v>52</v>
      </c>
      <c r="K4735" s="3">
        <v>100430876844</v>
      </c>
      <c r="L4735" s="10">
        <v>40644</v>
      </c>
      <c r="M4735">
        <v>260.13</v>
      </c>
      <c r="N4735" s="11">
        <v>36</v>
      </c>
      <c r="O4735" s="12">
        <v>6.48</v>
      </c>
      <c r="P4735" s="12">
        <v>8.19</v>
      </c>
      <c r="Q4735" s="13">
        <v>-133.98</v>
      </c>
      <c r="R4735" s="36" t="s">
        <v>120</v>
      </c>
      <c r="S4735" s="7">
        <f t="shared" si="395"/>
        <v>4</v>
      </c>
      <c r="T4735" s="15" t="str">
        <f>VLOOKUP(R4735,产品分类!$C$2:$D$1278,2,0)</f>
        <v>家具产品</v>
      </c>
    </row>
    <row r="4736" spans="1:20">
      <c r="A4736" s="8">
        <f>DATE(2012,12,31)-1187</f>
        <v>40087</v>
      </c>
      <c r="B4736" s="8">
        <f>DATE(2012,12,31)-1187</f>
        <v>40087</v>
      </c>
      <c r="C4736" s="9" t="s">
        <v>1092</v>
      </c>
      <c r="D4736">
        <v>10021646257</v>
      </c>
      <c r="E4736" t="s">
        <v>47</v>
      </c>
      <c r="F4736" t="s">
        <v>171</v>
      </c>
      <c r="G4736" t="s">
        <v>172</v>
      </c>
      <c r="H4736" t="s">
        <v>2352</v>
      </c>
      <c r="I4736" t="s">
        <v>2353</v>
      </c>
      <c r="J4736" t="s">
        <v>52</v>
      </c>
      <c r="K4736" s="3">
        <v>100416961124</v>
      </c>
      <c r="L4736" s="10">
        <v>40089</v>
      </c>
      <c r="M4736">
        <v>2333.06</v>
      </c>
      <c r="N4736" s="11">
        <v>35</v>
      </c>
      <c r="O4736" s="12">
        <v>67.28</v>
      </c>
      <c r="P4736" s="12">
        <v>19.99</v>
      </c>
      <c r="Q4736" s="13">
        <v>473.3905</v>
      </c>
      <c r="R4736" s="36" t="s">
        <v>862</v>
      </c>
      <c r="S4736" s="7">
        <f t="shared" si="395"/>
        <v>2</v>
      </c>
      <c r="T4736" s="15" t="str">
        <f>VLOOKUP(R4736,产品分类!$C$2:$D$1278,2,0)</f>
        <v>办公用品</v>
      </c>
    </row>
    <row r="4737" spans="1:20">
      <c r="A4737" s="8">
        <f>DATE(2012,12,31)-120</f>
        <v>41154</v>
      </c>
      <c r="B4737" s="8">
        <f>DATE(2012,12,31)-120</f>
        <v>41154</v>
      </c>
      <c r="C4737" s="9" t="s">
        <v>681</v>
      </c>
      <c r="D4737">
        <v>10021264065</v>
      </c>
      <c r="E4737" t="s">
        <v>47</v>
      </c>
      <c r="F4737" t="s">
        <v>97</v>
      </c>
      <c r="G4737" t="s">
        <v>98</v>
      </c>
      <c r="H4737" t="s">
        <v>99</v>
      </c>
      <c r="I4737" t="s">
        <v>98</v>
      </c>
      <c r="J4737" t="s">
        <v>52</v>
      </c>
      <c r="K4737" s="3">
        <v>100830882342</v>
      </c>
      <c r="L4737" s="10">
        <v>41155</v>
      </c>
      <c r="M4737">
        <v>56.26</v>
      </c>
      <c r="N4737" s="11">
        <v>14</v>
      </c>
      <c r="O4737" s="12">
        <v>2.89</v>
      </c>
      <c r="P4737" s="12">
        <v>0.5</v>
      </c>
      <c r="Q4737" s="13">
        <v>28.11</v>
      </c>
      <c r="R4737" s="36" t="s">
        <v>118</v>
      </c>
      <c r="S4737" s="7">
        <f t="shared" si="395"/>
        <v>1</v>
      </c>
      <c r="T4737" s="15" t="str">
        <f>VLOOKUP(R4737,产品分类!$C$2:$D$1278,2,0)</f>
        <v>办公用品</v>
      </c>
    </row>
    <row r="4738" spans="1:20">
      <c r="A4738" s="8">
        <f t="shared" ref="A4738:B4740" si="401">DATE(2012,12,31)-1059</f>
        <v>40215</v>
      </c>
      <c r="B4738" s="8">
        <f t="shared" si="401"/>
        <v>40215</v>
      </c>
      <c r="C4738" s="9" t="s">
        <v>510</v>
      </c>
      <c r="D4738">
        <v>10021588956</v>
      </c>
      <c r="E4738" t="s">
        <v>47</v>
      </c>
      <c r="F4738" t="s">
        <v>132</v>
      </c>
      <c r="G4738" t="s">
        <v>133</v>
      </c>
      <c r="H4738" t="s">
        <v>134</v>
      </c>
      <c r="I4738" t="s">
        <v>133</v>
      </c>
      <c r="J4738" t="s">
        <v>52</v>
      </c>
      <c r="K4738" s="3">
        <v>100430836343</v>
      </c>
      <c r="L4738" s="10">
        <v>40216</v>
      </c>
      <c r="M4738">
        <v>242.36</v>
      </c>
      <c r="N4738" s="11">
        <v>4</v>
      </c>
      <c r="O4738" s="12">
        <v>60.98</v>
      </c>
      <c r="P4738" s="12">
        <v>1.99</v>
      </c>
      <c r="Q4738" s="13">
        <v>-131.48</v>
      </c>
      <c r="R4738" s="36" t="s">
        <v>1994</v>
      </c>
      <c r="S4738" s="7">
        <f t="shared" si="395"/>
        <v>1</v>
      </c>
      <c r="T4738" s="15" t="str">
        <f>VLOOKUP(R4738,产品分类!$C$2:$D$1278,2,0)</f>
        <v>办公用品</v>
      </c>
    </row>
    <row r="4739" spans="1:20">
      <c r="A4739" s="8">
        <f t="shared" si="401"/>
        <v>40215</v>
      </c>
      <c r="B4739" s="8">
        <f t="shared" si="401"/>
        <v>40215</v>
      </c>
      <c r="C4739" s="9" t="s">
        <v>510</v>
      </c>
      <c r="D4739">
        <v>10021344045</v>
      </c>
      <c r="E4739" t="s">
        <v>47</v>
      </c>
      <c r="F4739" t="s">
        <v>132</v>
      </c>
      <c r="G4739" t="s">
        <v>133</v>
      </c>
      <c r="H4739" t="s">
        <v>134</v>
      </c>
      <c r="I4739" t="s">
        <v>133</v>
      </c>
      <c r="J4739" t="s">
        <v>52</v>
      </c>
      <c r="K4739" s="3">
        <v>100318423499</v>
      </c>
      <c r="L4739" s="10">
        <v>40216</v>
      </c>
      <c r="M4739">
        <v>802.19</v>
      </c>
      <c r="N4739" s="11">
        <v>25</v>
      </c>
      <c r="O4739" s="12">
        <v>29.74</v>
      </c>
      <c r="P4739" s="12">
        <v>6.64</v>
      </c>
      <c r="Q4739" s="13">
        <v>56.26</v>
      </c>
      <c r="R4739" s="36" t="s">
        <v>1447</v>
      </c>
      <c r="S4739" s="7">
        <f t="shared" ref="S4739:S4802" si="402">+L4739-B4739</f>
        <v>1</v>
      </c>
      <c r="T4739" s="15" t="str">
        <f>VLOOKUP(R4739,产品分类!$C$2:$D$1278,2,0)</f>
        <v>数码电子</v>
      </c>
    </row>
    <row r="4740" spans="1:20">
      <c r="A4740" s="8">
        <f t="shared" si="401"/>
        <v>40215</v>
      </c>
      <c r="B4740" s="8">
        <f t="shared" si="401"/>
        <v>40215</v>
      </c>
      <c r="C4740" s="9" t="s">
        <v>510</v>
      </c>
      <c r="D4740">
        <v>10021295742</v>
      </c>
      <c r="E4740" t="s">
        <v>47</v>
      </c>
      <c r="F4740" t="s">
        <v>97</v>
      </c>
      <c r="G4740" t="s">
        <v>98</v>
      </c>
      <c r="H4740" t="s">
        <v>99</v>
      </c>
      <c r="I4740" t="s">
        <v>98</v>
      </c>
      <c r="J4740" t="s">
        <v>52</v>
      </c>
      <c r="K4740" s="3">
        <v>100117840406</v>
      </c>
      <c r="L4740" s="10">
        <v>40217</v>
      </c>
      <c r="M4740">
        <v>63.52</v>
      </c>
      <c r="N4740" s="11">
        <v>4</v>
      </c>
      <c r="O4740" s="12">
        <v>12.21</v>
      </c>
      <c r="P4740" s="12">
        <v>4.81</v>
      </c>
      <c r="Q4740" s="13">
        <v>-8.47</v>
      </c>
      <c r="R4740" s="36" t="s">
        <v>1767</v>
      </c>
      <c r="S4740" s="7">
        <f t="shared" si="402"/>
        <v>2</v>
      </c>
      <c r="T4740" s="15" t="str">
        <f>VLOOKUP(R4740,产品分类!$C$2:$D$1278,2,0)</f>
        <v>数码电子</v>
      </c>
    </row>
    <row r="4741" spans="1:20">
      <c r="A4741" s="8">
        <f>DATE(2012,12,31)-103</f>
        <v>41171</v>
      </c>
      <c r="B4741" s="8">
        <f>DATE(2012,12,31)-103</f>
        <v>41171</v>
      </c>
      <c r="C4741" s="9" t="s">
        <v>1741</v>
      </c>
      <c r="D4741">
        <v>10021421268</v>
      </c>
      <c r="E4741" t="s">
        <v>47</v>
      </c>
      <c r="F4741" t="s">
        <v>304</v>
      </c>
      <c r="G4741" t="s">
        <v>305</v>
      </c>
      <c r="H4741" t="s">
        <v>2015</v>
      </c>
      <c r="I4741" t="s">
        <v>2016</v>
      </c>
      <c r="J4741" t="s">
        <v>52</v>
      </c>
      <c r="K4741" s="3">
        <v>100725735035</v>
      </c>
      <c r="L4741" s="10">
        <v>41172</v>
      </c>
      <c r="M4741">
        <v>6995.56</v>
      </c>
      <c r="N4741" s="11">
        <v>26</v>
      </c>
      <c r="O4741" s="12">
        <v>279.48</v>
      </c>
      <c r="P4741" s="12">
        <v>35</v>
      </c>
      <c r="Q4741" s="13">
        <v>-286.58</v>
      </c>
      <c r="R4741" s="36" t="s">
        <v>950</v>
      </c>
      <c r="S4741" s="7">
        <f t="shared" si="402"/>
        <v>1</v>
      </c>
      <c r="T4741" s="15" t="str">
        <f>VLOOKUP(R4741,产品分类!$C$2:$D$1278,2,0)</f>
        <v>数码电子</v>
      </c>
    </row>
    <row r="4742" spans="1:20">
      <c r="A4742" s="8">
        <f t="shared" ref="A4742:B4744" si="403">DATE(2012,12,31)-84</f>
        <v>41190</v>
      </c>
      <c r="B4742" s="8">
        <f t="shared" si="403"/>
        <v>41190</v>
      </c>
      <c r="C4742" s="9" t="s">
        <v>101</v>
      </c>
      <c r="D4742">
        <v>10021423539</v>
      </c>
      <c r="E4742" t="s">
        <v>47</v>
      </c>
      <c r="F4742" t="s">
        <v>304</v>
      </c>
      <c r="G4742" t="s">
        <v>305</v>
      </c>
      <c r="H4742" t="s">
        <v>2015</v>
      </c>
      <c r="I4742" t="s">
        <v>2016</v>
      </c>
      <c r="J4742" t="s">
        <v>52</v>
      </c>
      <c r="K4742" s="3">
        <v>100319560559</v>
      </c>
      <c r="L4742" s="10">
        <v>41191</v>
      </c>
      <c r="M4742">
        <v>8213.37</v>
      </c>
      <c r="N4742" s="11">
        <v>27</v>
      </c>
      <c r="O4742" s="12">
        <v>284.98</v>
      </c>
      <c r="P4742" s="12">
        <v>69.55</v>
      </c>
      <c r="Q4742" s="13">
        <v>1148.88</v>
      </c>
      <c r="R4742" s="36" t="s">
        <v>1740</v>
      </c>
      <c r="S4742" s="7">
        <f t="shared" si="402"/>
        <v>1</v>
      </c>
      <c r="T4742" s="15" t="str">
        <f>VLOOKUP(R4742,产品分类!$C$2:$D$1278,2,0)</f>
        <v>办公用品</v>
      </c>
    </row>
    <row r="4743" spans="1:20">
      <c r="A4743" s="8">
        <f t="shared" si="403"/>
        <v>41190</v>
      </c>
      <c r="B4743" s="8">
        <f t="shared" si="403"/>
        <v>41190</v>
      </c>
      <c r="C4743" s="9" t="s">
        <v>101</v>
      </c>
      <c r="D4743">
        <v>10021587009</v>
      </c>
      <c r="E4743" t="s">
        <v>47</v>
      </c>
      <c r="F4743" t="s">
        <v>137</v>
      </c>
      <c r="G4743" t="s">
        <v>138</v>
      </c>
      <c r="H4743" t="s">
        <v>139</v>
      </c>
      <c r="I4743" t="s">
        <v>601</v>
      </c>
      <c r="J4743" t="s">
        <v>52</v>
      </c>
      <c r="K4743" s="3">
        <v>100129710867</v>
      </c>
      <c r="L4743" s="10">
        <v>41190</v>
      </c>
      <c r="M4743">
        <v>109.01</v>
      </c>
      <c r="N4743" s="11">
        <v>32</v>
      </c>
      <c r="O4743" s="12">
        <v>3.58</v>
      </c>
      <c r="P4743" s="12">
        <v>1.63</v>
      </c>
      <c r="Q4743" s="13">
        <v>8.45</v>
      </c>
      <c r="R4743" s="36" t="s">
        <v>401</v>
      </c>
      <c r="S4743" s="7">
        <f t="shared" si="402"/>
        <v>0</v>
      </c>
      <c r="T4743" s="15" t="str">
        <f>VLOOKUP(R4743,产品分类!$C$2:$D$1278,2,0)</f>
        <v>办公用品</v>
      </c>
    </row>
    <row r="4744" spans="1:20">
      <c r="A4744" s="8">
        <f t="shared" si="403"/>
        <v>41190</v>
      </c>
      <c r="B4744" s="8">
        <f t="shared" si="403"/>
        <v>41190</v>
      </c>
      <c r="C4744" s="9" t="s">
        <v>101</v>
      </c>
      <c r="D4744">
        <v>10021625478</v>
      </c>
      <c r="E4744" t="s">
        <v>47</v>
      </c>
      <c r="F4744" t="s">
        <v>102</v>
      </c>
      <c r="G4744" t="s">
        <v>103</v>
      </c>
      <c r="H4744" t="s">
        <v>2326</v>
      </c>
      <c r="I4744" t="s">
        <v>2327</v>
      </c>
      <c r="J4744" t="s">
        <v>52</v>
      </c>
      <c r="K4744" s="3">
        <v>100726934385</v>
      </c>
      <c r="L4744" s="10">
        <v>41192</v>
      </c>
      <c r="M4744">
        <v>138.88</v>
      </c>
      <c r="N4744" s="11">
        <v>12</v>
      </c>
      <c r="O4744" s="12">
        <v>11.29</v>
      </c>
      <c r="P4744" s="12">
        <v>5.03</v>
      </c>
      <c r="Q4744" s="13">
        <v>-23.99</v>
      </c>
      <c r="R4744" s="36" t="s">
        <v>1138</v>
      </c>
      <c r="S4744" s="7">
        <f t="shared" si="402"/>
        <v>2</v>
      </c>
      <c r="T4744" s="15" t="str">
        <f>VLOOKUP(R4744,产品分类!$C$2:$D$1278,2,0)</f>
        <v>办公用品</v>
      </c>
    </row>
    <row r="4745" spans="1:20">
      <c r="A4745" s="8">
        <f>DATE(2012,12,31)-1221</f>
        <v>40053</v>
      </c>
      <c r="B4745" s="8">
        <f>DATE(2012,12,31)-1221</f>
        <v>40053</v>
      </c>
      <c r="C4745" s="9" t="s">
        <v>2257</v>
      </c>
      <c r="D4745">
        <v>10021523813</v>
      </c>
      <c r="E4745" t="s">
        <v>47</v>
      </c>
      <c r="F4745" t="s">
        <v>304</v>
      </c>
      <c r="G4745" t="s">
        <v>305</v>
      </c>
      <c r="H4745" t="s">
        <v>2383</v>
      </c>
      <c r="I4745" t="s">
        <v>2384</v>
      </c>
      <c r="J4745" t="s">
        <v>52</v>
      </c>
      <c r="K4745" s="3">
        <v>100413345923</v>
      </c>
      <c r="L4745" s="10">
        <v>40054</v>
      </c>
      <c r="M4745">
        <v>332.95</v>
      </c>
      <c r="N4745" s="11">
        <v>33</v>
      </c>
      <c r="O4745" s="12">
        <v>9.65</v>
      </c>
      <c r="P4745" s="12">
        <v>6.22</v>
      </c>
      <c r="Q4745" s="13">
        <v>-28.16</v>
      </c>
      <c r="R4745" s="36" t="s">
        <v>524</v>
      </c>
      <c r="S4745" s="7">
        <f t="shared" si="402"/>
        <v>1</v>
      </c>
      <c r="T4745" s="15" t="str">
        <f>VLOOKUP(R4745,产品分类!$C$2:$D$1278,2,0)</f>
        <v>数码电子</v>
      </c>
    </row>
    <row r="4746" spans="1:20">
      <c r="A4746" s="8">
        <f>DATE(2012,12,31)-441</f>
        <v>40833</v>
      </c>
      <c r="B4746" s="8">
        <f>DATE(2012,12,31)-441</f>
        <v>40833</v>
      </c>
      <c r="C4746" s="9" t="s">
        <v>1618</v>
      </c>
      <c r="D4746">
        <v>10021584960</v>
      </c>
      <c r="E4746" t="s">
        <v>47</v>
      </c>
      <c r="F4746" t="s">
        <v>208</v>
      </c>
      <c r="G4746" t="s">
        <v>209</v>
      </c>
      <c r="H4746" t="s">
        <v>2300</v>
      </c>
      <c r="I4746" t="s">
        <v>2301</v>
      </c>
      <c r="J4746" t="s">
        <v>52</v>
      </c>
      <c r="K4746" s="3">
        <v>100827967892</v>
      </c>
      <c r="L4746" s="10">
        <v>40834</v>
      </c>
      <c r="M4746">
        <v>371.94</v>
      </c>
      <c r="N4746" s="11">
        <v>13</v>
      </c>
      <c r="O4746" s="12">
        <v>29.14</v>
      </c>
      <c r="P4746" s="12">
        <v>4.86</v>
      </c>
      <c r="Q4746" s="13">
        <v>106.53</v>
      </c>
      <c r="R4746" s="36" t="s">
        <v>2147</v>
      </c>
      <c r="S4746" s="7">
        <f t="shared" si="402"/>
        <v>1</v>
      </c>
      <c r="T4746" s="15" t="str">
        <f>VLOOKUP(R4746,产品分类!$C$2:$D$1278,2,0)</f>
        <v>办公用品</v>
      </c>
    </row>
    <row r="4747" spans="1:20">
      <c r="A4747" s="16">
        <f>DATE(2012,12,31)-149</f>
        <v>41125</v>
      </c>
      <c r="B4747" s="16">
        <f>DATE(2012,12,31)-149</f>
        <v>41125</v>
      </c>
      <c r="C4747" s="9" t="s">
        <v>1804</v>
      </c>
      <c r="D4747">
        <v>10021312630</v>
      </c>
      <c r="E4747" t="s">
        <v>47</v>
      </c>
      <c r="F4747" t="s">
        <v>208</v>
      </c>
      <c r="G4747" t="s">
        <v>209</v>
      </c>
      <c r="H4747" t="s">
        <v>2300</v>
      </c>
      <c r="I4747" t="s">
        <v>2301</v>
      </c>
      <c r="J4747" t="s">
        <v>52</v>
      </c>
      <c r="K4747" s="3">
        <v>1001149538</v>
      </c>
      <c r="L4747" s="10">
        <v>41126</v>
      </c>
      <c r="M4747">
        <v>463.93</v>
      </c>
      <c r="N4747" s="17">
        <v>45</v>
      </c>
      <c r="O4747" s="5">
        <v>10.48</v>
      </c>
      <c r="P4747" s="5">
        <v>2.89</v>
      </c>
      <c r="Q4747" s="6">
        <v>29.96</v>
      </c>
      <c r="R4747" s="37" t="s">
        <v>1851</v>
      </c>
      <c r="S4747" s="7">
        <f t="shared" si="402"/>
        <v>1</v>
      </c>
      <c r="T4747" s="15" t="str">
        <f>VLOOKUP(R4747,产品分类!$C$2:$D$1278,2,0)</f>
        <v>办公用品</v>
      </c>
    </row>
    <row r="4748" spans="1:20">
      <c r="A4748" s="8">
        <f>DATE(2012,12,31)-830</f>
        <v>40444</v>
      </c>
      <c r="B4748" s="8">
        <f>DATE(2012,12,31)-830</f>
        <v>40444</v>
      </c>
      <c r="C4748" s="9" t="s">
        <v>1581</v>
      </c>
      <c r="D4748">
        <v>10021522663</v>
      </c>
      <c r="E4748" t="s">
        <v>47</v>
      </c>
      <c r="F4748" t="s">
        <v>208</v>
      </c>
      <c r="G4748" t="s">
        <v>209</v>
      </c>
      <c r="H4748" t="s">
        <v>2300</v>
      </c>
      <c r="I4748" t="s">
        <v>2301</v>
      </c>
      <c r="J4748" t="s">
        <v>52</v>
      </c>
      <c r="K4748" s="3">
        <v>100110129098</v>
      </c>
      <c r="L4748" s="10">
        <v>40446</v>
      </c>
      <c r="M4748">
        <v>10791.38</v>
      </c>
      <c r="N4748" s="11">
        <v>23</v>
      </c>
      <c r="O4748" s="12">
        <v>499.99</v>
      </c>
      <c r="P4748" s="12">
        <v>24.49</v>
      </c>
      <c r="Q4748" s="13">
        <v>-234.79</v>
      </c>
      <c r="R4748" s="36" t="s">
        <v>1171</v>
      </c>
      <c r="S4748" s="7">
        <f t="shared" si="402"/>
        <v>2</v>
      </c>
      <c r="T4748" s="15" t="str">
        <f>VLOOKUP(R4748,产品分类!$C$2:$D$1278,2,0)</f>
        <v>办公用品</v>
      </c>
    </row>
    <row r="4749" spans="1:20">
      <c r="A4749" s="8">
        <f t="shared" ref="A4749:B4751" si="404">DATE(2012,12,31)-690</f>
        <v>40584</v>
      </c>
      <c r="B4749" s="8">
        <f t="shared" si="404"/>
        <v>40584</v>
      </c>
      <c r="C4749" s="9" t="s">
        <v>250</v>
      </c>
      <c r="D4749">
        <v>10021494174</v>
      </c>
      <c r="E4749" t="s">
        <v>47</v>
      </c>
      <c r="F4749" t="s">
        <v>527</v>
      </c>
      <c r="G4749" t="s">
        <v>528</v>
      </c>
      <c r="H4749" t="s">
        <v>2293</v>
      </c>
      <c r="I4749" t="s">
        <v>2294</v>
      </c>
      <c r="J4749" t="s">
        <v>52</v>
      </c>
      <c r="K4749" s="3">
        <v>1001856227</v>
      </c>
      <c r="L4749" s="10">
        <v>40585</v>
      </c>
      <c r="M4749">
        <v>226.15</v>
      </c>
      <c r="N4749" s="11">
        <v>31</v>
      </c>
      <c r="O4749" s="12">
        <v>7.08</v>
      </c>
      <c r="P4749" s="12">
        <v>2.35</v>
      </c>
      <c r="Q4749" s="13">
        <v>35.98</v>
      </c>
      <c r="R4749" s="36" t="s">
        <v>1940</v>
      </c>
      <c r="S4749" s="7">
        <f t="shared" si="402"/>
        <v>1</v>
      </c>
      <c r="T4749" s="15" t="str">
        <f>VLOOKUP(R4749,产品分类!$C$2:$D$1278,2,0)</f>
        <v>数码电子</v>
      </c>
    </row>
    <row r="4750" spans="1:20">
      <c r="A4750" s="8">
        <f t="shared" si="404"/>
        <v>40584</v>
      </c>
      <c r="B4750" s="8">
        <f t="shared" si="404"/>
        <v>40584</v>
      </c>
      <c r="C4750" s="9" t="s">
        <v>250</v>
      </c>
      <c r="D4750">
        <v>10021268590</v>
      </c>
      <c r="E4750" t="s">
        <v>47</v>
      </c>
      <c r="F4750" t="s">
        <v>171</v>
      </c>
      <c r="G4750" t="s">
        <v>172</v>
      </c>
      <c r="H4750" t="s">
        <v>2352</v>
      </c>
      <c r="I4750" t="s">
        <v>2353</v>
      </c>
      <c r="J4750" t="s">
        <v>52</v>
      </c>
      <c r="K4750" s="3">
        <v>100132403837</v>
      </c>
      <c r="L4750" s="10">
        <v>40586</v>
      </c>
      <c r="M4750">
        <v>539.82</v>
      </c>
      <c r="N4750" s="11">
        <v>4</v>
      </c>
      <c r="O4750" s="12">
        <v>120.33</v>
      </c>
      <c r="P4750" s="12">
        <v>19.99</v>
      </c>
      <c r="Q4750" s="13">
        <v>-64.78</v>
      </c>
      <c r="R4750" s="36" t="s">
        <v>663</v>
      </c>
      <c r="S4750" s="7">
        <f t="shared" si="402"/>
        <v>2</v>
      </c>
      <c r="T4750" s="15" t="str">
        <f>VLOOKUP(R4750,产品分类!$C$2:$D$1278,2,0)</f>
        <v>家具产品</v>
      </c>
    </row>
    <row r="4751" spans="1:20">
      <c r="A4751" s="8">
        <f t="shared" si="404"/>
        <v>40584</v>
      </c>
      <c r="B4751" s="8">
        <f t="shared" si="404"/>
        <v>40584</v>
      </c>
      <c r="C4751" s="9" t="s">
        <v>250</v>
      </c>
      <c r="D4751">
        <v>10021494233</v>
      </c>
      <c r="E4751" t="s">
        <v>47</v>
      </c>
      <c r="F4751" t="s">
        <v>527</v>
      </c>
      <c r="G4751" t="s">
        <v>528</v>
      </c>
      <c r="H4751" t="s">
        <v>2385</v>
      </c>
      <c r="I4751" t="s">
        <v>2386</v>
      </c>
      <c r="J4751" t="s">
        <v>52</v>
      </c>
      <c r="K4751" s="3">
        <v>10032269029</v>
      </c>
      <c r="L4751" s="10">
        <v>40585</v>
      </c>
      <c r="M4751">
        <v>1029.8855</v>
      </c>
      <c r="N4751" s="11">
        <v>6</v>
      </c>
      <c r="O4751" s="12">
        <v>205.99</v>
      </c>
      <c r="P4751" s="12">
        <v>8.99</v>
      </c>
      <c r="Q4751" s="13">
        <v>-620.829</v>
      </c>
      <c r="R4751" s="36" t="s">
        <v>1543</v>
      </c>
      <c r="S4751" s="7">
        <f t="shared" si="402"/>
        <v>1</v>
      </c>
      <c r="T4751" s="15" t="str">
        <f>VLOOKUP(R4751,产品分类!$C$2:$D$1278,2,0)</f>
        <v>家具产品</v>
      </c>
    </row>
    <row r="4752" spans="1:20">
      <c r="A4752" s="8">
        <f>DATE(2012,12,31)-187</f>
        <v>41087</v>
      </c>
      <c r="B4752" s="8">
        <f>DATE(2012,12,31)-187</f>
        <v>41087</v>
      </c>
      <c r="C4752" s="9" t="s">
        <v>1738</v>
      </c>
      <c r="D4752">
        <v>10021432407</v>
      </c>
      <c r="E4752" t="s">
        <v>47</v>
      </c>
      <c r="F4752" t="s">
        <v>171</v>
      </c>
      <c r="G4752" t="s">
        <v>172</v>
      </c>
      <c r="H4752" t="s">
        <v>2352</v>
      </c>
      <c r="I4752" t="s">
        <v>2353</v>
      </c>
      <c r="J4752" t="s">
        <v>52</v>
      </c>
      <c r="K4752" s="3">
        <v>100932356641</v>
      </c>
      <c r="L4752" s="10">
        <v>41088</v>
      </c>
      <c r="M4752">
        <v>267.58</v>
      </c>
      <c r="N4752" s="11">
        <v>17</v>
      </c>
      <c r="O4752" s="12">
        <v>15.16</v>
      </c>
      <c r="P4752" s="12">
        <v>15.09</v>
      </c>
      <c r="Q4752" s="13">
        <v>-137.747</v>
      </c>
      <c r="R4752" s="36" t="s">
        <v>2069</v>
      </c>
      <c r="S4752" s="7">
        <f t="shared" si="402"/>
        <v>1</v>
      </c>
      <c r="T4752" s="15" t="str">
        <f>VLOOKUP(R4752,产品分类!$C$2:$D$1278,2,0)</f>
        <v>办公用品</v>
      </c>
    </row>
    <row r="4753" spans="1:20">
      <c r="A4753" s="8">
        <f>DATE(2012,12,31)-678</f>
        <v>40596</v>
      </c>
      <c r="B4753" s="8">
        <f>DATE(2012,12,31)-678</f>
        <v>40596</v>
      </c>
      <c r="C4753" s="9" t="s">
        <v>1001</v>
      </c>
      <c r="D4753">
        <v>10021579345</v>
      </c>
      <c r="E4753" t="s">
        <v>47</v>
      </c>
      <c r="F4753" t="s">
        <v>171</v>
      </c>
      <c r="G4753" t="s">
        <v>172</v>
      </c>
      <c r="H4753" t="s">
        <v>2352</v>
      </c>
      <c r="I4753" t="s">
        <v>2353</v>
      </c>
      <c r="J4753" t="s">
        <v>52</v>
      </c>
      <c r="K4753" s="3">
        <v>100119582636</v>
      </c>
      <c r="L4753" s="10">
        <v>40598</v>
      </c>
      <c r="M4753">
        <v>92.77</v>
      </c>
      <c r="N4753" s="11">
        <v>18</v>
      </c>
      <c r="O4753" s="12">
        <v>4.91</v>
      </c>
      <c r="P4753" s="12">
        <v>3.05</v>
      </c>
      <c r="Q4753" s="13">
        <v>-17.91</v>
      </c>
      <c r="R4753" s="36" t="s">
        <v>2230</v>
      </c>
      <c r="S4753" s="7">
        <f t="shared" si="402"/>
        <v>2</v>
      </c>
      <c r="T4753" s="15" t="str">
        <f>VLOOKUP(R4753,产品分类!$C$2:$D$1278,2,0)</f>
        <v>办公用品</v>
      </c>
    </row>
    <row r="4754" spans="1:20">
      <c r="A4754" s="8">
        <f t="shared" ref="A4754:B4758" si="405">DATE(2012,12,31)-1450</f>
        <v>39824</v>
      </c>
      <c r="B4754" s="8">
        <f t="shared" si="405"/>
        <v>39824</v>
      </c>
      <c r="C4754" s="9" t="s">
        <v>811</v>
      </c>
      <c r="D4754">
        <v>10021498439</v>
      </c>
      <c r="E4754" t="s">
        <v>47</v>
      </c>
      <c r="F4754" t="s">
        <v>171</v>
      </c>
      <c r="G4754" t="s">
        <v>172</v>
      </c>
      <c r="H4754" t="s">
        <v>2352</v>
      </c>
      <c r="I4754" t="s">
        <v>2353</v>
      </c>
      <c r="J4754" t="s">
        <v>52</v>
      </c>
      <c r="K4754" s="3">
        <v>100122333476</v>
      </c>
      <c r="L4754" s="10">
        <v>39824</v>
      </c>
      <c r="M4754">
        <v>4531.34</v>
      </c>
      <c r="N4754" s="11">
        <v>20</v>
      </c>
      <c r="O4754" s="12">
        <v>297.64</v>
      </c>
      <c r="P4754" s="12">
        <v>14.7</v>
      </c>
      <c r="Q4754" s="13">
        <v>653.68</v>
      </c>
      <c r="R4754" s="36" t="s">
        <v>2064</v>
      </c>
      <c r="S4754" s="7">
        <f t="shared" si="402"/>
        <v>0</v>
      </c>
      <c r="T4754" s="15" t="str">
        <f>VLOOKUP(R4754,产品分类!$C$2:$D$1278,2,0)</f>
        <v>家具产品</v>
      </c>
    </row>
    <row r="4755" spans="1:20">
      <c r="A4755" s="8">
        <f t="shared" si="405"/>
        <v>39824</v>
      </c>
      <c r="B4755" s="8">
        <f t="shared" si="405"/>
        <v>39824</v>
      </c>
      <c r="C4755" s="9" t="s">
        <v>811</v>
      </c>
      <c r="D4755">
        <v>10021419731</v>
      </c>
      <c r="E4755" t="s">
        <v>47</v>
      </c>
      <c r="F4755" t="s">
        <v>177</v>
      </c>
      <c r="G4755" t="s">
        <v>178</v>
      </c>
      <c r="H4755" t="s">
        <v>2339</v>
      </c>
      <c r="I4755" t="s">
        <v>2340</v>
      </c>
      <c r="J4755" t="s">
        <v>52</v>
      </c>
      <c r="K4755" s="3">
        <v>100124029887</v>
      </c>
      <c r="L4755" s="10">
        <v>39825</v>
      </c>
      <c r="M4755">
        <v>574.5</v>
      </c>
      <c r="N4755" s="11">
        <v>44</v>
      </c>
      <c r="O4755" s="12">
        <v>12.99</v>
      </c>
      <c r="P4755" s="12">
        <v>14.37</v>
      </c>
      <c r="Q4755" s="13">
        <v>-449.04</v>
      </c>
      <c r="R4755" s="36" t="s">
        <v>1790</v>
      </c>
      <c r="S4755" s="7">
        <f t="shared" si="402"/>
        <v>1</v>
      </c>
      <c r="T4755" s="15" t="str">
        <f>VLOOKUP(R4755,产品分类!$C$2:$D$1278,2,0)</f>
        <v>办公用品</v>
      </c>
    </row>
    <row r="4756" spans="1:20">
      <c r="A4756" s="8">
        <f t="shared" si="405"/>
        <v>39824</v>
      </c>
      <c r="B4756" s="8">
        <f t="shared" si="405"/>
        <v>39824</v>
      </c>
      <c r="C4756" s="9" t="s">
        <v>811</v>
      </c>
      <c r="D4756">
        <v>10021266334</v>
      </c>
      <c r="E4756" t="s">
        <v>47</v>
      </c>
      <c r="F4756" t="s">
        <v>127</v>
      </c>
      <c r="G4756" t="s">
        <v>128</v>
      </c>
      <c r="H4756" t="s">
        <v>2189</v>
      </c>
      <c r="I4756" t="s">
        <v>2190</v>
      </c>
      <c r="J4756" t="s">
        <v>52</v>
      </c>
      <c r="K4756" s="3">
        <v>100931772641</v>
      </c>
      <c r="L4756" s="10">
        <v>39825</v>
      </c>
      <c r="M4756">
        <v>262.94</v>
      </c>
      <c r="N4756" s="11">
        <v>18</v>
      </c>
      <c r="O4756" s="12">
        <v>14.42</v>
      </c>
      <c r="P4756" s="12">
        <v>6.75</v>
      </c>
      <c r="Q4756" s="13">
        <v>-22.37</v>
      </c>
      <c r="R4756" s="36" t="s">
        <v>441</v>
      </c>
      <c r="S4756" s="7">
        <f t="shared" si="402"/>
        <v>1</v>
      </c>
      <c r="T4756" s="15" t="str">
        <f>VLOOKUP(R4756,产品分类!$C$2:$D$1278,2,0)</f>
        <v>办公用品</v>
      </c>
    </row>
    <row r="4757" spans="1:20">
      <c r="A4757" s="8">
        <f t="shared" si="405"/>
        <v>39824</v>
      </c>
      <c r="B4757" s="8">
        <f t="shared" si="405"/>
        <v>39824</v>
      </c>
      <c r="C4757" s="9" t="s">
        <v>811</v>
      </c>
      <c r="D4757">
        <v>10021522582</v>
      </c>
      <c r="E4757" t="s">
        <v>47</v>
      </c>
      <c r="F4757" t="s">
        <v>177</v>
      </c>
      <c r="G4757" t="s">
        <v>178</v>
      </c>
      <c r="H4757" t="s">
        <v>2339</v>
      </c>
      <c r="I4757" t="s">
        <v>2340</v>
      </c>
      <c r="J4757" t="s">
        <v>52</v>
      </c>
      <c r="K4757" s="3">
        <v>10089833412</v>
      </c>
      <c r="L4757" s="10">
        <v>39826</v>
      </c>
      <c r="M4757">
        <v>138.17</v>
      </c>
      <c r="N4757" s="11">
        <v>29</v>
      </c>
      <c r="O4757" s="12">
        <v>4.14</v>
      </c>
      <c r="P4757" s="12">
        <v>6.6</v>
      </c>
      <c r="Q4757" s="13">
        <v>-103.78</v>
      </c>
      <c r="R4757" s="36" t="s">
        <v>1766</v>
      </c>
      <c r="S4757" s="7">
        <f t="shared" si="402"/>
        <v>2</v>
      </c>
      <c r="T4757" s="15" t="str">
        <f>VLOOKUP(R4757,产品分类!$C$2:$D$1278,2,0)</f>
        <v>办公用品</v>
      </c>
    </row>
    <row r="4758" spans="1:20">
      <c r="A4758" s="16">
        <f t="shared" si="405"/>
        <v>39824</v>
      </c>
      <c r="B4758" s="16">
        <f t="shared" si="405"/>
        <v>39824</v>
      </c>
      <c r="C4758" s="9" t="s">
        <v>811</v>
      </c>
      <c r="D4758">
        <v>10021423660</v>
      </c>
      <c r="E4758" t="s">
        <v>47</v>
      </c>
      <c r="F4758" t="s">
        <v>183</v>
      </c>
      <c r="G4758" t="s">
        <v>184</v>
      </c>
      <c r="H4758" t="s">
        <v>2212</v>
      </c>
      <c r="I4758" t="s">
        <v>2213</v>
      </c>
      <c r="J4758" t="s">
        <v>52</v>
      </c>
      <c r="K4758" s="3">
        <v>100927997321</v>
      </c>
      <c r="L4758" s="10">
        <v>39824</v>
      </c>
      <c r="M4758">
        <v>216.87</v>
      </c>
      <c r="N4758" s="17">
        <v>18</v>
      </c>
      <c r="O4758" s="5">
        <v>11.34</v>
      </c>
      <c r="P4758" s="5">
        <v>5.01</v>
      </c>
      <c r="Q4758" s="6">
        <v>30.53</v>
      </c>
      <c r="R4758" s="37" t="s">
        <v>1504</v>
      </c>
      <c r="S4758" s="7">
        <f t="shared" si="402"/>
        <v>0</v>
      </c>
      <c r="T4758" s="15" t="str">
        <f>VLOOKUP(R4758,产品分类!$C$2:$D$1278,2,0)</f>
        <v>家具产品</v>
      </c>
    </row>
    <row r="4759" spans="1:20">
      <c r="A4759" s="8">
        <f>DATE(2012,12,31)-670</f>
        <v>40604</v>
      </c>
      <c r="B4759" s="8">
        <f>DATE(2012,12,31)-670</f>
        <v>40604</v>
      </c>
      <c r="C4759" s="9" t="s">
        <v>2219</v>
      </c>
      <c r="D4759">
        <v>10021632154</v>
      </c>
      <c r="E4759" t="s">
        <v>47</v>
      </c>
      <c r="F4759" t="s">
        <v>183</v>
      </c>
      <c r="G4759" t="s">
        <v>184</v>
      </c>
      <c r="H4759" t="s">
        <v>2387</v>
      </c>
      <c r="I4759" t="s">
        <v>2388</v>
      </c>
      <c r="J4759" t="s">
        <v>52</v>
      </c>
      <c r="K4759" s="3">
        <v>100711409285</v>
      </c>
      <c r="L4759" s="10">
        <v>40605</v>
      </c>
      <c r="M4759">
        <v>50.99</v>
      </c>
      <c r="N4759" s="11">
        <v>19</v>
      </c>
      <c r="O4759" s="12">
        <v>2.78</v>
      </c>
      <c r="P4759" s="12">
        <v>1.34</v>
      </c>
      <c r="Q4759" s="13">
        <v>-3.8</v>
      </c>
      <c r="R4759" s="36" t="s">
        <v>452</v>
      </c>
      <c r="S4759" s="7">
        <f t="shared" si="402"/>
        <v>1</v>
      </c>
      <c r="T4759" s="15" t="str">
        <f>VLOOKUP(R4759,产品分类!$C$2:$D$1278,2,0)</f>
        <v>家具产品</v>
      </c>
    </row>
    <row r="4760" spans="1:20">
      <c r="A4760" s="8">
        <f>DATE(2012,12,31)-743</f>
        <v>40531</v>
      </c>
      <c r="B4760" s="8">
        <f>DATE(2012,12,31)-743</f>
        <v>40531</v>
      </c>
      <c r="C4760" s="9" t="s">
        <v>1110</v>
      </c>
      <c r="D4760">
        <v>10021431329</v>
      </c>
      <c r="E4760" t="s">
        <v>47</v>
      </c>
      <c r="F4760" t="s">
        <v>177</v>
      </c>
      <c r="G4760" t="s">
        <v>178</v>
      </c>
      <c r="H4760" t="s">
        <v>2339</v>
      </c>
      <c r="I4760" t="s">
        <v>2340</v>
      </c>
      <c r="J4760" t="s">
        <v>52</v>
      </c>
      <c r="K4760" s="3">
        <v>100432226663</v>
      </c>
      <c r="L4760" s="10">
        <v>40535</v>
      </c>
      <c r="M4760">
        <v>185.83</v>
      </c>
      <c r="N4760" s="11">
        <v>13</v>
      </c>
      <c r="O4760" s="12">
        <v>14.34</v>
      </c>
      <c r="P4760" s="12">
        <v>5</v>
      </c>
      <c r="Q4760" s="13">
        <v>58.16</v>
      </c>
      <c r="R4760" s="36" t="s">
        <v>298</v>
      </c>
      <c r="S4760" s="7">
        <f t="shared" si="402"/>
        <v>4</v>
      </c>
      <c r="T4760" s="15" t="str">
        <f>VLOOKUP(R4760,产品分类!$C$2:$D$1278,2,0)</f>
        <v>办公用品</v>
      </c>
    </row>
    <row r="4761" spans="1:20">
      <c r="A4761" s="8">
        <f>DATE(2012,12,31)-977</f>
        <v>40297</v>
      </c>
      <c r="B4761" s="8">
        <f>DATE(2012,12,31)-977</f>
        <v>40297</v>
      </c>
      <c r="C4761" s="9" t="s">
        <v>719</v>
      </c>
      <c r="D4761">
        <v>10021340254</v>
      </c>
      <c r="E4761" t="s">
        <v>47</v>
      </c>
      <c r="F4761" t="s">
        <v>167</v>
      </c>
      <c r="G4761" t="s">
        <v>168</v>
      </c>
      <c r="H4761" t="s">
        <v>169</v>
      </c>
      <c r="I4761" t="s">
        <v>168</v>
      </c>
      <c r="J4761" t="s">
        <v>52</v>
      </c>
      <c r="K4761" s="3">
        <v>100125905487</v>
      </c>
      <c r="L4761" s="10">
        <v>40298</v>
      </c>
      <c r="M4761">
        <v>130.16</v>
      </c>
      <c r="N4761" s="11">
        <v>18</v>
      </c>
      <c r="O4761" s="12">
        <v>7.04</v>
      </c>
      <c r="P4761" s="12">
        <v>2.17</v>
      </c>
      <c r="Q4761" s="13">
        <v>28.87</v>
      </c>
      <c r="R4761" s="36" t="s">
        <v>1920</v>
      </c>
      <c r="S4761" s="7">
        <f t="shared" si="402"/>
        <v>1</v>
      </c>
      <c r="T4761" s="15" t="str">
        <f>VLOOKUP(R4761,产品分类!$C$2:$D$1278,2,0)</f>
        <v>家具产品</v>
      </c>
    </row>
    <row r="4762" spans="1:20">
      <c r="A4762" s="8">
        <f>DATE(2012,12,31)-923</f>
        <v>40351</v>
      </c>
      <c r="B4762" s="8">
        <f>DATE(2012,12,31)-923</f>
        <v>40351</v>
      </c>
      <c r="C4762" s="9" t="s">
        <v>678</v>
      </c>
      <c r="D4762">
        <v>10021505513</v>
      </c>
      <c r="E4762" t="s">
        <v>47</v>
      </c>
      <c r="F4762" t="s">
        <v>61</v>
      </c>
      <c r="G4762" t="s">
        <v>62</v>
      </c>
      <c r="H4762" t="s">
        <v>2356</v>
      </c>
      <c r="I4762" t="s">
        <v>2357</v>
      </c>
      <c r="J4762" t="s">
        <v>52</v>
      </c>
      <c r="K4762" s="3">
        <v>100331019989</v>
      </c>
      <c r="L4762" s="10">
        <v>40352</v>
      </c>
      <c r="M4762">
        <v>125.57</v>
      </c>
      <c r="N4762" s="11">
        <v>22</v>
      </c>
      <c r="O4762" s="12">
        <v>5.58</v>
      </c>
      <c r="P4762" s="12">
        <v>5.3</v>
      </c>
      <c r="Q4762" s="13">
        <v>-45.16</v>
      </c>
      <c r="R4762" s="36" t="s">
        <v>892</v>
      </c>
      <c r="S4762" s="7">
        <f t="shared" si="402"/>
        <v>1</v>
      </c>
      <c r="T4762" s="15" t="str">
        <f>VLOOKUP(R4762,产品分类!$C$2:$D$1278,2,0)</f>
        <v>家具产品</v>
      </c>
    </row>
    <row r="4763" spans="1:20">
      <c r="A4763" s="8">
        <f t="shared" ref="A4763:B4765" si="406">DATE(2012,12,31)-1229</f>
        <v>40045</v>
      </c>
      <c r="B4763" s="8">
        <f t="shared" si="406"/>
        <v>40045</v>
      </c>
      <c r="C4763" s="9" t="s">
        <v>2118</v>
      </c>
      <c r="D4763">
        <v>10021502576</v>
      </c>
      <c r="E4763" t="s">
        <v>47</v>
      </c>
      <c r="F4763" t="s">
        <v>171</v>
      </c>
      <c r="G4763" t="s">
        <v>172</v>
      </c>
      <c r="H4763" t="s">
        <v>2352</v>
      </c>
      <c r="I4763" t="s">
        <v>2353</v>
      </c>
      <c r="J4763" t="s">
        <v>52</v>
      </c>
      <c r="K4763" s="3">
        <v>100928753681</v>
      </c>
      <c r="L4763" s="10">
        <v>40048</v>
      </c>
      <c r="M4763">
        <v>349.43</v>
      </c>
      <c r="N4763" s="11">
        <v>31</v>
      </c>
      <c r="O4763" s="12">
        <v>11.5</v>
      </c>
      <c r="P4763" s="12">
        <v>7.19</v>
      </c>
      <c r="Q4763" s="13">
        <v>-44.919</v>
      </c>
      <c r="R4763" s="36" t="s">
        <v>633</v>
      </c>
      <c r="S4763" s="7">
        <f t="shared" si="402"/>
        <v>3</v>
      </c>
      <c r="T4763" s="15" t="str">
        <f>VLOOKUP(R4763,产品分类!$C$2:$D$1278,2,0)</f>
        <v>家具产品</v>
      </c>
    </row>
    <row r="4764" spans="1:20">
      <c r="A4764" s="8">
        <f t="shared" si="406"/>
        <v>40045</v>
      </c>
      <c r="B4764" s="8">
        <f t="shared" si="406"/>
        <v>40045</v>
      </c>
      <c r="C4764" s="9" t="s">
        <v>2118</v>
      </c>
      <c r="D4764">
        <v>10021338843</v>
      </c>
      <c r="E4764" t="s">
        <v>47</v>
      </c>
      <c r="F4764" t="s">
        <v>61</v>
      </c>
      <c r="G4764" t="s">
        <v>62</v>
      </c>
      <c r="H4764" t="s">
        <v>2356</v>
      </c>
      <c r="I4764" t="s">
        <v>2357</v>
      </c>
      <c r="J4764" t="s">
        <v>52</v>
      </c>
      <c r="K4764" s="3">
        <v>100824516732</v>
      </c>
      <c r="L4764" s="10">
        <v>40046</v>
      </c>
      <c r="M4764">
        <v>58.33</v>
      </c>
      <c r="N4764" s="11">
        <v>3</v>
      </c>
      <c r="O4764" s="12">
        <v>15.7</v>
      </c>
      <c r="P4764" s="12">
        <v>11.25</v>
      </c>
      <c r="Q4764" s="13">
        <v>-35.08</v>
      </c>
      <c r="R4764" s="36" t="s">
        <v>261</v>
      </c>
      <c r="S4764" s="7">
        <f t="shared" si="402"/>
        <v>1</v>
      </c>
      <c r="T4764" s="15" t="str">
        <f>VLOOKUP(R4764,产品分类!$C$2:$D$1278,2,0)</f>
        <v>家具产品</v>
      </c>
    </row>
    <row r="4765" spans="1:20">
      <c r="A4765" s="8">
        <f t="shared" si="406"/>
        <v>40045</v>
      </c>
      <c r="B4765" s="8">
        <f t="shared" si="406"/>
        <v>40045</v>
      </c>
      <c r="C4765" s="9" t="s">
        <v>2118</v>
      </c>
      <c r="D4765">
        <v>10021576114</v>
      </c>
      <c r="E4765" t="s">
        <v>47</v>
      </c>
      <c r="F4765" t="s">
        <v>61</v>
      </c>
      <c r="G4765" t="s">
        <v>62</v>
      </c>
      <c r="H4765" t="s">
        <v>2356</v>
      </c>
      <c r="I4765" t="s">
        <v>2357</v>
      </c>
      <c r="J4765" t="s">
        <v>52</v>
      </c>
      <c r="K4765" s="3">
        <v>10045790694</v>
      </c>
      <c r="L4765" s="10">
        <v>40047</v>
      </c>
      <c r="M4765">
        <v>10377.22</v>
      </c>
      <c r="N4765" s="11">
        <v>47</v>
      </c>
      <c r="O4765" s="12">
        <v>225.02</v>
      </c>
      <c r="P4765" s="12">
        <v>28.66</v>
      </c>
      <c r="Q4765" s="13">
        <v>965.48</v>
      </c>
      <c r="R4765" s="36" t="s">
        <v>760</v>
      </c>
      <c r="S4765" s="7">
        <f t="shared" si="402"/>
        <v>2</v>
      </c>
      <c r="T4765" s="15" t="str">
        <f>VLOOKUP(R4765,产品分类!$C$2:$D$1278,2,0)</f>
        <v>办公用品</v>
      </c>
    </row>
    <row r="4766" spans="1:20">
      <c r="A4766" s="8">
        <f t="shared" ref="A4766:B4769" si="407">DATE(2012,12,31)-786</f>
        <v>40488</v>
      </c>
      <c r="B4766" s="8">
        <f t="shared" si="407"/>
        <v>40488</v>
      </c>
      <c r="C4766" s="9" t="s">
        <v>835</v>
      </c>
      <c r="D4766">
        <v>10021506058</v>
      </c>
      <c r="E4766" t="s">
        <v>47</v>
      </c>
      <c r="F4766" t="s">
        <v>61</v>
      </c>
      <c r="G4766" t="s">
        <v>62</v>
      </c>
      <c r="H4766" t="s">
        <v>2356</v>
      </c>
      <c r="I4766" t="s">
        <v>2357</v>
      </c>
      <c r="J4766" t="s">
        <v>52</v>
      </c>
      <c r="K4766" s="3">
        <v>100931171511</v>
      </c>
      <c r="L4766" s="10">
        <v>40493</v>
      </c>
      <c r="M4766">
        <v>9046.33</v>
      </c>
      <c r="N4766" s="11">
        <v>46</v>
      </c>
      <c r="O4766" s="12">
        <v>180.98</v>
      </c>
      <c r="P4766" s="12">
        <v>55.24</v>
      </c>
      <c r="Q4766" s="13">
        <v>1398.03</v>
      </c>
      <c r="R4766" s="36" t="s">
        <v>1499</v>
      </c>
      <c r="S4766" s="7">
        <f t="shared" si="402"/>
        <v>5</v>
      </c>
      <c r="T4766" s="15" t="str">
        <f>VLOOKUP(R4766,产品分类!$C$2:$D$1278,2,0)</f>
        <v>办公用品</v>
      </c>
    </row>
    <row r="4767" spans="1:20">
      <c r="A4767" s="8">
        <f t="shared" si="407"/>
        <v>40488</v>
      </c>
      <c r="B4767" s="8">
        <f t="shared" si="407"/>
        <v>40488</v>
      </c>
      <c r="C4767" s="9" t="s">
        <v>835</v>
      </c>
      <c r="D4767">
        <v>10021431686</v>
      </c>
      <c r="E4767" t="s">
        <v>47</v>
      </c>
      <c r="F4767" t="s">
        <v>61</v>
      </c>
      <c r="G4767" t="s">
        <v>62</v>
      </c>
      <c r="H4767" t="s">
        <v>2356</v>
      </c>
      <c r="I4767" t="s">
        <v>2357</v>
      </c>
      <c r="J4767" t="s">
        <v>52</v>
      </c>
      <c r="K4767" s="3">
        <v>100332252439</v>
      </c>
      <c r="L4767" s="10">
        <v>40495</v>
      </c>
      <c r="M4767">
        <v>367.96</v>
      </c>
      <c r="N4767" s="11">
        <v>43</v>
      </c>
      <c r="O4767" s="12">
        <v>8.67</v>
      </c>
      <c r="P4767" s="12">
        <v>3.5</v>
      </c>
      <c r="Q4767" s="13">
        <v>-16.11</v>
      </c>
      <c r="R4767" s="36" t="s">
        <v>884</v>
      </c>
      <c r="S4767" s="7">
        <f t="shared" si="402"/>
        <v>7</v>
      </c>
      <c r="T4767" s="15" t="str">
        <f>VLOOKUP(R4767,产品分类!$C$2:$D$1278,2,0)</f>
        <v>办公用品</v>
      </c>
    </row>
    <row r="4768" spans="1:20">
      <c r="A4768" s="8">
        <f t="shared" si="407"/>
        <v>40488</v>
      </c>
      <c r="B4768" s="8">
        <f t="shared" si="407"/>
        <v>40488</v>
      </c>
      <c r="C4768" s="9" t="s">
        <v>835</v>
      </c>
      <c r="D4768">
        <v>10021264371</v>
      </c>
      <c r="E4768" t="s">
        <v>47</v>
      </c>
      <c r="F4768" t="s">
        <v>61</v>
      </c>
      <c r="G4768" t="s">
        <v>62</v>
      </c>
      <c r="H4768" t="s">
        <v>2356</v>
      </c>
      <c r="I4768" t="s">
        <v>2357</v>
      </c>
      <c r="J4768" t="s">
        <v>52</v>
      </c>
      <c r="K4768" s="3">
        <v>100930964351</v>
      </c>
      <c r="L4768" s="10">
        <v>40492</v>
      </c>
      <c r="M4768">
        <v>159.05</v>
      </c>
      <c r="N4768" s="11">
        <v>27</v>
      </c>
      <c r="O4768" s="12">
        <v>5.98</v>
      </c>
      <c r="P4768" s="12">
        <v>2.5</v>
      </c>
      <c r="Q4768" s="13">
        <v>21.46</v>
      </c>
      <c r="R4768" s="36" t="s">
        <v>547</v>
      </c>
      <c r="S4768" s="7">
        <f t="shared" si="402"/>
        <v>4</v>
      </c>
      <c r="T4768" s="15" t="str">
        <f>VLOOKUP(R4768,产品分类!$C$2:$D$1278,2,0)</f>
        <v>数码电子</v>
      </c>
    </row>
    <row r="4769" spans="1:20">
      <c r="A4769" s="8">
        <f t="shared" si="407"/>
        <v>40488</v>
      </c>
      <c r="B4769" s="8">
        <f t="shared" si="407"/>
        <v>40488</v>
      </c>
      <c r="C4769" s="9" t="s">
        <v>835</v>
      </c>
      <c r="D4769">
        <v>10021542035</v>
      </c>
      <c r="E4769" t="s">
        <v>47</v>
      </c>
      <c r="F4769" t="s">
        <v>61</v>
      </c>
      <c r="G4769" t="s">
        <v>62</v>
      </c>
      <c r="H4769" t="s">
        <v>2356</v>
      </c>
      <c r="I4769" t="s">
        <v>2357</v>
      </c>
      <c r="J4769" t="s">
        <v>52</v>
      </c>
      <c r="K4769" s="3">
        <v>100425026933</v>
      </c>
      <c r="L4769" s="10">
        <v>40490</v>
      </c>
      <c r="M4769">
        <v>116.14</v>
      </c>
      <c r="N4769" s="11">
        <v>39</v>
      </c>
      <c r="O4769" s="12">
        <v>2.88</v>
      </c>
      <c r="P4769" s="12">
        <v>0.5</v>
      </c>
      <c r="Q4769" s="13">
        <v>50.44</v>
      </c>
      <c r="R4769" s="36" t="s">
        <v>967</v>
      </c>
      <c r="S4769" s="7">
        <f t="shared" si="402"/>
        <v>2</v>
      </c>
      <c r="T4769" s="15" t="str">
        <f>VLOOKUP(R4769,产品分类!$C$2:$D$1278,2,0)</f>
        <v>数码电子</v>
      </c>
    </row>
    <row r="4770" spans="1:20">
      <c r="A4770" s="8">
        <f>DATE(2012,12,31)-102</f>
        <v>41172</v>
      </c>
      <c r="B4770" s="8">
        <f>DATE(2012,12,31)-102</f>
        <v>41172</v>
      </c>
      <c r="C4770" s="9" t="s">
        <v>317</v>
      </c>
      <c r="D4770">
        <v>10021344020</v>
      </c>
      <c r="E4770" t="s">
        <v>47</v>
      </c>
      <c r="F4770" t="s">
        <v>61</v>
      </c>
      <c r="G4770" t="s">
        <v>62</v>
      </c>
      <c r="H4770" t="s">
        <v>2356</v>
      </c>
      <c r="I4770" t="s">
        <v>2357</v>
      </c>
      <c r="J4770" t="s">
        <v>52</v>
      </c>
      <c r="K4770" s="3">
        <v>100111139708</v>
      </c>
      <c r="L4770" s="10">
        <v>41174</v>
      </c>
      <c r="M4770">
        <v>232.21</v>
      </c>
      <c r="N4770" s="11">
        <v>6</v>
      </c>
      <c r="O4770" s="12">
        <v>35.89</v>
      </c>
      <c r="P4770" s="12">
        <v>14.72</v>
      </c>
      <c r="Q4770" s="13">
        <v>-14.03</v>
      </c>
      <c r="R4770" s="36" t="s">
        <v>1770</v>
      </c>
      <c r="S4770" s="7">
        <f t="shared" si="402"/>
        <v>2</v>
      </c>
      <c r="T4770" s="15" t="str">
        <f>VLOOKUP(R4770,产品分类!$C$2:$D$1278,2,0)</f>
        <v>数码电子</v>
      </c>
    </row>
    <row r="4771" spans="1:20">
      <c r="A4771" s="8">
        <f>DATE(2012,12,31)-102</f>
        <v>41172</v>
      </c>
      <c r="B4771" s="8">
        <f>DATE(2012,12,31)-102</f>
        <v>41172</v>
      </c>
      <c r="C4771" s="9" t="s">
        <v>317</v>
      </c>
      <c r="D4771">
        <v>10021334826</v>
      </c>
      <c r="E4771" t="s">
        <v>47</v>
      </c>
      <c r="F4771" t="s">
        <v>55</v>
      </c>
      <c r="G4771" t="s">
        <v>56</v>
      </c>
      <c r="H4771" t="s">
        <v>2331</v>
      </c>
      <c r="I4771" t="s">
        <v>2332</v>
      </c>
      <c r="J4771" t="s">
        <v>52</v>
      </c>
      <c r="K4771" s="3">
        <v>100416713633</v>
      </c>
      <c r="L4771" s="10">
        <v>41173</v>
      </c>
      <c r="M4771">
        <v>88.3</v>
      </c>
      <c r="N4771" s="11">
        <v>16</v>
      </c>
      <c r="O4771" s="12">
        <v>5.85</v>
      </c>
      <c r="P4771" s="12">
        <v>2.27</v>
      </c>
      <c r="Q4771" s="13">
        <v>-12.14</v>
      </c>
      <c r="R4771" s="36" t="s">
        <v>834</v>
      </c>
      <c r="S4771" s="7">
        <f t="shared" si="402"/>
        <v>1</v>
      </c>
      <c r="T4771" s="15" t="str">
        <f>VLOOKUP(R4771,产品分类!$C$2:$D$1278,2,0)</f>
        <v>家具产品</v>
      </c>
    </row>
    <row r="4772" spans="1:20">
      <c r="A4772" s="8">
        <f t="shared" ref="A4772:B4775" si="408">DATE(2012,12,31)-931</f>
        <v>40343</v>
      </c>
      <c r="B4772" s="8">
        <f t="shared" si="408"/>
        <v>40343</v>
      </c>
      <c r="C4772" s="9" t="s">
        <v>1592</v>
      </c>
      <c r="D4772">
        <v>10021295471</v>
      </c>
      <c r="E4772" t="s">
        <v>47</v>
      </c>
      <c r="F4772" t="s">
        <v>61</v>
      </c>
      <c r="G4772" t="s">
        <v>62</v>
      </c>
      <c r="H4772" t="s">
        <v>2356</v>
      </c>
      <c r="I4772" t="s">
        <v>2357</v>
      </c>
      <c r="J4772" t="s">
        <v>52</v>
      </c>
      <c r="K4772" s="3">
        <v>100716993255</v>
      </c>
      <c r="L4772" s="10">
        <v>40346</v>
      </c>
      <c r="M4772">
        <v>140.66</v>
      </c>
      <c r="N4772" s="11">
        <v>14</v>
      </c>
      <c r="O4772" s="12">
        <v>9.27</v>
      </c>
      <c r="P4772" s="12">
        <v>4.39</v>
      </c>
      <c r="Q4772" s="13">
        <v>11.34</v>
      </c>
      <c r="R4772" s="36" t="s">
        <v>465</v>
      </c>
      <c r="S4772" s="7">
        <f t="shared" si="402"/>
        <v>3</v>
      </c>
      <c r="T4772" s="15" t="str">
        <f>VLOOKUP(R4772,产品分类!$C$2:$D$1278,2,0)</f>
        <v>办公用品</v>
      </c>
    </row>
    <row r="4773" spans="1:20">
      <c r="A4773" s="8">
        <f t="shared" si="408"/>
        <v>40343</v>
      </c>
      <c r="B4773" s="8">
        <f t="shared" si="408"/>
        <v>40343</v>
      </c>
      <c r="C4773" s="9" t="s">
        <v>1592</v>
      </c>
      <c r="D4773">
        <v>10021611778</v>
      </c>
      <c r="E4773" t="s">
        <v>47</v>
      </c>
      <c r="F4773" t="s">
        <v>61</v>
      </c>
      <c r="G4773" t="s">
        <v>62</v>
      </c>
      <c r="H4773" t="s">
        <v>2356</v>
      </c>
      <c r="I4773" t="s">
        <v>2357</v>
      </c>
      <c r="J4773" t="s">
        <v>52</v>
      </c>
      <c r="K4773" s="3">
        <v>100830600722</v>
      </c>
      <c r="L4773" s="10">
        <v>40344</v>
      </c>
      <c r="M4773">
        <v>42.89</v>
      </c>
      <c r="N4773" s="11">
        <v>5</v>
      </c>
      <c r="O4773" s="12">
        <v>6.84</v>
      </c>
      <c r="P4773" s="12">
        <v>8.37</v>
      </c>
      <c r="Q4773" s="13">
        <v>-32.48</v>
      </c>
      <c r="R4773" s="36" t="s">
        <v>1239</v>
      </c>
      <c r="S4773" s="7">
        <f t="shared" si="402"/>
        <v>1</v>
      </c>
      <c r="T4773" s="15" t="str">
        <f>VLOOKUP(R4773,产品分类!$C$2:$D$1278,2,0)</f>
        <v>办公用品</v>
      </c>
    </row>
    <row r="4774" spans="1:20">
      <c r="A4774" s="8">
        <f t="shared" si="408"/>
        <v>40343</v>
      </c>
      <c r="B4774" s="8">
        <f t="shared" si="408"/>
        <v>40343</v>
      </c>
      <c r="C4774" s="9" t="s">
        <v>1592</v>
      </c>
      <c r="D4774">
        <v>10021628994</v>
      </c>
      <c r="E4774" t="s">
        <v>47</v>
      </c>
      <c r="F4774" t="s">
        <v>61</v>
      </c>
      <c r="G4774" t="s">
        <v>62</v>
      </c>
      <c r="H4774" t="s">
        <v>2356</v>
      </c>
      <c r="I4774" t="s">
        <v>2357</v>
      </c>
      <c r="J4774" t="s">
        <v>52</v>
      </c>
      <c r="K4774" s="3">
        <v>100730831645</v>
      </c>
      <c r="L4774" s="10">
        <v>40345</v>
      </c>
      <c r="M4774">
        <v>226.5</v>
      </c>
      <c r="N4774" s="11">
        <v>48</v>
      </c>
      <c r="O4774" s="12">
        <v>4.98</v>
      </c>
      <c r="P4774" s="12">
        <v>4.62</v>
      </c>
      <c r="Q4774" s="13">
        <v>-173.15</v>
      </c>
      <c r="R4774" s="36" t="s">
        <v>146</v>
      </c>
      <c r="S4774" s="7">
        <f t="shared" si="402"/>
        <v>2</v>
      </c>
      <c r="T4774" s="15" t="str">
        <f>VLOOKUP(R4774,产品分类!$C$2:$D$1278,2,0)</f>
        <v>办公用品</v>
      </c>
    </row>
    <row r="4775" spans="1:20">
      <c r="A4775" s="8">
        <f t="shared" si="408"/>
        <v>40343</v>
      </c>
      <c r="B4775" s="8">
        <f t="shared" si="408"/>
        <v>40343</v>
      </c>
      <c r="C4775" s="9" t="s">
        <v>1592</v>
      </c>
      <c r="D4775">
        <v>10021285486</v>
      </c>
      <c r="E4775" t="s">
        <v>47</v>
      </c>
      <c r="F4775" t="s">
        <v>61</v>
      </c>
      <c r="G4775" t="s">
        <v>62</v>
      </c>
      <c r="H4775" t="s">
        <v>2356</v>
      </c>
      <c r="I4775" t="s">
        <v>2357</v>
      </c>
      <c r="J4775" t="s">
        <v>52</v>
      </c>
      <c r="K4775" s="3">
        <v>100710247565</v>
      </c>
      <c r="L4775" s="10">
        <v>40345</v>
      </c>
      <c r="M4775">
        <v>438.93</v>
      </c>
      <c r="N4775" s="11">
        <v>13</v>
      </c>
      <c r="O4775" s="12">
        <v>32.98</v>
      </c>
      <c r="P4775" s="12">
        <v>5.5</v>
      </c>
      <c r="Q4775" s="13">
        <v>-119.02</v>
      </c>
      <c r="R4775" s="36" t="s">
        <v>1040</v>
      </c>
      <c r="S4775" s="7">
        <f t="shared" si="402"/>
        <v>2</v>
      </c>
      <c r="T4775" s="15" t="str">
        <f>VLOOKUP(R4775,产品分类!$C$2:$D$1278,2,0)</f>
        <v>数码电子</v>
      </c>
    </row>
    <row r="4776" spans="1:20">
      <c r="A4776" s="8">
        <f>DATE(2012,12,31)-1007</f>
        <v>40267</v>
      </c>
      <c r="B4776" s="8">
        <f>DATE(2012,12,31)-1007</f>
        <v>40267</v>
      </c>
      <c r="C4776" s="9" t="s">
        <v>1145</v>
      </c>
      <c r="D4776">
        <v>10021605483</v>
      </c>
      <c r="E4776" t="s">
        <v>47</v>
      </c>
      <c r="F4776" t="s">
        <v>61</v>
      </c>
      <c r="G4776" t="s">
        <v>62</v>
      </c>
      <c r="H4776" t="s">
        <v>2356</v>
      </c>
      <c r="I4776" t="s">
        <v>2357</v>
      </c>
      <c r="J4776" t="s">
        <v>52</v>
      </c>
      <c r="K4776" s="3">
        <v>10098036571</v>
      </c>
      <c r="L4776" s="10">
        <v>40276</v>
      </c>
      <c r="M4776">
        <v>1794.03</v>
      </c>
      <c r="N4776" s="11">
        <v>35</v>
      </c>
      <c r="O4776" s="12">
        <v>50.98</v>
      </c>
      <c r="P4776" s="12">
        <v>14.19</v>
      </c>
      <c r="Q4776" s="13">
        <v>196.21</v>
      </c>
      <c r="R4776" s="36" t="s">
        <v>1170</v>
      </c>
      <c r="S4776" s="7">
        <f t="shared" si="402"/>
        <v>9</v>
      </c>
      <c r="T4776" s="15" t="str">
        <f>VLOOKUP(R4776,产品分类!$C$2:$D$1278,2,0)</f>
        <v>数码电子</v>
      </c>
    </row>
    <row r="4777" spans="1:20">
      <c r="A4777" s="8">
        <f>DATE(2012,12,31)-1038</f>
        <v>40236</v>
      </c>
      <c r="B4777" s="8">
        <f>DATE(2012,12,31)-1038</f>
        <v>40236</v>
      </c>
      <c r="C4777" s="9" t="s">
        <v>361</v>
      </c>
      <c r="D4777">
        <v>10021396145</v>
      </c>
      <c r="E4777" t="s">
        <v>47</v>
      </c>
      <c r="F4777" t="s">
        <v>61</v>
      </c>
      <c r="G4777" t="s">
        <v>62</v>
      </c>
      <c r="H4777" t="s">
        <v>2356</v>
      </c>
      <c r="I4777" t="s">
        <v>2357</v>
      </c>
      <c r="J4777" t="s">
        <v>52</v>
      </c>
      <c r="K4777" s="3">
        <v>100917948921</v>
      </c>
      <c r="L4777" s="10">
        <v>40236</v>
      </c>
      <c r="M4777">
        <v>15251.5</v>
      </c>
      <c r="N4777" s="11">
        <v>31</v>
      </c>
      <c r="O4777" s="12">
        <v>500.97</v>
      </c>
      <c r="P4777" s="12">
        <v>69.3</v>
      </c>
      <c r="Q4777" s="13">
        <v>5353.19</v>
      </c>
      <c r="R4777" s="36" t="s">
        <v>1694</v>
      </c>
      <c r="S4777" s="7">
        <f t="shared" si="402"/>
        <v>0</v>
      </c>
      <c r="T4777" s="15" t="str">
        <f>VLOOKUP(R4777,产品分类!$C$2:$D$1278,2,0)</f>
        <v>家具产品</v>
      </c>
    </row>
    <row r="4778" spans="1:20">
      <c r="A4778" s="8">
        <f>DATE(2012,12,31)-1454</f>
        <v>39820</v>
      </c>
      <c r="B4778" s="8">
        <f>DATE(2012,12,31)-1454</f>
        <v>39820</v>
      </c>
      <c r="C4778" s="9" t="s">
        <v>582</v>
      </c>
      <c r="D4778">
        <v>10021253764</v>
      </c>
      <c r="E4778" t="s">
        <v>47</v>
      </c>
      <c r="F4778" t="s">
        <v>61</v>
      </c>
      <c r="G4778" t="s">
        <v>62</v>
      </c>
      <c r="H4778" t="s">
        <v>2356</v>
      </c>
      <c r="I4778" t="s">
        <v>2357</v>
      </c>
      <c r="J4778" t="s">
        <v>52</v>
      </c>
      <c r="K4778" s="3">
        <v>100920435151</v>
      </c>
      <c r="L4778" s="10">
        <v>39824</v>
      </c>
      <c r="M4778">
        <v>1961.7915</v>
      </c>
      <c r="N4778" s="11">
        <v>34</v>
      </c>
      <c r="O4778" s="12">
        <v>65.99</v>
      </c>
      <c r="P4778" s="12">
        <v>5.99</v>
      </c>
      <c r="Q4778" s="13">
        <v>425.754</v>
      </c>
      <c r="R4778" s="36" t="s">
        <v>1660</v>
      </c>
      <c r="S4778" s="7">
        <f t="shared" si="402"/>
        <v>4</v>
      </c>
      <c r="T4778" s="15" t="str">
        <f>VLOOKUP(R4778,产品分类!$C$2:$D$1278,2,0)</f>
        <v>办公用品</v>
      </c>
    </row>
    <row r="4779" spans="1:20">
      <c r="A4779" s="8">
        <f>DATE(2012,12,31)-74</f>
        <v>41200</v>
      </c>
      <c r="B4779" s="8">
        <f>DATE(2012,12,31)-74</f>
        <v>41200</v>
      </c>
      <c r="C4779" s="9" t="s">
        <v>1710</v>
      </c>
      <c r="D4779">
        <v>10021495948</v>
      </c>
      <c r="E4779" t="s">
        <v>47</v>
      </c>
      <c r="F4779" t="s">
        <v>61</v>
      </c>
      <c r="G4779" t="s">
        <v>62</v>
      </c>
      <c r="H4779" t="s">
        <v>2356</v>
      </c>
      <c r="I4779" t="s">
        <v>2357</v>
      </c>
      <c r="J4779" t="s">
        <v>52</v>
      </c>
      <c r="K4779" s="3">
        <v>100714615445</v>
      </c>
      <c r="L4779" s="10">
        <v>41202</v>
      </c>
      <c r="M4779">
        <v>6168.07</v>
      </c>
      <c r="N4779" s="11">
        <v>12</v>
      </c>
      <c r="O4779" s="12">
        <v>500.98</v>
      </c>
      <c r="P4779" s="12">
        <v>28.14</v>
      </c>
      <c r="Q4779" s="13">
        <v>1542</v>
      </c>
      <c r="R4779" s="36" t="s">
        <v>248</v>
      </c>
      <c r="S4779" s="7">
        <f t="shared" si="402"/>
        <v>2</v>
      </c>
      <c r="T4779" s="15" t="str">
        <f>VLOOKUP(R4779,产品分类!$C$2:$D$1278,2,0)</f>
        <v>家具产品</v>
      </c>
    </row>
    <row r="4780" spans="1:20">
      <c r="A4780" s="8">
        <f>DATE(2012,12,31)-608</f>
        <v>40666</v>
      </c>
      <c r="B4780" s="8">
        <f>DATE(2012,12,31)-608</f>
        <v>40666</v>
      </c>
      <c r="C4780" s="9" t="s">
        <v>2149</v>
      </c>
      <c r="D4780">
        <v>10021333450</v>
      </c>
      <c r="E4780" t="s">
        <v>47</v>
      </c>
      <c r="F4780" t="s">
        <v>61</v>
      </c>
      <c r="G4780" t="s">
        <v>62</v>
      </c>
      <c r="H4780" t="s">
        <v>2356</v>
      </c>
      <c r="I4780" t="s">
        <v>2357</v>
      </c>
      <c r="J4780" t="s">
        <v>52</v>
      </c>
      <c r="K4780" s="3">
        <v>100110550766</v>
      </c>
      <c r="L4780" s="10">
        <v>40670</v>
      </c>
      <c r="M4780">
        <v>1488.86</v>
      </c>
      <c r="N4780" s="11">
        <v>47</v>
      </c>
      <c r="O4780" s="12">
        <v>30.98</v>
      </c>
      <c r="P4780" s="12">
        <v>19.99</v>
      </c>
      <c r="Q4780" s="13">
        <v>-95.05</v>
      </c>
      <c r="R4780" s="36" t="s">
        <v>2148</v>
      </c>
      <c r="S4780" s="7">
        <f t="shared" si="402"/>
        <v>4</v>
      </c>
      <c r="T4780" s="15" t="str">
        <f>VLOOKUP(R4780,产品分类!$C$2:$D$1278,2,0)</f>
        <v>数码电子</v>
      </c>
    </row>
    <row r="4781" spans="1:20">
      <c r="A4781" s="8">
        <f>DATE(2012,12,31)-347</f>
        <v>40927</v>
      </c>
      <c r="B4781" s="8">
        <f>DATE(2012,12,31)-347</f>
        <v>40927</v>
      </c>
      <c r="C4781" s="9" t="s">
        <v>431</v>
      </c>
      <c r="D4781">
        <v>10021606034</v>
      </c>
      <c r="E4781" t="s">
        <v>47</v>
      </c>
      <c r="F4781" t="s">
        <v>61</v>
      </c>
      <c r="G4781" t="s">
        <v>62</v>
      </c>
      <c r="H4781" t="s">
        <v>2356</v>
      </c>
      <c r="I4781" t="s">
        <v>2357</v>
      </c>
      <c r="J4781" t="s">
        <v>52</v>
      </c>
      <c r="K4781" s="3">
        <v>100914379231</v>
      </c>
      <c r="L4781" s="10">
        <v>40929</v>
      </c>
      <c r="M4781">
        <v>109.58</v>
      </c>
      <c r="N4781" s="11">
        <v>13</v>
      </c>
      <c r="O4781" s="12">
        <v>7.59</v>
      </c>
      <c r="P4781" s="12">
        <v>4</v>
      </c>
      <c r="Q4781" s="13">
        <v>31.32</v>
      </c>
      <c r="R4781" s="36" t="s">
        <v>996</v>
      </c>
      <c r="S4781" s="7">
        <f t="shared" si="402"/>
        <v>2</v>
      </c>
      <c r="T4781" s="15" t="str">
        <f>VLOOKUP(R4781,产品分类!$C$2:$D$1278,2,0)</f>
        <v>家具产品</v>
      </c>
    </row>
    <row r="4782" spans="1:20">
      <c r="A4782" s="8">
        <f>DATE(2012,12,31)-698</f>
        <v>40576</v>
      </c>
      <c r="B4782" s="8">
        <f>DATE(2012,12,31)-698</f>
        <v>40576</v>
      </c>
      <c r="C4782" s="9" t="s">
        <v>1072</v>
      </c>
      <c r="D4782">
        <v>10021579423</v>
      </c>
      <c r="E4782" t="s">
        <v>47</v>
      </c>
      <c r="F4782" t="s">
        <v>61</v>
      </c>
      <c r="G4782" t="s">
        <v>62</v>
      </c>
      <c r="H4782" t="s">
        <v>2356</v>
      </c>
      <c r="I4782" t="s">
        <v>2357</v>
      </c>
      <c r="J4782" t="s">
        <v>52</v>
      </c>
      <c r="K4782" s="3">
        <v>100120271387</v>
      </c>
      <c r="L4782" s="10">
        <v>40578</v>
      </c>
      <c r="M4782">
        <v>462.366</v>
      </c>
      <c r="N4782" s="11">
        <v>27</v>
      </c>
      <c r="O4782" s="12">
        <v>20.99</v>
      </c>
      <c r="P4782" s="12">
        <v>3.3</v>
      </c>
      <c r="Q4782" s="13">
        <v>-120.054</v>
      </c>
      <c r="R4782" s="36" t="s">
        <v>810</v>
      </c>
      <c r="S4782" s="7">
        <f t="shared" si="402"/>
        <v>2</v>
      </c>
      <c r="T4782" s="15" t="str">
        <f>VLOOKUP(R4782,产品分类!$C$2:$D$1278,2,0)</f>
        <v>家具产品</v>
      </c>
    </row>
    <row r="4783" spans="1:20">
      <c r="A4783" s="8">
        <f>DATE(2012,12,31)-698</f>
        <v>40576</v>
      </c>
      <c r="B4783" s="8">
        <f>DATE(2012,12,31)-698</f>
        <v>40576</v>
      </c>
      <c r="C4783" s="9" t="s">
        <v>1072</v>
      </c>
      <c r="D4783">
        <v>10021295644</v>
      </c>
      <c r="E4783" t="s">
        <v>47</v>
      </c>
      <c r="F4783" t="s">
        <v>61</v>
      </c>
      <c r="G4783" t="s">
        <v>62</v>
      </c>
      <c r="H4783" t="s">
        <v>2356</v>
      </c>
      <c r="I4783" t="s">
        <v>2357</v>
      </c>
      <c r="J4783" t="s">
        <v>52</v>
      </c>
      <c r="K4783" s="3">
        <v>10015732607</v>
      </c>
      <c r="L4783" s="10">
        <v>40578</v>
      </c>
      <c r="M4783">
        <v>336.48</v>
      </c>
      <c r="N4783" s="11">
        <v>14</v>
      </c>
      <c r="O4783" s="12">
        <v>25.99</v>
      </c>
      <c r="P4783" s="12">
        <v>5.37</v>
      </c>
      <c r="Q4783" s="13">
        <v>5.56</v>
      </c>
      <c r="R4783" s="36" t="s">
        <v>1963</v>
      </c>
      <c r="S4783" s="7">
        <f t="shared" si="402"/>
        <v>2</v>
      </c>
      <c r="T4783" s="15" t="str">
        <f>VLOOKUP(R4783,产品分类!$C$2:$D$1278,2,0)</f>
        <v>数码电子</v>
      </c>
    </row>
    <row r="4784" spans="1:20">
      <c r="A4784" s="8">
        <f>DATE(2012,12,31)-1249</f>
        <v>40025</v>
      </c>
      <c r="B4784" s="8">
        <f>DATE(2012,12,31)-1249</f>
        <v>40025</v>
      </c>
      <c r="C4784" s="9" t="s">
        <v>828</v>
      </c>
      <c r="D4784">
        <v>10021273732</v>
      </c>
      <c r="E4784" t="s">
        <v>47</v>
      </c>
      <c r="F4784" t="s">
        <v>230</v>
      </c>
      <c r="G4784" t="s">
        <v>231</v>
      </c>
      <c r="H4784" t="s">
        <v>2372</v>
      </c>
      <c r="I4784" t="s">
        <v>2373</v>
      </c>
      <c r="J4784" t="s">
        <v>52</v>
      </c>
      <c r="K4784" s="3">
        <v>100132765467</v>
      </c>
      <c r="L4784" s="10">
        <v>40026</v>
      </c>
      <c r="M4784">
        <v>367.53</v>
      </c>
      <c r="N4784" s="11">
        <v>23</v>
      </c>
      <c r="O4784" s="12">
        <v>15.23</v>
      </c>
      <c r="P4784" s="12">
        <v>27.75</v>
      </c>
      <c r="Q4784" s="13">
        <v>11.65095</v>
      </c>
      <c r="R4784" s="36" t="s">
        <v>1728</v>
      </c>
      <c r="S4784" s="7">
        <f t="shared" si="402"/>
        <v>1</v>
      </c>
      <c r="T4784" s="15" t="str">
        <f>VLOOKUP(R4784,产品分类!$C$2:$D$1278,2,0)</f>
        <v>家具产品</v>
      </c>
    </row>
    <row r="4785" spans="1:20">
      <c r="A4785" s="8">
        <f>DATE(2012,12,31)-433</f>
        <v>40841</v>
      </c>
      <c r="B4785" s="8">
        <f>DATE(2012,12,31)-433</f>
        <v>40841</v>
      </c>
      <c r="C4785" s="9" t="s">
        <v>673</v>
      </c>
      <c r="D4785">
        <v>10021634794</v>
      </c>
      <c r="E4785" t="s">
        <v>47</v>
      </c>
      <c r="F4785" t="s">
        <v>83</v>
      </c>
      <c r="G4785" t="s">
        <v>84</v>
      </c>
      <c r="H4785" t="s">
        <v>2349</v>
      </c>
      <c r="I4785" t="s">
        <v>2350</v>
      </c>
      <c r="J4785" t="s">
        <v>52</v>
      </c>
      <c r="K4785" s="3">
        <v>100133211578</v>
      </c>
      <c r="L4785" s="10">
        <v>40842</v>
      </c>
      <c r="M4785">
        <v>1616.87</v>
      </c>
      <c r="N4785" s="11">
        <v>19</v>
      </c>
      <c r="O4785" s="12">
        <v>90.98</v>
      </c>
      <c r="P4785" s="12">
        <v>30</v>
      </c>
      <c r="Q4785" s="13">
        <v>-189.55</v>
      </c>
      <c r="R4785" s="36" t="s">
        <v>658</v>
      </c>
      <c r="S4785" s="7">
        <f t="shared" si="402"/>
        <v>1</v>
      </c>
      <c r="T4785" s="15" t="str">
        <f>VLOOKUP(R4785,产品分类!$C$2:$D$1278,2,0)</f>
        <v>办公用品</v>
      </c>
    </row>
    <row r="4786" spans="1:20">
      <c r="A4786" s="8">
        <f>DATE(2012,12,31)-433</f>
        <v>40841</v>
      </c>
      <c r="B4786" s="8">
        <f>DATE(2012,12,31)-433</f>
        <v>40841</v>
      </c>
      <c r="C4786" s="9" t="s">
        <v>673</v>
      </c>
      <c r="D4786">
        <v>10021490856</v>
      </c>
      <c r="E4786" t="s">
        <v>47</v>
      </c>
      <c r="F4786" t="s">
        <v>97</v>
      </c>
      <c r="G4786" t="s">
        <v>98</v>
      </c>
      <c r="H4786" t="s">
        <v>99</v>
      </c>
      <c r="I4786" t="s">
        <v>98</v>
      </c>
      <c r="J4786" t="s">
        <v>52</v>
      </c>
      <c r="K4786" s="3">
        <v>100933049471</v>
      </c>
      <c r="L4786" s="10">
        <v>40842</v>
      </c>
      <c r="M4786">
        <v>1521.1345</v>
      </c>
      <c r="N4786" s="11">
        <v>27</v>
      </c>
      <c r="O4786" s="12">
        <v>65.99</v>
      </c>
      <c r="P4786" s="12">
        <v>3.99</v>
      </c>
      <c r="Q4786" s="13">
        <v>270.603</v>
      </c>
      <c r="R4786" s="36" t="s">
        <v>727</v>
      </c>
      <c r="S4786" s="7">
        <f t="shared" si="402"/>
        <v>1</v>
      </c>
      <c r="T4786" s="15" t="str">
        <f>VLOOKUP(R4786,产品分类!$C$2:$D$1278,2,0)</f>
        <v>家具产品</v>
      </c>
    </row>
    <row r="4787" spans="1:20">
      <c r="A4787" s="8">
        <f>DATE(2012,12,31)-1451</f>
        <v>39823</v>
      </c>
      <c r="B4787" s="8">
        <f>DATE(2012,12,31)-1451</f>
        <v>39823</v>
      </c>
      <c r="C4787" s="9" t="s">
        <v>657</v>
      </c>
      <c r="D4787">
        <v>10021654930</v>
      </c>
      <c r="E4787" t="s">
        <v>47</v>
      </c>
      <c r="F4787" t="s">
        <v>61</v>
      </c>
      <c r="G4787" t="s">
        <v>62</v>
      </c>
      <c r="H4787" t="s">
        <v>2356</v>
      </c>
      <c r="I4787" t="s">
        <v>2357</v>
      </c>
      <c r="J4787" t="s">
        <v>52</v>
      </c>
      <c r="K4787" s="3">
        <v>100333257659</v>
      </c>
      <c r="L4787" s="10">
        <v>39824</v>
      </c>
      <c r="M4787">
        <v>164.78</v>
      </c>
      <c r="N4787" s="11">
        <v>30</v>
      </c>
      <c r="O4787" s="12">
        <v>5.02</v>
      </c>
      <c r="P4787" s="12">
        <v>5.14</v>
      </c>
      <c r="Q4787" s="13">
        <v>-128.47</v>
      </c>
      <c r="R4787" s="36" t="s">
        <v>597</v>
      </c>
      <c r="S4787" s="7">
        <f t="shared" si="402"/>
        <v>1</v>
      </c>
      <c r="T4787" s="15" t="str">
        <f>VLOOKUP(R4787,产品分类!$C$2:$D$1278,2,0)</f>
        <v>办公用品</v>
      </c>
    </row>
    <row r="4788" spans="1:20">
      <c r="A4788" s="8">
        <f>DATE(2012,12,31)-1379</f>
        <v>39895</v>
      </c>
      <c r="B4788" s="8">
        <f>DATE(2012,12,31)-1379</f>
        <v>39895</v>
      </c>
      <c r="C4788" s="9" t="s">
        <v>802</v>
      </c>
      <c r="D4788">
        <v>10021560565</v>
      </c>
      <c r="E4788" t="s">
        <v>47</v>
      </c>
      <c r="F4788" t="s">
        <v>253</v>
      </c>
      <c r="G4788" t="s">
        <v>254</v>
      </c>
      <c r="H4788" t="s">
        <v>2344</v>
      </c>
      <c r="I4788" t="s">
        <v>2345</v>
      </c>
      <c r="J4788" t="s">
        <v>52</v>
      </c>
      <c r="K4788" s="3">
        <v>100433121514</v>
      </c>
      <c r="L4788" s="10">
        <v>39895</v>
      </c>
      <c r="M4788">
        <v>103.39</v>
      </c>
      <c r="N4788" s="11">
        <v>20</v>
      </c>
      <c r="O4788" s="12">
        <v>4.84</v>
      </c>
      <c r="P4788" s="12">
        <v>0.71</v>
      </c>
      <c r="Q4788" s="13">
        <v>29.17</v>
      </c>
      <c r="R4788" s="36" t="s">
        <v>946</v>
      </c>
      <c r="S4788" s="7">
        <f t="shared" si="402"/>
        <v>0</v>
      </c>
      <c r="T4788" s="15" t="str">
        <f>VLOOKUP(R4788,产品分类!$C$2:$D$1278,2,0)</f>
        <v>数码电子</v>
      </c>
    </row>
    <row r="4789" spans="1:20">
      <c r="A4789" s="8">
        <f>DATE(2012,12,31)-1379</f>
        <v>39895</v>
      </c>
      <c r="B4789" s="8">
        <f>DATE(2012,12,31)-1379</f>
        <v>39895</v>
      </c>
      <c r="C4789" s="9" t="s">
        <v>802</v>
      </c>
      <c r="D4789">
        <v>10021435394</v>
      </c>
      <c r="E4789" t="s">
        <v>47</v>
      </c>
      <c r="F4789" t="s">
        <v>72</v>
      </c>
      <c r="G4789" t="s">
        <v>73</v>
      </c>
      <c r="H4789" t="s">
        <v>2008</v>
      </c>
      <c r="I4789" t="s">
        <v>2009</v>
      </c>
      <c r="J4789" t="s">
        <v>52</v>
      </c>
      <c r="K4789" s="3">
        <v>100732963755</v>
      </c>
      <c r="L4789" s="10">
        <v>39897</v>
      </c>
      <c r="M4789">
        <v>435.39</v>
      </c>
      <c r="N4789" s="11">
        <v>28</v>
      </c>
      <c r="O4789" s="12">
        <v>14.98</v>
      </c>
      <c r="P4789" s="12">
        <v>7.69</v>
      </c>
      <c r="Q4789" s="13">
        <v>-48.97</v>
      </c>
      <c r="R4789" s="36" t="s">
        <v>1142</v>
      </c>
      <c r="S4789" s="7">
        <f t="shared" si="402"/>
        <v>2</v>
      </c>
      <c r="T4789" s="15" t="str">
        <f>VLOOKUP(R4789,产品分类!$C$2:$D$1278,2,0)</f>
        <v>办公用品</v>
      </c>
    </row>
    <row r="4790" spans="1:20">
      <c r="A4790" s="8">
        <f>DATE(2012,12,31)-58</f>
        <v>41216</v>
      </c>
      <c r="B4790" s="8">
        <f>DATE(2012,12,31)-58</f>
        <v>41216</v>
      </c>
      <c r="C4790" s="9" t="s">
        <v>1406</v>
      </c>
      <c r="D4790">
        <v>10021271525</v>
      </c>
      <c r="E4790" t="s">
        <v>47</v>
      </c>
      <c r="F4790" t="s">
        <v>78</v>
      </c>
      <c r="G4790" t="s">
        <v>79</v>
      </c>
      <c r="H4790" t="s">
        <v>2379</v>
      </c>
      <c r="I4790" t="s">
        <v>2380</v>
      </c>
      <c r="J4790" t="s">
        <v>52</v>
      </c>
      <c r="K4790" s="3">
        <v>100932759401</v>
      </c>
      <c r="L4790" s="10">
        <v>41218</v>
      </c>
      <c r="M4790">
        <v>43.9</v>
      </c>
      <c r="N4790" s="11">
        <v>6</v>
      </c>
      <c r="O4790" s="12">
        <v>6.64</v>
      </c>
      <c r="P4790" s="12">
        <v>4.95</v>
      </c>
      <c r="Q4790" s="13">
        <v>12.74</v>
      </c>
      <c r="R4790" s="36" t="s">
        <v>281</v>
      </c>
      <c r="S4790" s="7">
        <f t="shared" si="402"/>
        <v>2</v>
      </c>
      <c r="T4790" s="15" t="str">
        <f>VLOOKUP(R4790,产品分类!$C$2:$D$1278,2,0)</f>
        <v>数码电子</v>
      </c>
    </row>
    <row r="4791" spans="1:20">
      <c r="A4791" s="8">
        <f>DATE(2012,12,31)-58</f>
        <v>41216</v>
      </c>
      <c r="B4791" s="8">
        <f>DATE(2012,12,31)-58</f>
        <v>41216</v>
      </c>
      <c r="C4791" s="9" t="s">
        <v>1406</v>
      </c>
      <c r="D4791">
        <v>10021377263</v>
      </c>
      <c r="E4791" t="s">
        <v>47</v>
      </c>
      <c r="F4791" t="s">
        <v>91</v>
      </c>
      <c r="G4791" t="s">
        <v>92</v>
      </c>
      <c r="H4791" t="s">
        <v>2053</v>
      </c>
      <c r="I4791" t="s">
        <v>2054</v>
      </c>
      <c r="J4791" t="s">
        <v>52</v>
      </c>
      <c r="K4791" s="3">
        <v>100432901834</v>
      </c>
      <c r="L4791" s="10">
        <v>41216</v>
      </c>
      <c r="M4791">
        <v>236.28</v>
      </c>
      <c r="N4791" s="11">
        <v>50</v>
      </c>
      <c r="O4791" s="12">
        <v>4.91</v>
      </c>
      <c r="P4791" s="12">
        <v>3.05</v>
      </c>
      <c r="Q4791" s="13">
        <v>-34.06</v>
      </c>
      <c r="R4791" s="36" t="s">
        <v>2230</v>
      </c>
      <c r="S4791" s="7">
        <f t="shared" si="402"/>
        <v>0</v>
      </c>
      <c r="T4791" s="15" t="str">
        <f>VLOOKUP(R4791,产品分类!$C$2:$D$1278,2,0)</f>
        <v>办公用品</v>
      </c>
    </row>
    <row r="4792" spans="1:20">
      <c r="A4792" s="8">
        <f>DATE(2012,12,31)-644</f>
        <v>40630</v>
      </c>
      <c r="B4792" s="8">
        <f>DATE(2012,12,31)-644</f>
        <v>40630</v>
      </c>
      <c r="C4792" s="9" t="s">
        <v>1473</v>
      </c>
      <c r="D4792">
        <v>10021321553</v>
      </c>
      <c r="E4792" t="s">
        <v>47</v>
      </c>
      <c r="F4792" t="s">
        <v>91</v>
      </c>
      <c r="G4792" t="s">
        <v>92</v>
      </c>
      <c r="H4792" t="s">
        <v>2053</v>
      </c>
      <c r="I4792" t="s">
        <v>2054</v>
      </c>
      <c r="J4792" t="s">
        <v>52</v>
      </c>
      <c r="K4792" s="3">
        <v>100832832002</v>
      </c>
      <c r="L4792" s="10">
        <v>40632</v>
      </c>
      <c r="M4792">
        <v>26.68</v>
      </c>
      <c r="N4792" s="11">
        <v>1</v>
      </c>
      <c r="O4792" s="12">
        <v>22.23</v>
      </c>
      <c r="P4792" s="12">
        <v>3.63</v>
      </c>
      <c r="Q4792" s="13">
        <v>-10.74</v>
      </c>
      <c r="R4792" s="36" t="s">
        <v>1837</v>
      </c>
      <c r="S4792" s="7">
        <f t="shared" si="402"/>
        <v>2</v>
      </c>
      <c r="T4792" s="15" t="str">
        <f>VLOOKUP(R4792,产品分类!$C$2:$D$1278,2,0)</f>
        <v>数码电子</v>
      </c>
    </row>
    <row r="4793" spans="1:20">
      <c r="A4793" s="8">
        <f t="shared" ref="A4793:B4795" si="409">DATE(2012,12,31)-430</f>
        <v>40844</v>
      </c>
      <c r="B4793" s="8">
        <f t="shared" si="409"/>
        <v>40844</v>
      </c>
      <c r="C4793" s="9" t="s">
        <v>1726</v>
      </c>
      <c r="D4793">
        <v>10021491832</v>
      </c>
      <c r="E4793" t="s">
        <v>47</v>
      </c>
      <c r="F4793" t="s">
        <v>132</v>
      </c>
      <c r="G4793" t="s">
        <v>133</v>
      </c>
      <c r="H4793" t="s">
        <v>134</v>
      </c>
      <c r="I4793" t="s">
        <v>133</v>
      </c>
      <c r="J4793" t="s">
        <v>52</v>
      </c>
      <c r="K4793" s="3">
        <v>100433052953</v>
      </c>
      <c r="L4793" s="10">
        <v>40845</v>
      </c>
      <c r="M4793">
        <v>2536.18</v>
      </c>
      <c r="N4793" s="11">
        <v>19</v>
      </c>
      <c r="O4793" s="12">
        <v>142.86</v>
      </c>
      <c r="P4793" s="12">
        <v>19.99</v>
      </c>
      <c r="Q4793" s="13">
        <v>350.62</v>
      </c>
      <c r="R4793" s="36" t="s">
        <v>1067</v>
      </c>
      <c r="S4793" s="7">
        <f t="shared" si="402"/>
        <v>1</v>
      </c>
      <c r="T4793" s="15" t="str">
        <f>VLOOKUP(R4793,产品分类!$C$2:$D$1278,2,0)</f>
        <v>办公用品</v>
      </c>
    </row>
    <row r="4794" spans="1:20">
      <c r="A4794" s="8">
        <f t="shared" si="409"/>
        <v>40844</v>
      </c>
      <c r="B4794" s="8">
        <f t="shared" si="409"/>
        <v>40844</v>
      </c>
      <c r="C4794" s="9" t="s">
        <v>1726</v>
      </c>
      <c r="D4794">
        <v>10021551481</v>
      </c>
      <c r="E4794" t="s">
        <v>47</v>
      </c>
      <c r="F4794" t="s">
        <v>102</v>
      </c>
      <c r="G4794" t="s">
        <v>103</v>
      </c>
      <c r="H4794" t="s">
        <v>2326</v>
      </c>
      <c r="I4794" t="s">
        <v>2327</v>
      </c>
      <c r="J4794" t="s">
        <v>52</v>
      </c>
      <c r="K4794" s="3">
        <v>100133110976</v>
      </c>
      <c r="L4794" s="10">
        <v>40845</v>
      </c>
      <c r="M4794">
        <v>38.56</v>
      </c>
      <c r="N4794" s="11">
        <v>20</v>
      </c>
      <c r="O4794" s="12">
        <v>1.88</v>
      </c>
      <c r="P4794" s="12">
        <v>1.49</v>
      </c>
      <c r="Q4794" s="13">
        <v>-10.2465</v>
      </c>
      <c r="R4794" s="36" t="s">
        <v>1426</v>
      </c>
      <c r="S4794" s="7">
        <f t="shared" si="402"/>
        <v>1</v>
      </c>
      <c r="T4794" s="15" t="str">
        <f>VLOOKUP(R4794,产品分类!$C$2:$D$1278,2,0)</f>
        <v>办公用品</v>
      </c>
    </row>
    <row r="4795" spans="1:20">
      <c r="A4795" s="8">
        <f t="shared" si="409"/>
        <v>40844</v>
      </c>
      <c r="B4795" s="8">
        <f t="shared" si="409"/>
        <v>40844</v>
      </c>
      <c r="C4795" s="9" t="s">
        <v>1726</v>
      </c>
      <c r="D4795">
        <v>10021553522</v>
      </c>
      <c r="E4795" t="s">
        <v>47</v>
      </c>
      <c r="F4795" t="s">
        <v>171</v>
      </c>
      <c r="G4795" t="s">
        <v>172</v>
      </c>
      <c r="H4795" t="s">
        <v>2352</v>
      </c>
      <c r="I4795" t="s">
        <v>2353</v>
      </c>
      <c r="J4795" t="s">
        <v>52</v>
      </c>
      <c r="K4795" s="3">
        <v>100733116105</v>
      </c>
      <c r="L4795" s="10">
        <v>40846</v>
      </c>
      <c r="M4795">
        <v>764.32</v>
      </c>
      <c r="N4795" s="11">
        <v>35</v>
      </c>
      <c r="O4795" s="12">
        <v>21.38</v>
      </c>
      <c r="P4795" s="12">
        <v>8.99</v>
      </c>
      <c r="Q4795" s="13">
        <v>-34.59</v>
      </c>
      <c r="R4795" s="36" t="s">
        <v>993</v>
      </c>
      <c r="S4795" s="7">
        <f t="shared" si="402"/>
        <v>2</v>
      </c>
      <c r="T4795" s="15" t="str">
        <f>VLOOKUP(R4795,产品分类!$C$2:$D$1278,2,0)</f>
        <v>数码电子</v>
      </c>
    </row>
    <row r="4796" spans="1:20">
      <c r="A4796" s="8">
        <f>DATE(2012,12,31)-330</f>
        <v>40944</v>
      </c>
      <c r="B4796" s="8">
        <f>DATE(2012,12,31)-330</f>
        <v>40944</v>
      </c>
      <c r="C4796" s="9" t="s">
        <v>1916</v>
      </c>
      <c r="D4796">
        <v>10021538156</v>
      </c>
      <c r="E4796" t="s">
        <v>47</v>
      </c>
      <c r="F4796" t="s">
        <v>527</v>
      </c>
      <c r="G4796" t="s">
        <v>528</v>
      </c>
      <c r="H4796" t="s">
        <v>2385</v>
      </c>
      <c r="I4796" t="s">
        <v>2386</v>
      </c>
      <c r="J4796" t="s">
        <v>52</v>
      </c>
      <c r="K4796" s="3">
        <v>100333097549</v>
      </c>
      <c r="L4796" s="10">
        <v>40944</v>
      </c>
      <c r="M4796">
        <v>1415.148</v>
      </c>
      <c r="N4796" s="11">
        <v>29</v>
      </c>
      <c r="O4796" s="12">
        <v>55.99</v>
      </c>
      <c r="P4796" s="12">
        <v>5</v>
      </c>
      <c r="Q4796" s="13">
        <v>-64.944</v>
      </c>
      <c r="R4796" s="36" t="s">
        <v>1020</v>
      </c>
      <c r="S4796" s="7">
        <f t="shared" si="402"/>
        <v>0</v>
      </c>
      <c r="T4796" s="15" t="str">
        <f>VLOOKUP(R4796,产品分类!$C$2:$D$1278,2,0)</f>
        <v>办公用品</v>
      </c>
    </row>
    <row r="4797" spans="1:20">
      <c r="A4797" s="8">
        <f>DATE(2012,12,31)-246</f>
        <v>41028</v>
      </c>
      <c r="B4797" s="8">
        <f>DATE(2012,12,31)-246</f>
        <v>41028</v>
      </c>
      <c r="C4797" s="9" t="s">
        <v>1159</v>
      </c>
      <c r="D4797">
        <v>10021632713</v>
      </c>
      <c r="E4797" t="s">
        <v>47</v>
      </c>
      <c r="F4797" t="s">
        <v>61</v>
      </c>
      <c r="G4797" t="s">
        <v>62</v>
      </c>
      <c r="H4797" t="s">
        <v>2356</v>
      </c>
      <c r="I4797" t="s">
        <v>2357</v>
      </c>
      <c r="J4797" t="s">
        <v>52</v>
      </c>
      <c r="K4797" s="3">
        <v>100433203324</v>
      </c>
      <c r="L4797" s="10">
        <v>41030</v>
      </c>
      <c r="M4797">
        <v>2251.9135</v>
      </c>
      <c r="N4797" s="11">
        <v>41</v>
      </c>
      <c r="O4797" s="12">
        <v>65.99</v>
      </c>
      <c r="P4797" s="12">
        <v>2.5</v>
      </c>
      <c r="Q4797" s="13">
        <v>655.911</v>
      </c>
      <c r="R4797" s="36" t="s">
        <v>293</v>
      </c>
      <c r="S4797" s="7">
        <f t="shared" si="402"/>
        <v>2</v>
      </c>
      <c r="T4797" s="15" t="str">
        <f>VLOOKUP(R4797,产品分类!$C$2:$D$1278,2,0)</f>
        <v>办公用品</v>
      </c>
    </row>
    <row r="4798" spans="1:20">
      <c r="A4798" s="8">
        <f>DATE(2012,12,31)-1256</f>
        <v>40018</v>
      </c>
      <c r="B4798" s="8">
        <f>DATE(2012,12,31)-1256</f>
        <v>40018</v>
      </c>
      <c r="C4798" s="9" t="s">
        <v>2043</v>
      </c>
      <c r="D4798">
        <v>10021271495</v>
      </c>
      <c r="E4798" t="s">
        <v>47</v>
      </c>
      <c r="F4798" t="s">
        <v>152</v>
      </c>
      <c r="G4798" t="s">
        <v>153</v>
      </c>
      <c r="H4798" t="s">
        <v>2302</v>
      </c>
      <c r="I4798" t="s">
        <v>2303</v>
      </c>
      <c r="J4798" t="s">
        <v>52</v>
      </c>
      <c r="K4798" s="3">
        <v>100132759248</v>
      </c>
      <c r="L4798" s="10">
        <v>40022</v>
      </c>
      <c r="M4798">
        <v>3077.731</v>
      </c>
      <c r="N4798" s="11">
        <v>31</v>
      </c>
      <c r="O4798" s="12">
        <v>115.99</v>
      </c>
      <c r="P4798" s="12">
        <v>5.26</v>
      </c>
      <c r="Q4798" s="13">
        <v>745.479</v>
      </c>
      <c r="R4798" s="36" t="s">
        <v>265</v>
      </c>
      <c r="S4798" s="7">
        <f t="shared" si="402"/>
        <v>4</v>
      </c>
      <c r="T4798" s="15" t="str">
        <f>VLOOKUP(R4798,产品分类!$C$2:$D$1278,2,0)</f>
        <v>办公用品</v>
      </c>
    </row>
    <row r="4799" spans="1:20">
      <c r="A4799" s="8">
        <f>DATE(2012,12,31)-487</f>
        <v>40787</v>
      </c>
      <c r="B4799" s="8">
        <f>DATE(2012,12,31)-487</f>
        <v>40787</v>
      </c>
      <c r="C4799" s="9" t="s">
        <v>1381</v>
      </c>
      <c r="D4799">
        <v>10021596834</v>
      </c>
      <c r="E4799" t="s">
        <v>47</v>
      </c>
      <c r="F4799" t="s">
        <v>152</v>
      </c>
      <c r="G4799" t="s">
        <v>153</v>
      </c>
      <c r="H4799" t="s">
        <v>2302</v>
      </c>
      <c r="I4799" t="s">
        <v>2303</v>
      </c>
      <c r="J4799" t="s">
        <v>52</v>
      </c>
      <c r="K4799" s="3">
        <v>100133163347</v>
      </c>
      <c r="L4799" s="10">
        <v>40789</v>
      </c>
      <c r="M4799">
        <v>315.792</v>
      </c>
      <c r="N4799" s="11">
        <v>13</v>
      </c>
      <c r="O4799" s="12">
        <v>28.99</v>
      </c>
      <c r="P4799" s="12">
        <v>8.59</v>
      </c>
      <c r="Q4799" s="13">
        <v>-105.765</v>
      </c>
      <c r="R4799" s="36" t="s">
        <v>1695</v>
      </c>
      <c r="S4799" s="7">
        <f t="shared" si="402"/>
        <v>2</v>
      </c>
      <c r="T4799" s="15" t="str">
        <f>VLOOKUP(R4799,产品分类!$C$2:$D$1278,2,0)</f>
        <v>办公用品</v>
      </c>
    </row>
    <row r="4800" spans="1:20">
      <c r="A4800" s="8">
        <f>DATE(2012,12,31)-328</f>
        <v>40946</v>
      </c>
      <c r="B4800" s="8">
        <f>DATE(2012,12,31)-328</f>
        <v>40946</v>
      </c>
      <c r="C4800" s="9" t="s">
        <v>250</v>
      </c>
      <c r="D4800">
        <v>10021378343</v>
      </c>
      <c r="E4800" t="s">
        <v>47</v>
      </c>
      <c r="F4800" t="s">
        <v>152</v>
      </c>
      <c r="G4800" t="s">
        <v>153</v>
      </c>
      <c r="H4800" t="s">
        <v>2302</v>
      </c>
      <c r="I4800" t="s">
        <v>2303</v>
      </c>
      <c r="J4800" t="s">
        <v>52</v>
      </c>
      <c r="K4800" s="3">
        <v>100932904101</v>
      </c>
      <c r="L4800" s="10">
        <v>40948</v>
      </c>
      <c r="M4800">
        <v>299.94</v>
      </c>
      <c r="N4800" s="11">
        <v>45</v>
      </c>
      <c r="O4800" s="12">
        <v>6.75</v>
      </c>
      <c r="P4800" s="12">
        <v>2.99</v>
      </c>
      <c r="Q4800" s="13">
        <v>38.743</v>
      </c>
      <c r="R4800" s="36" t="s">
        <v>1532</v>
      </c>
      <c r="S4800" s="7">
        <f t="shared" si="402"/>
        <v>2</v>
      </c>
      <c r="T4800" s="15" t="str">
        <f>VLOOKUP(R4800,产品分类!$C$2:$D$1278,2,0)</f>
        <v>办公用品</v>
      </c>
    </row>
    <row r="4801" spans="1:20">
      <c r="A4801" s="8">
        <f>DATE(2012,12,31)-132</f>
        <v>41142</v>
      </c>
      <c r="B4801" s="8">
        <f>DATE(2012,12,31)-132</f>
        <v>41142</v>
      </c>
      <c r="C4801" s="9" t="s">
        <v>1132</v>
      </c>
      <c r="D4801">
        <v>10021571511</v>
      </c>
      <c r="E4801" t="s">
        <v>47</v>
      </c>
      <c r="F4801" t="s">
        <v>91</v>
      </c>
      <c r="G4801" t="s">
        <v>92</v>
      </c>
      <c r="H4801" t="s">
        <v>2053</v>
      </c>
      <c r="I4801" t="s">
        <v>2054</v>
      </c>
      <c r="J4801" t="s">
        <v>52</v>
      </c>
      <c r="K4801" s="3">
        <v>100833154842</v>
      </c>
      <c r="L4801" s="10">
        <v>41143</v>
      </c>
      <c r="M4801">
        <v>136.79</v>
      </c>
      <c r="N4801" s="11">
        <v>33</v>
      </c>
      <c r="O4801" s="12">
        <v>4.13</v>
      </c>
      <c r="P4801" s="12">
        <v>0.99</v>
      </c>
      <c r="Q4801" s="13">
        <v>42.71</v>
      </c>
      <c r="R4801" s="36" t="s">
        <v>971</v>
      </c>
      <c r="S4801" s="7">
        <f t="shared" si="402"/>
        <v>1</v>
      </c>
      <c r="T4801" s="15" t="str">
        <f>VLOOKUP(R4801,产品分类!$C$2:$D$1278,2,0)</f>
        <v>办公用品</v>
      </c>
    </row>
    <row r="4802" spans="1:20">
      <c r="A4802" s="8">
        <f>DATE(2012,12,31)-479</f>
        <v>40795</v>
      </c>
      <c r="B4802" s="8">
        <f>DATE(2012,12,31)-479</f>
        <v>40795</v>
      </c>
      <c r="C4802" s="9" t="s">
        <v>113</v>
      </c>
      <c r="D4802">
        <v>10021354702</v>
      </c>
      <c r="E4802" t="s">
        <v>47</v>
      </c>
      <c r="F4802" t="s">
        <v>55</v>
      </c>
      <c r="G4802" t="s">
        <v>56</v>
      </c>
      <c r="H4802" t="s">
        <v>2331</v>
      </c>
      <c r="I4802" t="s">
        <v>2332</v>
      </c>
      <c r="J4802" t="s">
        <v>52</v>
      </c>
      <c r="K4802" s="3">
        <v>100132863396</v>
      </c>
      <c r="L4802" s="10">
        <v>40796</v>
      </c>
      <c r="M4802">
        <v>4097.1445</v>
      </c>
      <c r="N4802" s="11">
        <v>26</v>
      </c>
      <c r="O4802" s="12">
        <v>205.99</v>
      </c>
      <c r="P4802" s="12">
        <v>8.99</v>
      </c>
      <c r="Q4802" s="13">
        <v>501.543</v>
      </c>
      <c r="R4802" s="36" t="s">
        <v>1543</v>
      </c>
      <c r="S4802" s="7">
        <f t="shared" si="402"/>
        <v>1</v>
      </c>
      <c r="T4802" s="15" t="str">
        <f>VLOOKUP(R4802,产品分类!$C$2:$D$1278,2,0)</f>
        <v>家具产品</v>
      </c>
    </row>
    <row r="4803" spans="1:20">
      <c r="A4803" s="8">
        <f t="shared" ref="A4803:B4805" si="410">DATE(2012,12,31)-1234</f>
        <v>40040</v>
      </c>
      <c r="B4803" s="8">
        <f t="shared" si="410"/>
        <v>40040</v>
      </c>
      <c r="C4803" s="9" t="s">
        <v>2389</v>
      </c>
      <c r="D4803">
        <v>10021654057</v>
      </c>
      <c r="E4803" t="s">
        <v>47</v>
      </c>
      <c r="F4803" t="s">
        <v>55</v>
      </c>
      <c r="G4803" t="s">
        <v>56</v>
      </c>
      <c r="H4803" t="s">
        <v>2331</v>
      </c>
      <c r="I4803" t="s">
        <v>2332</v>
      </c>
      <c r="J4803" t="s">
        <v>52</v>
      </c>
      <c r="K4803" s="3">
        <v>100933254761</v>
      </c>
      <c r="L4803" s="10">
        <v>40043</v>
      </c>
      <c r="M4803">
        <v>34.42</v>
      </c>
      <c r="N4803" s="11">
        <v>13</v>
      </c>
      <c r="O4803" s="12">
        <v>2.61</v>
      </c>
      <c r="P4803" s="12">
        <v>0.5</v>
      </c>
      <c r="Q4803" s="13">
        <v>9.47</v>
      </c>
      <c r="R4803" s="36" t="s">
        <v>630</v>
      </c>
      <c r="S4803" s="7">
        <f t="shared" ref="S4803:S4866" si="411">+L4803-B4803</f>
        <v>3</v>
      </c>
      <c r="T4803" s="15" t="str">
        <f>VLOOKUP(R4803,产品分类!$C$2:$D$1278,2,0)</f>
        <v>数码电子</v>
      </c>
    </row>
    <row r="4804" spans="1:20">
      <c r="A4804" s="8">
        <f t="shared" si="410"/>
        <v>40040</v>
      </c>
      <c r="B4804" s="8">
        <f t="shared" si="410"/>
        <v>40040</v>
      </c>
      <c r="C4804" s="9" t="s">
        <v>2389</v>
      </c>
      <c r="D4804">
        <v>10021357916</v>
      </c>
      <c r="E4804" t="s">
        <v>47</v>
      </c>
      <c r="F4804" t="s">
        <v>102</v>
      </c>
      <c r="G4804" t="s">
        <v>103</v>
      </c>
      <c r="H4804" t="s">
        <v>2326</v>
      </c>
      <c r="I4804" t="s">
        <v>2327</v>
      </c>
      <c r="J4804" t="s">
        <v>52</v>
      </c>
      <c r="K4804" s="3">
        <v>100132875717</v>
      </c>
      <c r="L4804" s="10">
        <v>40041</v>
      </c>
      <c r="M4804">
        <v>172.76</v>
      </c>
      <c r="N4804" s="11">
        <v>26</v>
      </c>
      <c r="O4804" s="12">
        <v>7.31</v>
      </c>
      <c r="P4804" s="12">
        <v>0.49</v>
      </c>
      <c r="Q4804" s="13">
        <v>73.18</v>
      </c>
      <c r="R4804" s="36" t="s">
        <v>694</v>
      </c>
      <c r="S4804" s="7">
        <f t="shared" si="411"/>
        <v>1</v>
      </c>
      <c r="T4804" s="15" t="str">
        <f>VLOOKUP(R4804,产品分类!$C$2:$D$1278,2,0)</f>
        <v>办公用品</v>
      </c>
    </row>
    <row r="4805" spans="1:20">
      <c r="A4805" s="8">
        <f t="shared" si="410"/>
        <v>40040</v>
      </c>
      <c r="B4805" s="8">
        <f t="shared" si="410"/>
        <v>40040</v>
      </c>
      <c r="C4805" s="9" t="s">
        <v>2389</v>
      </c>
      <c r="D4805">
        <v>10021323276</v>
      </c>
      <c r="E4805" t="s">
        <v>47</v>
      </c>
      <c r="F4805" t="s">
        <v>61</v>
      </c>
      <c r="G4805" t="s">
        <v>62</v>
      </c>
      <c r="H4805" t="s">
        <v>2356</v>
      </c>
      <c r="I4805" t="s">
        <v>2357</v>
      </c>
      <c r="J4805" t="s">
        <v>52</v>
      </c>
      <c r="K4805" s="3">
        <v>100432838763</v>
      </c>
      <c r="L4805" s="10">
        <v>40041</v>
      </c>
      <c r="M4805">
        <v>853.162</v>
      </c>
      <c r="N4805" s="11">
        <v>50</v>
      </c>
      <c r="O4805" s="12">
        <v>20.99</v>
      </c>
      <c r="P4805" s="12">
        <v>2.5</v>
      </c>
      <c r="Q4805" s="13">
        <v>-83.952</v>
      </c>
      <c r="R4805" s="36" t="s">
        <v>478</v>
      </c>
      <c r="S4805" s="7">
        <f t="shared" si="411"/>
        <v>1</v>
      </c>
      <c r="T4805" s="15" t="str">
        <f>VLOOKUP(R4805,产品分类!$C$2:$D$1278,2,0)</f>
        <v>办公用品</v>
      </c>
    </row>
    <row r="4806" spans="1:20">
      <c r="A4806" s="8">
        <f>DATE(2012,12,31)-425</f>
        <v>40849</v>
      </c>
      <c r="B4806" s="8">
        <f>DATE(2012,12,31)-425</f>
        <v>40849</v>
      </c>
      <c r="C4806" s="9" t="s">
        <v>1686</v>
      </c>
      <c r="D4806">
        <v>10021306173</v>
      </c>
      <c r="E4806" t="s">
        <v>47</v>
      </c>
      <c r="F4806" t="s">
        <v>61</v>
      </c>
      <c r="G4806" t="s">
        <v>62</v>
      </c>
      <c r="H4806" t="s">
        <v>2356</v>
      </c>
      <c r="I4806" t="s">
        <v>2357</v>
      </c>
      <c r="J4806" t="s">
        <v>52</v>
      </c>
      <c r="K4806" s="3">
        <v>100932799461</v>
      </c>
      <c r="L4806" s="10">
        <v>40851</v>
      </c>
      <c r="M4806">
        <v>293.27</v>
      </c>
      <c r="N4806" s="11">
        <v>21</v>
      </c>
      <c r="O4806" s="12">
        <v>14.48</v>
      </c>
      <c r="P4806" s="12">
        <v>1.99</v>
      </c>
      <c r="Q4806" s="13">
        <v>44.56</v>
      </c>
      <c r="R4806" s="36" t="s">
        <v>696</v>
      </c>
      <c r="S4806" s="7">
        <f t="shared" si="411"/>
        <v>2</v>
      </c>
      <c r="T4806" s="15" t="str">
        <f>VLOOKUP(R4806,产品分类!$C$2:$D$1278,2,0)</f>
        <v>办公用品</v>
      </c>
    </row>
    <row r="4807" spans="1:20">
      <c r="A4807" s="8">
        <f>DATE(2012,12,31)-485</f>
        <v>40789</v>
      </c>
      <c r="B4807" s="8">
        <f>DATE(2012,12,31)-485</f>
        <v>40789</v>
      </c>
      <c r="C4807" s="9" t="s">
        <v>1404</v>
      </c>
      <c r="D4807">
        <v>10021477844</v>
      </c>
      <c r="E4807" t="s">
        <v>47</v>
      </c>
      <c r="F4807" t="s">
        <v>91</v>
      </c>
      <c r="G4807" t="s">
        <v>92</v>
      </c>
      <c r="H4807" t="s">
        <v>2053</v>
      </c>
      <c r="I4807" t="s">
        <v>2054</v>
      </c>
      <c r="J4807" t="s">
        <v>52</v>
      </c>
      <c r="K4807" s="3">
        <v>100132619207</v>
      </c>
      <c r="L4807" s="10">
        <v>40789</v>
      </c>
      <c r="M4807">
        <v>27</v>
      </c>
      <c r="N4807" s="11">
        <v>2</v>
      </c>
      <c r="O4807" s="12">
        <v>5.78</v>
      </c>
      <c r="P4807" s="12">
        <v>8.09</v>
      </c>
      <c r="Q4807" s="13">
        <v>-4.9</v>
      </c>
      <c r="R4807" s="36" t="s">
        <v>642</v>
      </c>
      <c r="S4807" s="7">
        <f t="shared" si="411"/>
        <v>0</v>
      </c>
      <c r="T4807" s="15" t="str">
        <f>VLOOKUP(R4807,产品分类!$C$2:$D$1278,2,0)</f>
        <v>家具产品</v>
      </c>
    </row>
    <row r="4808" spans="1:20">
      <c r="A4808" s="8">
        <f>DATE(2012,12,31)-75</f>
        <v>41199</v>
      </c>
      <c r="B4808" s="8">
        <f>DATE(2012,12,31)-75</f>
        <v>41199</v>
      </c>
      <c r="C4808" s="9" t="s">
        <v>166</v>
      </c>
      <c r="D4808">
        <v>10021255857</v>
      </c>
      <c r="E4808" t="s">
        <v>47</v>
      </c>
      <c r="F4808" t="s">
        <v>132</v>
      </c>
      <c r="G4808" t="s">
        <v>133</v>
      </c>
      <c r="H4808" t="s">
        <v>134</v>
      </c>
      <c r="I4808" t="s">
        <v>133</v>
      </c>
      <c r="J4808" t="s">
        <v>52</v>
      </c>
      <c r="K4808" s="3">
        <v>100324597319</v>
      </c>
      <c r="L4808" s="10">
        <v>41201</v>
      </c>
      <c r="M4808">
        <v>336.34</v>
      </c>
      <c r="N4808" s="11">
        <v>31</v>
      </c>
      <c r="O4808" s="12">
        <v>10.52</v>
      </c>
      <c r="P4808" s="12">
        <v>7.94</v>
      </c>
      <c r="Q4808" s="13">
        <v>-89.9</v>
      </c>
      <c r="R4808" s="36" t="s">
        <v>2076</v>
      </c>
      <c r="S4808" s="7">
        <f t="shared" si="411"/>
        <v>2</v>
      </c>
      <c r="T4808" s="15" t="str">
        <f>VLOOKUP(R4808,产品分类!$C$2:$D$1278,2,0)</f>
        <v>家具产品</v>
      </c>
    </row>
    <row r="4809" spans="1:20">
      <c r="A4809" s="8">
        <f>DATE(2012,12,31)-860</f>
        <v>40414</v>
      </c>
      <c r="B4809" s="8">
        <f>DATE(2012,12,31)-860</f>
        <v>40414</v>
      </c>
      <c r="C4809" s="9" t="s">
        <v>470</v>
      </c>
      <c r="D4809">
        <v>10021255684</v>
      </c>
      <c r="E4809" t="s">
        <v>47</v>
      </c>
      <c r="F4809" t="s">
        <v>102</v>
      </c>
      <c r="G4809" t="s">
        <v>103</v>
      </c>
      <c r="H4809" t="s">
        <v>2326</v>
      </c>
      <c r="I4809" t="s">
        <v>2327</v>
      </c>
      <c r="J4809" t="s">
        <v>52</v>
      </c>
      <c r="K4809" s="3">
        <v>100424367323</v>
      </c>
      <c r="L4809" s="10">
        <v>40416</v>
      </c>
      <c r="M4809">
        <v>705.44</v>
      </c>
      <c r="N4809" s="11">
        <v>48</v>
      </c>
      <c r="O4809" s="12">
        <v>14.2</v>
      </c>
      <c r="P4809" s="12">
        <v>5.3</v>
      </c>
      <c r="Q4809" s="13">
        <v>165.9</v>
      </c>
      <c r="R4809" s="36" t="s">
        <v>975</v>
      </c>
      <c r="S4809" s="7">
        <f t="shared" si="411"/>
        <v>2</v>
      </c>
      <c r="T4809" s="15" t="str">
        <f>VLOOKUP(R4809,产品分类!$C$2:$D$1278,2,0)</f>
        <v>家具产品</v>
      </c>
    </row>
    <row r="4810" spans="1:20">
      <c r="A4810" s="8">
        <f>DATE(2012,12,31)-860</f>
        <v>40414</v>
      </c>
      <c r="B4810" s="8">
        <f>DATE(2012,12,31)-860</f>
        <v>40414</v>
      </c>
      <c r="C4810" s="9" t="s">
        <v>470</v>
      </c>
      <c r="D4810">
        <v>10021650104</v>
      </c>
      <c r="E4810" t="s">
        <v>47</v>
      </c>
      <c r="F4810" t="s">
        <v>66</v>
      </c>
      <c r="G4810" t="s">
        <v>67</v>
      </c>
      <c r="H4810" t="s">
        <v>2359</v>
      </c>
      <c r="I4810" t="s">
        <v>2360</v>
      </c>
      <c r="J4810" t="s">
        <v>52</v>
      </c>
      <c r="K4810" s="3">
        <v>100410552043</v>
      </c>
      <c r="L4810" s="10">
        <v>40416</v>
      </c>
      <c r="M4810">
        <v>1041.72</v>
      </c>
      <c r="N4810" s="11">
        <v>29</v>
      </c>
      <c r="O4810" s="12">
        <v>35.44</v>
      </c>
      <c r="P4810" s="12">
        <v>4.92</v>
      </c>
      <c r="Q4810" s="13">
        <v>437.61</v>
      </c>
      <c r="R4810" s="36" t="s">
        <v>1961</v>
      </c>
      <c r="S4810" s="7">
        <f t="shared" si="411"/>
        <v>2</v>
      </c>
      <c r="T4810" s="15" t="str">
        <f>VLOOKUP(R4810,产品分类!$C$2:$D$1278,2,0)</f>
        <v>数码电子</v>
      </c>
    </row>
    <row r="4811" spans="1:20">
      <c r="A4811" s="8">
        <f>DATE(2012,12,31)-322</f>
        <v>40952</v>
      </c>
      <c r="B4811" s="8">
        <f>DATE(2012,12,31)-322</f>
        <v>40952</v>
      </c>
      <c r="C4811" s="9" t="s">
        <v>598</v>
      </c>
      <c r="D4811">
        <v>10021456033</v>
      </c>
      <c r="E4811" t="s">
        <v>47</v>
      </c>
      <c r="F4811" t="s">
        <v>152</v>
      </c>
      <c r="G4811" t="s">
        <v>153</v>
      </c>
      <c r="H4811" t="s">
        <v>2302</v>
      </c>
      <c r="I4811" t="s">
        <v>2303</v>
      </c>
      <c r="J4811" t="s">
        <v>52</v>
      </c>
      <c r="K4811" s="3">
        <v>10077988495</v>
      </c>
      <c r="L4811" s="10">
        <v>40955</v>
      </c>
      <c r="M4811">
        <v>136.49</v>
      </c>
      <c r="N4811" s="11">
        <v>15</v>
      </c>
      <c r="O4811" s="12">
        <v>9.93</v>
      </c>
      <c r="P4811" s="12">
        <v>1.09</v>
      </c>
      <c r="Q4811" s="13">
        <v>36.23</v>
      </c>
      <c r="R4811" s="36" t="s">
        <v>393</v>
      </c>
      <c r="S4811" s="7">
        <f t="shared" si="411"/>
        <v>3</v>
      </c>
      <c r="T4811" s="15" t="str">
        <f>VLOOKUP(R4811,产品分类!$C$2:$D$1278,2,0)</f>
        <v>数码电子</v>
      </c>
    </row>
    <row r="4812" spans="1:20">
      <c r="A4812" s="8">
        <f>DATE(2012,12,31)-597</f>
        <v>40677</v>
      </c>
      <c r="B4812" s="8">
        <f>DATE(2012,12,31)-597</f>
        <v>40677</v>
      </c>
      <c r="C4812" s="9" t="s">
        <v>2067</v>
      </c>
      <c r="D4812">
        <v>10021362342</v>
      </c>
      <c r="E4812" t="s">
        <v>47</v>
      </c>
      <c r="F4812" t="s">
        <v>66</v>
      </c>
      <c r="G4812" t="s">
        <v>67</v>
      </c>
      <c r="H4812" t="s">
        <v>2359</v>
      </c>
      <c r="I4812" t="s">
        <v>2360</v>
      </c>
      <c r="J4812" t="s">
        <v>52</v>
      </c>
      <c r="K4812" s="3">
        <v>10036468439</v>
      </c>
      <c r="L4812" s="10">
        <v>40678</v>
      </c>
      <c r="M4812">
        <v>35.65</v>
      </c>
      <c r="N4812" s="11">
        <v>6</v>
      </c>
      <c r="O4812" s="12">
        <v>5.34</v>
      </c>
      <c r="P4812" s="12">
        <v>2.99</v>
      </c>
      <c r="Q4812" s="13">
        <v>-5.9225</v>
      </c>
      <c r="R4812" s="36" t="s">
        <v>415</v>
      </c>
      <c r="S4812" s="7">
        <f t="shared" si="411"/>
        <v>1</v>
      </c>
      <c r="T4812" s="15" t="str">
        <f>VLOOKUP(R4812,产品分类!$C$2:$D$1278,2,0)</f>
        <v>办公用品</v>
      </c>
    </row>
    <row r="4813" spans="1:20">
      <c r="A4813" s="8">
        <f>DATE(2012,12,31)-84</f>
        <v>41190</v>
      </c>
      <c r="B4813" s="8">
        <f>DATE(2012,12,31)-84</f>
        <v>41190</v>
      </c>
      <c r="C4813" s="9" t="s">
        <v>207</v>
      </c>
      <c r="D4813">
        <v>10021637021</v>
      </c>
      <c r="E4813" t="s">
        <v>47</v>
      </c>
      <c r="F4813" t="s">
        <v>72</v>
      </c>
      <c r="G4813" t="s">
        <v>73</v>
      </c>
      <c r="H4813" t="s">
        <v>2008</v>
      </c>
      <c r="I4813" t="s">
        <v>2009</v>
      </c>
      <c r="J4813" t="s">
        <v>52</v>
      </c>
      <c r="K4813" s="3">
        <v>100131277037</v>
      </c>
      <c r="L4813" s="10">
        <v>41190</v>
      </c>
      <c r="M4813">
        <v>207.55</v>
      </c>
      <c r="N4813" s="11">
        <v>4</v>
      </c>
      <c r="O4813" s="12">
        <v>52.71</v>
      </c>
      <c r="P4813" s="12">
        <v>2.5</v>
      </c>
      <c r="Q4813" s="13">
        <v>16.23</v>
      </c>
      <c r="R4813" s="36" t="s">
        <v>2390</v>
      </c>
      <c r="S4813" s="7">
        <f t="shared" si="411"/>
        <v>0</v>
      </c>
      <c r="T4813" s="15" t="str">
        <f>VLOOKUP(R4813,产品分类!$C$2:$D$1278,2,0)</f>
        <v>家具产品</v>
      </c>
    </row>
    <row r="4814" spans="1:20">
      <c r="A4814" s="8">
        <f t="shared" ref="A4814:B4816" si="412">DATE(2012,12,31)-689</f>
        <v>40585</v>
      </c>
      <c r="B4814" s="8">
        <f t="shared" si="412"/>
        <v>40585</v>
      </c>
      <c r="C4814" s="9" t="s">
        <v>2124</v>
      </c>
      <c r="D4814">
        <v>10021247897</v>
      </c>
      <c r="E4814" t="s">
        <v>47</v>
      </c>
      <c r="F4814" t="s">
        <v>114</v>
      </c>
      <c r="G4814" t="s">
        <v>115</v>
      </c>
      <c r="H4814" t="s">
        <v>2374</v>
      </c>
      <c r="I4814" t="s">
        <v>2375</v>
      </c>
      <c r="J4814" t="s">
        <v>52</v>
      </c>
      <c r="K4814" s="3">
        <v>100714956285</v>
      </c>
      <c r="L4814" s="10">
        <v>40587</v>
      </c>
      <c r="M4814">
        <v>89.04</v>
      </c>
      <c r="N4814" s="11">
        <v>10</v>
      </c>
      <c r="O4814" s="12">
        <v>8.75</v>
      </c>
      <c r="P4814" s="12">
        <v>8.54</v>
      </c>
      <c r="Q4814" s="13">
        <v>-16.49</v>
      </c>
      <c r="R4814" s="36" t="s">
        <v>1033</v>
      </c>
      <c r="S4814" s="7">
        <f t="shared" si="411"/>
        <v>2</v>
      </c>
      <c r="T4814" s="15" t="str">
        <f>VLOOKUP(R4814,产品分类!$C$2:$D$1278,2,0)</f>
        <v>办公用品</v>
      </c>
    </row>
    <row r="4815" spans="1:20">
      <c r="A4815" s="8">
        <f t="shared" si="412"/>
        <v>40585</v>
      </c>
      <c r="B4815" s="8">
        <f t="shared" si="412"/>
        <v>40585</v>
      </c>
      <c r="C4815" s="9" t="s">
        <v>2124</v>
      </c>
      <c r="D4815">
        <v>10021635415</v>
      </c>
      <c r="E4815" t="s">
        <v>47</v>
      </c>
      <c r="F4815" t="s">
        <v>91</v>
      </c>
      <c r="G4815" t="s">
        <v>92</v>
      </c>
      <c r="H4815" t="s">
        <v>2053</v>
      </c>
      <c r="I4815" t="s">
        <v>2054</v>
      </c>
      <c r="J4815" t="s">
        <v>52</v>
      </c>
      <c r="K4815" s="3">
        <v>10077730445</v>
      </c>
      <c r="L4815" s="10">
        <v>40586</v>
      </c>
      <c r="M4815">
        <v>297.34</v>
      </c>
      <c r="N4815" s="11">
        <v>40</v>
      </c>
      <c r="O4815" s="12">
        <v>7.28</v>
      </c>
      <c r="P4815" s="12">
        <v>11.15</v>
      </c>
      <c r="Q4815" s="13">
        <v>-270.96</v>
      </c>
      <c r="R4815" s="36" t="s">
        <v>1394</v>
      </c>
      <c r="S4815" s="7">
        <f t="shared" si="411"/>
        <v>1</v>
      </c>
      <c r="T4815" s="15" t="str">
        <f>VLOOKUP(R4815,产品分类!$C$2:$D$1278,2,0)</f>
        <v>办公用品</v>
      </c>
    </row>
    <row r="4816" spans="1:20">
      <c r="A4816" s="8">
        <f t="shared" si="412"/>
        <v>40585</v>
      </c>
      <c r="B4816" s="8">
        <f t="shared" si="412"/>
        <v>40585</v>
      </c>
      <c r="C4816" s="9" t="s">
        <v>2124</v>
      </c>
      <c r="D4816">
        <v>10021402196</v>
      </c>
      <c r="E4816" t="s">
        <v>47</v>
      </c>
      <c r="F4816" t="s">
        <v>122</v>
      </c>
      <c r="G4816" t="s">
        <v>123</v>
      </c>
      <c r="H4816" t="s">
        <v>2159</v>
      </c>
      <c r="I4816" t="s">
        <v>2160</v>
      </c>
      <c r="J4816" t="s">
        <v>52</v>
      </c>
      <c r="K4816" s="3">
        <v>100827099472</v>
      </c>
      <c r="L4816" s="10">
        <v>40587</v>
      </c>
      <c r="M4816">
        <v>1264.13</v>
      </c>
      <c r="N4816" s="11">
        <v>35</v>
      </c>
      <c r="O4816" s="12">
        <v>35.48</v>
      </c>
      <c r="P4816" s="12">
        <v>35</v>
      </c>
      <c r="Q4816" s="13">
        <v>-1087.36</v>
      </c>
      <c r="R4816" s="36" t="s">
        <v>531</v>
      </c>
      <c r="S4816" s="7">
        <f t="shared" si="411"/>
        <v>2</v>
      </c>
      <c r="T4816" s="15" t="str">
        <f>VLOOKUP(R4816,产品分类!$C$2:$D$1278,2,0)</f>
        <v>数码电子</v>
      </c>
    </row>
    <row r="4817" spans="1:20">
      <c r="A4817" s="8">
        <f>DATE(2012,12,31)-824</f>
        <v>40450</v>
      </c>
      <c r="B4817" s="8">
        <f>DATE(2012,12,31)-824</f>
        <v>40450</v>
      </c>
      <c r="C4817" s="9" t="s">
        <v>313</v>
      </c>
      <c r="D4817">
        <v>10021407860</v>
      </c>
      <c r="E4817" t="s">
        <v>47</v>
      </c>
      <c r="F4817" t="s">
        <v>91</v>
      </c>
      <c r="G4817" t="s">
        <v>92</v>
      </c>
      <c r="H4817" t="s">
        <v>2053</v>
      </c>
      <c r="I4817" t="s">
        <v>2054</v>
      </c>
      <c r="J4817" t="s">
        <v>52</v>
      </c>
      <c r="K4817" s="3">
        <v>10033890299</v>
      </c>
      <c r="L4817" s="10">
        <v>40459</v>
      </c>
      <c r="M4817">
        <v>205.3</v>
      </c>
      <c r="N4817" s="11">
        <v>25</v>
      </c>
      <c r="O4817" s="12">
        <v>7.37</v>
      </c>
      <c r="P4817" s="12">
        <v>5.53</v>
      </c>
      <c r="Q4817" s="13">
        <v>-89.56</v>
      </c>
      <c r="R4817" s="36" t="s">
        <v>1121</v>
      </c>
      <c r="S4817" s="7">
        <f t="shared" si="411"/>
        <v>9</v>
      </c>
      <c r="T4817" s="15" t="str">
        <f>VLOOKUP(R4817,产品分类!$C$2:$D$1278,2,0)</f>
        <v>家具产品</v>
      </c>
    </row>
    <row r="4818" spans="1:20">
      <c r="A4818" s="8">
        <f>DATE(2012,12,31)-824</f>
        <v>40450</v>
      </c>
      <c r="B4818" s="8">
        <f>DATE(2012,12,31)-824</f>
        <v>40450</v>
      </c>
      <c r="C4818" s="9" t="s">
        <v>313</v>
      </c>
      <c r="D4818">
        <v>10021632418</v>
      </c>
      <c r="E4818" t="s">
        <v>47</v>
      </c>
      <c r="F4818" t="s">
        <v>91</v>
      </c>
      <c r="G4818" t="s">
        <v>92</v>
      </c>
      <c r="H4818" t="s">
        <v>2053</v>
      </c>
      <c r="I4818" t="s">
        <v>2054</v>
      </c>
      <c r="J4818" t="s">
        <v>52</v>
      </c>
      <c r="K4818" s="3">
        <v>100916292091</v>
      </c>
      <c r="L4818" s="10">
        <v>40452</v>
      </c>
      <c r="M4818">
        <v>125.7</v>
      </c>
      <c r="N4818" s="11">
        <v>4</v>
      </c>
      <c r="O4818" s="12">
        <v>31.78</v>
      </c>
      <c r="P4818" s="12">
        <v>1.99</v>
      </c>
      <c r="Q4818" s="13">
        <v>-62.77</v>
      </c>
      <c r="R4818" s="36" t="s">
        <v>451</v>
      </c>
      <c r="S4818" s="7">
        <f t="shared" si="411"/>
        <v>2</v>
      </c>
      <c r="T4818" s="15" t="str">
        <f>VLOOKUP(R4818,产品分类!$C$2:$D$1278,2,0)</f>
        <v>家具产品</v>
      </c>
    </row>
    <row r="4819" spans="1:20">
      <c r="A4819" s="8">
        <f>DATE(2012,12,31)-1058</f>
        <v>40216</v>
      </c>
      <c r="B4819" s="8">
        <f>DATE(2012,12,31)-1058</f>
        <v>40216</v>
      </c>
      <c r="C4819" s="9" t="s">
        <v>1722</v>
      </c>
      <c r="D4819">
        <v>10021599672</v>
      </c>
      <c r="E4819" t="s">
        <v>47</v>
      </c>
      <c r="F4819" t="s">
        <v>97</v>
      </c>
      <c r="G4819" t="s">
        <v>98</v>
      </c>
      <c r="H4819" t="s">
        <v>99</v>
      </c>
      <c r="I4819" t="s">
        <v>98</v>
      </c>
      <c r="J4819" t="s">
        <v>52</v>
      </c>
      <c r="K4819" s="3">
        <v>100132986976</v>
      </c>
      <c r="L4819" s="10">
        <v>40217</v>
      </c>
      <c r="M4819">
        <v>189.22</v>
      </c>
      <c r="N4819" s="11">
        <v>42</v>
      </c>
      <c r="O4819" s="12">
        <v>4.28</v>
      </c>
      <c r="P4819" s="12">
        <v>4.79</v>
      </c>
      <c r="Q4819" s="13">
        <v>-92.42</v>
      </c>
      <c r="R4819" s="36" t="s">
        <v>1515</v>
      </c>
      <c r="S4819" s="7">
        <f t="shared" si="411"/>
        <v>1</v>
      </c>
      <c r="T4819" s="15" t="str">
        <f>VLOOKUP(R4819,产品分类!$C$2:$D$1278,2,0)</f>
        <v>办公用品</v>
      </c>
    </row>
    <row r="4820" spans="1:20">
      <c r="A4820" s="8">
        <f t="shared" ref="A4820:B4822" si="413">DATE(2012,12,31)-816</f>
        <v>40458</v>
      </c>
      <c r="B4820" s="8">
        <f t="shared" si="413"/>
        <v>40458</v>
      </c>
      <c r="C4820" s="9" t="s">
        <v>1919</v>
      </c>
      <c r="D4820">
        <v>10021372860</v>
      </c>
      <c r="E4820" t="s">
        <v>47</v>
      </c>
      <c r="F4820" t="s">
        <v>97</v>
      </c>
      <c r="G4820" t="s">
        <v>98</v>
      </c>
      <c r="H4820" t="s">
        <v>99</v>
      </c>
      <c r="I4820" t="s">
        <v>98</v>
      </c>
      <c r="J4820" t="s">
        <v>52</v>
      </c>
      <c r="K4820" s="3">
        <v>100429905663</v>
      </c>
      <c r="L4820" s="10">
        <v>40459</v>
      </c>
      <c r="M4820">
        <v>199.86</v>
      </c>
      <c r="N4820" s="11">
        <v>49</v>
      </c>
      <c r="O4820" s="12">
        <v>4.06</v>
      </c>
      <c r="P4820" s="12">
        <v>6.89</v>
      </c>
      <c r="Q4820" s="13">
        <v>-257.11</v>
      </c>
      <c r="R4820" s="36" t="s">
        <v>1285</v>
      </c>
      <c r="S4820" s="7">
        <f t="shared" si="411"/>
        <v>1</v>
      </c>
      <c r="T4820" s="15" t="str">
        <f>VLOOKUP(R4820,产品分类!$C$2:$D$1278,2,0)</f>
        <v>办公用品</v>
      </c>
    </row>
    <row r="4821" spans="1:20">
      <c r="A4821" s="8">
        <f t="shared" si="413"/>
        <v>40458</v>
      </c>
      <c r="B4821" s="8">
        <f t="shared" si="413"/>
        <v>40458</v>
      </c>
      <c r="C4821" s="9" t="s">
        <v>1919</v>
      </c>
      <c r="D4821">
        <v>10021329640</v>
      </c>
      <c r="E4821" t="s">
        <v>47</v>
      </c>
      <c r="F4821" t="s">
        <v>171</v>
      </c>
      <c r="G4821" t="s">
        <v>172</v>
      </c>
      <c r="H4821" t="s">
        <v>2352</v>
      </c>
      <c r="I4821" t="s">
        <v>2353</v>
      </c>
      <c r="J4821" t="s">
        <v>52</v>
      </c>
      <c r="K4821" s="3">
        <v>100128576516</v>
      </c>
      <c r="L4821" s="10">
        <v>40459</v>
      </c>
      <c r="M4821">
        <v>1888.02</v>
      </c>
      <c r="N4821" s="11">
        <v>18</v>
      </c>
      <c r="O4821" s="12">
        <v>99.99</v>
      </c>
      <c r="P4821" s="12">
        <v>19.99</v>
      </c>
      <c r="Q4821" s="13">
        <v>192.33</v>
      </c>
      <c r="R4821" s="36" t="s">
        <v>1379</v>
      </c>
      <c r="S4821" s="7">
        <f t="shared" si="411"/>
        <v>1</v>
      </c>
      <c r="T4821" s="15" t="str">
        <f>VLOOKUP(R4821,产品分类!$C$2:$D$1278,2,0)</f>
        <v>家具产品</v>
      </c>
    </row>
    <row r="4822" spans="1:20">
      <c r="A4822" s="8">
        <f t="shared" si="413"/>
        <v>40458</v>
      </c>
      <c r="B4822" s="8">
        <f t="shared" si="413"/>
        <v>40458</v>
      </c>
      <c r="C4822" s="9" t="s">
        <v>1919</v>
      </c>
      <c r="D4822">
        <v>10021553727</v>
      </c>
      <c r="E4822" t="s">
        <v>47</v>
      </c>
      <c r="F4822" t="s">
        <v>171</v>
      </c>
      <c r="G4822" t="s">
        <v>172</v>
      </c>
      <c r="H4822" t="s">
        <v>2352</v>
      </c>
      <c r="I4822" t="s">
        <v>2353</v>
      </c>
      <c r="J4822" t="s">
        <v>52</v>
      </c>
      <c r="K4822" s="3">
        <v>100318539059</v>
      </c>
      <c r="L4822" s="10">
        <v>40460</v>
      </c>
      <c r="M4822">
        <v>322.69</v>
      </c>
      <c r="N4822" s="11">
        <v>27</v>
      </c>
      <c r="O4822" s="12">
        <v>11.58</v>
      </c>
      <c r="P4822" s="12">
        <v>6.97</v>
      </c>
      <c r="Q4822" s="13">
        <v>1.91</v>
      </c>
      <c r="R4822" s="36" t="s">
        <v>1022</v>
      </c>
      <c r="S4822" s="7">
        <f t="shared" si="411"/>
        <v>2</v>
      </c>
      <c r="T4822" s="15" t="str">
        <f>VLOOKUP(R4822,产品分类!$C$2:$D$1278,2,0)</f>
        <v>办公用品</v>
      </c>
    </row>
    <row r="4823" spans="1:20">
      <c r="A4823" s="16">
        <f>DATE(2012,12,31)-1279</f>
        <v>39995</v>
      </c>
      <c r="B4823" s="16">
        <f>DATE(2012,12,31)-1279</f>
        <v>39995</v>
      </c>
      <c r="C4823" s="9" t="s">
        <v>1764</v>
      </c>
      <c r="D4823">
        <v>10021679766</v>
      </c>
      <c r="E4823" t="s">
        <v>47</v>
      </c>
      <c r="F4823" t="s">
        <v>167</v>
      </c>
      <c r="G4823" t="s">
        <v>168</v>
      </c>
      <c r="H4823" t="s">
        <v>169</v>
      </c>
      <c r="I4823" t="s">
        <v>168</v>
      </c>
      <c r="J4823" t="s">
        <v>52</v>
      </c>
      <c r="K4823" s="3">
        <v>100926660091</v>
      </c>
      <c r="L4823" s="10">
        <v>39997</v>
      </c>
      <c r="M4823">
        <v>123.46</v>
      </c>
      <c r="N4823" s="17">
        <v>27</v>
      </c>
      <c r="O4823" s="5">
        <v>4.84</v>
      </c>
      <c r="P4823" s="5">
        <v>0.71</v>
      </c>
      <c r="Q4823" s="6">
        <v>26.66</v>
      </c>
      <c r="R4823" s="37" t="s">
        <v>946</v>
      </c>
      <c r="S4823" s="7">
        <f t="shared" si="411"/>
        <v>2</v>
      </c>
      <c r="T4823" s="15" t="str">
        <f>VLOOKUP(R4823,产品分类!$C$2:$D$1278,2,0)</f>
        <v>数码电子</v>
      </c>
    </row>
    <row r="4824" spans="1:20">
      <c r="A4824" s="8">
        <f>DATE(2012,12,31)-1279</f>
        <v>39995</v>
      </c>
      <c r="B4824" s="8">
        <f>DATE(2012,12,31)-1279</f>
        <v>39995</v>
      </c>
      <c r="C4824" s="9" t="s">
        <v>1764</v>
      </c>
      <c r="D4824">
        <v>10021551484</v>
      </c>
      <c r="E4824" t="s">
        <v>47</v>
      </c>
      <c r="F4824" t="s">
        <v>177</v>
      </c>
      <c r="G4824" t="s">
        <v>178</v>
      </c>
      <c r="H4824" t="s">
        <v>2339</v>
      </c>
      <c r="I4824" t="s">
        <v>2340</v>
      </c>
      <c r="J4824" t="s">
        <v>52</v>
      </c>
      <c r="K4824" s="3">
        <v>100122481238</v>
      </c>
      <c r="L4824" s="10">
        <v>40000</v>
      </c>
      <c r="M4824">
        <v>6041.01</v>
      </c>
      <c r="N4824" s="11">
        <v>3</v>
      </c>
      <c r="O4824" s="12">
        <v>2036.48</v>
      </c>
      <c r="P4824" s="12">
        <v>14.7</v>
      </c>
      <c r="Q4824" s="13">
        <v>-4793.004</v>
      </c>
      <c r="R4824" s="36" t="s">
        <v>680</v>
      </c>
      <c r="S4824" s="7">
        <f t="shared" si="411"/>
        <v>5</v>
      </c>
      <c r="T4824" s="15" t="str">
        <f>VLOOKUP(R4824,产品分类!$C$2:$D$1278,2,0)</f>
        <v>数码电子</v>
      </c>
    </row>
    <row r="4825" spans="1:20">
      <c r="A4825" s="8">
        <f>DATE(2012,12,31)-278</f>
        <v>40996</v>
      </c>
      <c r="B4825" s="8">
        <f>DATE(2012,12,31)-278</f>
        <v>40996</v>
      </c>
      <c r="C4825" s="9" t="s">
        <v>1604</v>
      </c>
      <c r="D4825">
        <v>10021374637</v>
      </c>
      <c r="E4825" t="s">
        <v>47</v>
      </c>
      <c r="F4825" t="s">
        <v>66</v>
      </c>
      <c r="G4825" t="s">
        <v>67</v>
      </c>
      <c r="H4825" t="s">
        <v>2359</v>
      </c>
      <c r="I4825" t="s">
        <v>2360</v>
      </c>
      <c r="J4825" t="s">
        <v>52</v>
      </c>
      <c r="K4825" s="3">
        <v>100121425286</v>
      </c>
      <c r="L4825" s="10">
        <v>40998</v>
      </c>
      <c r="M4825">
        <v>840.552</v>
      </c>
      <c r="N4825" s="11">
        <v>3</v>
      </c>
      <c r="O4825" s="12">
        <v>349.45</v>
      </c>
      <c r="P4825" s="12">
        <v>60</v>
      </c>
      <c r="Q4825" s="13">
        <v>7.55000000000001</v>
      </c>
      <c r="R4825" s="36" t="s">
        <v>1081</v>
      </c>
      <c r="S4825" s="7">
        <f t="shared" si="411"/>
        <v>2</v>
      </c>
      <c r="T4825" s="15" t="str">
        <f>VLOOKUP(R4825,产品分类!$C$2:$D$1278,2,0)</f>
        <v>办公用品</v>
      </c>
    </row>
    <row r="4826" spans="1:20">
      <c r="A4826" s="16">
        <f>DATE(2012,12,31)-116</f>
        <v>41158</v>
      </c>
      <c r="B4826" s="16">
        <f>DATE(2012,12,31)-116</f>
        <v>41158</v>
      </c>
      <c r="C4826" s="9" t="s">
        <v>1429</v>
      </c>
      <c r="D4826">
        <v>10021615004</v>
      </c>
      <c r="E4826" t="s">
        <v>47</v>
      </c>
      <c r="F4826" t="s">
        <v>61</v>
      </c>
      <c r="G4826" t="s">
        <v>62</v>
      </c>
      <c r="H4826" t="s">
        <v>2356</v>
      </c>
      <c r="I4826" t="s">
        <v>2357</v>
      </c>
      <c r="J4826" t="s">
        <v>52</v>
      </c>
      <c r="K4826" s="3">
        <v>1008868882</v>
      </c>
      <c r="L4826" s="10">
        <v>41160</v>
      </c>
      <c r="M4826">
        <v>75.77</v>
      </c>
      <c r="N4826" s="17">
        <v>16</v>
      </c>
      <c r="O4826" s="5">
        <v>4.37</v>
      </c>
      <c r="P4826" s="5">
        <v>5.15</v>
      </c>
      <c r="Q4826" s="6">
        <v>-56.62</v>
      </c>
      <c r="R4826" s="37" t="s">
        <v>1235</v>
      </c>
      <c r="S4826" s="7">
        <f t="shared" si="411"/>
        <v>2</v>
      </c>
      <c r="T4826" s="15" t="str">
        <f>VLOOKUP(R4826,产品分类!$C$2:$D$1278,2,0)</f>
        <v>办公用品</v>
      </c>
    </row>
    <row r="4827" spans="1:20">
      <c r="A4827" s="8">
        <f>DATE(2012,12,31)-1213</f>
        <v>40061</v>
      </c>
      <c r="B4827" s="8">
        <f>DATE(2012,12,31)-1213</f>
        <v>40061</v>
      </c>
      <c r="C4827" s="9" t="s">
        <v>2223</v>
      </c>
      <c r="D4827">
        <v>10021292125</v>
      </c>
      <c r="E4827" t="s">
        <v>47</v>
      </c>
      <c r="F4827" t="s">
        <v>61</v>
      </c>
      <c r="G4827" t="s">
        <v>62</v>
      </c>
      <c r="H4827" t="s">
        <v>2356</v>
      </c>
      <c r="I4827" t="s">
        <v>2357</v>
      </c>
      <c r="J4827" t="s">
        <v>52</v>
      </c>
      <c r="K4827" s="3">
        <v>100726062635</v>
      </c>
      <c r="L4827" s="10">
        <v>40062</v>
      </c>
      <c r="M4827">
        <v>132.79</v>
      </c>
      <c r="N4827" s="11">
        <v>39</v>
      </c>
      <c r="O4827" s="12">
        <v>3.28</v>
      </c>
      <c r="P4827" s="12">
        <v>3.97</v>
      </c>
      <c r="Q4827" s="13">
        <v>-100.24</v>
      </c>
      <c r="R4827" s="36" t="s">
        <v>1756</v>
      </c>
      <c r="S4827" s="7">
        <f t="shared" si="411"/>
        <v>1</v>
      </c>
      <c r="T4827" s="15" t="str">
        <f>VLOOKUP(R4827,产品分类!$C$2:$D$1278,2,0)</f>
        <v>办公用品</v>
      </c>
    </row>
    <row r="4828" spans="1:20">
      <c r="A4828" s="8">
        <f>DATE(2012,12,31)-1213</f>
        <v>40061</v>
      </c>
      <c r="B4828" s="8">
        <f>DATE(2012,12,31)-1213</f>
        <v>40061</v>
      </c>
      <c r="C4828" s="9" t="s">
        <v>2223</v>
      </c>
      <c r="D4828">
        <v>10021570802</v>
      </c>
      <c r="E4828" t="s">
        <v>47</v>
      </c>
      <c r="F4828" t="s">
        <v>61</v>
      </c>
      <c r="G4828" t="s">
        <v>62</v>
      </c>
      <c r="H4828" t="s">
        <v>2356</v>
      </c>
      <c r="I4828" t="s">
        <v>2357</v>
      </c>
      <c r="J4828" t="s">
        <v>52</v>
      </c>
      <c r="K4828" s="3">
        <v>10018257657</v>
      </c>
      <c r="L4828" s="10">
        <v>40063</v>
      </c>
      <c r="M4828">
        <v>232.85</v>
      </c>
      <c r="N4828" s="11">
        <v>32</v>
      </c>
      <c r="O4828" s="12">
        <v>6.98</v>
      </c>
      <c r="P4828" s="12">
        <v>9.69</v>
      </c>
      <c r="Q4828" s="13">
        <v>-262.62</v>
      </c>
      <c r="R4828" s="36" t="s">
        <v>1965</v>
      </c>
      <c r="S4828" s="7">
        <f t="shared" si="411"/>
        <v>2</v>
      </c>
      <c r="T4828" s="15" t="str">
        <f>VLOOKUP(R4828,产品分类!$C$2:$D$1278,2,0)</f>
        <v>数码电子</v>
      </c>
    </row>
    <row r="4829" spans="1:20">
      <c r="A4829" s="8">
        <f>DATE(2012,12,31)-962</f>
        <v>40312</v>
      </c>
      <c r="B4829" s="8">
        <f>DATE(2012,12,31)-962</f>
        <v>40312</v>
      </c>
      <c r="C4829" s="9" t="s">
        <v>309</v>
      </c>
      <c r="D4829">
        <v>10021536817</v>
      </c>
      <c r="E4829" t="s">
        <v>47</v>
      </c>
      <c r="F4829" t="s">
        <v>61</v>
      </c>
      <c r="G4829" t="s">
        <v>62</v>
      </c>
      <c r="H4829" t="s">
        <v>2356</v>
      </c>
      <c r="I4829" t="s">
        <v>2357</v>
      </c>
      <c r="J4829" t="s">
        <v>52</v>
      </c>
      <c r="K4829" s="3">
        <v>10087737592</v>
      </c>
      <c r="L4829" s="10">
        <v>40313</v>
      </c>
      <c r="M4829">
        <v>3610.85</v>
      </c>
      <c r="N4829" s="11">
        <v>36</v>
      </c>
      <c r="O4829" s="12">
        <v>99.23</v>
      </c>
      <c r="P4829" s="12">
        <v>8.99</v>
      </c>
      <c r="Q4829" s="13">
        <v>2235.37</v>
      </c>
      <c r="R4829" s="36" t="s">
        <v>1484</v>
      </c>
      <c r="S4829" s="7">
        <f t="shared" si="411"/>
        <v>1</v>
      </c>
      <c r="T4829" s="15" t="str">
        <f>VLOOKUP(R4829,产品分类!$C$2:$D$1278,2,0)</f>
        <v>数码电子</v>
      </c>
    </row>
    <row r="4830" spans="1:20">
      <c r="A4830" s="8">
        <f>DATE(2012,12,31)-915</f>
        <v>40359</v>
      </c>
      <c r="B4830" s="8">
        <f>DATE(2012,12,31)-915</f>
        <v>40359</v>
      </c>
      <c r="C4830" s="9" t="s">
        <v>238</v>
      </c>
      <c r="D4830">
        <v>10021415283</v>
      </c>
      <c r="E4830" t="s">
        <v>47</v>
      </c>
      <c r="F4830" t="s">
        <v>97</v>
      </c>
      <c r="G4830" t="s">
        <v>98</v>
      </c>
      <c r="H4830" t="s">
        <v>99</v>
      </c>
      <c r="I4830" t="s">
        <v>98</v>
      </c>
      <c r="J4830" t="s">
        <v>52</v>
      </c>
      <c r="K4830" s="3">
        <v>100810678972</v>
      </c>
      <c r="L4830" s="10">
        <v>40364</v>
      </c>
      <c r="M4830">
        <v>1050.16</v>
      </c>
      <c r="N4830" s="11">
        <v>26</v>
      </c>
      <c r="O4830" s="12">
        <v>38.76</v>
      </c>
      <c r="P4830" s="12">
        <v>13.26</v>
      </c>
      <c r="Q4830" s="13">
        <v>265.09</v>
      </c>
      <c r="R4830" s="36" t="s">
        <v>758</v>
      </c>
      <c r="S4830" s="7">
        <f t="shared" si="411"/>
        <v>5</v>
      </c>
      <c r="T4830" s="15" t="str">
        <f>VLOOKUP(R4830,产品分类!$C$2:$D$1278,2,0)</f>
        <v>家具产品</v>
      </c>
    </row>
    <row r="4831" spans="1:20">
      <c r="A4831" s="8">
        <f>DATE(2012,12,31)-1005</f>
        <v>40269</v>
      </c>
      <c r="B4831" s="8">
        <f>DATE(2012,12,31)-1005</f>
        <v>40269</v>
      </c>
      <c r="C4831" s="9" t="s">
        <v>991</v>
      </c>
      <c r="D4831">
        <v>10021427995</v>
      </c>
      <c r="E4831" t="s">
        <v>47</v>
      </c>
      <c r="F4831" t="s">
        <v>66</v>
      </c>
      <c r="G4831" t="s">
        <v>67</v>
      </c>
      <c r="H4831" t="s">
        <v>2359</v>
      </c>
      <c r="I4831" t="s">
        <v>2360</v>
      </c>
      <c r="J4831" t="s">
        <v>52</v>
      </c>
      <c r="K4831" s="3">
        <v>100331008819</v>
      </c>
      <c r="L4831" s="10">
        <v>40271</v>
      </c>
      <c r="M4831">
        <v>8334.03</v>
      </c>
      <c r="N4831" s="11">
        <v>18</v>
      </c>
      <c r="O4831" s="12">
        <v>510.14</v>
      </c>
      <c r="P4831" s="12">
        <v>14.7</v>
      </c>
      <c r="Q4831" s="13">
        <v>1886.66</v>
      </c>
      <c r="R4831" s="36" t="s">
        <v>1400</v>
      </c>
      <c r="S4831" s="7">
        <f t="shared" si="411"/>
        <v>2</v>
      </c>
      <c r="T4831" s="15" t="str">
        <f>VLOOKUP(R4831,产品分类!$C$2:$D$1278,2,0)</f>
        <v>办公用品</v>
      </c>
    </row>
    <row r="4832" spans="1:20">
      <c r="A4832" s="8">
        <f>DATE(2012,12,31)-1280</f>
        <v>39994</v>
      </c>
      <c r="B4832" s="8">
        <f>DATE(2012,12,31)-1280</f>
        <v>39994</v>
      </c>
      <c r="C4832" s="9" t="s">
        <v>2336</v>
      </c>
      <c r="D4832">
        <v>10021582078</v>
      </c>
      <c r="E4832" t="s">
        <v>47</v>
      </c>
      <c r="F4832" t="s">
        <v>66</v>
      </c>
      <c r="G4832" t="s">
        <v>67</v>
      </c>
      <c r="H4832" t="s">
        <v>2359</v>
      </c>
      <c r="I4832" t="s">
        <v>2360</v>
      </c>
      <c r="J4832" t="s">
        <v>52</v>
      </c>
      <c r="K4832" s="3">
        <v>100912687241</v>
      </c>
      <c r="L4832" s="10">
        <v>40001</v>
      </c>
      <c r="M4832">
        <v>344.57</v>
      </c>
      <c r="N4832" s="11">
        <v>42</v>
      </c>
      <c r="O4832" s="12">
        <v>8.33</v>
      </c>
      <c r="P4832" s="12">
        <v>1.99</v>
      </c>
      <c r="Q4832" s="13">
        <v>37.41</v>
      </c>
      <c r="R4832" s="36" t="s">
        <v>1011</v>
      </c>
      <c r="S4832" s="7">
        <f t="shared" si="411"/>
        <v>7</v>
      </c>
      <c r="T4832" s="15" t="str">
        <f>VLOOKUP(R4832,产品分类!$C$2:$D$1278,2,0)</f>
        <v>家具产品</v>
      </c>
    </row>
    <row r="4833" spans="1:20">
      <c r="A4833" s="8">
        <f>DATE(2012,12,31)-7</f>
        <v>41267</v>
      </c>
      <c r="B4833" s="8">
        <f>DATE(2012,12,31)-7</f>
        <v>41267</v>
      </c>
      <c r="C4833" s="9" t="s">
        <v>2306</v>
      </c>
      <c r="D4833">
        <v>10021585357</v>
      </c>
      <c r="E4833" t="s">
        <v>47</v>
      </c>
      <c r="F4833" t="s">
        <v>66</v>
      </c>
      <c r="G4833" t="s">
        <v>67</v>
      </c>
      <c r="H4833" t="s">
        <v>2359</v>
      </c>
      <c r="I4833" t="s">
        <v>2360</v>
      </c>
      <c r="J4833" t="s">
        <v>52</v>
      </c>
      <c r="K4833" s="3">
        <v>100128075918</v>
      </c>
      <c r="L4833" s="10">
        <v>41271</v>
      </c>
      <c r="M4833">
        <v>92.53</v>
      </c>
      <c r="N4833" s="11">
        <v>25</v>
      </c>
      <c r="O4833" s="12">
        <v>3.57</v>
      </c>
      <c r="P4833" s="12">
        <v>4.17</v>
      </c>
      <c r="Q4833" s="13">
        <v>-71.52</v>
      </c>
      <c r="R4833" s="36" t="s">
        <v>641</v>
      </c>
      <c r="S4833" s="7">
        <f t="shared" si="411"/>
        <v>4</v>
      </c>
      <c r="T4833" s="15" t="str">
        <f>VLOOKUP(R4833,产品分类!$C$2:$D$1278,2,0)</f>
        <v>办公用品</v>
      </c>
    </row>
    <row r="4834" spans="1:20">
      <c r="A4834" s="8">
        <f>DATE(2012,12,31)-7</f>
        <v>41267</v>
      </c>
      <c r="B4834" s="8">
        <f>DATE(2012,12,31)-7</f>
        <v>41267</v>
      </c>
      <c r="C4834" s="9" t="s">
        <v>2306</v>
      </c>
      <c r="D4834">
        <v>10021613408</v>
      </c>
      <c r="E4834" t="s">
        <v>47</v>
      </c>
      <c r="F4834" t="s">
        <v>48</v>
      </c>
      <c r="G4834" t="s">
        <v>49</v>
      </c>
      <c r="H4834" t="s">
        <v>2183</v>
      </c>
      <c r="I4834" t="s">
        <v>2184</v>
      </c>
      <c r="J4834" t="s">
        <v>52</v>
      </c>
      <c r="K4834" s="3">
        <v>100132079216</v>
      </c>
      <c r="L4834" s="10">
        <v>41272</v>
      </c>
      <c r="M4834">
        <v>988.6435</v>
      </c>
      <c r="N4834" s="11">
        <v>17</v>
      </c>
      <c r="O4834" s="12">
        <v>65.99</v>
      </c>
      <c r="P4834" s="12">
        <v>4.2</v>
      </c>
      <c r="Q4834" s="13">
        <v>89.892</v>
      </c>
      <c r="R4834" s="36" t="s">
        <v>1875</v>
      </c>
      <c r="S4834" s="7">
        <f t="shared" si="411"/>
        <v>5</v>
      </c>
      <c r="T4834" s="15" t="str">
        <f>VLOOKUP(R4834,产品分类!$C$2:$D$1278,2,0)</f>
        <v>家具产品</v>
      </c>
    </row>
    <row r="4835" spans="1:20">
      <c r="A4835" s="8">
        <f>DATE(2012,12,31)-974</f>
        <v>40300</v>
      </c>
      <c r="B4835" s="8">
        <f>DATE(2012,12,31)-974</f>
        <v>40300</v>
      </c>
      <c r="C4835" s="9" t="s">
        <v>460</v>
      </c>
      <c r="D4835">
        <v>10021533088</v>
      </c>
      <c r="E4835" t="s">
        <v>47</v>
      </c>
      <c r="F4835" t="s">
        <v>152</v>
      </c>
      <c r="G4835" t="s">
        <v>153</v>
      </c>
      <c r="H4835" t="s">
        <v>2302</v>
      </c>
      <c r="I4835" t="s">
        <v>2303</v>
      </c>
      <c r="J4835" t="s">
        <v>52</v>
      </c>
      <c r="K4835" s="3">
        <v>100132303126</v>
      </c>
      <c r="L4835" s="10">
        <v>40302</v>
      </c>
      <c r="M4835">
        <v>3016.85</v>
      </c>
      <c r="N4835" s="11">
        <v>38</v>
      </c>
      <c r="O4835" s="12">
        <v>80.98</v>
      </c>
      <c r="P4835" s="12">
        <v>35</v>
      </c>
      <c r="Q4835" s="13">
        <v>-967.67</v>
      </c>
      <c r="R4835" s="36" t="s">
        <v>1459</v>
      </c>
      <c r="S4835" s="7">
        <f t="shared" si="411"/>
        <v>2</v>
      </c>
      <c r="T4835" s="15" t="str">
        <f>VLOOKUP(R4835,产品分类!$C$2:$D$1278,2,0)</f>
        <v>办公用品</v>
      </c>
    </row>
    <row r="4836" spans="1:20">
      <c r="A4836" s="8">
        <f>DATE(2012,12,31)-974</f>
        <v>40300</v>
      </c>
      <c r="B4836" s="8">
        <f>DATE(2012,12,31)-974</f>
        <v>40300</v>
      </c>
      <c r="C4836" s="9" t="s">
        <v>460</v>
      </c>
      <c r="D4836">
        <v>10021248954</v>
      </c>
      <c r="E4836" t="s">
        <v>47</v>
      </c>
      <c r="F4836" t="s">
        <v>66</v>
      </c>
      <c r="G4836" t="s">
        <v>67</v>
      </c>
      <c r="H4836" t="s">
        <v>2359</v>
      </c>
      <c r="I4836" t="s">
        <v>2360</v>
      </c>
      <c r="J4836" t="s">
        <v>52</v>
      </c>
      <c r="K4836" s="3">
        <v>10086060792</v>
      </c>
      <c r="L4836" s="10">
        <v>40303</v>
      </c>
      <c r="M4836">
        <v>48.5</v>
      </c>
      <c r="N4836" s="11">
        <v>11</v>
      </c>
      <c r="O4836" s="12">
        <v>3.15</v>
      </c>
      <c r="P4836" s="12">
        <v>0.5</v>
      </c>
      <c r="Q4836" s="13">
        <v>23.88</v>
      </c>
      <c r="R4836" s="36" t="s">
        <v>1815</v>
      </c>
      <c r="S4836" s="7">
        <f t="shared" si="411"/>
        <v>3</v>
      </c>
      <c r="T4836" s="15" t="str">
        <f>VLOOKUP(R4836,产品分类!$C$2:$D$1278,2,0)</f>
        <v>办公用品</v>
      </c>
    </row>
    <row r="4837" spans="1:20">
      <c r="A4837" s="8">
        <f>DATE(2012,12,31)-94</f>
        <v>41180</v>
      </c>
      <c r="B4837" s="8">
        <f>DATE(2012,12,31)-94</f>
        <v>41180</v>
      </c>
      <c r="C4837" s="9" t="s">
        <v>1174</v>
      </c>
      <c r="D4837">
        <v>10021508185</v>
      </c>
      <c r="E4837" t="s">
        <v>47</v>
      </c>
      <c r="F4837" t="s">
        <v>66</v>
      </c>
      <c r="G4837" t="s">
        <v>67</v>
      </c>
      <c r="H4837" t="s">
        <v>2359</v>
      </c>
      <c r="I4837" t="s">
        <v>2360</v>
      </c>
      <c r="J4837" t="s">
        <v>52</v>
      </c>
      <c r="K4837" s="3">
        <v>100110161317</v>
      </c>
      <c r="L4837" s="10">
        <v>41181</v>
      </c>
      <c r="M4837">
        <v>142.59</v>
      </c>
      <c r="N4837" s="11">
        <v>29</v>
      </c>
      <c r="O4837" s="12">
        <v>4.71</v>
      </c>
      <c r="P4837" s="12">
        <v>0.7</v>
      </c>
      <c r="Q4837" s="13">
        <v>-3.23</v>
      </c>
      <c r="R4837" s="36" t="s">
        <v>819</v>
      </c>
      <c r="S4837" s="7">
        <f t="shared" si="411"/>
        <v>1</v>
      </c>
      <c r="T4837" s="15" t="str">
        <f>VLOOKUP(R4837,产品分类!$C$2:$D$1278,2,0)</f>
        <v>家具产品</v>
      </c>
    </row>
    <row r="4838" spans="1:20">
      <c r="A4838" s="8">
        <f>DATE(2012,12,31)-884</f>
        <v>40390</v>
      </c>
      <c r="B4838" s="8">
        <f>DATE(2012,12,31)-884</f>
        <v>40390</v>
      </c>
      <c r="C4838" s="9" t="s">
        <v>2292</v>
      </c>
      <c r="D4838">
        <v>10021395320</v>
      </c>
      <c r="E4838" t="s">
        <v>47</v>
      </c>
      <c r="F4838" t="s">
        <v>66</v>
      </c>
      <c r="G4838" t="s">
        <v>67</v>
      </c>
      <c r="H4838" t="s">
        <v>2359</v>
      </c>
      <c r="I4838" t="s">
        <v>2360</v>
      </c>
      <c r="J4838" t="s">
        <v>52</v>
      </c>
      <c r="K4838" s="3">
        <v>10019722118</v>
      </c>
      <c r="L4838" s="10">
        <v>40390</v>
      </c>
      <c r="M4838">
        <v>1484.89</v>
      </c>
      <c r="N4838" s="11">
        <v>41</v>
      </c>
      <c r="O4838" s="12">
        <v>35.89</v>
      </c>
      <c r="P4838" s="12">
        <v>14.72</v>
      </c>
      <c r="Q4838" s="13">
        <v>220.99</v>
      </c>
      <c r="R4838" s="36" t="s">
        <v>1770</v>
      </c>
      <c r="S4838" s="7">
        <f t="shared" si="411"/>
        <v>0</v>
      </c>
      <c r="T4838" s="15" t="str">
        <f>VLOOKUP(R4838,产品分类!$C$2:$D$1278,2,0)</f>
        <v>数码电子</v>
      </c>
    </row>
    <row r="4839" spans="1:20">
      <c r="A4839" s="8">
        <f>DATE(2012,12,31)-1364</f>
        <v>39910</v>
      </c>
      <c r="B4839" s="8">
        <f>DATE(2012,12,31)-1364</f>
        <v>39910</v>
      </c>
      <c r="C4839" s="9" t="s">
        <v>2007</v>
      </c>
      <c r="D4839">
        <v>10021659386</v>
      </c>
      <c r="E4839" t="s">
        <v>47</v>
      </c>
      <c r="F4839" t="s">
        <v>48</v>
      </c>
      <c r="G4839" t="s">
        <v>49</v>
      </c>
      <c r="H4839" t="s">
        <v>2183</v>
      </c>
      <c r="I4839" t="s">
        <v>2184</v>
      </c>
      <c r="J4839" t="s">
        <v>52</v>
      </c>
      <c r="K4839" s="3">
        <v>10037586149</v>
      </c>
      <c r="L4839" s="10">
        <v>39911</v>
      </c>
      <c r="M4839">
        <v>244.39</v>
      </c>
      <c r="N4839" s="11">
        <v>20</v>
      </c>
      <c r="O4839" s="12">
        <v>12.53</v>
      </c>
      <c r="P4839" s="12">
        <v>0.5</v>
      </c>
      <c r="Q4839" s="13">
        <v>114.1</v>
      </c>
      <c r="R4839" s="36" t="s">
        <v>2010</v>
      </c>
      <c r="S4839" s="7">
        <f t="shared" si="411"/>
        <v>1</v>
      </c>
      <c r="T4839" s="15" t="str">
        <f>VLOOKUP(R4839,产品分类!$C$2:$D$1278,2,0)</f>
        <v>办公用品</v>
      </c>
    </row>
    <row r="4840" spans="1:20">
      <c r="A4840" s="8">
        <f>DATE(2012,12,31)-1364</f>
        <v>39910</v>
      </c>
      <c r="B4840" s="8">
        <f>DATE(2012,12,31)-1364</f>
        <v>39910</v>
      </c>
      <c r="C4840" s="9" t="s">
        <v>2007</v>
      </c>
      <c r="D4840">
        <v>10021260613</v>
      </c>
      <c r="E4840" t="s">
        <v>47</v>
      </c>
      <c r="F4840" t="s">
        <v>66</v>
      </c>
      <c r="G4840" t="s">
        <v>67</v>
      </c>
      <c r="H4840" t="s">
        <v>2359</v>
      </c>
      <c r="I4840" t="s">
        <v>2360</v>
      </c>
      <c r="J4840" t="s">
        <v>52</v>
      </c>
      <c r="K4840" s="3">
        <v>100428700003</v>
      </c>
      <c r="L4840" s="10">
        <v>39911</v>
      </c>
      <c r="M4840">
        <v>581.42</v>
      </c>
      <c r="N4840" s="11">
        <v>3</v>
      </c>
      <c r="O4840" s="12">
        <v>178.47</v>
      </c>
      <c r="P4840" s="12">
        <v>19.99</v>
      </c>
      <c r="Q4840" s="13">
        <v>-129.97</v>
      </c>
      <c r="R4840" s="36" t="s">
        <v>249</v>
      </c>
      <c r="S4840" s="7">
        <f t="shared" si="411"/>
        <v>1</v>
      </c>
      <c r="T4840" s="15" t="str">
        <f>VLOOKUP(R4840,产品分类!$C$2:$D$1278,2,0)</f>
        <v>办公用品</v>
      </c>
    </row>
    <row r="4841" spans="1:20">
      <c r="A4841" s="8">
        <f>DATE(2012,12,31)-602</f>
        <v>40672</v>
      </c>
      <c r="B4841" s="8">
        <f>DATE(2012,12,31)-602</f>
        <v>40672</v>
      </c>
      <c r="C4841" s="9" t="s">
        <v>1432</v>
      </c>
      <c r="D4841">
        <v>10021371986</v>
      </c>
      <c r="E4841" t="s">
        <v>47</v>
      </c>
      <c r="F4841" t="s">
        <v>152</v>
      </c>
      <c r="G4841" t="s">
        <v>153</v>
      </c>
      <c r="H4841" t="s">
        <v>2302</v>
      </c>
      <c r="I4841" t="s">
        <v>2303</v>
      </c>
      <c r="J4841" t="s">
        <v>52</v>
      </c>
      <c r="K4841" s="3">
        <v>100132496466</v>
      </c>
      <c r="L4841" s="10">
        <v>40673</v>
      </c>
      <c r="M4841">
        <v>32.35</v>
      </c>
      <c r="N4841" s="11">
        <v>16</v>
      </c>
      <c r="O4841" s="12">
        <v>1.8</v>
      </c>
      <c r="P4841" s="12">
        <v>4.79</v>
      </c>
      <c r="Q4841" s="13">
        <v>-63.1925</v>
      </c>
      <c r="R4841" s="36" t="s">
        <v>2322</v>
      </c>
      <c r="S4841" s="7">
        <f t="shared" si="411"/>
        <v>1</v>
      </c>
      <c r="T4841" s="15" t="str">
        <f>VLOOKUP(R4841,产品分类!$C$2:$D$1278,2,0)</f>
        <v>家具产品</v>
      </c>
    </row>
    <row r="4842" spans="1:20">
      <c r="A4842" s="8">
        <f>DATE(2012,12,31)-602</f>
        <v>40672</v>
      </c>
      <c r="B4842" s="8">
        <f>DATE(2012,12,31)-602</f>
        <v>40672</v>
      </c>
      <c r="C4842" s="9" t="s">
        <v>1432</v>
      </c>
      <c r="D4842">
        <v>10021672302</v>
      </c>
      <c r="E4842" t="s">
        <v>47</v>
      </c>
      <c r="F4842" t="s">
        <v>132</v>
      </c>
      <c r="G4842" t="s">
        <v>133</v>
      </c>
      <c r="H4842" t="s">
        <v>134</v>
      </c>
      <c r="I4842" t="s">
        <v>133</v>
      </c>
      <c r="J4842" t="s">
        <v>52</v>
      </c>
      <c r="K4842" s="3">
        <v>100110823448</v>
      </c>
      <c r="L4842" s="10">
        <v>40674</v>
      </c>
      <c r="M4842">
        <v>116.56</v>
      </c>
      <c r="N4842" s="11">
        <v>23</v>
      </c>
      <c r="O4842" s="12">
        <v>4.98</v>
      </c>
      <c r="P4842" s="12">
        <v>0.49</v>
      </c>
      <c r="Q4842" s="13">
        <v>50.66</v>
      </c>
      <c r="R4842" s="36" t="s">
        <v>327</v>
      </c>
      <c r="S4842" s="7">
        <f t="shared" si="411"/>
        <v>2</v>
      </c>
      <c r="T4842" s="15" t="str">
        <f>VLOOKUP(R4842,产品分类!$C$2:$D$1278,2,0)</f>
        <v>家具产品</v>
      </c>
    </row>
    <row r="4843" spans="1:20">
      <c r="A4843" s="8">
        <f>DATE(2012,12,31)-1244</f>
        <v>40030</v>
      </c>
      <c r="B4843" s="8">
        <f>DATE(2012,12,31)-1244</f>
        <v>40030</v>
      </c>
      <c r="C4843" s="9" t="s">
        <v>149</v>
      </c>
      <c r="D4843">
        <v>10021670347</v>
      </c>
      <c r="E4843" t="s">
        <v>47</v>
      </c>
      <c r="F4843" t="s">
        <v>72</v>
      </c>
      <c r="G4843" t="s">
        <v>73</v>
      </c>
      <c r="H4843" t="s">
        <v>2008</v>
      </c>
      <c r="I4843" t="s">
        <v>2009</v>
      </c>
      <c r="J4843" t="s">
        <v>52</v>
      </c>
      <c r="K4843" s="3">
        <v>100430218853</v>
      </c>
      <c r="L4843" s="10">
        <v>40032</v>
      </c>
      <c r="M4843">
        <v>447.36</v>
      </c>
      <c r="N4843" s="11">
        <v>42</v>
      </c>
      <c r="O4843" s="12">
        <v>10.48</v>
      </c>
      <c r="P4843" s="12">
        <v>2.89</v>
      </c>
      <c r="Q4843" s="13">
        <v>40.92</v>
      </c>
      <c r="R4843" s="36" t="s">
        <v>1851</v>
      </c>
      <c r="S4843" s="7">
        <f t="shared" si="411"/>
        <v>2</v>
      </c>
      <c r="T4843" s="15" t="str">
        <f>VLOOKUP(R4843,产品分类!$C$2:$D$1278,2,0)</f>
        <v>办公用品</v>
      </c>
    </row>
    <row r="4844" spans="1:20">
      <c r="A4844" s="16">
        <f>DATE(2012,12,31)-751</f>
        <v>40523</v>
      </c>
      <c r="B4844" s="16">
        <f>DATE(2012,12,31)-751</f>
        <v>40523</v>
      </c>
      <c r="C4844" s="9" t="s">
        <v>311</v>
      </c>
      <c r="D4844">
        <v>10021262625</v>
      </c>
      <c r="E4844" t="s">
        <v>47</v>
      </c>
      <c r="F4844" t="s">
        <v>72</v>
      </c>
      <c r="G4844" t="s">
        <v>73</v>
      </c>
      <c r="H4844" t="s">
        <v>2008</v>
      </c>
      <c r="I4844" t="s">
        <v>2009</v>
      </c>
      <c r="J4844" t="s">
        <v>52</v>
      </c>
      <c r="K4844" s="3">
        <v>100930106361</v>
      </c>
      <c r="L4844" s="10">
        <v>40524</v>
      </c>
      <c r="M4844">
        <v>588.54</v>
      </c>
      <c r="N4844" s="17">
        <v>28</v>
      </c>
      <c r="O4844" s="5">
        <v>20.15</v>
      </c>
      <c r="P4844" s="5">
        <v>8.99</v>
      </c>
      <c r="Q4844" s="6">
        <v>-30.72</v>
      </c>
      <c r="R4844" s="37" t="s">
        <v>942</v>
      </c>
      <c r="S4844" s="7">
        <f t="shared" si="411"/>
        <v>1</v>
      </c>
      <c r="T4844" s="15" t="str">
        <f>VLOOKUP(R4844,产品分类!$C$2:$D$1278,2,0)</f>
        <v>办公用品</v>
      </c>
    </row>
    <row r="4845" spans="1:20">
      <c r="A4845" s="8">
        <f>DATE(2012,12,31)-334</f>
        <v>40940</v>
      </c>
      <c r="B4845" s="8">
        <f>DATE(2012,12,31)-334</f>
        <v>40940</v>
      </c>
      <c r="C4845" s="9" t="s">
        <v>2354</v>
      </c>
      <c r="D4845">
        <v>10021677906</v>
      </c>
      <c r="E4845" t="s">
        <v>47</v>
      </c>
      <c r="F4845" t="s">
        <v>72</v>
      </c>
      <c r="G4845" t="s">
        <v>73</v>
      </c>
      <c r="H4845" t="s">
        <v>2008</v>
      </c>
      <c r="I4845" t="s">
        <v>2009</v>
      </c>
      <c r="J4845" t="s">
        <v>52</v>
      </c>
      <c r="K4845" s="3">
        <v>100432919583</v>
      </c>
      <c r="L4845" s="10">
        <v>40941</v>
      </c>
      <c r="M4845">
        <v>2966.13</v>
      </c>
      <c r="N4845" s="11">
        <v>31</v>
      </c>
      <c r="O4845" s="12">
        <v>100.98</v>
      </c>
      <c r="P4845" s="12">
        <v>57.38</v>
      </c>
      <c r="Q4845" s="13">
        <v>-1456.31</v>
      </c>
      <c r="R4845" s="36" t="s">
        <v>661</v>
      </c>
      <c r="S4845" s="7">
        <f t="shared" si="411"/>
        <v>1</v>
      </c>
      <c r="T4845" s="15" t="str">
        <f>VLOOKUP(R4845,产品分类!$C$2:$D$1278,2,0)</f>
        <v>办公用品</v>
      </c>
    </row>
    <row r="4846" spans="1:20">
      <c r="A4846" s="8">
        <f>DATE(2012,12,31)-1392</f>
        <v>39882</v>
      </c>
      <c r="B4846" s="8">
        <f>DATE(2012,12,31)-1392</f>
        <v>39882</v>
      </c>
      <c r="C4846" s="9" t="s">
        <v>1454</v>
      </c>
      <c r="D4846">
        <v>10021499885</v>
      </c>
      <c r="E4846" t="s">
        <v>47</v>
      </c>
      <c r="F4846" t="s">
        <v>72</v>
      </c>
      <c r="G4846" t="s">
        <v>73</v>
      </c>
      <c r="H4846" t="s">
        <v>2008</v>
      </c>
      <c r="I4846" t="s">
        <v>2009</v>
      </c>
      <c r="J4846" t="s">
        <v>52</v>
      </c>
      <c r="K4846" s="3">
        <v>100425322853</v>
      </c>
      <c r="L4846" s="10">
        <v>39883</v>
      </c>
      <c r="M4846">
        <v>175.35</v>
      </c>
      <c r="N4846" s="11">
        <v>36</v>
      </c>
      <c r="O4846" s="12">
        <v>4.98</v>
      </c>
      <c r="P4846" s="12">
        <v>7.54</v>
      </c>
      <c r="Q4846" s="13">
        <v>-174.18</v>
      </c>
      <c r="R4846" s="36" t="s">
        <v>2261</v>
      </c>
      <c r="S4846" s="7">
        <f t="shared" si="411"/>
        <v>1</v>
      </c>
      <c r="T4846" s="15" t="str">
        <f>VLOOKUP(R4846,产品分类!$C$2:$D$1278,2,0)</f>
        <v>办公用品</v>
      </c>
    </row>
    <row r="4847" spans="1:20">
      <c r="A4847" s="8">
        <f>DATE(2012,12,31)-1392</f>
        <v>39882</v>
      </c>
      <c r="B4847" s="8">
        <f>DATE(2012,12,31)-1392</f>
        <v>39882</v>
      </c>
      <c r="C4847" s="9" t="s">
        <v>1454</v>
      </c>
      <c r="D4847">
        <v>10021503414</v>
      </c>
      <c r="E4847" t="s">
        <v>47</v>
      </c>
      <c r="F4847" t="s">
        <v>72</v>
      </c>
      <c r="G4847" t="s">
        <v>73</v>
      </c>
      <c r="H4847" t="s">
        <v>2008</v>
      </c>
      <c r="I4847" t="s">
        <v>2009</v>
      </c>
      <c r="J4847" t="s">
        <v>52</v>
      </c>
      <c r="K4847" s="3">
        <v>100829639272</v>
      </c>
      <c r="L4847" s="10">
        <v>39884</v>
      </c>
      <c r="M4847">
        <v>590.6</v>
      </c>
      <c r="N4847" s="11">
        <v>25</v>
      </c>
      <c r="O4847" s="12">
        <v>22.84</v>
      </c>
      <c r="P4847" s="12">
        <v>8.18</v>
      </c>
      <c r="Q4847" s="13">
        <v>117.73</v>
      </c>
      <c r="R4847" s="36" t="s">
        <v>1569</v>
      </c>
      <c r="S4847" s="7">
        <f t="shared" si="411"/>
        <v>2</v>
      </c>
      <c r="T4847" s="15" t="str">
        <f>VLOOKUP(R4847,产品分类!$C$2:$D$1278,2,0)</f>
        <v>办公用品</v>
      </c>
    </row>
    <row r="4848" spans="1:20">
      <c r="A4848" s="8">
        <f>DATE(2012,12,31)-1415</f>
        <v>39859</v>
      </c>
      <c r="B4848" s="8">
        <f>DATE(2012,12,31)-1415</f>
        <v>39859</v>
      </c>
      <c r="C4848" s="9" t="s">
        <v>1182</v>
      </c>
      <c r="D4848">
        <v>10021254095</v>
      </c>
      <c r="E4848" t="s">
        <v>47</v>
      </c>
      <c r="F4848" t="s">
        <v>78</v>
      </c>
      <c r="G4848" t="s">
        <v>79</v>
      </c>
      <c r="H4848" t="s">
        <v>2379</v>
      </c>
      <c r="I4848" t="s">
        <v>2380</v>
      </c>
      <c r="J4848" t="s">
        <v>52</v>
      </c>
      <c r="K4848" s="3">
        <v>100121354717</v>
      </c>
      <c r="L4848" s="10">
        <v>39864</v>
      </c>
      <c r="M4848">
        <v>47.12</v>
      </c>
      <c r="N4848" s="11">
        <v>4</v>
      </c>
      <c r="O4848" s="12">
        <v>8.74</v>
      </c>
      <c r="P4848" s="12">
        <v>1.39</v>
      </c>
      <c r="Q4848" s="13">
        <v>10.8</v>
      </c>
      <c r="R4848" s="36" t="s">
        <v>618</v>
      </c>
      <c r="S4848" s="7">
        <f t="shared" si="411"/>
        <v>5</v>
      </c>
      <c r="T4848" s="15" t="str">
        <f>VLOOKUP(R4848,产品分类!$C$2:$D$1278,2,0)</f>
        <v>办公用品</v>
      </c>
    </row>
    <row r="4849" spans="1:20">
      <c r="A4849" s="8">
        <f>DATE(2012,12,31)-1415</f>
        <v>39859</v>
      </c>
      <c r="B4849" s="8">
        <f>DATE(2012,12,31)-1415</f>
        <v>39859</v>
      </c>
      <c r="C4849" s="9" t="s">
        <v>1182</v>
      </c>
      <c r="D4849">
        <v>10021389570</v>
      </c>
      <c r="E4849" t="s">
        <v>47</v>
      </c>
      <c r="F4849" t="s">
        <v>78</v>
      </c>
      <c r="G4849" t="s">
        <v>79</v>
      </c>
      <c r="H4849" t="s">
        <v>2379</v>
      </c>
      <c r="I4849" t="s">
        <v>2380</v>
      </c>
      <c r="J4849" t="s">
        <v>52</v>
      </c>
      <c r="K4849" s="3">
        <v>100931749511</v>
      </c>
      <c r="L4849" s="10">
        <v>39864</v>
      </c>
      <c r="M4849">
        <v>62.89</v>
      </c>
      <c r="N4849" s="11">
        <v>3</v>
      </c>
      <c r="O4849" s="12">
        <v>18.97</v>
      </c>
      <c r="P4849" s="12">
        <v>9.03</v>
      </c>
      <c r="Q4849" s="13">
        <v>-23.2</v>
      </c>
      <c r="R4849" s="36" t="s">
        <v>131</v>
      </c>
      <c r="S4849" s="7">
        <f t="shared" si="411"/>
        <v>5</v>
      </c>
      <c r="T4849" s="15" t="str">
        <f>VLOOKUP(R4849,产品分类!$C$2:$D$1278,2,0)</f>
        <v>家具产品</v>
      </c>
    </row>
    <row r="4850" spans="1:20">
      <c r="A4850" s="8">
        <f>DATE(2012,12,31)-897</f>
        <v>40377</v>
      </c>
      <c r="B4850" s="8">
        <f>DATE(2012,12,31)-897</f>
        <v>40377</v>
      </c>
      <c r="C4850" s="9" t="s">
        <v>1738</v>
      </c>
      <c r="D4850">
        <v>10021269654</v>
      </c>
      <c r="E4850" t="s">
        <v>47</v>
      </c>
      <c r="F4850" t="s">
        <v>72</v>
      </c>
      <c r="G4850" t="s">
        <v>73</v>
      </c>
      <c r="H4850" t="s">
        <v>2008</v>
      </c>
      <c r="I4850" t="s">
        <v>2009</v>
      </c>
      <c r="J4850" t="s">
        <v>52</v>
      </c>
      <c r="K4850" s="3">
        <v>100932456451</v>
      </c>
      <c r="L4850" s="10">
        <v>40378</v>
      </c>
      <c r="M4850">
        <v>555.68</v>
      </c>
      <c r="N4850" s="11">
        <v>2</v>
      </c>
      <c r="O4850" s="12">
        <v>243.98</v>
      </c>
      <c r="P4850" s="12">
        <v>62.94</v>
      </c>
      <c r="Q4850" s="13">
        <v>-336.3</v>
      </c>
      <c r="R4850" s="36" t="s">
        <v>1386</v>
      </c>
      <c r="S4850" s="7">
        <f t="shared" si="411"/>
        <v>1</v>
      </c>
      <c r="T4850" s="15" t="str">
        <f>VLOOKUP(R4850,产品分类!$C$2:$D$1278,2,0)</f>
        <v>家具产品</v>
      </c>
    </row>
    <row r="4851" spans="1:20">
      <c r="A4851" s="16">
        <f t="shared" ref="A4851:B4853" si="414">DATE(2012,12,31)-854</f>
        <v>40420</v>
      </c>
      <c r="B4851" s="16">
        <f t="shared" si="414"/>
        <v>40420</v>
      </c>
      <c r="C4851" s="9" t="s">
        <v>1794</v>
      </c>
      <c r="D4851">
        <v>10021337333</v>
      </c>
      <c r="E4851" t="s">
        <v>47</v>
      </c>
      <c r="F4851" t="s">
        <v>72</v>
      </c>
      <c r="G4851" t="s">
        <v>73</v>
      </c>
      <c r="H4851" t="s">
        <v>2008</v>
      </c>
      <c r="I4851" t="s">
        <v>2009</v>
      </c>
      <c r="J4851" t="s">
        <v>52</v>
      </c>
      <c r="K4851" s="3">
        <v>100121676828</v>
      </c>
      <c r="L4851" s="10">
        <v>40422</v>
      </c>
      <c r="M4851">
        <v>1516.13</v>
      </c>
      <c r="N4851" s="17">
        <v>22</v>
      </c>
      <c r="O4851" s="5">
        <v>67.84</v>
      </c>
      <c r="P4851" s="5">
        <v>0.99</v>
      </c>
      <c r="Q4851" s="6">
        <v>493.03</v>
      </c>
      <c r="R4851" s="37" t="s">
        <v>2154</v>
      </c>
      <c r="S4851" s="7">
        <f t="shared" si="411"/>
        <v>2</v>
      </c>
      <c r="T4851" s="15" t="str">
        <f>VLOOKUP(R4851,产品分类!$C$2:$D$1278,2,0)</f>
        <v>家具产品</v>
      </c>
    </row>
    <row r="4852" spans="1:20">
      <c r="A4852" s="8">
        <f t="shared" si="414"/>
        <v>40420</v>
      </c>
      <c r="B4852" s="8">
        <f t="shared" si="414"/>
        <v>40420</v>
      </c>
      <c r="C4852" s="9" t="s">
        <v>1794</v>
      </c>
      <c r="D4852">
        <v>10021253687</v>
      </c>
      <c r="E4852" t="s">
        <v>47</v>
      </c>
      <c r="F4852" t="s">
        <v>72</v>
      </c>
      <c r="G4852" t="s">
        <v>73</v>
      </c>
      <c r="H4852" t="s">
        <v>2008</v>
      </c>
      <c r="I4852" t="s">
        <v>2009</v>
      </c>
      <c r="J4852" t="s">
        <v>52</v>
      </c>
      <c r="K4852" s="3">
        <v>100120317377</v>
      </c>
      <c r="L4852" s="10">
        <v>40425</v>
      </c>
      <c r="M4852">
        <v>612.49</v>
      </c>
      <c r="N4852" s="11">
        <v>38</v>
      </c>
      <c r="O4852" s="12">
        <v>17.48</v>
      </c>
      <c r="P4852" s="12">
        <v>1.99</v>
      </c>
      <c r="Q4852" s="13">
        <v>168.04</v>
      </c>
      <c r="R4852" s="36" t="s">
        <v>1327</v>
      </c>
      <c r="S4852" s="7">
        <f t="shared" si="411"/>
        <v>5</v>
      </c>
      <c r="T4852" s="15" t="str">
        <f>VLOOKUP(R4852,产品分类!$C$2:$D$1278,2,0)</f>
        <v>数码电子</v>
      </c>
    </row>
    <row r="4853" spans="1:20">
      <c r="A4853" s="8">
        <f t="shared" si="414"/>
        <v>40420</v>
      </c>
      <c r="B4853" s="8">
        <f t="shared" si="414"/>
        <v>40420</v>
      </c>
      <c r="C4853" s="9" t="s">
        <v>1794</v>
      </c>
      <c r="D4853">
        <v>10021419658</v>
      </c>
      <c r="E4853" t="s">
        <v>47</v>
      </c>
      <c r="F4853" t="s">
        <v>78</v>
      </c>
      <c r="G4853" t="s">
        <v>79</v>
      </c>
      <c r="H4853" t="s">
        <v>2379</v>
      </c>
      <c r="I4853" t="s">
        <v>2380</v>
      </c>
      <c r="J4853" t="s">
        <v>52</v>
      </c>
      <c r="K4853" s="3">
        <v>100723984725</v>
      </c>
      <c r="L4853" s="10">
        <v>40425</v>
      </c>
      <c r="M4853">
        <v>1092.42</v>
      </c>
      <c r="N4853" s="11">
        <v>7</v>
      </c>
      <c r="O4853" s="12">
        <v>150.98</v>
      </c>
      <c r="P4853" s="12">
        <v>16.01</v>
      </c>
      <c r="Q4853" s="13">
        <v>-364.873366</v>
      </c>
      <c r="R4853" s="36" t="s">
        <v>986</v>
      </c>
      <c r="S4853" s="7">
        <f t="shared" si="411"/>
        <v>5</v>
      </c>
      <c r="T4853" s="15" t="str">
        <f>VLOOKUP(R4853,产品分类!$C$2:$D$1278,2,0)</f>
        <v>办公用品</v>
      </c>
    </row>
    <row r="4854" spans="1:20">
      <c r="A4854" s="8">
        <f>DATE(2012,12,31)-20</f>
        <v>41254</v>
      </c>
      <c r="B4854" s="8">
        <f>DATE(2012,12,31)-20</f>
        <v>41254</v>
      </c>
      <c r="C4854" s="9" t="s">
        <v>488</v>
      </c>
      <c r="D4854">
        <v>10021671486</v>
      </c>
      <c r="E4854" t="s">
        <v>47</v>
      </c>
      <c r="F4854" t="s">
        <v>72</v>
      </c>
      <c r="G4854" t="s">
        <v>73</v>
      </c>
      <c r="H4854" t="s">
        <v>2008</v>
      </c>
      <c r="I4854" t="s">
        <v>2009</v>
      </c>
      <c r="J4854" t="s">
        <v>52</v>
      </c>
      <c r="K4854" s="3">
        <v>100430959554</v>
      </c>
      <c r="L4854" s="10">
        <v>41261</v>
      </c>
      <c r="M4854">
        <v>1234.36</v>
      </c>
      <c r="N4854" s="11">
        <v>41</v>
      </c>
      <c r="O4854" s="12">
        <v>30.98</v>
      </c>
      <c r="P4854" s="12">
        <v>19.51</v>
      </c>
      <c r="Q4854" s="13">
        <v>-84.77</v>
      </c>
      <c r="R4854" s="36" t="s">
        <v>1385</v>
      </c>
      <c r="S4854" s="7">
        <f t="shared" si="411"/>
        <v>7</v>
      </c>
      <c r="T4854" s="15" t="str">
        <f>VLOOKUP(R4854,产品分类!$C$2:$D$1278,2,0)</f>
        <v>家具产品</v>
      </c>
    </row>
    <row r="4855" spans="1:20">
      <c r="A4855" s="8">
        <f>DATE(2012,12,31)-860</f>
        <v>40414</v>
      </c>
      <c r="B4855" s="8">
        <f>DATE(2012,12,31)-860</f>
        <v>40414</v>
      </c>
      <c r="C4855" s="9" t="s">
        <v>536</v>
      </c>
      <c r="D4855">
        <v>10021466437</v>
      </c>
      <c r="E4855" t="s">
        <v>47</v>
      </c>
      <c r="F4855" t="s">
        <v>72</v>
      </c>
      <c r="G4855" t="s">
        <v>73</v>
      </c>
      <c r="H4855" t="s">
        <v>2008</v>
      </c>
      <c r="I4855" t="s">
        <v>2009</v>
      </c>
      <c r="J4855" t="s">
        <v>52</v>
      </c>
      <c r="K4855" s="3">
        <v>100811662482</v>
      </c>
      <c r="L4855" s="10">
        <v>40416</v>
      </c>
      <c r="M4855">
        <v>561.92</v>
      </c>
      <c r="N4855" s="11">
        <v>22</v>
      </c>
      <c r="O4855" s="12">
        <v>28.38</v>
      </c>
      <c r="P4855" s="12">
        <v>1.99</v>
      </c>
      <c r="Q4855" s="13">
        <v>57.82</v>
      </c>
      <c r="R4855" s="36" t="s">
        <v>2307</v>
      </c>
      <c r="S4855" s="7">
        <f t="shared" si="411"/>
        <v>2</v>
      </c>
      <c r="T4855" s="15" t="str">
        <f>VLOOKUP(R4855,产品分类!$C$2:$D$1278,2,0)</f>
        <v>办公用品</v>
      </c>
    </row>
    <row r="4856" spans="1:20">
      <c r="A4856" s="16">
        <f>DATE(2012,12,31)-860</f>
        <v>40414</v>
      </c>
      <c r="B4856" s="16">
        <f>DATE(2012,12,31)-860</f>
        <v>40414</v>
      </c>
      <c r="C4856" s="9" t="s">
        <v>536</v>
      </c>
      <c r="D4856">
        <v>10021252065</v>
      </c>
      <c r="E4856" t="s">
        <v>47</v>
      </c>
      <c r="F4856" t="s">
        <v>72</v>
      </c>
      <c r="G4856" t="s">
        <v>73</v>
      </c>
      <c r="H4856" t="s">
        <v>2008</v>
      </c>
      <c r="I4856" t="s">
        <v>2009</v>
      </c>
      <c r="J4856" t="s">
        <v>52</v>
      </c>
      <c r="K4856" s="3">
        <v>100417348043</v>
      </c>
      <c r="L4856" s="10">
        <v>40418</v>
      </c>
      <c r="M4856">
        <v>365.64</v>
      </c>
      <c r="N4856" s="17">
        <v>19</v>
      </c>
      <c r="O4856" s="5">
        <v>18.97</v>
      </c>
      <c r="P4856" s="5">
        <v>9.03</v>
      </c>
      <c r="Q4856" s="6">
        <v>22.77</v>
      </c>
      <c r="R4856" s="37" t="s">
        <v>131</v>
      </c>
      <c r="S4856" s="7">
        <f t="shared" si="411"/>
        <v>4</v>
      </c>
      <c r="T4856" s="15" t="str">
        <f>VLOOKUP(R4856,产品分类!$C$2:$D$1278,2,0)</f>
        <v>家具产品</v>
      </c>
    </row>
    <row r="4857" spans="1:20">
      <c r="A4857" s="8">
        <f>DATE(2012,12,31)-1267</f>
        <v>40007</v>
      </c>
      <c r="B4857" s="8">
        <f>DATE(2012,12,31)-1267</f>
        <v>40007</v>
      </c>
      <c r="C4857" s="9" t="s">
        <v>147</v>
      </c>
      <c r="D4857">
        <v>10021595375</v>
      </c>
      <c r="E4857" t="s">
        <v>47</v>
      </c>
      <c r="F4857" t="s">
        <v>72</v>
      </c>
      <c r="G4857" t="s">
        <v>73</v>
      </c>
      <c r="H4857" t="s">
        <v>2008</v>
      </c>
      <c r="I4857" t="s">
        <v>2009</v>
      </c>
      <c r="J4857" t="s">
        <v>52</v>
      </c>
      <c r="K4857" s="3">
        <v>100132794726</v>
      </c>
      <c r="L4857" s="10">
        <v>40008</v>
      </c>
      <c r="M4857">
        <v>4815.862</v>
      </c>
      <c r="N4857" s="11">
        <v>47</v>
      </c>
      <c r="O4857" s="12">
        <v>125.99</v>
      </c>
      <c r="P4857" s="12">
        <v>4.2</v>
      </c>
      <c r="Q4857" s="13">
        <v>1316.79</v>
      </c>
      <c r="R4857" s="36" t="s">
        <v>1458</v>
      </c>
      <c r="S4857" s="7">
        <f t="shared" si="411"/>
        <v>1</v>
      </c>
      <c r="T4857" s="15" t="str">
        <f>VLOOKUP(R4857,产品分类!$C$2:$D$1278,2,0)</f>
        <v>家具产品</v>
      </c>
    </row>
    <row r="4858" spans="1:20">
      <c r="A4858" s="8">
        <f>DATE(2012,12,31)-1345</f>
        <v>39929</v>
      </c>
      <c r="B4858" s="8">
        <f>DATE(2012,12,31)-1345</f>
        <v>39929</v>
      </c>
      <c r="C4858" s="9" t="s">
        <v>2135</v>
      </c>
      <c r="D4858">
        <v>10021448630</v>
      </c>
      <c r="E4858" t="s">
        <v>47</v>
      </c>
      <c r="F4858" t="s">
        <v>230</v>
      </c>
      <c r="G4858" t="s">
        <v>231</v>
      </c>
      <c r="H4858" t="s">
        <v>2372</v>
      </c>
      <c r="I4858" t="s">
        <v>2373</v>
      </c>
      <c r="J4858" t="s">
        <v>52</v>
      </c>
      <c r="K4858" s="3">
        <v>100412434204</v>
      </c>
      <c r="L4858" s="10">
        <v>39933</v>
      </c>
      <c r="M4858">
        <v>3344.11</v>
      </c>
      <c r="N4858" s="11">
        <v>18</v>
      </c>
      <c r="O4858" s="12">
        <v>180.98</v>
      </c>
      <c r="P4858" s="12">
        <v>26.2</v>
      </c>
      <c r="Q4858" s="13">
        <v>588.54</v>
      </c>
      <c r="R4858" s="36" t="s">
        <v>1580</v>
      </c>
      <c r="S4858" s="7">
        <f t="shared" si="411"/>
        <v>4</v>
      </c>
      <c r="T4858" s="15" t="str">
        <f>VLOOKUP(R4858,产品分类!$C$2:$D$1278,2,0)</f>
        <v>数码电子</v>
      </c>
    </row>
    <row r="4859" spans="1:20">
      <c r="A4859" s="16">
        <f>DATE(2012,12,31)-165</f>
        <v>41109</v>
      </c>
      <c r="B4859" s="16">
        <f>DATE(2012,12,31)-165</f>
        <v>41109</v>
      </c>
      <c r="C4859" s="9" t="s">
        <v>520</v>
      </c>
      <c r="D4859">
        <v>10021251758</v>
      </c>
      <c r="E4859" t="s">
        <v>47</v>
      </c>
      <c r="F4859" t="s">
        <v>230</v>
      </c>
      <c r="G4859" t="s">
        <v>231</v>
      </c>
      <c r="H4859" t="s">
        <v>2372</v>
      </c>
      <c r="I4859" t="s">
        <v>2373</v>
      </c>
      <c r="J4859" t="s">
        <v>52</v>
      </c>
      <c r="K4859" s="3">
        <v>100911489971</v>
      </c>
      <c r="L4859" s="10">
        <v>41110</v>
      </c>
      <c r="M4859">
        <v>488.65</v>
      </c>
      <c r="N4859" s="17">
        <v>12</v>
      </c>
      <c r="O4859" s="5">
        <v>40.99</v>
      </c>
      <c r="P4859" s="5">
        <v>17.48</v>
      </c>
      <c r="Q4859" s="6">
        <v>19.83</v>
      </c>
      <c r="R4859" s="37" t="s">
        <v>620</v>
      </c>
      <c r="S4859" s="7">
        <f t="shared" si="411"/>
        <v>1</v>
      </c>
      <c r="T4859" s="15" t="str">
        <f>VLOOKUP(R4859,产品分类!$C$2:$D$1278,2,0)</f>
        <v>数码电子</v>
      </c>
    </row>
    <row r="4860" spans="1:20">
      <c r="A4860" s="16">
        <f>DATE(2012,12,31)-488</f>
        <v>40786</v>
      </c>
      <c r="B4860" s="16">
        <f>DATE(2012,12,31)-488</f>
        <v>40786</v>
      </c>
      <c r="C4860" s="9" t="s">
        <v>609</v>
      </c>
      <c r="D4860">
        <v>10021348199</v>
      </c>
      <c r="E4860" t="s">
        <v>47</v>
      </c>
      <c r="F4860" t="s">
        <v>230</v>
      </c>
      <c r="G4860" t="s">
        <v>231</v>
      </c>
      <c r="H4860" t="s">
        <v>2372</v>
      </c>
      <c r="I4860" t="s">
        <v>2373</v>
      </c>
      <c r="J4860" t="s">
        <v>52</v>
      </c>
      <c r="K4860" s="3">
        <v>100131338868</v>
      </c>
      <c r="L4860" s="10">
        <v>40787</v>
      </c>
      <c r="M4860">
        <v>302.09</v>
      </c>
      <c r="N4860" s="17">
        <v>39</v>
      </c>
      <c r="O4860" s="5">
        <v>7.68</v>
      </c>
      <c r="P4860" s="5">
        <v>6.16</v>
      </c>
      <c r="Q4860" s="6">
        <v>-67.091</v>
      </c>
      <c r="R4860" s="37" t="s">
        <v>1262</v>
      </c>
      <c r="S4860" s="7">
        <f t="shared" si="411"/>
        <v>1</v>
      </c>
      <c r="T4860" s="15" t="str">
        <f>VLOOKUP(R4860,产品分类!$C$2:$D$1278,2,0)</f>
        <v>办公用品</v>
      </c>
    </row>
    <row r="4861" spans="1:20">
      <c r="A4861" s="8">
        <f>DATE(2012,12,31)-746</f>
        <v>40528</v>
      </c>
      <c r="B4861" s="8">
        <f>DATE(2012,12,31)-746</f>
        <v>40528</v>
      </c>
      <c r="C4861" s="9" t="s">
        <v>158</v>
      </c>
      <c r="D4861">
        <v>10021574778</v>
      </c>
      <c r="E4861" t="s">
        <v>47</v>
      </c>
      <c r="F4861" t="s">
        <v>230</v>
      </c>
      <c r="G4861" t="s">
        <v>231</v>
      </c>
      <c r="H4861" t="s">
        <v>2372</v>
      </c>
      <c r="I4861" t="s">
        <v>2373</v>
      </c>
      <c r="J4861" t="s">
        <v>52</v>
      </c>
      <c r="K4861" s="3">
        <v>10084779472</v>
      </c>
      <c r="L4861" s="10">
        <v>40530</v>
      </c>
      <c r="M4861">
        <v>849.337</v>
      </c>
      <c r="N4861" s="11">
        <v>8</v>
      </c>
      <c r="O4861" s="12">
        <v>125.99</v>
      </c>
      <c r="P4861" s="12">
        <v>2.5</v>
      </c>
      <c r="Q4861" s="13">
        <v>-258.852</v>
      </c>
      <c r="R4861" s="36" t="s">
        <v>1942</v>
      </c>
      <c r="S4861" s="7">
        <f t="shared" si="411"/>
        <v>2</v>
      </c>
      <c r="T4861" s="15" t="str">
        <f>VLOOKUP(R4861,产品分类!$C$2:$D$1278,2,0)</f>
        <v>家具产品</v>
      </c>
    </row>
    <row r="4862" spans="1:20">
      <c r="A4862" s="8">
        <f>DATE(2012,12,31)-1034</f>
        <v>40240</v>
      </c>
      <c r="B4862" s="8">
        <f>DATE(2012,12,31)-1034</f>
        <v>40240</v>
      </c>
      <c r="C4862" s="9" t="s">
        <v>1071</v>
      </c>
      <c r="D4862">
        <v>10021548560</v>
      </c>
      <c r="E4862" t="s">
        <v>47</v>
      </c>
      <c r="F4862" t="s">
        <v>277</v>
      </c>
      <c r="G4862" t="s">
        <v>278</v>
      </c>
      <c r="H4862" t="s">
        <v>279</v>
      </c>
      <c r="I4862" t="s">
        <v>280</v>
      </c>
      <c r="J4862" t="s">
        <v>52</v>
      </c>
      <c r="K4862" s="3">
        <v>100332689129</v>
      </c>
      <c r="L4862" s="10">
        <v>40244</v>
      </c>
      <c r="M4862">
        <v>191.55</v>
      </c>
      <c r="N4862" s="11">
        <v>26</v>
      </c>
      <c r="O4862" s="12">
        <v>7.7</v>
      </c>
      <c r="P4862" s="12">
        <v>3.68</v>
      </c>
      <c r="Q4862" s="13">
        <v>7.17</v>
      </c>
      <c r="R4862" s="36" t="s">
        <v>1023</v>
      </c>
      <c r="S4862" s="7">
        <f t="shared" si="411"/>
        <v>4</v>
      </c>
      <c r="T4862" s="15" t="str">
        <f>VLOOKUP(R4862,产品分类!$C$2:$D$1278,2,0)</f>
        <v>家具产品</v>
      </c>
    </row>
    <row r="4863" spans="1:20">
      <c r="A4863" s="8">
        <f>DATE(2012,12,31)-1034</f>
        <v>40240</v>
      </c>
      <c r="B4863" s="8">
        <f>DATE(2012,12,31)-1034</f>
        <v>40240</v>
      </c>
      <c r="C4863" s="9" t="s">
        <v>1071</v>
      </c>
      <c r="D4863">
        <v>10021674243</v>
      </c>
      <c r="E4863" t="s">
        <v>47</v>
      </c>
      <c r="F4863" t="s">
        <v>473</v>
      </c>
      <c r="G4863" t="s">
        <v>474</v>
      </c>
      <c r="H4863" t="s">
        <v>2142</v>
      </c>
      <c r="I4863" t="s">
        <v>2143</v>
      </c>
      <c r="J4863" t="s">
        <v>52</v>
      </c>
      <c r="K4863" s="3">
        <v>100932149911</v>
      </c>
      <c r="L4863" s="10">
        <v>40244</v>
      </c>
      <c r="M4863">
        <v>938.86</v>
      </c>
      <c r="N4863" s="11">
        <v>29</v>
      </c>
      <c r="O4863" s="12">
        <v>30.98</v>
      </c>
      <c r="P4863" s="12">
        <v>17.08</v>
      </c>
      <c r="Q4863" s="13">
        <v>22.21</v>
      </c>
      <c r="R4863" s="36" t="s">
        <v>1977</v>
      </c>
      <c r="S4863" s="7">
        <f t="shared" si="411"/>
        <v>4</v>
      </c>
      <c r="T4863" s="15" t="str">
        <f>VLOOKUP(R4863,产品分类!$C$2:$D$1278,2,0)</f>
        <v>数码电子</v>
      </c>
    </row>
    <row r="4864" spans="1:20">
      <c r="A4864" s="8">
        <f>DATE(2012,12,31)-1165</f>
        <v>40109</v>
      </c>
      <c r="B4864" s="8">
        <f>DATE(2012,12,31)-1165</f>
        <v>40109</v>
      </c>
      <c r="C4864" s="9" t="s">
        <v>1682</v>
      </c>
      <c r="D4864">
        <v>10021249231</v>
      </c>
      <c r="E4864" t="s">
        <v>47</v>
      </c>
      <c r="F4864" t="s">
        <v>434</v>
      </c>
      <c r="G4864" t="s">
        <v>435</v>
      </c>
      <c r="H4864" t="s">
        <v>436</v>
      </c>
      <c r="I4864" t="s">
        <v>437</v>
      </c>
      <c r="J4864" t="s">
        <v>52</v>
      </c>
      <c r="K4864" s="3">
        <v>10044292003</v>
      </c>
      <c r="L4864" s="10">
        <v>40110</v>
      </c>
      <c r="M4864">
        <v>22.06</v>
      </c>
      <c r="N4864" s="11">
        <v>5</v>
      </c>
      <c r="O4864" s="12">
        <v>3.36</v>
      </c>
      <c r="P4864" s="12">
        <v>6.27</v>
      </c>
      <c r="Q4864" s="13">
        <v>-22.2755</v>
      </c>
      <c r="R4864" s="36" t="s">
        <v>690</v>
      </c>
      <c r="S4864" s="7">
        <f t="shared" si="411"/>
        <v>1</v>
      </c>
      <c r="T4864" s="15" t="str">
        <f>VLOOKUP(R4864,产品分类!$C$2:$D$1278,2,0)</f>
        <v>办公用品</v>
      </c>
    </row>
    <row r="4865" spans="1:20">
      <c r="A4865" s="8">
        <f>DATE(2012,12,31)-1165</f>
        <v>40109</v>
      </c>
      <c r="B4865" s="8">
        <f>DATE(2012,12,31)-1165</f>
        <v>40109</v>
      </c>
      <c r="C4865" s="9" t="s">
        <v>1682</v>
      </c>
      <c r="D4865">
        <v>10021579873</v>
      </c>
      <c r="E4865" t="s">
        <v>47</v>
      </c>
      <c r="F4865" t="s">
        <v>114</v>
      </c>
      <c r="G4865" t="s">
        <v>115</v>
      </c>
      <c r="H4865" t="s">
        <v>2374</v>
      </c>
      <c r="I4865" t="s">
        <v>2375</v>
      </c>
      <c r="J4865" t="s">
        <v>52</v>
      </c>
      <c r="K4865" s="3">
        <v>100721435645</v>
      </c>
      <c r="L4865" s="10">
        <v>40111</v>
      </c>
      <c r="M4865">
        <v>12616.2</v>
      </c>
      <c r="N4865" s="11">
        <v>19</v>
      </c>
      <c r="O4865" s="12">
        <v>699.99</v>
      </c>
      <c r="P4865" s="12">
        <v>24.49</v>
      </c>
      <c r="Q4865" s="13">
        <v>2808.219</v>
      </c>
      <c r="R4865" s="36" t="s">
        <v>493</v>
      </c>
      <c r="S4865" s="7">
        <f t="shared" si="411"/>
        <v>2</v>
      </c>
      <c r="T4865" s="15" t="str">
        <f>VLOOKUP(R4865,产品分类!$C$2:$D$1278,2,0)</f>
        <v>办公用品</v>
      </c>
    </row>
    <row r="4866" spans="1:20">
      <c r="A4866" s="8">
        <f>DATE(2012,12,31)-971</f>
        <v>40303</v>
      </c>
      <c r="B4866" s="8">
        <f>DATE(2012,12,31)-971</f>
        <v>40303</v>
      </c>
      <c r="C4866" s="9" t="s">
        <v>1117</v>
      </c>
      <c r="D4866">
        <v>10021369776</v>
      </c>
      <c r="E4866" t="s">
        <v>47</v>
      </c>
      <c r="F4866" t="s">
        <v>91</v>
      </c>
      <c r="G4866" t="s">
        <v>92</v>
      </c>
      <c r="H4866" t="s">
        <v>2053</v>
      </c>
      <c r="I4866" t="s">
        <v>2054</v>
      </c>
      <c r="J4866" t="s">
        <v>52</v>
      </c>
      <c r="K4866" s="3">
        <v>100430494613</v>
      </c>
      <c r="L4866" s="10">
        <v>40312</v>
      </c>
      <c r="M4866">
        <v>1396.75</v>
      </c>
      <c r="N4866" s="11">
        <v>46</v>
      </c>
      <c r="O4866" s="12">
        <v>30.98</v>
      </c>
      <c r="P4866" s="12">
        <v>19.51</v>
      </c>
      <c r="Q4866" s="13">
        <v>-75.7</v>
      </c>
      <c r="R4866" s="36" t="s">
        <v>1385</v>
      </c>
      <c r="S4866" s="7">
        <f t="shared" si="411"/>
        <v>9</v>
      </c>
      <c r="T4866" s="15" t="str">
        <f>VLOOKUP(R4866,产品分类!$C$2:$D$1278,2,0)</f>
        <v>家具产品</v>
      </c>
    </row>
    <row r="4867" spans="1:20">
      <c r="A4867" s="8">
        <f>DATE(2012,12,31)-774</f>
        <v>40500</v>
      </c>
      <c r="B4867" s="8">
        <f>DATE(2012,12,31)-774</f>
        <v>40500</v>
      </c>
      <c r="C4867" s="9" t="s">
        <v>598</v>
      </c>
      <c r="D4867">
        <v>10021528352</v>
      </c>
      <c r="E4867" t="s">
        <v>47</v>
      </c>
      <c r="F4867" t="s">
        <v>55</v>
      </c>
      <c r="G4867" t="s">
        <v>56</v>
      </c>
      <c r="H4867" t="s">
        <v>2331</v>
      </c>
      <c r="I4867" t="s">
        <v>2332</v>
      </c>
      <c r="J4867" t="s">
        <v>52</v>
      </c>
      <c r="K4867" s="3">
        <v>100924678301</v>
      </c>
      <c r="L4867" s="10">
        <v>40500</v>
      </c>
      <c r="M4867">
        <v>2701.69</v>
      </c>
      <c r="N4867" s="11">
        <v>33</v>
      </c>
      <c r="O4867" s="12">
        <v>81.94</v>
      </c>
      <c r="P4867" s="12">
        <v>55.81</v>
      </c>
      <c r="Q4867" s="13">
        <v>-926.33</v>
      </c>
      <c r="R4867" s="36" t="s">
        <v>1354</v>
      </c>
      <c r="S4867" s="7">
        <f t="shared" ref="S4867:S4930" si="415">+L4867-B4867</f>
        <v>0</v>
      </c>
      <c r="T4867" s="15" t="str">
        <f>VLOOKUP(R4867,产品分类!$C$2:$D$1278,2,0)</f>
        <v>办公用品</v>
      </c>
    </row>
    <row r="4868" spans="1:20">
      <c r="A4868" s="8">
        <f>DATE(2012,12,31)-42</f>
        <v>41232</v>
      </c>
      <c r="B4868" s="8">
        <f>DATE(2012,12,31)-42</f>
        <v>41232</v>
      </c>
      <c r="C4868" s="9" t="s">
        <v>697</v>
      </c>
      <c r="D4868">
        <v>10021523388</v>
      </c>
      <c r="E4868" t="s">
        <v>47</v>
      </c>
      <c r="F4868" t="s">
        <v>83</v>
      </c>
      <c r="G4868" t="s">
        <v>84</v>
      </c>
      <c r="H4868" t="s">
        <v>2349</v>
      </c>
      <c r="I4868" t="s">
        <v>2350</v>
      </c>
      <c r="J4868" t="s">
        <v>52</v>
      </c>
      <c r="K4868" s="3">
        <v>10047476114</v>
      </c>
      <c r="L4868" s="10">
        <v>41234</v>
      </c>
      <c r="M4868">
        <v>259.43</v>
      </c>
      <c r="N4868" s="11">
        <v>42</v>
      </c>
      <c r="O4868" s="12">
        <v>5.77</v>
      </c>
      <c r="P4868" s="12">
        <v>4.97</v>
      </c>
      <c r="Q4868" s="13">
        <v>-52.5205</v>
      </c>
      <c r="R4868" s="36" t="s">
        <v>2391</v>
      </c>
      <c r="S4868" s="7">
        <f t="shared" si="415"/>
        <v>2</v>
      </c>
      <c r="T4868" s="15" t="str">
        <f>VLOOKUP(R4868,产品分类!$C$2:$D$1278,2,0)</f>
        <v>家具产品</v>
      </c>
    </row>
    <row r="4869" spans="1:20">
      <c r="A4869" s="8">
        <f>DATE(2012,12,31)-485</f>
        <v>40789</v>
      </c>
      <c r="B4869" s="8">
        <f>DATE(2012,12,31)-485</f>
        <v>40789</v>
      </c>
      <c r="C4869" s="9" t="s">
        <v>1868</v>
      </c>
      <c r="D4869">
        <v>10021264489</v>
      </c>
      <c r="E4869" t="s">
        <v>47</v>
      </c>
      <c r="F4869" t="s">
        <v>91</v>
      </c>
      <c r="G4869" t="s">
        <v>92</v>
      </c>
      <c r="H4869" t="s">
        <v>2053</v>
      </c>
      <c r="I4869" t="s">
        <v>2054</v>
      </c>
      <c r="J4869" t="s">
        <v>52</v>
      </c>
      <c r="K4869" s="3">
        <v>100131188568</v>
      </c>
      <c r="L4869" s="10">
        <v>40790</v>
      </c>
      <c r="M4869">
        <v>24.77</v>
      </c>
      <c r="N4869" s="11">
        <v>4</v>
      </c>
      <c r="O4869" s="12">
        <v>4.91</v>
      </c>
      <c r="P4869" s="12">
        <v>5.68</v>
      </c>
      <c r="Q4869" s="13">
        <v>-17.066</v>
      </c>
      <c r="R4869" s="36" t="s">
        <v>1350</v>
      </c>
      <c r="S4869" s="7">
        <f t="shared" si="415"/>
        <v>1</v>
      </c>
      <c r="T4869" s="15" t="str">
        <f>VLOOKUP(R4869,产品分类!$C$2:$D$1278,2,0)</f>
        <v>办公用品</v>
      </c>
    </row>
    <row r="4870" spans="1:20">
      <c r="A4870" s="8">
        <f>DATE(2012,12,31)-485</f>
        <v>40789</v>
      </c>
      <c r="B4870" s="8">
        <f>DATE(2012,12,31)-485</f>
        <v>40789</v>
      </c>
      <c r="C4870" s="9" t="s">
        <v>1868</v>
      </c>
      <c r="D4870">
        <v>10021581746</v>
      </c>
      <c r="E4870" t="s">
        <v>47</v>
      </c>
      <c r="F4870" t="s">
        <v>55</v>
      </c>
      <c r="G4870" t="s">
        <v>56</v>
      </c>
      <c r="H4870" t="s">
        <v>2331</v>
      </c>
      <c r="I4870" t="s">
        <v>2332</v>
      </c>
      <c r="J4870" t="s">
        <v>52</v>
      </c>
      <c r="K4870" s="3">
        <v>100824906162</v>
      </c>
      <c r="L4870" s="10">
        <v>40791</v>
      </c>
      <c r="M4870">
        <v>3832.37</v>
      </c>
      <c r="N4870" s="11">
        <v>36</v>
      </c>
      <c r="O4870" s="12">
        <v>107.53</v>
      </c>
      <c r="P4870" s="12">
        <v>5.81</v>
      </c>
      <c r="Q4870" s="13">
        <v>1322.07</v>
      </c>
      <c r="R4870" s="36" t="s">
        <v>65</v>
      </c>
      <c r="S4870" s="7">
        <f t="shared" si="415"/>
        <v>2</v>
      </c>
      <c r="T4870" s="15" t="str">
        <f>VLOOKUP(R4870,产品分类!$C$2:$D$1278,2,0)</f>
        <v>家具产品</v>
      </c>
    </row>
    <row r="4871" spans="1:20">
      <c r="A4871" s="8">
        <f>DATE(2012,12,31)-1076</f>
        <v>40198</v>
      </c>
      <c r="B4871" s="8">
        <f>DATE(2012,12,31)-1076</f>
        <v>40198</v>
      </c>
      <c r="C4871" s="9" t="s">
        <v>1221</v>
      </c>
      <c r="D4871">
        <v>10021427499</v>
      </c>
      <c r="E4871" t="s">
        <v>47</v>
      </c>
      <c r="F4871" t="s">
        <v>55</v>
      </c>
      <c r="G4871" t="s">
        <v>56</v>
      </c>
      <c r="H4871" t="s">
        <v>2331</v>
      </c>
      <c r="I4871" t="s">
        <v>2332</v>
      </c>
      <c r="J4871" t="s">
        <v>52</v>
      </c>
      <c r="K4871" s="3">
        <v>100419833394</v>
      </c>
      <c r="L4871" s="10">
        <v>40200</v>
      </c>
      <c r="M4871">
        <v>864.16</v>
      </c>
      <c r="N4871" s="11">
        <v>26</v>
      </c>
      <c r="O4871" s="12">
        <v>33.98</v>
      </c>
      <c r="P4871" s="12">
        <v>19.99</v>
      </c>
      <c r="Q4871" s="13">
        <v>-175.47</v>
      </c>
      <c r="R4871" s="36" t="s">
        <v>1302</v>
      </c>
      <c r="S4871" s="7">
        <f t="shared" si="415"/>
        <v>2</v>
      </c>
      <c r="T4871" s="15" t="str">
        <f>VLOOKUP(R4871,产品分类!$C$2:$D$1278,2,0)</f>
        <v>数码电子</v>
      </c>
    </row>
    <row r="4872" spans="1:20">
      <c r="A4872" s="16">
        <f>DATE(2012,12,31)-356</f>
        <v>40918</v>
      </c>
      <c r="B4872" s="16">
        <f>DATE(2012,12,31)-356</f>
        <v>40918</v>
      </c>
      <c r="C4872" s="9" t="s">
        <v>1894</v>
      </c>
      <c r="D4872">
        <v>10021669296</v>
      </c>
      <c r="E4872" t="s">
        <v>47</v>
      </c>
      <c r="F4872" t="s">
        <v>91</v>
      </c>
      <c r="G4872" t="s">
        <v>92</v>
      </c>
      <c r="H4872" t="s">
        <v>2053</v>
      </c>
      <c r="I4872" t="s">
        <v>2054</v>
      </c>
      <c r="J4872" t="s">
        <v>52</v>
      </c>
      <c r="K4872" s="3">
        <v>100910671401</v>
      </c>
      <c r="L4872" s="10">
        <v>40920</v>
      </c>
      <c r="M4872">
        <v>12741.81</v>
      </c>
      <c r="N4872" s="17">
        <v>35</v>
      </c>
      <c r="O4872" s="5">
        <v>370.98</v>
      </c>
      <c r="P4872" s="5">
        <v>99</v>
      </c>
      <c r="Q4872" s="6">
        <v>95.0599999999999</v>
      </c>
      <c r="R4872" s="37" t="s">
        <v>566</v>
      </c>
      <c r="S4872" s="7">
        <f t="shared" si="415"/>
        <v>2</v>
      </c>
      <c r="T4872" s="15" t="str">
        <f>VLOOKUP(R4872,产品分类!$C$2:$D$1278,2,0)</f>
        <v>办公用品</v>
      </c>
    </row>
    <row r="4873" spans="1:20">
      <c r="A4873" s="8">
        <f>DATE(2012,12,31)-544</f>
        <v>40730</v>
      </c>
      <c r="B4873" s="8">
        <f>DATE(2012,12,31)-544</f>
        <v>40730</v>
      </c>
      <c r="C4873" s="9" t="s">
        <v>2002</v>
      </c>
      <c r="D4873">
        <v>10021506182</v>
      </c>
      <c r="E4873" t="s">
        <v>47</v>
      </c>
      <c r="F4873" t="s">
        <v>55</v>
      </c>
      <c r="G4873" t="s">
        <v>56</v>
      </c>
      <c r="H4873" t="s">
        <v>2331</v>
      </c>
      <c r="I4873" t="s">
        <v>2332</v>
      </c>
      <c r="J4873" t="s">
        <v>52</v>
      </c>
      <c r="K4873" s="3">
        <v>10049890653</v>
      </c>
      <c r="L4873" s="10">
        <v>40732</v>
      </c>
      <c r="M4873">
        <v>29186.49</v>
      </c>
      <c r="N4873" s="11">
        <v>38</v>
      </c>
      <c r="O4873" s="12">
        <v>808.49</v>
      </c>
      <c r="P4873" s="12">
        <v>55.3</v>
      </c>
      <c r="Q4873" s="13">
        <v>11562.08</v>
      </c>
      <c r="R4873" s="36" t="s">
        <v>2171</v>
      </c>
      <c r="S4873" s="7">
        <f t="shared" si="415"/>
        <v>2</v>
      </c>
      <c r="T4873" s="15" t="str">
        <f>VLOOKUP(R4873,产品分类!$C$2:$D$1278,2,0)</f>
        <v>数码电子</v>
      </c>
    </row>
    <row r="4874" spans="1:20">
      <c r="A4874" s="16">
        <f>DATE(2012,12,31)-1134</f>
        <v>40140</v>
      </c>
      <c r="B4874" s="16">
        <f>DATE(2012,12,31)-1134</f>
        <v>40140</v>
      </c>
      <c r="C4874" s="9" t="s">
        <v>158</v>
      </c>
      <c r="D4874">
        <v>10021531343</v>
      </c>
      <c r="E4874" t="s">
        <v>47</v>
      </c>
      <c r="F4874" t="s">
        <v>122</v>
      </c>
      <c r="G4874" t="s">
        <v>123</v>
      </c>
      <c r="H4874" t="s">
        <v>2159</v>
      </c>
      <c r="I4874" t="s">
        <v>2160</v>
      </c>
      <c r="J4874" t="s">
        <v>52</v>
      </c>
      <c r="K4874" s="3">
        <v>100418402654</v>
      </c>
      <c r="L4874" s="10">
        <v>40147</v>
      </c>
      <c r="M4874">
        <v>572.4</v>
      </c>
      <c r="N4874" s="17">
        <v>36</v>
      </c>
      <c r="O4874" s="5">
        <v>16.91</v>
      </c>
      <c r="P4874" s="5">
        <v>6.25</v>
      </c>
      <c r="Q4874" s="6">
        <v>-39.5</v>
      </c>
      <c r="R4874" s="37" t="s">
        <v>1673</v>
      </c>
      <c r="S4874" s="7">
        <f t="shared" si="415"/>
        <v>7</v>
      </c>
      <c r="T4874" s="15" t="str">
        <f>VLOOKUP(R4874,产品分类!$C$2:$D$1278,2,0)</f>
        <v>家具产品</v>
      </c>
    </row>
    <row r="4875" spans="1:20">
      <c r="A4875" s="16">
        <f t="shared" ref="A4875:B4877" si="416">DATE(2012,12,31)-1447</f>
        <v>39827</v>
      </c>
      <c r="B4875" s="16">
        <f t="shared" si="416"/>
        <v>39827</v>
      </c>
      <c r="C4875" s="9" t="s">
        <v>1015</v>
      </c>
      <c r="D4875">
        <v>10021338643</v>
      </c>
      <c r="E4875" t="s">
        <v>47</v>
      </c>
      <c r="F4875" t="s">
        <v>83</v>
      </c>
      <c r="G4875" t="s">
        <v>84</v>
      </c>
      <c r="H4875" t="s">
        <v>2349</v>
      </c>
      <c r="I4875" t="s">
        <v>2350</v>
      </c>
      <c r="J4875" t="s">
        <v>52</v>
      </c>
      <c r="K4875" s="3">
        <v>100424303864</v>
      </c>
      <c r="L4875" s="10">
        <v>39829</v>
      </c>
      <c r="M4875">
        <v>217.68</v>
      </c>
      <c r="N4875" s="17">
        <v>27</v>
      </c>
      <c r="O4875" s="5">
        <v>7.77</v>
      </c>
      <c r="P4875" s="5">
        <v>9.23</v>
      </c>
      <c r="Q4875" s="6">
        <v>-168.75</v>
      </c>
      <c r="R4875" s="37" t="s">
        <v>1440</v>
      </c>
      <c r="S4875" s="7">
        <f t="shared" si="415"/>
        <v>2</v>
      </c>
      <c r="T4875" s="15" t="str">
        <f>VLOOKUP(R4875,产品分类!$C$2:$D$1278,2,0)</f>
        <v>家具产品</v>
      </c>
    </row>
    <row r="4876" spans="1:20">
      <c r="A4876" s="8">
        <f t="shared" si="416"/>
        <v>39827</v>
      </c>
      <c r="B4876" s="8">
        <f t="shared" si="416"/>
        <v>39827</v>
      </c>
      <c r="C4876" s="9" t="s">
        <v>1015</v>
      </c>
      <c r="D4876">
        <v>10021428582</v>
      </c>
      <c r="E4876" t="s">
        <v>47</v>
      </c>
      <c r="F4876" t="s">
        <v>91</v>
      </c>
      <c r="G4876" t="s">
        <v>92</v>
      </c>
      <c r="H4876" t="s">
        <v>2053</v>
      </c>
      <c r="I4876" t="s">
        <v>2054</v>
      </c>
      <c r="J4876" t="s">
        <v>52</v>
      </c>
      <c r="K4876" s="3">
        <v>100831071332</v>
      </c>
      <c r="L4876" s="10">
        <v>39827</v>
      </c>
      <c r="M4876">
        <v>7202.94</v>
      </c>
      <c r="N4876" s="11">
        <v>23</v>
      </c>
      <c r="O4876" s="12">
        <v>306.14</v>
      </c>
      <c r="P4876" s="12">
        <v>26.53</v>
      </c>
      <c r="Q4876" s="13">
        <v>1425.11</v>
      </c>
      <c r="R4876" s="36" t="s">
        <v>1483</v>
      </c>
      <c r="S4876" s="7">
        <f t="shared" si="415"/>
        <v>0</v>
      </c>
      <c r="T4876" s="15" t="str">
        <f>VLOOKUP(R4876,产品分类!$C$2:$D$1278,2,0)</f>
        <v>办公用品</v>
      </c>
    </row>
    <row r="4877" spans="1:20">
      <c r="A4877" s="16">
        <f t="shared" si="416"/>
        <v>39827</v>
      </c>
      <c r="B4877" s="16">
        <f t="shared" si="416"/>
        <v>39827</v>
      </c>
      <c r="C4877" s="9" t="s">
        <v>1015</v>
      </c>
      <c r="D4877">
        <v>10021262978</v>
      </c>
      <c r="E4877" t="s">
        <v>47</v>
      </c>
      <c r="F4877" t="s">
        <v>83</v>
      </c>
      <c r="G4877" t="s">
        <v>84</v>
      </c>
      <c r="H4877" t="s">
        <v>2349</v>
      </c>
      <c r="I4877" t="s">
        <v>2350</v>
      </c>
      <c r="J4877" t="s">
        <v>52</v>
      </c>
      <c r="K4877" s="3">
        <v>100930445671</v>
      </c>
      <c r="L4877" s="10">
        <v>39829</v>
      </c>
      <c r="M4877">
        <v>245.82</v>
      </c>
      <c r="N4877" s="17">
        <v>13</v>
      </c>
      <c r="O4877" s="5">
        <v>18.97</v>
      </c>
      <c r="P4877" s="5">
        <v>9.54</v>
      </c>
      <c r="Q4877" s="6">
        <v>-7.39</v>
      </c>
      <c r="R4877" s="37" t="s">
        <v>302</v>
      </c>
      <c r="S4877" s="7">
        <f t="shared" si="415"/>
        <v>2</v>
      </c>
      <c r="T4877" s="15" t="str">
        <f>VLOOKUP(R4877,产品分类!$C$2:$D$1278,2,0)</f>
        <v>家具产品</v>
      </c>
    </row>
    <row r="4878" spans="1:20">
      <c r="A4878" s="8">
        <f>DATE(2012,12,31)-613</f>
        <v>40661</v>
      </c>
      <c r="B4878" s="8">
        <f>DATE(2012,12,31)-613</f>
        <v>40661</v>
      </c>
      <c r="C4878" s="9" t="s">
        <v>1921</v>
      </c>
      <c r="D4878">
        <v>10021500973</v>
      </c>
      <c r="E4878" t="s">
        <v>47</v>
      </c>
      <c r="F4878" t="s">
        <v>91</v>
      </c>
      <c r="G4878" t="s">
        <v>92</v>
      </c>
      <c r="H4878" t="s">
        <v>2053</v>
      </c>
      <c r="I4878" t="s">
        <v>2054</v>
      </c>
      <c r="J4878" t="s">
        <v>52</v>
      </c>
      <c r="K4878" s="3">
        <v>100926888991</v>
      </c>
      <c r="L4878" s="10">
        <v>40661</v>
      </c>
      <c r="M4878">
        <v>55.49</v>
      </c>
      <c r="N4878" s="11">
        <v>11</v>
      </c>
      <c r="O4878" s="12">
        <v>4.48</v>
      </c>
      <c r="P4878" s="12">
        <v>7.24</v>
      </c>
      <c r="Q4878" s="13">
        <v>-37.32</v>
      </c>
      <c r="R4878" s="36" t="s">
        <v>1585</v>
      </c>
      <c r="S4878" s="7">
        <f t="shared" si="415"/>
        <v>0</v>
      </c>
      <c r="T4878" s="15" t="str">
        <f>VLOOKUP(R4878,产品分类!$C$2:$D$1278,2,0)</f>
        <v>办公用品</v>
      </c>
    </row>
    <row r="4879" spans="1:20">
      <c r="A4879" s="8">
        <f>DATE(2012,12,31)-791</f>
        <v>40483</v>
      </c>
      <c r="B4879" s="8">
        <f>DATE(2012,12,31)-791</f>
        <v>40483</v>
      </c>
      <c r="C4879" s="9" t="s">
        <v>2392</v>
      </c>
      <c r="D4879">
        <v>10021662536</v>
      </c>
      <c r="E4879" t="s">
        <v>47</v>
      </c>
      <c r="F4879" t="s">
        <v>55</v>
      </c>
      <c r="G4879" t="s">
        <v>56</v>
      </c>
      <c r="H4879" t="s">
        <v>2331</v>
      </c>
      <c r="I4879" t="s">
        <v>2332</v>
      </c>
      <c r="J4879" t="s">
        <v>52</v>
      </c>
      <c r="K4879" s="3">
        <v>100822103462</v>
      </c>
      <c r="L4879" s="10">
        <v>40484</v>
      </c>
      <c r="M4879">
        <v>503.17</v>
      </c>
      <c r="N4879" s="11">
        <v>46</v>
      </c>
      <c r="O4879" s="12">
        <v>10.23</v>
      </c>
      <c r="P4879" s="12">
        <v>4.68</v>
      </c>
      <c r="Q4879" s="13">
        <v>-10.21</v>
      </c>
      <c r="R4879" s="36" t="s">
        <v>1222</v>
      </c>
      <c r="S4879" s="7">
        <f t="shared" si="415"/>
        <v>1</v>
      </c>
      <c r="T4879" s="15" t="str">
        <f>VLOOKUP(R4879,产品分类!$C$2:$D$1278,2,0)</f>
        <v>数码电子</v>
      </c>
    </row>
    <row r="4880" spans="1:20">
      <c r="A4880" s="8">
        <f t="shared" ref="A4880:B4882" si="417">DATE(2012,12,31)-22</f>
        <v>41252</v>
      </c>
      <c r="B4880" s="8">
        <f t="shared" si="417"/>
        <v>41252</v>
      </c>
      <c r="C4880" s="9" t="s">
        <v>2393</v>
      </c>
      <c r="D4880">
        <v>10021334570</v>
      </c>
      <c r="E4880" t="s">
        <v>47</v>
      </c>
      <c r="F4880" t="s">
        <v>55</v>
      </c>
      <c r="G4880" t="s">
        <v>56</v>
      </c>
      <c r="H4880" t="s">
        <v>2331</v>
      </c>
      <c r="I4880" t="s">
        <v>2332</v>
      </c>
      <c r="J4880" t="s">
        <v>52</v>
      </c>
      <c r="K4880" s="3">
        <v>100114984338</v>
      </c>
      <c r="L4880" s="10">
        <v>41254</v>
      </c>
      <c r="M4880">
        <v>6095.14</v>
      </c>
      <c r="N4880" s="11">
        <v>4</v>
      </c>
      <c r="O4880" s="12">
        <v>1500.97</v>
      </c>
      <c r="P4880" s="12">
        <v>29.7</v>
      </c>
      <c r="Q4880" s="13">
        <v>-3001.2825</v>
      </c>
      <c r="R4880" s="36" t="s">
        <v>1402</v>
      </c>
      <c r="S4880" s="7">
        <f t="shared" si="415"/>
        <v>2</v>
      </c>
      <c r="T4880" s="15" t="str">
        <f>VLOOKUP(R4880,产品分类!$C$2:$D$1278,2,0)</f>
        <v>家具产品</v>
      </c>
    </row>
    <row r="4881" spans="1:20">
      <c r="A4881" s="8">
        <f t="shared" si="417"/>
        <v>41252</v>
      </c>
      <c r="B4881" s="8">
        <f t="shared" si="417"/>
        <v>41252</v>
      </c>
      <c r="C4881" s="9" t="s">
        <v>2393</v>
      </c>
      <c r="D4881">
        <v>10021586328</v>
      </c>
      <c r="E4881" t="s">
        <v>47</v>
      </c>
      <c r="F4881" t="s">
        <v>91</v>
      </c>
      <c r="G4881" t="s">
        <v>92</v>
      </c>
      <c r="H4881" t="s">
        <v>2053</v>
      </c>
      <c r="I4881" t="s">
        <v>2054</v>
      </c>
      <c r="J4881" t="s">
        <v>52</v>
      </c>
      <c r="K4881" s="3">
        <v>100129061417</v>
      </c>
      <c r="L4881" s="10">
        <v>41255</v>
      </c>
      <c r="M4881">
        <v>3776.28</v>
      </c>
      <c r="N4881" s="11">
        <v>46</v>
      </c>
      <c r="O4881" s="12">
        <v>80.97</v>
      </c>
      <c r="P4881" s="12">
        <v>30.06</v>
      </c>
      <c r="Q4881" s="13">
        <v>579.79</v>
      </c>
      <c r="R4881" s="36" t="s">
        <v>1629</v>
      </c>
      <c r="S4881" s="7">
        <f t="shared" si="415"/>
        <v>3</v>
      </c>
      <c r="T4881" s="15" t="str">
        <f>VLOOKUP(R4881,产品分类!$C$2:$D$1278,2,0)</f>
        <v>办公用品</v>
      </c>
    </row>
    <row r="4882" spans="1:20">
      <c r="A4882" s="8">
        <f t="shared" si="417"/>
        <v>41252</v>
      </c>
      <c r="B4882" s="8">
        <f t="shared" si="417"/>
        <v>41252</v>
      </c>
      <c r="C4882" s="9" t="s">
        <v>2393</v>
      </c>
      <c r="D4882">
        <v>10021293234</v>
      </c>
      <c r="E4882" t="s">
        <v>47</v>
      </c>
      <c r="F4882" t="s">
        <v>91</v>
      </c>
      <c r="G4882" t="s">
        <v>92</v>
      </c>
      <c r="H4882" t="s">
        <v>2053</v>
      </c>
      <c r="I4882" t="s">
        <v>2054</v>
      </c>
      <c r="J4882" t="s">
        <v>52</v>
      </c>
      <c r="K4882" s="3">
        <v>10035481129</v>
      </c>
      <c r="L4882" s="10">
        <v>41254</v>
      </c>
      <c r="M4882">
        <v>1487.8995</v>
      </c>
      <c r="N4882" s="11">
        <v>29</v>
      </c>
      <c r="O4882" s="12">
        <v>65.99</v>
      </c>
      <c r="P4882" s="12">
        <v>8.99</v>
      </c>
      <c r="Q4882" s="13">
        <v>79.317</v>
      </c>
      <c r="R4882" s="36" t="s">
        <v>730</v>
      </c>
      <c r="S4882" s="7">
        <f t="shared" si="415"/>
        <v>2</v>
      </c>
      <c r="T4882" s="15" t="str">
        <f>VLOOKUP(R4882,产品分类!$C$2:$D$1278,2,0)</f>
        <v>办公用品</v>
      </c>
    </row>
    <row r="4883" spans="1:20">
      <c r="A4883" s="16">
        <f>DATE(2012,12,31)-523</f>
        <v>40751</v>
      </c>
      <c r="B4883" s="16">
        <f>DATE(2012,12,31)-523</f>
        <v>40751</v>
      </c>
      <c r="C4883" s="9" t="s">
        <v>1429</v>
      </c>
      <c r="D4883">
        <v>10021337114</v>
      </c>
      <c r="E4883" t="s">
        <v>47</v>
      </c>
      <c r="F4883" t="s">
        <v>83</v>
      </c>
      <c r="G4883" t="s">
        <v>84</v>
      </c>
      <c r="H4883" t="s">
        <v>2349</v>
      </c>
      <c r="I4883" t="s">
        <v>2350</v>
      </c>
      <c r="J4883" t="s">
        <v>52</v>
      </c>
      <c r="K4883" s="3">
        <v>100121123317</v>
      </c>
      <c r="L4883" s="10">
        <v>40753</v>
      </c>
      <c r="M4883">
        <v>1885.41</v>
      </c>
      <c r="N4883" s="17">
        <v>14</v>
      </c>
      <c r="O4883" s="5">
        <v>138.14</v>
      </c>
      <c r="P4883" s="5">
        <v>35</v>
      </c>
      <c r="Q4883" s="6">
        <v>-524.74</v>
      </c>
      <c r="R4883" s="37" t="s">
        <v>308</v>
      </c>
      <c r="S4883" s="7">
        <f t="shared" si="415"/>
        <v>2</v>
      </c>
      <c r="T4883" s="15" t="str">
        <f>VLOOKUP(R4883,产品分类!$C$2:$D$1278,2,0)</f>
        <v>家具产品</v>
      </c>
    </row>
    <row r="4884" spans="1:20">
      <c r="A4884" s="8">
        <f>DATE(2012,12,31)-659</f>
        <v>40615</v>
      </c>
      <c r="B4884" s="8">
        <f>DATE(2012,12,31)-659</f>
        <v>40615</v>
      </c>
      <c r="C4884" s="9" t="s">
        <v>201</v>
      </c>
      <c r="D4884">
        <v>10021258765</v>
      </c>
      <c r="E4884" t="s">
        <v>47</v>
      </c>
      <c r="F4884" t="s">
        <v>55</v>
      </c>
      <c r="G4884" t="s">
        <v>56</v>
      </c>
      <c r="H4884" t="s">
        <v>2331</v>
      </c>
      <c r="I4884" t="s">
        <v>2332</v>
      </c>
      <c r="J4884" t="s">
        <v>52</v>
      </c>
      <c r="K4884" s="3">
        <v>100427409693</v>
      </c>
      <c r="L4884" s="10">
        <v>40619</v>
      </c>
      <c r="M4884">
        <v>159.71</v>
      </c>
      <c r="N4884" s="11">
        <v>20</v>
      </c>
      <c r="O4884" s="12">
        <v>8.04</v>
      </c>
      <c r="P4884" s="12">
        <v>8.94</v>
      </c>
      <c r="Q4884" s="13">
        <v>-114.4135</v>
      </c>
      <c r="R4884" s="36" t="s">
        <v>1042</v>
      </c>
      <c r="S4884" s="7">
        <f t="shared" si="415"/>
        <v>4</v>
      </c>
      <c r="T4884" s="15" t="str">
        <f>VLOOKUP(R4884,产品分类!$C$2:$D$1278,2,0)</f>
        <v>家具产品</v>
      </c>
    </row>
    <row r="4885" spans="1:20">
      <c r="A4885" s="8">
        <f>DATE(2012,12,31)-1078</f>
        <v>40196</v>
      </c>
      <c r="B4885" s="8">
        <f>DATE(2012,12,31)-1078</f>
        <v>40196</v>
      </c>
      <c r="C4885" s="9" t="s">
        <v>1432</v>
      </c>
      <c r="D4885">
        <v>10021431843</v>
      </c>
      <c r="E4885" t="s">
        <v>47</v>
      </c>
      <c r="F4885" t="s">
        <v>91</v>
      </c>
      <c r="G4885" t="s">
        <v>92</v>
      </c>
      <c r="H4885" t="s">
        <v>2053</v>
      </c>
      <c r="I4885" t="s">
        <v>2054</v>
      </c>
      <c r="J4885" t="s">
        <v>52</v>
      </c>
      <c r="K4885" s="3">
        <v>100932263771</v>
      </c>
      <c r="L4885" s="10">
        <v>40198</v>
      </c>
      <c r="M4885">
        <v>117.062</v>
      </c>
      <c r="N4885" s="11">
        <v>7</v>
      </c>
      <c r="O4885" s="12">
        <v>20.99</v>
      </c>
      <c r="P4885" s="12">
        <v>0.99</v>
      </c>
      <c r="Q4885" s="13">
        <v>-63.701</v>
      </c>
      <c r="R4885" s="36" t="s">
        <v>1707</v>
      </c>
      <c r="S4885" s="7">
        <f t="shared" si="415"/>
        <v>2</v>
      </c>
      <c r="T4885" s="15" t="str">
        <f>VLOOKUP(R4885,产品分类!$C$2:$D$1278,2,0)</f>
        <v>办公用品</v>
      </c>
    </row>
    <row r="4886" spans="1:20">
      <c r="A4886" s="16">
        <f>DATE(2012,12,31)-210</f>
        <v>41064</v>
      </c>
      <c r="B4886" s="16">
        <f>DATE(2012,12,31)-210</f>
        <v>41064</v>
      </c>
      <c r="C4886" s="9" t="s">
        <v>864</v>
      </c>
      <c r="D4886">
        <v>10021346648</v>
      </c>
      <c r="E4886" t="s">
        <v>47</v>
      </c>
      <c r="F4886" t="s">
        <v>122</v>
      </c>
      <c r="G4886" t="s">
        <v>123</v>
      </c>
      <c r="H4886" t="s">
        <v>2159</v>
      </c>
      <c r="I4886" t="s">
        <v>2160</v>
      </c>
      <c r="J4886" t="s">
        <v>52</v>
      </c>
      <c r="K4886" s="3">
        <v>100930916551</v>
      </c>
      <c r="L4886" s="10">
        <v>41066</v>
      </c>
      <c r="M4886">
        <v>623.35</v>
      </c>
      <c r="N4886" s="17">
        <v>16</v>
      </c>
      <c r="O4886" s="5">
        <v>37.94</v>
      </c>
      <c r="P4886" s="5">
        <v>5.08</v>
      </c>
      <c r="Q4886" s="6">
        <v>235.51</v>
      </c>
      <c r="R4886" s="37" t="s">
        <v>947</v>
      </c>
      <c r="S4886" s="7">
        <f t="shared" si="415"/>
        <v>2</v>
      </c>
      <c r="T4886" s="15" t="str">
        <f>VLOOKUP(R4886,产品分类!$C$2:$D$1278,2,0)</f>
        <v>办公用品</v>
      </c>
    </row>
    <row r="4887" spans="1:20">
      <c r="A4887" s="8">
        <f>DATE(2012,12,31)-217</f>
        <v>41057</v>
      </c>
      <c r="B4887" s="8">
        <f>DATE(2012,12,31)-217</f>
        <v>41057</v>
      </c>
      <c r="C4887" s="9" t="s">
        <v>2393</v>
      </c>
      <c r="D4887">
        <v>10021510393</v>
      </c>
      <c r="E4887" t="s">
        <v>47</v>
      </c>
      <c r="F4887" t="s">
        <v>55</v>
      </c>
      <c r="G4887" t="s">
        <v>56</v>
      </c>
      <c r="H4887" t="s">
        <v>2331</v>
      </c>
      <c r="I4887" t="s">
        <v>2332</v>
      </c>
      <c r="J4887" t="s">
        <v>52</v>
      </c>
      <c r="K4887" s="3">
        <v>100932675601</v>
      </c>
      <c r="L4887" s="10">
        <v>41059</v>
      </c>
      <c r="M4887">
        <v>250.6</v>
      </c>
      <c r="N4887" s="11">
        <v>40</v>
      </c>
      <c r="O4887" s="12">
        <v>6.48</v>
      </c>
      <c r="P4887" s="12">
        <v>6.22</v>
      </c>
      <c r="Q4887" s="13">
        <v>-107.06</v>
      </c>
      <c r="R4887" s="36" t="s">
        <v>1393</v>
      </c>
      <c r="S4887" s="7">
        <f t="shared" si="415"/>
        <v>2</v>
      </c>
      <c r="T4887" s="15" t="str">
        <f>VLOOKUP(R4887,产品分类!$C$2:$D$1278,2,0)</f>
        <v>家具产品</v>
      </c>
    </row>
    <row r="4888" spans="1:20">
      <c r="A4888" s="8">
        <f>DATE(2012,12,31)-1071</f>
        <v>40203</v>
      </c>
      <c r="B4888" s="8">
        <f>DATE(2012,12,31)-1071</f>
        <v>40203</v>
      </c>
      <c r="C4888" s="9" t="s">
        <v>2043</v>
      </c>
      <c r="D4888">
        <v>10021279808</v>
      </c>
      <c r="E4888" t="s">
        <v>47</v>
      </c>
      <c r="F4888" t="s">
        <v>91</v>
      </c>
      <c r="G4888" t="s">
        <v>92</v>
      </c>
      <c r="H4888" t="s">
        <v>2053</v>
      </c>
      <c r="I4888" t="s">
        <v>2054</v>
      </c>
      <c r="J4888" t="s">
        <v>52</v>
      </c>
      <c r="K4888" s="3">
        <v>10037350889</v>
      </c>
      <c r="L4888" s="10">
        <v>40206</v>
      </c>
      <c r="M4888">
        <v>15468.216</v>
      </c>
      <c r="N4888" s="11">
        <v>45</v>
      </c>
      <c r="O4888" s="12">
        <v>400.98</v>
      </c>
      <c r="P4888" s="12">
        <v>42.52</v>
      </c>
      <c r="Q4888" s="13">
        <v>-969.048366</v>
      </c>
      <c r="R4888" s="36" t="s">
        <v>1048</v>
      </c>
      <c r="S4888" s="7">
        <f t="shared" si="415"/>
        <v>3</v>
      </c>
      <c r="T4888" s="15" t="str">
        <f>VLOOKUP(R4888,产品分类!$C$2:$D$1278,2,0)</f>
        <v>办公用品</v>
      </c>
    </row>
    <row r="4889" spans="1:20">
      <c r="A4889" s="8">
        <f>DATE(2012,12,31)-1037</f>
        <v>40237</v>
      </c>
      <c r="B4889" s="8">
        <f>DATE(2012,12,31)-1037</f>
        <v>40237</v>
      </c>
      <c r="C4889" s="9" t="s">
        <v>1069</v>
      </c>
      <c r="D4889">
        <v>10021665926</v>
      </c>
      <c r="E4889" t="s">
        <v>47</v>
      </c>
      <c r="F4889" t="s">
        <v>91</v>
      </c>
      <c r="G4889" t="s">
        <v>92</v>
      </c>
      <c r="H4889" t="s">
        <v>2053</v>
      </c>
      <c r="I4889" t="s">
        <v>2054</v>
      </c>
      <c r="J4889" t="s">
        <v>52</v>
      </c>
      <c r="K4889" s="3">
        <v>100126778307</v>
      </c>
      <c r="L4889" s="10">
        <v>40239</v>
      </c>
      <c r="M4889">
        <v>453.99</v>
      </c>
      <c r="N4889" s="11">
        <v>14</v>
      </c>
      <c r="O4889" s="12">
        <v>30.98</v>
      </c>
      <c r="P4889" s="12">
        <v>8.99</v>
      </c>
      <c r="Q4889" s="13">
        <v>14.61</v>
      </c>
      <c r="R4889" s="36" t="s">
        <v>533</v>
      </c>
      <c r="S4889" s="7">
        <f t="shared" si="415"/>
        <v>2</v>
      </c>
      <c r="T4889" s="15" t="str">
        <f>VLOOKUP(R4889,产品分类!$C$2:$D$1278,2,0)</f>
        <v>办公用品</v>
      </c>
    </row>
    <row r="4890" spans="1:20">
      <c r="A4890" s="8">
        <f>DATE(2012,12,31)-1148</f>
        <v>40126</v>
      </c>
      <c r="B4890" s="8">
        <f>DATE(2012,12,31)-1148</f>
        <v>40126</v>
      </c>
      <c r="C4890" s="9" t="s">
        <v>598</v>
      </c>
      <c r="D4890">
        <v>10021590401</v>
      </c>
      <c r="E4890" t="s">
        <v>47</v>
      </c>
      <c r="F4890" t="s">
        <v>91</v>
      </c>
      <c r="G4890" t="s">
        <v>92</v>
      </c>
      <c r="H4890" t="s">
        <v>2053</v>
      </c>
      <c r="I4890" t="s">
        <v>2054</v>
      </c>
      <c r="J4890" t="s">
        <v>52</v>
      </c>
      <c r="K4890" s="3">
        <v>100331497529</v>
      </c>
      <c r="L4890" s="10">
        <v>40128</v>
      </c>
      <c r="M4890">
        <v>30.47</v>
      </c>
      <c r="N4890" s="11">
        <v>4</v>
      </c>
      <c r="O4890" s="12">
        <v>5.98</v>
      </c>
      <c r="P4890" s="12">
        <v>5.15</v>
      </c>
      <c r="Q4890" s="13">
        <v>-10.7</v>
      </c>
      <c r="R4890" s="36" t="s">
        <v>164</v>
      </c>
      <c r="S4890" s="7">
        <f t="shared" si="415"/>
        <v>2</v>
      </c>
      <c r="T4890" s="15" t="str">
        <f>VLOOKUP(R4890,产品分类!$C$2:$D$1278,2,0)</f>
        <v>办公用品</v>
      </c>
    </row>
    <row r="4891" spans="1:20">
      <c r="A4891" s="8">
        <f>DATE(2012,12,31)-604</f>
        <v>40670</v>
      </c>
      <c r="B4891" s="8">
        <f>DATE(2012,12,31)-604</f>
        <v>40670</v>
      </c>
      <c r="C4891" s="9" t="s">
        <v>2394</v>
      </c>
      <c r="D4891">
        <v>10021266871</v>
      </c>
      <c r="E4891" t="s">
        <v>47</v>
      </c>
      <c r="F4891" t="s">
        <v>122</v>
      </c>
      <c r="G4891" t="s">
        <v>123</v>
      </c>
      <c r="H4891" t="s">
        <v>2159</v>
      </c>
      <c r="I4891" t="s">
        <v>2160</v>
      </c>
      <c r="J4891" t="s">
        <v>52</v>
      </c>
      <c r="K4891" s="3">
        <v>100432060874</v>
      </c>
      <c r="L4891" s="10">
        <v>40672</v>
      </c>
      <c r="M4891">
        <v>284.58</v>
      </c>
      <c r="N4891" s="11">
        <v>37</v>
      </c>
      <c r="O4891" s="12">
        <v>7.59</v>
      </c>
      <c r="P4891" s="12">
        <v>4</v>
      </c>
      <c r="Q4891" s="13">
        <v>33.81</v>
      </c>
      <c r="R4891" s="36" t="s">
        <v>996</v>
      </c>
      <c r="S4891" s="7">
        <f t="shared" si="415"/>
        <v>2</v>
      </c>
      <c r="T4891" s="15" t="str">
        <f>VLOOKUP(R4891,产品分类!$C$2:$D$1278,2,0)</f>
        <v>家具产品</v>
      </c>
    </row>
    <row r="4892" spans="1:20">
      <c r="A4892" s="8">
        <f>DATE(2012,12,31)-604</f>
        <v>40670</v>
      </c>
      <c r="B4892" s="8">
        <f>DATE(2012,12,31)-604</f>
        <v>40670</v>
      </c>
      <c r="C4892" s="9" t="s">
        <v>2394</v>
      </c>
      <c r="D4892">
        <v>10021663760</v>
      </c>
      <c r="E4892" t="s">
        <v>47</v>
      </c>
      <c r="F4892" t="s">
        <v>171</v>
      </c>
      <c r="G4892" t="s">
        <v>172</v>
      </c>
      <c r="H4892" t="s">
        <v>2352</v>
      </c>
      <c r="I4892" t="s">
        <v>2353</v>
      </c>
      <c r="J4892" t="s">
        <v>52</v>
      </c>
      <c r="K4892" s="3">
        <v>100724478005</v>
      </c>
      <c r="L4892" s="10">
        <v>40670</v>
      </c>
      <c r="M4892">
        <v>1010.26</v>
      </c>
      <c r="N4892" s="11">
        <v>9</v>
      </c>
      <c r="O4892" s="12">
        <v>104.85</v>
      </c>
      <c r="P4892" s="12">
        <v>19.99</v>
      </c>
      <c r="Q4892" s="13">
        <v>271.5</v>
      </c>
      <c r="R4892" s="36" t="s">
        <v>2299</v>
      </c>
      <c r="S4892" s="7">
        <f t="shared" si="415"/>
        <v>0</v>
      </c>
      <c r="T4892" s="15" t="str">
        <f>VLOOKUP(R4892,产品分类!$C$2:$D$1278,2,0)</f>
        <v>数码电子</v>
      </c>
    </row>
    <row r="4893" spans="1:20">
      <c r="A4893" s="8">
        <f>DATE(2012,12,31)-787</f>
        <v>40487</v>
      </c>
      <c r="B4893" s="8">
        <f>DATE(2012,12,31)-787</f>
        <v>40487</v>
      </c>
      <c r="C4893" s="9" t="s">
        <v>1537</v>
      </c>
      <c r="D4893">
        <v>10021521764</v>
      </c>
      <c r="E4893" t="s">
        <v>47</v>
      </c>
      <c r="F4893" t="s">
        <v>127</v>
      </c>
      <c r="G4893" t="s">
        <v>128</v>
      </c>
      <c r="H4893" t="s">
        <v>2189</v>
      </c>
      <c r="I4893" t="s">
        <v>2190</v>
      </c>
      <c r="J4893" t="s">
        <v>52</v>
      </c>
      <c r="K4893" s="3">
        <v>10095154131</v>
      </c>
      <c r="L4893" s="10">
        <v>40487</v>
      </c>
      <c r="M4893">
        <v>1158.45</v>
      </c>
      <c r="N4893" s="11">
        <v>29</v>
      </c>
      <c r="O4893" s="12">
        <v>41.71</v>
      </c>
      <c r="P4893" s="12">
        <v>4.5</v>
      </c>
      <c r="Q4893" s="13">
        <v>267.16</v>
      </c>
      <c r="R4893" s="36" t="s">
        <v>2329</v>
      </c>
      <c r="S4893" s="7">
        <f t="shared" si="415"/>
        <v>0</v>
      </c>
      <c r="T4893" s="15" t="str">
        <f>VLOOKUP(R4893,产品分类!$C$2:$D$1278,2,0)</f>
        <v>家具产品</v>
      </c>
    </row>
    <row r="4894" spans="1:20">
      <c r="A4894" s="8">
        <f>DATE(2012,12,31)-787</f>
        <v>40487</v>
      </c>
      <c r="B4894" s="8">
        <f>DATE(2012,12,31)-787</f>
        <v>40487</v>
      </c>
      <c r="C4894" s="9" t="s">
        <v>1537</v>
      </c>
      <c r="D4894">
        <v>10021331852</v>
      </c>
      <c r="E4894" t="s">
        <v>47</v>
      </c>
      <c r="F4894" t="s">
        <v>97</v>
      </c>
      <c r="G4894" t="s">
        <v>98</v>
      </c>
      <c r="H4894" t="s">
        <v>99</v>
      </c>
      <c r="I4894" t="s">
        <v>98</v>
      </c>
      <c r="J4894" t="s">
        <v>52</v>
      </c>
      <c r="K4894" s="3">
        <v>10049327423</v>
      </c>
      <c r="L4894" s="10">
        <v>40489</v>
      </c>
      <c r="M4894">
        <v>2568.71</v>
      </c>
      <c r="N4894" s="11">
        <v>43</v>
      </c>
      <c r="O4894" s="12">
        <v>60.98</v>
      </c>
      <c r="P4894" s="12">
        <v>19.99</v>
      </c>
      <c r="Q4894" s="13">
        <v>590.77</v>
      </c>
      <c r="R4894" s="36" t="s">
        <v>1316</v>
      </c>
      <c r="S4894" s="7">
        <f t="shared" si="415"/>
        <v>2</v>
      </c>
      <c r="T4894" s="15" t="str">
        <f>VLOOKUP(R4894,产品分类!$C$2:$D$1278,2,0)</f>
        <v>办公用品</v>
      </c>
    </row>
    <row r="4895" spans="1:20">
      <c r="A4895" s="8">
        <f>DATE(2012,12,31)-174</f>
        <v>41100</v>
      </c>
      <c r="B4895" s="8">
        <f>DATE(2012,12,31)-174</f>
        <v>41100</v>
      </c>
      <c r="C4895" s="9" t="s">
        <v>716</v>
      </c>
      <c r="D4895">
        <v>10021594226</v>
      </c>
      <c r="E4895" t="s">
        <v>47</v>
      </c>
      <c r="F4895" t="s">
        <v>132</v>
      </c>
      <c r="G4895" t="s">
        <v>133</v>
      </c>
      <c r="H4895" t="s">
        <v>134</v>
      </c>
      <c r="I4895" t="s">
        <v>133</v>
      </c>
      <c r="J4895" t="s">
        <v>52</v>
      </c>
      <c r="K4895" s="3">
        <v>100432475973</v>
      </c>
      <c r="L4895" s="10">
        <v>41101</v>
      </c>
      <c r="M4895">
        <v>990.5</v>
      </c>
      <c r="N4895" s="11">
        <v>23</v>
      </c>
      <c r="O4895" s="12">
        <v>43.98</v>
      </c>
      <c r="P4895" s="12">
        <v>1.99</v>
      </c>
      <c r="Q4895" s="13">
        <v>323.73</v>
      </c>
      <c r="R4895" s="36" t="s">
        <v>1796</v>
      </c>
      <c r="S4895" s="7">
        <f t="shared" si="415"/>
        <v>1</v>
      </c>
      <c r="T4895" s="15" t="str">
        <f>VLOOKUP(R4895,产品分类!$C$2:$D$1278,2,0)</f>
        <v>家具产品</v>
      </c>
    </row>
    <row r="4896" spans="1:20">
      <c r="A4896" s="8">
        <f t="shared" ref="A4896:B4898" si="418">DATE(2012,12,31)-811</f>
        <v>40463</v>
      </c>
      <c r="B4896" s="8">
        <f t="shared" si="418"/>
        <v>40463</v>
      </c>
      <c r="C4896" s="9" t="s">
        <v>743</v>
      </c>
      <c r="D4896">
        <v>10021348511</v>
      </c>
      <c r="E4896" t="s">
        <v>47</v>
      </c>
      <c r="F4896" t="s">
        <v>97</v>
      </c>
      <c r="G4896" t="s">
        <v>98</v>
      </c>
      <c r="H4896" t="s">
        <v>99</v>
      </c>
      <c r="I4896" t="s">
        <v>98</v>
      </c>
      <c r="J4896" t="s">
        <v>52</v>
      </c>
      <c r="K4896" s="3">
        <v>100731583965</v>
      </c>
      <c r="L4896" s="10">
        <v>40465</v>
      </c>
      <c r="M4896">
        <v>11.76</v>
      </c>
      <c r="N4896" s="11">
        <v>3</v>
      </c>
      <c r="O4896" s="12">
        <v>4.13</v>
      </c>
      <c r="P4896" s="12">
        <v>0.5</v>
      </c>
      <c r="Q4896" s="13">
        <v>-2.83</v>
      </c>
      <c r="R4896" s="36" t="s">
        <v>691</v>
      </c>
      <c r="S4896" s="7">
        <f t="shared" si="415"/>
        <v>2</v>
      </c>
      <c r="T4896" s="15" t="str">
        <f>VLOOKUP(R4896,产品分类!$C$2:$D$1278,2,0)</f>
        <v>办公用品</v>
      </c>
    </row>
    <row r="4897" spans="1:20">
      <c r="A4897" s="8">
        <f t="shared" si="418"/>
        <v>40463</v>
      </c>
      <c r="B4897" s="8">
        <f t="shared" si="418"/>
        <v>40463</v>
      </c>
      <c r="C4897" s="9" t="s">
        <v>743</v>
      </c>
      <c r="D4897">
        <v>10021414800</v>
      </c>
      <c r="E4897" t="s">
        <v>47</v>
      </c>
      <c r="F4897" t="s">
        <v>102</v>
      </c>
      <c r="G4897" t="s">
        <v>103</v>
      </c>
      <c r="H4897" t="s">
        <v>2326</v>
      </c>
      <c r="I4897" t="s">
        <v>2327</v>
      </c>
      <c r="J4897" t="s">
        <v>52</v>
      </c>
      <c r="K4897" s="3">
        <v>10049573754</v>
      </c>
      <c r="L4897" s="10">
        <v>40464</v>
      </c>
      <c r="M4897">
        <v>100.13</v>
      </c>
      <c r="N4897" s="11">
        <v>22</v>
      </c>
      <c r="O4897" s="12">
        <v>4.73</v>
      </c>
      <c r="P4897" s="12">
        <v>1.52</v>
      </c>
      <c r="Q4897" s="13">
        <v>19.77</v>
      </c>
      <c r="R4897" s="36" t="s">
        <v>713</v>
      </c>
      <c r="S4897" s="7">
        <f t="shared" si="415"/>
        <v>1</v>
      </c>
      <c r="T4897" s="15" t="str">
        <f>VLOOKUP(R4897,产品分类!$C$2:$D$1278,2,0)</f>
        <v>办公用品</v>
      </c>
    </row>
    <row r="4898" spans="1:20">
      <c r="A4898" s="8">
        <f t="shared" si="418"/>
        <v>40463</v>
      </c>
      <c r="B4898" s="8">
        <f t="shared" si="418"/>
        <v>40463</v>
      </c>
      <c r="C4898" s="9" t="s">
        <v>743</v>
      </c>
      <c r="D4898">
        <v>10021511518</v>
      </c>
      <c r="E4898" t="s">
        <v>47</v>
      </c>
      <c r="F4898" t="s">
        <v>102</v>
      </c>
      <c r="G4898" t="s">
        <v>103</v>
      </c>
      <c r="H4898" t="s">
        <v>2326</v>
      </c>
      <c r="I4898" t="s">
        <v>2327</v>
      </c>
      <c r="J4898" t="s">
        <v>52</v>
      </c>
      <c r="K4898" s="3">
        <v>100832726352</v>
      </c>
      <c r="L4898" s="10">
        <v>40464</v>
      </c>
      <c r="M4898">
        <v>1192.93</v>
      </c>
      <c r="N4898" s="11">
        <v>3</v>
      </c>
      <c r="O4898" s="12">
        <v>419.19</v>
      </c>
      <c r="P4898" s="12">
        <v>19.99</v>
      </c>
      <c r="Q4898" s="13">
        <v>-434.81</v>
      </c>
      <c r="R4898" s="36" t="s">
        <v>1223</v>
      </c>
      <c r="S4898" s="7">
        <f t="shared" si="415"/>
        <v>1</v>
      </c>
      <c r="T4898" s="15" t="str">
        <f>VLOOKUP(R4898,产品分类!$C$2:$D$1278,2,0)</f>
        <v>办公用品</v>
      </c>
    </row>
    <row r="4899" spans="1:20">
      <c r="A4899" s="8">
        <f>DATE(2012,12,31)-117</f>
        <v>41157</v>
      </c>
      <c r="B4899" s="8">
        <f>DATE(2012,12,31)-117</f>
        <v>41157</v>
      </c>
      <c r="C4899" s="9" t="s">
        <v>1066</v>
      </c>
      <c r="D4899">
        <v>10021495714</v>
      </c>
      <c r="E4899" t="s">
        <v>47</v>
      </c>
      <c r="F4899" t="s">
        <v>102</v>
      </c>
      <c r="G4899" t="s">
        <v>103</v>
      </c>
      <c r="H4899" t="s">
        <v>2326</v>
      </c>
      <c r="I4899" t="s">
        <v>2327</v>
      </c>
      <c r="J4899" t="s">
        <v>52</v>
      </c>
      <c r="K4899" s="3">
        <v>100810813962</v>
      </c>
      <c r="L4899" s="10">
        <v>41161</v>
      </c>
      <c r="M4899">
        <v>53.93</v>
      </c>
      <c r="N4899" s="11">
        <v>26</v>
      </c>
      <c r="O4899" s="12">
        <v>2.08</v>
      </c>
      <c r="P4899" s="12">
        <v>1.49</v>
      </c>
      <c r="Q4899" s="13">
        <v>-10.948</v>
      </c>
      <c r="R4899" s="36" t="s">
        <v>2023</v>
      </c>
      <c r="S4899" s="7">
        <f t="shared" si="415"/>
        <v>4</v>
      </c>
      <c r="T4899" s="15" t="str">
        <f>VLOOKUP(R4899,产品分类!$C$2:$D$1278,2,0)</f>
        <v>数码电子</v>
      </c>
    </row>
    <row r="4900" spans="1:20">
      <c r="A4900" s="8">
        <f>DATE(2012,12,31)-459</f>
        <v>40815</v>
      </c>
      <c r="B4900" s="8">
        <f>DATE(2012,12,31)-459</f>
        <v>40815</v>
      </c>
      <c r="C4900" s="9" t="s">
        <v>182</v>
      </c>
      <c r="D4900">
        <v>10021385954</v>
      </c>
      <c r="E4900" t="s">
        <v>47</v>
      </c>
      <c r="F4900" t="s">
        <v>603</v>
      </c>
      <c r="G4900" t="s">
        <v>604</v>
      </c>
      <c r="H4900" t="s">
        <v>605</v>
      </c>
      <c r="I4900" t="s">
        <v>606</v>
      </c>
      <c r="J4900" t="s">
        <v>52</v>
      </c>
      <c r="K4900" s="3">
        <v>10013425178</v>
      </c>
      <c r="L4900" s="10">
        <v>40818</v>
      </c>
      <c r="M4900">
        <v>651.9</v>
      </c>
      <c r="N4900" s="11">
        <v>49</v>
      </c>
      <c r="O4900" s="12">
        <v>13.73</v>
      </c>
      <c r="P4900" s="12">
        <v>6.85</v>
      </c>
      <c r="Q4900" s="13">
        <v>-74.51</v>
      </c>
      <c r="R4900" s="36" t="s">
        <v>387</v>
      </c>
      <c r="S4900" s="7">
        <f t="shared" si="415"/>
        <v>3</v>
      </c>
      <c r="T4900" s="15" t="str">
        <f>VLOOKUP(R4900,产品分类!$C$2:$D$1278,2,0)</f>
        <v>家具产品</v>
      </c>
    </row>
    <row r="4901" spans="1:20">
      <c r="A4901" s="16">
        <f>DATE(2012,12,31)-1202</f>
        <v>40072</v>
      </c>
      <c r="B4901" s="16">
        <f>DATE(2012,12,31)-1202</f>
        <v>40072</v>
      </c>
      <c r="C4901" s="9" t="s">
        <v>734</v>
      </c>
      <c r="D4901">
        <v>10021366703</v>
      </c>
      <c r="E4901" t="s">
        <v>47</v>
      </c>
      <c r="F4901" t="s">
        <v>304</v>
      </c>
      <c r="G4901" t="s">
        <v>305</v>
      </c>
      <c r="H4901" t="s">
        <v>2383</v>
      </c>
      <c r="I4901" t="s">
        <v>2384</v>
      </c>
      <c r="J4901" t="s">
        <v>52</v>
      </c>
      <c r="K4901" s="3">
        <v>100926094091</v>
      </c>
      <c r="L4901" s="10">
        <v>40073</v>
      </c>
      <c r="M4901">
        <v>284.38</v>
      </c>
      <c r="N4901" s="17">
        <v>44</v>
      </c>
      <c r="O4901" s="5">
        <v>6.48</v>
      </c>
      <c r="P4901" s="5">
        <v>5.19</v>
      </c>
      <c r="Q4901" s="6">
        <v>-62.43</v>
      </c>
      <c r="R4901" s="37" t="s">
        <v>2199</v>
      </c>
      <c r="S4901" s="7">
        <f t="shared" si="415"/>
        <v>1</v>
      </c>
      <c r="T4901" s="15" t="str">
        <f>VLOOKUP(R4901,产品分类!$C$2:$D$1278,2,0)</f>
        <v>办公用品</v>
      </c>
    </row>
    <row r="4902" spans="1:20">
      <c r="A4902" s="8">
        <f>DATE(2012,12,31)-693</f>
        <v>40581</v>
      </c>
      <c r="B4902" s="8">
        <f>DATE(2012,12,31)-693</f>
        <v>40581</v>
      </c>
      <c r="C4902" s="9" t="s">
        <v>323</v>
      </c>
      <c r="D4902">
        <v>10021612366</v>
      </c>
      <c r="E4902" t="s">
        <v>47</v>
      </c>
      <c r="F4902" t="s">
        <v>102</v>
      </c>
      <c r="G4902" t="s">
        <v>103</v>
      </c>
      <c r="H4902" t="s">
        <v>2326</v>
      </c>
      <c r="I4902" t="s">
        <v>2327</v>
      </c>
      <c r="J4902" t="s">
        <v>52</v>
      </c>
      <c r="K4902" s="3">
        <v>100931014821</v>
      </c>
      <c r="L4902" s="10">
        <v>40583</v>
      </c>
      <c r="M4902">
        <v>187.37</v>
      </c>
      <c r="N4902" s="11">
        <v>37</v>
      </c>
      <c r="O4902" s="12">
        <v>4.98</v>
      </c>
      <c r="P4902" s="12">
        <v>4.95</v>
      </c>
      <c r="Q4902" s="13">
        <v>-85.008</v>
      </c>
      <c r="R4902" s="36" t="s">
        <v>1656</v>
      </c>
      <c r="S4902" s="7">
        <f t="shared" si="415"/>
        <v>2</v>
      </c>
      <c r="T4902" s="15" t="str">
        <f>VLOOKUP(R4902,产品分类!$C$2:$D$1278,2,0)</f>
        <v>家具产品</v>
      </c>
    </row>
    <row r="4903" spans="1:20">
      <c r="A4903" s="8">
        <f>DATE(2012,12,31)-1256</f>
        <v>40018</v>
      </c>
      <c r="B4903" s="8">
        <f>DATE(2012,12,31)-1256</f>
        <v>40018</v>
      </c>
      <c r="C4903" s="9" t="s">
        <v>2066</v>
      </c>
      <c r="D4903">
        <v>10021588922</v>
      </c>
      <c r="E4903" t="s">
        <v>47</v>
      </c>
      <c r="F4903" t="s">
        <v>171</v>
      </c>
      <c r="G4903" t="s">
        <v>172</v>
      </c>
      <c r="H4903" t="s">
        <v>2352</v>
      </c>
      <c r="I4903" t="s">
        <v>2353</v>
      </c>
      <c r="J4903" t="s">
        <v>52</v>
      </c>
      <c r="K4903" s="3">
        <v>100430833003</v>
      </c>
      <c r="L4903" s="10">
        <v>40019</v>
      </c>
      <c r="M4903">
        <v>84.61</v>
      </c>
      <c r="N4903" s="11">
        <v>43</v>
      </c>
      <c r="O4903" s="12">
        <v>1.88</v>
      </c>
      <c r="P4903" s="12">
        <v>1.49</v>
      </c>
      <c r="Q4903" s="13">
        <v>-15.0995</v>
      </c>
      <c r="R4903" s="36" t="s">
        <v>1426</v>
      </c>
      <c r="S4903" s="7">
        <f t="shared" si="415"/>
        <v>1</v>
      </c>
      <c r="T4903" s="15" t="str">
        <f>VLOOKUP(R4903,产品分类!$C$2:$D$1278,2,0)</f>
        <v>办公用品</v>
      </c>
    </row>
    <row r="4904" spans="1:20">
      <c r="A4904" s="8">
        <f>DATE(2012,12,31)-1153</f>
        <v>40121</v>
      </c>
      <c r="B4904" s="8">
        <f>DATE(2012,12,31)-1153</f>
        <v>40121</v>
      </c>
      <c r="C4904" s="9" t="s">
        <v>1076</v>
      </c>
      <c r="D4904">
        <v>10021521289</v>
      </c>
      <c r="E4904" t="s">
        <v>47</v>
      </c>
      <c r="F4904" t="s">
        <v>171</v>
      </c>
      <c r="G4904" t="s">
        <v>172</v>
      </c>
      <c r="H4904" t="s">
        <v>2352</v>
      </c>
      <c r="I4904" t="s">
        <v>2353</v>
      </c>
      <c r="J4904" t="s">
        <v>52</v>
      </c>
      <c r="K4904" s="3">
        <v>1001712127</v>
      </c>
      <c r="L4904" s="10">
        <v>40122</v>
      </c>
      <c r="M4904">
        <v>906.015</v>
      </c>
      <c r="N4904" s="11">
        <v>31</v>
      </c>
      <c r="O4904" s="12">
        <v>35.99</v>
      </c>
      <c r="P4904" s="12">
        <v>5.99</v>
      </c>
      <c r="Q4904" s="13">
        <v>248.67</v>
      </c>
      <c r="R4904" s="36" t="s">
        <v>1664</v>
      </c>
      <c r="S4904" s="7">
        <f t="shared" si="415"/>
        <v>1</v>
      </c>
      <c r="T4904" s="15" t="str">
        <f>VLOOKUP(R4904,产品分类!$C$2:$D$1278,2,0)</f>
        <v>数码电子</v>
      </c>
    </row>
    <row r="4905" spans="1:20">
      <c r="A4905" s="8">
        <f>DATE(2012,12,31)-405</f>
        <v>40869</v>
      </c>
      <c r="B4905" s="8">
        <f>DATE(2012,12,31)-405</f>
        <v>40869</v>
      </c>
      <c r="C4905" s="9" t="s">
        <v>1083</v>
      </c>
      <c r="D4905">
        <v>10021351300</v>
      </c>
      <c r="E4905" t="s">
        <v>47</v>
      </c>
      <c r="F4905" t="s">
        <v>171</v>
      </c>
      <c r="G4905" t="s">
        <v>172</v>
      </c>
      <c r="H4905" t="s">
        <v>2352</v>
      </c>
      <c r="I4905" t="s">
        <v>2353</v>
      </c>
      <c r="J4905" t="s">
        <v>52</v>
      </c>
      <c r="K4905" s="3">
        <v>100932406321</v>
      </c>
      <c r="L4905" s="10">
        <v>40871</v>
      </c>
      <c r="M4905">
        <v>107.63</v>
      </c>
      <c r="N4905" s="11">
        <v>15</v>
      </c>
      <c r="O4905" s="12">
        <v>6.81</v>
      </c>
      <c r="P4905" s="12">
        <v>5.48</v>
      </c>
      <c r="Q4905" s="13">
        <v>-29.8885</v>
      </c>
      <c r="R4905" s="36" t="s">
        <v>1617</v>
      </c>
      <c r="S4905" s="7">
        <f t="shared" si="415"/>
        <v>2</v>
      </c>
      <c r="T4905" s="15" t="str">
        <f>VLOOKUP(R4905,产品分类!$C$2:$D$1278,2,0)</f>
        <v>办公用品</v>
      </c>
    </row>
    <row r="4906" spans="1:20">
      <c r="A4906" s="8">
        <f>DATE(2012,12,31)-875</f>
        <v>40399</v>
      </c>
      <c r="B4906" s="8">
        <f>DATE(2012,12,31)-875</f>
        <v>40399</v>
      </c>
      <c r="C4906" s="9" t="s">
        <v>1132</v>
      </c>
      <c r="D4906">
        <v>10021339771</v>
      </c>
      <c r="E4906" t="s">
        <v>47</v>
      </c>
      <c r="F4906" t="s">
        <v>171</v>
      </c>
      <c r="G4906" t="s">
        <v>172</v>
      </c>
      <c r="H4906" t="s">
        <v>2352</v>
      </c>
      <c r="I4906" t="s">
        <v>2353</v>
      </c>
      <c r="J4906" t="s">
        <v>52</v>
      </c>
      <c r="K4906" s="3">
        <v>100925570291</v>
      </c>
      <c r="L4906" s="10">
        <v>40401</v>
      </c>
      <c r="M4906">
        <v>24.36</v>
      </c>
      <c r="N4906" s="11">
        <v>3</v>
      </c>
      <c r="O4906" s="12">
        <v>4.82</v>
      </c>
      <c r="P4906" s="12">
        <v>5.72</v>
      </c>
      <c r="Q4906" s="13">
        <v>10.04</v>
      </c>
      <c r="R4906" s="36" t="s">
        <v>1647</v>
      </c>
      <c r="S4906" s="7">
        <f t="shared" si="415"/>
        <v>2</v>
      </c>
      <c r="T4906" s="15" t="str">
        <f>VLOOKUP(R4906,产品分类!$C$2:$D$1278,2,0)</f>
        <v>办公用品</v>
      </c>
    </row>
    <row r="4907" spans="1:20">
      <c r="A4907" s="8">
        <f>DATE(2012,12,31)-1165</f>
        <v>40109</v>
      </c>
      <c r="B4907" s="8">
        <f>DATE(2012,12,31)-1165</f>
        <v>40109</v>
      </c>
      <c r="C4907" s="9" t="s">
        <v>2045</v>
      </c>
      <c r="D4907">
        <v>10021346336</v>
      </c>
      <c r="E4907" t="s">
        <v>47</v>
      </c>
      <c r="F4907" t="s">
        <v>171</v>
      </c>
      <c r="G4907" t="s">
        <v>172</v>
      </c>
      <c r="H4907" t="s">
        <v>2352</v>
      </c>
      <c r="I4907" t="s">
        <v>2353</v>
      </c>
      <c r="J4907" t="s">
        <v>52</v>
      </c>
      <c r="K4907" s="3">
        <v>100730579925</v>
      </c>
      <c r="L4907" s="10">
        <v>40110</v>
      </c>
      <c r="M4907">
        <v>2230.97</v>
      </c>
      <c r="N4907" s="11">
        <v>12</v>
      </c>
      <c r="O4907" s="12">
        <v>180.98</v>
      </c>
      <c r="P4907" s="12">
        <v>26.2</v>
      </c>
      <c r="Q4907" s="13">
        <v>273.27</v>
      </c>
      <c r="R4907" s="36" t="s">
        <v>1580</v>
      </c>
      <c r="S4907" s="7">
        <f t="shared" si="415"/>
        <v>1</v>
      </c>
      <c r="T4907" s="15" t="str">
        <f>VLOOKUP(R4907,产品分类!$C$2:$D$1278,2,0)</f>
        <v>数码电子</v>
      </c>
    </row>
    <row r="4908" spans="1:20">
      <c r="A4908" s="8">
        <f>DATE(2012,12,31)-1165</f>
        <v>40109</v>
      </c>
      <c r="B4908" s="8">
        <f>DATE(2012,12,31)-1165</f>
        <v>40109</v>
      </c>
      <c r="C4908" s="9" t="s">
        <v>2045</v>
      </c>
      <c r="D4908">
        <v>10021657892</v>
      </c>
      <c r="E4908" t="s">
        <v>47</v>
      </c>
      <c r="F4908" t="s">
        <v>171</v>
      </c>
      <c r="G4908" t="s">
        <v>172</v>
      </c>
      <c r="H4908" t="s">
        <v>2352</v>
      </c>
      <c r="I4908" t="s">
        <v>2353</v>
      </c>
      <c r="J4908" t="s">
        <v>52</v>
      </c>
      <c r="K4908" s="3">
        <v>100110268526</v>
      </c>
      <c r="L4908" s="10">
        <v>40111</v>
      </c>
      <c r="M4908">
        <v>200.77</v>
      </c>
      <c r="N4908" s="11">
        <v>25</v>
      </c>
      <c r="O4908" s="12">
        <v>7.28</v>
      </c>
      <c r="P4908" s="12">
        <v>7.98</v>
      </c>
      <c r="Q4908" s="13">
        <v>-60.61</v>
      </c>
      <c r="R4908" s="36" t="s">
        <v>156</v>
      </c>
      <c r="S4908" s="7">
        <f t="shared" si="415"/>
        <v>2</v>
      </c>
      <c r="T4908" s="15" t="str">
        <f>VLOOKUP(R4908,产品分类!$C$2:$D$1278,2,0)</f>
        <v>办公用品</v>
      </c>
    </row>
    <row r="4909" spans="1:20">
      <c r="A4909" s="8">
        <f>DATE(2012,12,31)-1084</f>
        <v>40190</v>
      </c>
      <c r="B4909" s="8">
        <f>DATE(2012,12,31)-1084</f>
        <v>40190</v>
      </c>
      <c r="C4909" s="9" t="s">
        <v>2149</v>
      </c>
      <c r="D4909">
        <v>10021346537</v>
      </c>
      <c r="E4909" t="s">
        <v>47</v>
      </c>
      <c r="F4909" t="s">
        <v>527</v>
      </c>
      <c r="G4909" t="s">
        <v>528</v>
      </c>
      <c r="H4909" t="s">
        <v>2385</v>
      </c>
      <c r="I4909" t="s">
        <v>2386</v>
      </c>
      <c r="J4909" t="s">
        <v>52</v>
      </c>
      <c r="K4909" s="3">
        <v>100830808182</v>
      </c>
      <c r="L4909" s="10">
        <v>40190</v>
      </c>
      <c r="M4909">
        <v>1057.06</v>
      </c>
      <c r="N4909" s="11">
        <v>15</v>
      </c>
      <c r="O4909" s="12">
        <v>68.81</v>
      </c>
      <c r="P4909" s="12">
        <v>60</v>
      </c>
      <c r="Q4909" s="13">
        <v>-403.74</v>
      </c>
      <c r="R4909" s="36" t="s">
        <v>390</v>
      </c>
      <c r="S4909" s="7">
        <f t="shared" si="415"/>
        <v>0</v>
      </c>
      <c r="T4909" s="15" t="str">
        <f>VLOOKUP(R4909,产品分类!$C$2:$D$1278,2,0)</f>
        <v>办公用品</v>
      </c>
    </row>
    <row r="4910" spans="1:20">
      <c r="A4910" s="8">
        <f>DATE(2012,12,31)-37</f>
        <v>41237</v>
      </c>
      <c r="B4910" s="8">
        <f>DATE(2012,12,31)-37</f>
        <v>41237</v>
      </c>
      <c r="C4910" s="9" t="s">
        <v>1074</v>
      </c>
      <c r="D4910">
        <v>10021334117</v>
      </c>
      <c r="E4910" t="s">
        <v>47</v>
      </c>
      <c r="F4910" t="s">
        <v>171</v>
      </c>
      <c r="G4910" t="s">
        <v>172</v>
      </c>
      <c r="H4910" t="s">
        <v>2352</v>
      </c>
      <c r="I4910" t="s">
        <v>2353</v>
      </c>
      <c r="J4910" t="s">
        <v>52</v>
      </c>
      <c r="K4910" s="3">
        <v>10017166046</v>
      </c>
      <c r="L4910" s="10">
        <v>41239</v>
      </c>
      <c r="M4910">
        <v>4475</v>
      </c>
      <c r="N4910" s="11">
        <v>45</v>
      </c>
      <c r="O4910" s="12">
        <v>95.95</v>
      </c>
      <c r="P4910" s="12">
        <v>74.35</v>
      </c>
      <c r="Q4910" s="13">
        <v>-1523.77</v>
      </c>
      <c r="R4910" s="36" t="s">
        <v>574</v>
      </c>
      <c r="S4910" s="7">
        <f t="shared" si="415"/>
        <v>2</v>
      </c>
      <c r="T4910" s="15" t="str">
        <f>VLOOKUP(R4910,产品分类!$C$2:$D$1278,2,0)</f>
        <v>办公用品</v>
      </c>
    </row>
    <row r="4911" spans="1:20">
      <c r="A4911" s="8">
        <f>DATE(2012,12,31)-37</f>
        <v>41237</v>
      </c>
      <c r="B4911" s="8">
        <f>DATE(2012,12,31)-37</f>
        <v>41237</v>
      </c>
      <c r="C4911" s="9" t="s">
        <v>1074</v>
      </c>
      <c r="D4911">
        <v>10021589119</v>
      </c>
      <c r="E4911" t="s">
        <v>47</v>
      </c>
      <c r="F4911" t="s">
        <v>167</v>
      </c>
      <c r="G4911" t="s">
        <v>168</v>
      </c>
      <c r="H4911" t="s">
        <v>169</v>
      </c>
      <c r="I4911" t="s">
        <v>168</v>
      </c>
      <c r="J4911" t="s">
        <v>52</v>
      </c>
      <c r="K4911" s="3">
        <v>100129508448</v>
      </c>
      <c r="L4911" s="10">
        <v>41238</v>
      </c>
      <c r="M4911">
        <v>168.2</v>
      </c>
      <c r="N4911" s="11">
        <v>29</v>
      </c>
      <c r="O4911" s="12">
        <v>5.98</v>
      </c>
      <c r="P4911" s="12">
        <v>5.46</v>
      </c>
      <c r="Q4911" s="13">
        <v>-64.53</v>
      </c>
      <c r="R4911" s="36" t="s">
        <v>1990</v>
      </c>
      <c r="S4911" s="7">
        <f t="shared" si="415"/>
        <v>1</v>
      </c>
      <c r="T4911" s="15" t="str">
        <f>VLOOKUP(R4911,产品分类!$C$2:$D$1278,2,0)</f>
        <v>家具产品</v>
      </c>
    </row>
    <row r="4912" spans="1:20">
      <c r="A4912" s="16">
        <f>DATE(2012,12,31)-696</f>
        <v>40578</v>
      </c>
      <c r="B4912" s="16">
        <f>DATE(2012,12,31)-696</f>
        <v>40578</v>
      </c>
      <c r="C4912" s="9" t="s">
        <v>275</v>
      </c>
      <c r="D4912">
        <v>10021414076</v>
      </c>
      <c r="E4912" t="s">
        <v>47</v>
      </c>
      <c r="F4912" t="s">
        <v>342</v>
      </c>
      <c r="G4912" t="s">
        <v>343</v>
      </c>
      <c r="H4912" t="s">
        <v>2395</v>
      </c>
      <c r="I4912" t="s">
        <v>2396</v>
      </c>
      <c r="J4912" t="s">
        <v>52</v>
      </c>
      <c r="K4912" s="3">
        <v>10014522827</v>
      </c>
      <c r="L4912" s="10">
        <v>40580</v>
      </c>
      <c r="M4912">
        <v>165.51</v>
      </c>
      <c r="N4912" s="17">
        <v>49</v>
      </c>
      <c r="O4912" s="5">
        <v>3.52</v>
      </c>
      <c r="P4912" s="5">
        <v>6.83</v>
      </c>
      <c r="Q4912" s="6">
        <v>-269.905</v>
      </c>
      <c r="R4912" s="37" t="s">
        <v>1969</v>
      </c>
      <c r="S4912" s="7">
        <f t="shared" si="415"/>
        <v>2</v>
      </c>
      <c r="T4912" s="15" t="str">
        <f>VLOOKUP(R4912,产品分类!$C$2:$D$1278,2,0)</f>
        <v>办公用品</v>
      </c>
    </row>
    <row r="4913" spans="1:20">
      <c r="A4913" s="8">
        <f>DATE(2012,12,31)-825</f>
        <v>40449</v>
      </c>
      <c r="B4913" s="8">
        <f>DATE(2012,12,31)-825</f>
        <v>40449</v>
      </c>
      <c r="C4913" s="9" t="s">
        <v>686</v>
      </c>
      <c r="D4913">
        <v>10021385937</v>
      </c>
      <c r="E4913" t="s">
        <v>47</v>
      </c>
      <c r="F4913" t="s">
        <v>177</v>
      </c>
      <c r="G4913" t="s">
        <v>178</v>
      </c>
      <c r="H4913" t="s">
        <v>2339</v>
      </c>
      <c r="I4913" t="s">
        <v>2340</v>
      </c>
      <c r="J4913" t="s">
        <v>52</v>
      </c>
      <c r="K4913" s="3">
        <v>10093183401</v>
      </c>
      <c r="L4913" s="10">
        <v>40451</v>
      </c>
      <c r="M4913">
        <v>609.97</v>
      </c>
      <c r="N4913" s="11">
        <v>15</v>
      </c>
      <c r="O4913" s="12">
        <v>39.48</v>
      </c>
      <c r="P4913" s="12">
        <v>1.99</v>
      </c>
      <c r="Q4913" s="13">
        <v>62.93</v>
      </c>
      <c r="R4913" s="36" t="s">
        <v>235</v>
      </c>
      <c r="S4913" s="7">
        <f t="shared" si="415"/>
        <v>2</v>
      </c>
      <c r="T4913" s="15" t="str">
        <f>VLOOKUP(R4913,产品分类!$C$2:$D$1278,2,0)</f>
        <v>办公用品</v>
      </c>
    </row>
    <row r="4914" spans="1:20">
      <c r="A4914" s="8">
        <f t="shared" ref="A4914:B4916" si="419">DATE(2012,12,31)-882</f>
        <v>40392</v>
      </c>
      <c r="B4914" s="8">
        <f t="shared" si="419"/>
        <v>40392</v>
      </c>
      <c r="C4914" s="9" t="s">
        <v>987</v>
      </c>
      <c r="D4914">
        <v>10021493989</v>
      </c>
      <c r="E4914" t="s">
        <v>47</v>
      </c>
      <c r="F4914" t="s">
        <v>167</v>
      </c>
      <c r="G4914" t="s">
        <v>168</v>
      </c>
      <c r="H4914" t="s">
        <v>169</v>
      </c>
      <c r="I4914" t="s">
        <v>168</v>
      </c>
      <c r="J4914" t="s">
        <v>52</v>
      </c>
      <c r="K4914" s="3">
        <v>10039467329</v>
      </c>
      <c r="L4914" s="10">
        <v>40394</v>
      </c>
      <c r="M4914">
        <v>140.77</v>
      </c>
      <c r="N4914" s="11">
        <v>7</v>
      </c>
      <c r="O4914" s="12">
        <v>18.65</v>
      </c>
      <c r="P4914" s="12">
        <v>3.77</v>
      </c>
      <c r="Q4914" s="13">
        <v>100.77</v>
      </c>
      <c r="R4914" s="36" t="s">
        <v>1864</v>
      </c>
      <c r="S4914" s="7">
        <f t="shared" si="415"/>
        <v>2</v>
      </c>
      <c r="T4914" s="15" t="str">
        <f>VLOOKUP(R4914,产品分类!$C$2:$D$1278,2,0)</f>
        <v>办公用品</v>
      </c>
    </row>
    <row r="4915" spans="1:20">
      <c r="A4915" s="8">
        <f t="shared" si="419"/>
        <v>40392</v>
      </c>
      <c r="B4915" s="8">
        <f t="shared" si="419"/>
        <v>40392</v>
      </c>
      <c r="C4915" s="9" t="s">
        <v>987</v>
      </c>
      <c r="D4915">
        <v>10021253940</v>
      </c>
      <c r="E4915" t="s">
        <v>47</v>
      </c>
      <c r="F4915" t="s">
        <v>61</v>
      </c>
      <c r="G4915" t="s">
        <v>62</v>
      </c>
      <c r="H4915" t="s">
        <v>2356</v>
      </c>
      <c r="I4915" t="s">
        <v>2357</v>
      </c>
      <c r="J4915" t="s">
        <v>52</v>
      </c>
      <c r="K4915" s="3">
        <v>100820974152</v>
      </c>
      <c r="L4915" s="10">
        <v>40394</v>
      </c>
      <c r="M4915">
        <v>848.19</v>
      </c>
      <c r="N4915" s="11">
        <v>25</v>
      </c>
      <c r="O4915" s="12">
        <v>34.76</v>
      </c>
      <c r="P4915" s="12">
        <v>5.49</v>
      </c>
      <c r="Q4915" s="13">
        <v>120.02</v>
      </c>
      <c r="R4915" s="36" t="s">
        <v>951</v>
      </c>
      <c r="S4915" s="7">
        <f t="shared" si="415"/>
        <v>2</v>
      </c>
      <c r="T4915" s="15" t="str">
        <f>VLOOKUP(R4915,产品分类!$C$2:$D$1278,2,0)</f>
        <v>数码电子</v>
      </c>
    </row>
    <row r="4916" spans="1:20">
      <c r="A4916" s="8">
        <f t="shared" si="419"/>
        <v>40392</v>
      </c>
      <c r="B4916" s="8">
        <f t="shared" si="419"/>
        <v>40392</v>
      </c>
      <c r="C4916" s="9" t="s">
        <v>987</v>
      </c>
      <c r="D4916">
        <v>10021248927</v>
      </c>
      <c r="E4916" t="s">
        <v>47</v>
      </c>
      <c r="F4916" t="s">
        <v>61</v>
      </c>
      <c r="G4916" t="s">
        <v>62</v>
      </c>
      <c r="H4916" t="s">
        <v>2356</v>
      </c>
      <c r="I4916" t="s">
        <v>2357</v>
      </c>
      <c r="J4916" t="s">
        <v>52</v>
      </c>
      <c r="K4916" s="3">
        <v>10014940887</v>
      </c>
      <c r="L4916" s="10">
        <v>40394</v>
      </c>
      <c r="M4916">
        <v>562.15</v>
      </c>
      <c r="N4916" s="11">
        <v>12</v>
      </c>
      <c r="O4916" s="12">
        <v>46.89</v>
      </c>
      <c r="P4916" s="12">
        <v>5.1</v>
      </c>
      <c r="Q4916" s="13">
        <v>148.34</v>
      </c>
      <c r="R4916" s="36" t="s">
        <v>1530</v>
      </c>
      <c r="S4916" s="7">
        <f t="shared" si="415"/>
        <v>2</v>
      </c>
      <c r="T4916" s="15" t="str">
        <f>VLOOKUP(R4916,产品分类!$C$2:$D$1278,2,0)</f>
        <v>数码电子</v>
      </c>
    </row>
    <row r="4917" spans="1:20">
      <c r="A4917" s="8">
        <f>DATE(2012,12,31)-21</f>
        <v>41253</v>
      </c>
      <c r="B4917" s="8">
        <f>DATE(2012,12,31)-21</f>
        <v>41253</v>
      </c>
      <c r="C4917" s="9" t="s">
        <v>2077</v>
      </c>
      <c r="D4917">
        <v>10021504626</v>
      </c>
      <c r="E4917" t="s">
        <v>47</v>
      </c>
      <c r="F4917" t="s">
        <v>342</v>
      </c>
      <c r="G4917" t="s">
        <v>343</v>
      </c>
      <c r="H4917" t="s">
        <v>2395</v>
      </c>
      <c r="I4917" t="s">
        <v>2396</v>
      </c>
      <c r="J4917" t="s">
        <v>52</v>
      </c>
      <c r="K4917" s="3">
        <v>100130403497</v>
      </c>
      <c r="L4917" s="10">
        <v>41255</v>
      </c>
      <c r="M4917">
        <v>154.45</v>
      </c>
      <c r="N4917" s="11">
        <v>14</v>
      </c>
      <c r="O4917" s="12">
        <v>10.98</v>
      </c>
      <c r="P4917" s="12">
        <v>3.37</v>
      </c>
      <c r="Q4917" s="13">
        <v>-2.31</v>
      </c>
      <c r="R4917" s="36" t="s">
        <v>1792</v>
      </c>
      <c r="S4917" s="7">
        <f t="shared" si="415"/>
        <v>2</v>
      </c>
      <c r="T4917" s="15" t="str">
        <f>VLOOKUP(R4917,产品分类!$C$2:$D$1278,2,0)</f>
        <v>办公用品</v>
      </c>
    </row>
    <row r="4918" spans="1:20">
      <c r="A4918" s="8">
        <f>DATE(2012,12,31)-206</f>
        <v>41068</v>
      </c>
      <c r="B4918" s="8">
        <f>DATE(2012,12,31)-206</f>
        <v>41068</v>
      </c>
      <c r="C4918" s="9" t="s">
        <v>326</v>
      </c>
      <c r="D4918">
        <v>10021434413</v>
      </c>
      <c r="E4918" t="s">
        <v>47</v>
      </c>
      <c r="F4918" t="s">
        <v>342</v>
      </c>
      <c r="G4918" t="s">
        <v>343</v>
      </c>
      <c r="H4918" t="s">
        <v>2395</v>
      </c>
      <c r="I4918" t="s">
        <v>2396</v>
      </c>
      <c r="J4918" t="s">
        <v>52</v>
      </c>
      <c r="K4918" s="3">
        <v>100732661525</v>
      </c>
      <c r="L4918" s="10">
        <v>41068</v>
      </c>
      <c r="M4918">
        <v>126.79</v>
      </c>
      <c r="N4918" s="11">
        <v>10</v>
      </c>
      <c r="O4918" s="12">
        <v>11.97</v>
      </c>
      <c r="P4918" s="12">
        <v>4.98</v>
      </c>
      <c r="Q4918" s="13">
        <v>-16.38</v>
      </c>
      <c r="R4918" s="36" t="s">
        <v>1833</v>
      </c>
      <c r="S4918" s="7">
        <f t="shared" si="415"/>
        <v>0</v>
      </c>
      <c r="T4918" s="15" t="str">
        <f>VLOOKUP(R4918,产品分类!$C$2:$D$1278,2,0)</f>
        <v>办公用品</v>
      </c>
    </row>
    <row r="4919" spans="1:20">
      <c r="A4919" s="8">
        <f>DATE(2012,12,31)-206</f>
        <v>41068</v>
      </c>
      <c r="B4919" s="8">
        <f>DATE(2012,12,31)-206</f>
        <v>41068</v>
      </c>
      <c r="C4919" s="9" t="s">
        <v>326</v>
      </c>
      <c r="D4919">
        <v>10021637402</v>
      </c>
      <c r="E4919" t="s">
        <v>47</v>
      </c>
      <c r="F4919" t="s">
        <v>61</v>
      </c>
      <c r="G4919" t="s">
        <v>62</v>
      </c>
      <c r="H4919" t="s">
        <v>2356</v>
      </c>
      <c r="I4919" t="s">
        <v>2357</v>
      </c>
      <c r="J4919" t="s">
        <v>52</v>
      </c>
      <c r="K4919" s="3">
        <v>10075294505</v>
      </c>
      <c r="L4919" s="10">
        <v>41069</v>
      </c>
      <c r="M4919">
        <v>1770.2015</v>
      </c>
      <c r="N4919" s="11">
        <v>11</v>
      </c>
      <c r="O4919" s="12">
        <v>195.99</v>
      </c>
      <c r="P4919" s="12">
        <v>4.2</v>
      </c>
      <c r="Q4919" s="13">
        <v>-165.946</v>
      </c>
      <c r="R4919" s="36" t="s">
        <v>1279</v>
      </c>
      <c r="S4919" s="7">
        <f t="shared" si="415"/>
        <v>1</v>
      </c>
      <c r="T4919" s="15" t="str">
        <f>VLOOKUP(R4919,产品分类!$C$2:$D$1278,2,0)</f>
        <v>家具产品</v>
      </c>
    </row>
    <row r="4920" spans="1:20">
      <c r="A4920" s="8">
        <f>DATE(2012,12,31)-257</f>
        <v>41017</v>
      </c>
      <c r="B4920" s="8">
        <f>DATE(2012,12,31)-257</f>
        <v>41017</v>
      </c>
      <c r="C4920" s="9" t="s">
        <v>632</v>
      </c>
      <c r="D4920">
        <v>10021286238</v>
      </c>
      <c r="E4920" t="s">
        <v>47</v>
      </c>
      <c r="F4920" t="s">
        <v>61</v>
      </c>
      <c r="G4920" t="s">
        <v>62</v>
      </c>
      <c r="H4920" t="s">
        <v>2356</v>
      </c>
      <c r="I4920" t="s">
        <v>2357</v>
      </c>
      <c r="J4920" t="s">
        <v>52</v>
      </c>
      <c r="K4920" s="3">
        <v>100730804915</v>
      </c>
      <c r="L4920" s="10">
        <v>41020</v>
      </c>
      <c r="M4920">
        <v>486.63</v>
      </c>
      <c r="N4920" s="11">
        <v>44</v>
      </c>
      <c r="O4920" s="12">
        <v>10.9</v>
      </c>
      <c r="P4920" s="12">
        <v>7.46</v>
      </c>
      <c r="Q4920" s="13">
        <v>-146.37</v>
      </c>
      <c r="R4920" s="36" t="s">
        <v>985</v>
      </c>
      <c r="S4920" s="7">
        <f t="shared" si="415"/>
        <v>3</v>
      </c>
      <c r="T4920" s="15" t="str">
        <f>VLOOKUP(R4920,产品分类!$C$2:$D$1278,2,0)</f>
        <v>数码电子</v>
      </c>
    </row>
    <row r="4921" spans="1:20">
      <c r="A4921" s="8">
        <f>DATE(2012,12,31)-1356</f>
        <v>39918</v>
      </c>
      <c r="B4921" s="8">
        <f>DATE(2012,12,31)-1356</f>
        <v>39918</v>
      </c>
      <c r="C4921" s="9" t="s">
        <v>786</v>
      </c>
      <c r="D4921">
        <v>10021266143</v>
      </c>
      <c r="E4921" t="s">
        <v>47</v>
      </c>
      <c r="F4921" t="s">
        <v>61</v>
      </c>
      <c r="G4921" t="s">
        <v>62</v>
      </c>
      <c r="H4921" t="s">
        <v>2356</v>
      </c>
      <c r="I4921" t="s">
        <v>2357</v>
      </c>
      <c r="J4921" t="s">
        <v>52</v>
      </c>
      <c r="K4921" s="3">
        <v>100822578042</v>
      </c>
      <c r="L4921" s="10">
        <v>39918</v>
      </c>
      <c r="M4921">
        <v>443.73</v>
      </c>
      <c r="N4921" s="11">
        <v>28</v>
      </c>
      <c r="O4921" s="12">
        <v>15.16</v>
      </c>
      <c r="P4921" s="12">
        <v>15.09</v>
      </c>
      <c r="Q4921" s="13">
        <v>-200.859</v>
      </c>
      <c r="R4921" s="36" t="s">
        <v>2069</v>
      </c>
      <c r="S4921" s="7">
        <f t="shared" si="415"/>
        <v>0</v>
      </c>
      <c r="T4921" s="15" t="str">
        <f>VLOOKUP(R4921,产品分类!$C$2:$D$1278,2,0)</f>
        <v>办公用品</v>
      </c>
    </row>
    <row r="4922" spans="1:20">
      <c r="A4922" s="8">
        <f>DATE(2012,12,31)-760</f>
        <v>40514</v>
      </c>
      <c r="B4922" s="8">
        <f>DATE(2012,12,31)-760</f>
        <v>40514</v>
      </c>
      <c r="C4922" s="9" t="s">
        <v>143</v>
      </c>
      <c r="D4922">
        <v>10021254413</v>
      </c>
      <c r="E4922" t="s">
        <v>47</v>
      </c>
      <c r="F4922" t="s">
        <v>61</v>
      </c>
      <c r="G4922" t="s">
        <v>62</v>
      </c>
      <c r="H4922" t="s">
        <v>2356</v>
      </c>
      <c r="I4922" t="s">
        <v>2357</v>
      </c>
      <c r="J4922" t="s">
        <v>52</v>
      </c>
      <c r="K4922" s="3">
        <v>100421970344</v>
      </c>
      <c r="L4922" s="10">
        <v>40515</v>
      </c>
      <c r="M4922">
        <v>1196.86</v>
      </c>
      <c r="N4922" s="11">
        <v>23</v>
      </c>
      <c r="O4922" s="12">
        <v>50.98</v>
      </c>
      <c r="P4922" s="12">
        <v>6.5</v>
      </c>
      <c r="Q4922" s="13">
        <v>-12.51</v>
      </c>
      <c r="R4922" s="36" t="s">
        <v>1501</v>
      </c>
      <c r="S4922" s="7">
        <f t="shared" si="415"/>
        <v>1</v>
      </c>
      <c r="T4922" s="15" t="str">
        <f>VLOOKUP(R4922,产品分类!$C$2:$D$1278,2,0)</f>
        <v>家具产品</v>
      </c>
    </row>
    <row r="4923" spans="1:20">
      <c r="A4923" s="8">
        <f>DATE(2012,12,31)-896</f>
        <v>40378</v>
      </c>
      <c r="B4923" s="8">
        <f>DATE(2012,12,31)-896</f>
        <v>40378</v>
      </c>
      <c r="C4923" s="9" t="s">
        <v>2049</v>
      </c>
      <c r="D4923">
        <v>10021389767</v>
      </c>
      <c r="E4923" t="s">
        <v>47</v>
      </c>
      <c r="F4923" t="s">
        <v>61</v>
      </c>
      <c r="G4923" t="s">
        <v>62</v>
      </c>
      <c r="H4923" t="s">
        <v>2356</v>
      </c>
      <c r="I4923" t="s">
        <v>2357</v>
      </c>
      <c r="J4923" t="s">
        <v>52</v>
      </c>
      <c r="K4923" s="3">
        <v>100912165231</v>
      </c>
      <c r="L4923" s="10">
        <v>40379</v>
      </c>
      <c r="M4923">
        <v>125.21</v>
      </c>
      <c r="N4923" s="11">
        <v>45</v>
      </c>
      <c r="O4923" s="12">
        <v>2.62</v>
      </c>
      <c r="P4923" s="12">
        <v>0.8</v>
      </c>
      <c r="Q4923" s="13">
        <v>37.99</v>
      </c>
      <c r="R4923" s="36" t="s">
        <v>960</v>
      </c>
      <c r="S4923" s="7">
        <f t="shared" si="415"/>
        <v>1</v>
      </c>
      <c r="T4923" s="15" t="str">
        <f>VLOOKUP(R4923,产品分类!$C$2:$D$1278,2,0)</f>
        <v>家具产品</v>
      </c>
    </row>
    <row r="4924" spans="1:20">
      <c r="A4924" s="8">
        <f>DATE(2012,12,31)-896</f>
        <v>40378</v>
      </c>
      <c r="B4924" s="8">
        <f>DATE(2012,12,31)-896</f>
        <v>40378</v>
      </c>
      <c r="C4924" s="9" t="s">
        <v>2049</v>
      </c>
      <c r="D4924">
        <v>10021346006</v>
      </c>
      <c r="E4924" t="s">
        <v>47</v>
      </c>
      <c r="F4924" t="s">
        <v>61</v>
      </c>
      <c r="G4924" t="s">
        <v>62</v>
      </c>
      <c r="H4924" t="s">
        <v>2356</v>
      </c>
      <c r="I4924" t="s">
        <v>2357</v>
      </c>
      <c r="J4924" t="s">
        <v>52</v>
      </c>
      <c r="K4924" s="3">
        <v>100812692622</v>
      </c>
      <c r="L4924" s="10">
        <v>40379</v>
      </c>
      <c r="M4924">
        <v>924.1115</v>
      </c>
      <c r="N4924" s="11">
        <v>9</v>
      </c>
      <c r="O4924" s="12">
        <v>125.99</v>
      </c>
      <c r="P4924" s="12">
        <v>8.08</v>
      </c>
      <c r="Q4924" s="13">
        <v>-287.991</v>
      </c>
      <c r="R4924" s="36" t="s">
        <v>569</v>
      </c>
      <c r="S4924" s="7">
        <f t="shared" si="415"/>
        <v>1</v>
      </c>
      <c r="T4924" s="15" t="str">
        <f>VLOOKUP(R4924,产品分类!$C$2:$D$1278,2,0)</f>
        <v>家具产品</v>
      </c>
    </row>
    <row r="4925" spans="1:20">
      <c r="A4925" s="8">
        <f>DATE(2012,12,31)-273</f>
        <v>41001</v>
      </c>
      <c r="B4925" s="8">
        <f>DATE(2012,12,31)-273</f>
        <v>41001</v>
      </c>
      <c r="C4925" s="9" t="s">
        <v>262</v>
      </c>
      <c r="D4925">
        <v>10021395912</v>
      </c>
      <c r="E4925" t="s">
        <v>47</v>
      </c>
      <c r="F4925" t="s">
        <v>61</v>
      </c>
      <c r="G4925" t="s">
        <v>62</v>
      </c>
      <c r="H4925" t="s">
        <v>2356</v>
      </c>
      <c r="I4925" t="s">
        <v>2357</v>
      </c>
      <c r="J4925" t="s">
        <v>52</v>
      </c>
      <c r="K4925" s="3">
        <v>100315217789</v>
      </c>
      <c r="L4925" s="10">
        <v>41003</v>
      </c>
      <c r="M4925">
        <v>565.01</v>
      </c>
      <c r="N4925" s="11">
        <v>44</v>
      </c>
      <c r="O4925" s="12">
        <v>13.48</v>
      </c>
      <c r="P4925" s="12">
        <v>4.51</v>
      </c>
      <c r="Q4925" s="13">
        <v>-10.33</v>
      </c>
      <c r="R4925" s="36" t="s">
        <v>550</v>
      </c>
      <c r="S4925" s="7">
        <f t="shared" si="415"/>
        <v>2</v>
      </c>
      <c r="T4925" s="15" t="str">
        <f>VLOOKUP(R4925,产品分类!$C$2:$D$1278,2,0)</f>
        <v>办公用品</v>
      </c>
    </row>
    <row r="4926" spans="1:20">
      <c r="A4926" s="8">
        <f t="shared" ref="A4926:B4928" si="420">DATE(2012,12,31)-891</f>
        <v>40383</v>
      </c>
      <c r="B4926" s="8">
        <f t="shared" si="420"/>
        <v>40383</v>
      </c>
      <c r="C4926" s="9" t="s">
        <v>236</v>
      </c>
      <c r="D4926">
        <v>10021348228</v>
      </c>
      <c r="E4926" t="s">
        <v>47</v>
      </c>
      <c r="F4926" t="s">
        <v>61</v>
      </c>
      <c r="G4926" t="s">
        <v>62</v>
      </c>
      <c r="H4926" t="s">
        <v>2356</v>
      </c>
      <c r="I4926" t="s">
        <v>2357</v>
      </c>
      <c r="J4926" t="s">
        <v>52</v>
      </c>
      <c r="K4926" s="3">
        <v>100331340739</v>
      </c>
      <c r="L4926" s="10">
        <v>40383</v>
      </c>
      <c r="M4926">
        <v>151.86</v>
      </c>
      <c r="N4926" s="11">
        <v>21</v>
      </c>
      <c r="O4926" s="12">
        <v>7.1</v>
      </c>
      <c r="P4926" s="12">
        <v>6.05</v>
      </c>
      <c r="Q4926" s="13">
        <v>-54.671</v>
      </c>
      <c r="R4926" s="36" t="s">
        <v>958</v>
      </c>
      <c r="S4926" s="7">
        <f t="shared" si="415"/>
        <v>0</v>
      </c>
      <c r="T4926" s="15" t="str">
        <f>VLOOKUP(R4926,产品分类!$C$2:$D$1278,2,0)</f>
        <v>办公用品</v>
      </c>
    </row>
    <row r="4927" spans="1:20">
      <c r="A4927" s="8">
        <f t="shared" si="420"/>
        <v>40383</v>
      </c>
      <c r="B4927" s="8">
        <f t="shared" si="420"/>
        <v>40383</v>
      </c>
      <c r="C4927" s="9" t="s">
        <v>236</v>
      </c>
      <c r="D4927">
        <v>10021467366</v>
      </c>
      <c r="E4927" t="s">
        <v>47</v>
      </c>
      <c r="F4927" t="s">
        <v>61</v>
      </c>
      <c r="G4927" t="s">
        <v>62</v>
      </c>
      <c r="H4927" t="s">
        <v>2356</v>
      </c>
      <c r="I4927" t="s">
        <v>2357</v>
      </c>
      <c r="J4927" t="s">
        <v>52</v>
      </c>
      <c r="K4927" s="3">
        <v>100930540611</v>
      </c>
      <c r="L4927" s="10">
        <v>40384</v>
      </c>
      <c r="M4927">
        <v>3583.87</v>
      </c>
      <c r="N4927" s="11">
        <v>13</v>
      </c>
      <c r="O4927" s="12">
        <v>284.98</v>
      </c>
      <c r="P4927" s="12">
        <v>69.55</v>
      </c>
      <c r="Q4927" s="13">
        <v>-113.08</v>
      </c>
      <c r="R4927" s="36" t="s">
        <v>1740</v>
      </c>
      <c r="S4927" s="7">
        <f t="shared" si="415"/>
        <v>1</v>
      </c>
      <c r="T4927" s="15" t="str">
        <f>VLOOKUP(R4927,产品分类!$C$2:$D$1278,2,0)</f>
        <v>办公用品</v>
      </c>
    </row>
    <row r="4928" spans="1:20">
      <c r="A4928" s="8">
        <f t="shared" si="420"/>
        <v>40383</v>
      </c>
      <c r="B4928" s="8">
        <f t="shared" si="420"/>
        <v>40383</v>
      </c>
      <c r="C4928" s="9" t="s">
        <v>236</v>
      </c>
      <c r="D4928">
        <v>10021445310</v>
      </c>
      <c r="E4928" t="s">
        <v>47</v>
      </c>
      <c r="F4928" t="s">
        <v>61</v>
      </c>
      <c r="G4928" t="s">
        <v>62</v>
      </c>
      <c r="H4928" t="s">
        <v>2356</v>
      </c>
      <c r="I4928" t="s">
        <v>2357</v>
      </c>
      <c r="J4928" t="s">
        <v>52</v>
      </c>
      <c r="K4928" s="3">
        <v>100712327465</v>
      </c>
      <c r="L4928" s="10">
        <v>40384</v>
      </c>
      <c r="M4928">
        <v>4951.36</v>
      </c>
      <c r="N4928" s="11">
        <v>45</v>
      </c>
      <c r="O4928" s="12">
        <v>107.53</v>
      </c>
      <c r="P4928" s="12">
        <v>5.81</v>
      </c>
      <c r="Q4928" s="13">
        <v>1759.72</v>
      </c>
      <c r="R4928" s="36" t="s">
        <v>65</v>
      </c>
      <c r="S4928" s="7">
        <f t="shared" si="415"/>
        <v>1</v>
      </c>
      <c r="T4928" s="15" t="str">
        <f>VLOOKUP(R4928,产品分类!$C$2:$D$1278,2,0)</f>
        <v>家具产品</v>
      </c>
    </row>
    <row r="4929" spans="1:20">
      <c r="A4929" s="8">
        <f>DATE(2012,12,31)-936</f>
        <v>40338</v>
      </c>
      <c r="B4929" s="8">
        <f>DATE(2012,12,31)-936</f>
        <v>40338</v>
      </c>
      <c r="C4929" s="9" t="s">
        <v>2259</v>
      </c>
      <c r="D4929">
        <v>10021669562</v>
      </c>
      <c r="E4929" t="s">
        <v>47</v>
      </c>
      <c r="F4929" t="s">
        <v>61</v>
      </c>
      <c r="G4929" t="s">
        <v>62</v>
      </c>
      <c r="H4929" t="s">
        <v>2356</v>
      </c>
      <c r="I4929" t="s">
        <v>2357</v>
      </c>
      <c r="J4929" t="s">
        <v>52</v>
      </c>
      <c r="K4929" s="3">
        <v>100729834545</v>
      </c>
      <c r="L4929" s="10">
        <v>40340</v>
      </c>
      <c r="M4929">
        <v>148.17</v>
      </c>
      <c r="N4929" s="11">
        <v>31</v>
      </c>
      <c r="O4929" s="12">
        <v>4.71</v>
      </c>
      <c r="P4929" s="12">
        <v>0.7</v>
      </c>
      <c r="Q4929" s="13">
        <v>-7.06</v>
      </c>
      <c r="R4929" s="36" t="s">
        <v>819</v>
      </c>
      <c r="S4929" s="7">
        <f t="shared" si="415"/>
        <v>2</v>
      </c>
      <c r="T4929" s="15" t="str">
        <f>VLOOKUP(R4929,产品分类!$C$2:$D$1278,2,0)</f>
        <v>家具产品</v>
      </c>
    </row>
    <row r="4930" spans="1:20">
      <c r="A4930" s="16">
        <f>DATE(2012,12,31)-451</f>
        <v>40823</v>
      </c>
      <c r="B4930" s="16">
        <f>DATE(2012,12,31)-451</f>
        <v>40823</v>
      </c>
      <c r="C4930" s="9" t="s">
        <v>143</v>
      </c>
      <c r="D4930">
        <v>10021502633</v>
      </c>
      <c r="E4930" t="s">
        <v>47</v>
      </c>
      <c r="F4930" t="s">
        <v>61</v>
      </c>
      <c r="G4930" t="s">
        <v>62</v>
      </c>
      <c r="H4930" t="s">
        <v>2356</v>
      </c>
      <c r="I4930" t="s">
        <v>2357</v>
      </c>
      <c r="J4930" t="s">
        <v>52</v>
      </c>
      <c r="K4930" s="3">
        <v>100828912152</v>
      </c>
      <c r="L4930" s="10">
        <v>40824</v>
      </c>
      <c r="M4930">
        <v>81.1</v>
      </c>
      <c r="N4930" s="17">
        <v>29</v>
      </c>
      <c r="O4930" s="5">
        <v>2.94</v>
      </c>
      <c r="P4930" s="5">
        <v>0.96</v>
      </c>
      <c r="Q4930" s="6">
        <v>-2.07</v>
      </c>
      <c r="R4930" s="37" t="s">
        <v>872</v>
      </c>
      <c r="S4930" s="7">
        <f t="shared" si="415"/>
        <v>1</v>
      </c>
      <c r="T4930" s="15" t="str">
        <f>VLOOKUP(R4930,产品分类!$C$2:$D$1278,2,0)</f>
        <v>数码电子</v>
      </c>
    </row>
    <row r="4931" spans="1:20">
      <c r="A4931" s="8">
        <f>DATE(2012,12,31)-870</f>
        <v>40404</v>
      </c>
      <c r="B4931" s="8">
        <f>DATE(2012,12,31)-870</f>
        <v>40404</v>
      </c>
      <c r="C4931" s="9" t="s">
        <v>1348</v>
      </c>
      <c r="D4931">
        <v>10021262634</v>
      </c>
      <c r="E4931" t="s">
        <v>47</v>
      </c>
      <c r="F4931" t="s">
        <v>61</v>
      </c>
      <c r="G4931" t="s">
        <v>62</v>
      </c>
      <c r="H4931" t="s">
        <v>2356</v>
      </c>
      <c r="I4931" t="s">
        <v>2357</v>
      </c>
      <c r="J4931" t="s">
        <v>52</v>
      </c>
      <c r="K4931" s="3">
        <v>100830108242</v>
      </c>
      <c r="L4931" s="10">
        <v>40406</v>
      </c>
      <c r="M4931">
        <v>71.57</v>
      </c>
      <c r="N4931" s="11">
        <v>13</v>
      </c>
      <c r="O4931" s="12">
        <v>4.98</v>
      </c>
      <c r="P4931" s="12">
        <v>4.95</v>
      </c>
      <c r="Q4931" s="13">
        <v>-30.6935</v>
      </c>
      <c r="R4931" s="36" t="s">
        <v>1166</v>
      </c>
      <c r="S4931" s="7">
        <f t="shared" ref="S4931:S4994" si="421">+L4931-B4931</f>
        <v>2</v>
      </c>
      <c r="T4931" s="15" t="str">
        <f>VLOOKUP(R4931,产品分类!$C$2:$D$1278,2,0)</f>
        <v>办公用品</v>
      </c>
    </row>
    <row r="4932" spans="1:20">
      <c r="A4932" s="8">
        <f>DATE(2012,12,31)-870</f>
        <v>40404</v>
      </c>
      <c r="B4932" s="8">
        <f>DATE(2012,12,31)-870</f>
        <v>40404</v>
      </c>
      <c r="C4932" s="9" t="s">
        <v>1348</v>
      </c>
      <c r="D4932">
        <v>10021460530</v>
      </c>
      <c r="E4932" t="s">
        <v>47</v>
      </c>
      <c r="F4932" t="s">
        <v>83</v>
      </c>
      <c r="G4932" t="s">
        <v>84</v>
      </c>
      <c r="H4932" t="s">
        <v>2349</v>
      </c>
      <c r="I4932" t="s">
        <v>2350</v>
      </c>
      <c r="J4932" t="s">
        <v>52</v>
      </c>
      <c r="K4932" s="3">
        <v>10017706866</v>
      </c>
      <c r="L4932" s="10">
        <v>40406</v>
      </c>
      <c r="M4932">
        <v>2062.75</v>
      </c>
      <c r="N4932" s="11">
        <v>32</v>
      </c>
      <c r="O4932" s="12">
        <v>60.98</v>
      </c>
      <c r="P4932" s="12">
        <v>19.99</v>
      </c>
      <c r="Q4932" s="13">
        <v>559.59</v>
      </c>
      <c r="R4932" s="36" t="s">
        <v>1834</v>
      </c>
      <c r="S4932" s="7">
        <f t="shared" si="421"/>
        <v>2</v>
      </c>
      <c r="T4932" s="15" t="str">
        <f>VLOOKUP(R4932,产品分类!$C$2:$D$1278,2,0)</f>
        <v>家具产品</v>
      </c>
    </row>
    <row r="4933" spans="1:20">
      <c r="A4933" s="8">
        <f>DATE(2012,12,31)-253</f>
        <v>41021</v>
      </c>
      <c r="B4933" s="8">
        <f>DATE(2012,12,31)-253</f>
        <v>41021</v>
      </c>
      <c r="C4933" s="9" t="s">
        <v>1678</v>
      </c>
      <c r="D4933">
        <v>10021524753</v>
      </c>
      <c r="E4933" t="s">
        <v>47</v>
      </c>
      <c r="F4933" t="s">
        <v>61</v>
      </c>
      <c r="G4933" t="s">
        <v>62</v>
      </c>
      <c r="H4933" t="s">
        <v>2356</v>
      </c>
      <c r="I4933" t="s">
        <v>2357</v>
      </c>
      <c r="J4933" t="s">
        <v>52</v>
      </c>
      <c r="K4933" s="3">
        <v>100918736951</v>
      </c>
      <c r="L4933" s="10">
        <v>41024</v>
      </c>
      <c r="M4933">
        <v>36.31</v>
      </c>
      <c r="N4933" s="11">
        <v>1</v>
      </c>
      <c r="O4933" s="12">
        <v>29.99</v>
      </c>
      <c r="P4933" s="12">
        <v>5.5</v>
      </c>
      <c r="Q4933" s="13">
        <v>-74.45</v>
      </c>
      <c r="R4933" s="36" t="s">
        <v>939</v>
      </c>
      <c r="S4933" s="7">
        <f t="shared" si="421"/>
        <v>3</v>
      </c>
      <c r="T4933" s="15" t="str">
        <f>VLOOKUP(R4933,产品分类!$C$2:$D$1278,2,0)</f>
        <v>办公用品</v>
      </c>
    </row>
    <row r="4934" spans="1:20">
      <c r="A4934" s="8">
        <f>DATE(2012,12,31)-253</f>
        <v>41021</v>
      </c>
      <c r="B4934" s="8">
        <f>DATE(2012,12,31)-253</f>
        <v>41021</v>
      </c>
      <c r="C4934" s="9" t="s">
        <v>1678</v>
      </c>
      <c r="D4934">
        <v>10021341310</v>
      </c>
      <c r="E4934" t="s">
        <v>47</v>
      </c>
      <c r="F4934" t="s">
        <v>61</v>
      </c>
      <c r="G4934" t="s">
        <v>62</v>
      </c>
      <c r="H4934" t="s">
        <v>2356</v>
      </c>
      <c r="I4934" t="s">
        <v>2357</v>
      </c>
      <c r="J4934" t="s">
        <v>52</v>
      </c>
      <c r="K4934" s="3">
        <v>100727017535</v>
      </c>
      <c r="L4934" s="10">
        <v>41023</v>
      </c>
      <c r="M4934">
        <v>388.15</v>
      </c>
      <c r="N4934" s="11">
        <v>18</v>
      </c>
      <c r="O4934" s="12">
        <v>19.94</v>
      </c>
      <c r="P4934" s="12">
        <v>14.87</v>
      </c>
      <c r="Q4934" s="13">
        <v>-44.21</v>
      </c>
      <c r="R4934" s="36" t="s">
        <v>2211</v>
      </c>
      <c r="S4934" s="7">
        <f t="shared" si="421"/>
        <v>2</v>
      </c>
      <c r="T4934" s="15" t="str">
        <f>VLOOKUP(R4934,产品分类!$C$2:$D$1278,2,0)</f>
        <v>办公用品</v>
      </c>
    </row>
    <row r="4935" spans="1:20">
      <c r="A4935" s="8">
        <f>DATE(2012,12,31)-440</f>
        <v>40834</v>
      </c>
      <c r="B4935" s="8">
        <f>DATE(2012,12,31)-440</f>
        <v>40834</v>
      </c>
      <c r="C4935" s="9" t="s">
        <v>2163</v>
      </c>
      <c r="D4935">
        <v>10021669260</v>
      </c>
      <c r="E4935" t="s">
        <v>47</v>
      </c>
      <c r="F4935" t="s">
        <v>61</v>
      </c>
      <c r="G4935" t="s">
        <v>62</v>
      </c>
      <c r="H4935" t="s">
        <v>2356</v>
      </c>
      <c r="I4935" t="s">
        <v>2357</v>
      </c>
      <c r="J4935" t="s">
        <v>52</v>
      </c>
      <c r="K4935" s="3">
        <v>100129801208</v>
      </c>
      <c r="L4935" s="10">
        <v>40835</v>
      </c>
      <c r="M4935">
        <v>12805.25</v>
      </c>
      <c r="N4935" s="11">
        <v>14</v>
      </c>
      <c r="O4935" s="12">
        <v>896.99</v>
      </c>
      <c r="P4935" s="12">
        <v>19.99</v>
      </c>
      <c r="Q4935" s="13">
        <v>5065.507</v>
      </c>
      <c r="R4935" s="36" t="s">
        <v>444</v>
      </c>
      <c r="S4935" s="7">
        <f t="shared" si="421"/>
        <v>1</v>
      </c>
      <c r="T4935" s="15" t="str">
        <f>VLOOKUP(R4935,产品分类!$C$2:$D$1278,2,0)</f>
        <v>办公用品</v>
      </c>
    </row>
    <row r="4936" spans="1:20">
      <c r="A4936" s="8">
        <f>DATE(2012,12,31)-440</f>
        <v>40834</v>
      </c>
      <c r="B4936" s="8">
        <f>DATE(2012,12,31)-440</f>
        <v>40834</v>
      </c>
      <c r="C4936" s="9" t="s">
        <v>2163</v>
      </c>
      <c r="D4936">
        <v>10021582488</v>
      </c>
      <c r="E4936" t="s">
        <v>47</v>
      </c>
      <c r="F4936" t="s">
        <v>61</v>
      </c>
      <c r="G4936" t="s">
        <v>62</v>
      </c>
      <c r="H4936" t="s">
        <v>2356</v>
      </c>
      <c r="I4936" t="s">
        <v>2357</v>
      </c>
      <c r="J4936" t="s">
        <v>52</v>
      </c>
      <c r="K4936" s="3">
        <v>100125523148</v>
      </c>
      <c r="L4936" s="10">
        <v>40836</v>
      </c>
      <c r="M4936">
        <v>1435.32</v>
      </c>
      <c r="N4936" s="11">
        <v>49</v>
      </c>
      <c r="O4936" s="12">
        <v>29.89</v>
      </c>
      <c r="P4936" s="12">
        <v>1.99</v>
      </c>
      <c r="Q4936" s="13">
        <v>485.95</v>
      </c>
      <c r="R4936" s="36" t="s">
        <v>866</v>
      </c>
      <c r="S4936" s="7">
        <f t="shared" si="421"/>
        <v>2</v>
      </c>
      <c r="T4936" s="15" t="str">
        <f>VLOOKUP(R4936,产品分类!$C$2:$D$1278,2,0)</f>
        <v>办公用品</v>
      </c>
    </row>
    <row r="4937" spans="1:20">
      <c r="A4937" s="8">
        <f>DATE(2012,12,31)-940</f>
        <v>40334</v>
      </c>
      <c r="B4937" s="8">
        <f>DATE(2012,12,31)-940</f>
        <v>40334</v>
      </c>
      <c r="C4937" s="9" t="s">
        <v>573</v>
      </c>
      <c r="D4937">
        <v>10021303649</v>
      </c>
      <c r="E4937" t="s">
        <v>47</v>
      </c>
      <c r="F4937" t="s">
        <v>61</v>
      </c>
      <c r="G4937" t="s">
        <v>62</v>
      </c>
      <c r="H4937" t="s">
        <v>2356</v>
      </c>
      <c r="I4937" t="s">
        <v>2357</v>
      </c>
      <c r="J4937" t="s">
        <v>52</v>
      </c>
      <c r="K4937" s="3">
        <v>100421085554</v>
      </c>
      <c r="L4937" s="10">
        <v>40336</v>
      </c>
      <c r="M4937">
        <v>893.29</v>
      </c>
      <c r="N4937" s="11">
        <v>39</v>
      </c>
      <c r="O4937" s="12">
        <v>23.99</v>
      </c>
      <c r="P4937" s="12">
        <v>6.71</v>
      </c>
      <c r="Q4937" s="13">
        <v>256.16</v>
      </c>
      <c r="R4937" s="36" t="s">
        <v>1639</v>
      </c>
      <c r="S4937" s="7">
        <f t="shared" si="421"/>
        <v>2</v>
      </c>
      <c r="T4937" s="15" t="str">
        <f>VLOOKUP(R4937,产品分类!$C$2:$D$1278,2,0)</f>
        <v>办公用品</v>
      </c>
    </row>
    <row r="4938" spans="1:20">
      <c r="A4938" s="8">
        <f>DATE(2012,12,31)-1180</f>
        <v>40094</v>
      </c>
      <c r="B4938" s="8">
        <f>DATE(2012,12,31)-1180</f>
        <v>40094</v>
      </c>
      <c r="C4938" s="9" t="s">
        <v>176</v>
      </c>
      <c r="D4938">
        <v>10021619773</v>
      </c>
      <c r="E4938" t="s">
        <v>47</v>
      </c>
      <c r="F4938" t="s">
        <v>83</v>
      </c>
      <c r="G4938" t="s">
        <v>84</v>
      </c>
      <c r="H4938" t="s">
        <v>2349</v>
      </c>
      <c r="I4938" t="s">
        <v>2350</v>
      </c>
      <c r="J4938" t="s">
        <v>52</v>
      </c>
      <c r="K4938" s="3">
        <v>10011925346</v>
      </c>
      <c r="L4938" s="10">
        <v>40095</v>
      </c>
      <c r="M4938">
        <v>68.73</v>
      </c>
      <c r="N4938" s="11">
        <v>23</v>
      </c>
      <c r="O4938" s="12">
        <v>2.94</v>
      </c>
      <c r="P4938" s="12">
        <v>0.81</v>
      </c>
      <c r="Q4938" s="13">
        <v>17.17</v>
      </c>
      <c r="R4938" s="36" t="s">
        <v>1671</v>
      </c>
      <c r="S4938" s="7">
        <f t="shared" si="421"/>
        <v>1</v>
      </c>
      <c r="T4938" s="15" t="str">
        <f>VLOOKUP(R4938,产品分类!$C$2:$D$1278,2,0)</f>
        <v>办公用品</v>
      </c>
    </row>
    <row r="4939" spans="1:20">
      <c r="A4939" s="8">
        <f>DATE(2012,12,31)-898</f>
        <v>40376</v>
      </c>
      <c r="B4939" s="8">
        <f>DATE(2012,12,31)-898</f>
        <v>40376</v>
      </c>
      <c r="C4939" s="9" t="s">
        <v>288</v>
      </c>
      <c r="D4939">
        <v>10021504658</v>
      </c>
      <c r="E4939" t="s">
        <v>47</v>
      </c>
      <c r="F4939" t="s">
        <v>61</v>
      </c>
      <c r="G4939" t="s">
        <v>62</v>
      </c>
      <c r="H4939" t="s">
        <v>2356</v>
      </c>
      <c r="I4939" t="s">
        <v>2357</v>
      </c>
      <c r="J4939" t="s">
        <v>52</v>
      </c>
      <c r="K4939" s="3">
        <v>100130415197</v>
      </c>
      <c r="L4939" s="10">
        <v>40378</v>
      </c>
      <c r="M4939">
        <v>225.06</v>
      </c>
      <c r="N4939" s="11">
        <v>41</v>
      </c>
      <c r="O4939" s="12">
        <v>5.34</v>
      </c>
      <c r="P4939" s="12">
        <v>2.99</v>
      </c>
      <c r="Q4939" s="13">
        <v>7.3015</v>
      </c>
      <c r="R4939" s="36" t="s">
        <v>415</v>
      </c>
      <c r="S4939" s="7">
        <f t="shared" si="421"/>
        <v>2</v>
      </c>
      <c r="T4939" s="15" t="str">
        <f>VLOOKUP(R4939,产品分类!$C$2:$D$1278,2,0)</f>
        <v>办公用品</v>
      </c>
    </row>
    <row r="4940" spans="1:20">
      <c r="A4940" s="8">
        <f>DATE(2012,12,31)-898</f>
        <v>40376</v>
      </c>
      <c r="B4940" s="8">
        <f>DATE(2012,12,31)-898</f>
        <v>40376</v>
      </c>
      <c r="C4940" s="9" t="s">
        <v>288</v>
      </c>
      <c r="D4940">
        <v>10021267812</v>
      </c>
      <c r="E4940" t="s">
        <v>47</v>
      </c>
      <c r="F4940" t="s">
        <v>55</v>
      </c>
      <c r="G4940" t="s">
        <v>56</v>
      </c>
      <c r="H4940" t="s">
        <v>2331</v>
      </c>
      <c r="I4940" t="s">
        <v>2332</v>
      </c>
      <c r="J4940" t="s">
        <v>52</v>
      </c>
      <c r="K4940" s="3">
        <v>100732113415</v>
      </c>
      <c r="L4940" s="10">
        <v>40379</v>
      </c>
      <c r="M4940">
        <v>1041.78</v>
      </c>
      <c r="N4940" s="11">
        <v>47</v>
      </c>
      <c r="O4940" s="12">
        <v>23.99</v>
      </c>
      <c r="P4940" s="12">
        <v>6.71</v>
      </c>
      <c r="Q4940" s="13">
        <v>283.79</v>
      </c>
      <c r="R4940" s="36" t="s">
        <v>1639</v>
      </c>
      <c r="S4940" s="7">
        <f t="shared" si="421"/>
        <v>3</v>
      </c>
      <c r="T4940" s="15" t="str">
        <f>VLOOKUP(R4940,产品分类!$C$2:$D$1278,2,0)</f>
        <v>办公用品</v>
      </c>
    </row>
    <row r="4941" spans="1:20">
      <c r="A4941" s="8">
        <f t="shared" ref="A4941:B4944" si="422">DATE(2012,12,31)-1078</f>
        <v>40196</v>
      </c>
      <c r="B4941" s="8">
        <f t="shared" si="422"/>
        <v>40196</v>
      </c>
      <c r="C4941" s="9" t="s">
        <v>1074</v>
      </c>
      <c r="D4941">
        <v>10021532668</v>
      </c>
      <c r="E4941" t="s">
        <v>47</v>
      </c>
      <c r="F4941" t="s">
        <v>61</v>
      </c>
      <c r="G4941" t="s">
        <v>62</v>
      </c>
      <c r="H4941" t="s">
        <v>2356</v>
      </c>
      <c r="I4941" t="s">
        <v>2357</v>
      </c>
      <c r="J4941" t="s">
        <v>52</v>
      </c>
      <c r="K4941" s="3">
        <v>100131874458</v>
      </c>
      <c r="L4941" s="10">
        <v>40197</v>
      </c>
      <c r="M4941">
        <v>264.78</v>
      </c>
      <c r="N4941" s="11">
        <v>29</v>
      </c>
      <c r="O4941" s="12">
        <v>8.69</v>
      </c>
      <c r="P4941" s="12">
        <v>2.99</v>
      </c>
      <c r="Q4941" s="13">
        <v>53.0485</v>
      </c>
      <c r="R4941" s="36" t="s">
        <v>206</v>
      </c>
      <c r="S4941" s="7">
        <f t="shared" si="421"/>
        <v>1</v>
      </c>
      <c r="T4941" s="15" t="str">
        <f>VLOOKUP(R4941,产品分类!$C$2:$D$1278,2,0)</f>
        <v>数码电子</v>
      </c>
    </row>
    <row r="4942" spans="1:20">
      <c r="A4942" s="8">
        <f t="shared" si="422"/>
        <v>40196</v>
      </c>
      <c r="B4942" s="8">
        <f t="shared" si="422"/>
        <v>40196</v>
      </c>
      <c r="C4942" s="9" t="s">
        <v>1074</v>
      </c>
      <c r="D4942">
        <v>10021349573</v>
      </c>
      <c r="E4942" t="s">
        <v>47</v>
      </c>
      <c r="F4942" t="s">
        <v>253</v>
      </c>
      <c r="G4942" t="s">
        <v>254</v>
      </c>
      <c r="H4942" t="s">
        <v>2344</v>
      </c>
      <c r="I4942" t="s">
        <v>2345</v>
      </c>
      <c r="J4942" t="s">
        <v>52</v>
      </c>
      <c r="K4942" s="3">
        <v>100431876393</v>
      </c>
      <c r="L4942" s="10">
        <v>40197</v>
      </c>
      <c r="M4942">
        <v>10380.34</v>
      </c>
      <c r="N4942" s="11">
        <v>3</v>
      </c>
      <c r="O4942" s="12">
        <v>3502.14</v>
      </c>
      <c r="P4942" s="12">
        <v>8.73</v>
      </c>
      <c r="Q4942" s="13">
        <v>-8389.4709</v>
      </c>
      <c r="R4942" s="36" t="s">
        <v>650</v>
      </c>
      <c r="S4942" s="7">
        <f t="shared" si="421"/>
        <v>1</v>
      </c>
      <c r="T4942" s="15" t="str">
        <f>VLOOKUP(R4942,产品分类!$C$2:$D$1278,2,0)</f>
        <v>家具产品</v>
      </c>
    </row>
    <row r="4943" spans="1:20">
      <c r="A4943" s="8">
        <f t="shared" si="422"/>
        <v>40196</v>
      </c>
      <c r="B4943" s="8">
        <f t="shared" si="422"/>
        <v>40196</v>
      </c>
      <c r="C4943" s="9" t="s">
        <v>1074</v>
      </c>
      <c r="D4943">
        <v>10021338233</v>
      </c>
      <c r="E4943" t="s">
        <v>47</v>
      </c>
      <c r="F4943" t="s">
        <v>61</v>
      </c>
      <c r="G4943" t="s">
        <v>62</v>
      </c>
      <c r="H4943" t="s">
        <v>2356</v>
      </c>
      <c r="I4943" t="s">
        <v>2357</v>
      </c>
      <c r="J4943" t="s">
        <v>52</v>
      </c>
      <c r="K4943" s="3">
        <v>100123598076</v>
      </c>
      <c r="L4943" s="10">
        <v>40198</v>
      </c>
      <c r="M4943">
        <v>854.9</v>
      </c>
      <c r="N4943" s="11">
        <v>25</v>
      </c>
      <c r="O4943" s="12">
        <v>34.58</v>
      </c>
      <c r="P4943" s="12">
        <v>8.99</v>
      </c>
      <c r="Q4943" s="13">
        <v>76.87</v>
      </c>
      <c r="R4943" s="36" t="s">
        <v>260</v>
      </c>
      <c r="S4943" s="7">
        <f t="shared" si="421"/>
        <v>2</v>
      </c>
      <c r="T4943" s="15" t="str">
        <f>VLOOKUP(R4943,产品分类!$C$2:$D$1278,2,0)</f>
        <v>数码电子</v>
      </c>
    </row>
    <row r="4944" spans="1:20">
      <c r="A4944" s="8">
        <f t="shared" si="422"/>
        <v>40196</v>
      </c>
      <c r="B4944" s="8">
        <f t="shared" si="422"/>
        <v>40196</v>
      </c>
      <c r="C4944" s="9" t="s">
        <v>1074</v>
      </c>
      <c r="D4944">
        <v>10021678219</v>
      </c>
      <c r="E4944" t="s">
        <v>47</v>
      </c>
      <c r="F4944" t="s">
        <v>61</v>
      </c>
      <c r="G4944" t="s">
        <v>62</v>
      </c>
      <c r="H4944" t="s">
        <v>2356</v>
      </c>
      <c r="I4944" t="s">
        <v>2357</v>
      </c>
      <c r="J4944" t="s">
        <v>52</v>
      </c>
      <c r="K4944" s="3">
        <v>100832935882</v>
      </c>
      <c r="L4944" s="10">
        <v>40198</v>
      </c>
      <c r="M4944">
        <v>389.98</v>
      </c>
      <c r="N4944" s="11">
        <v>32</v>
      </c>
      <c r="O4944" s="12">
        <v>12.21</v>
      </c>
      <c r="P4944" s="12">
        <v>4.81</v>
      </c>
      <c r="Q4944" s="13">
        <v>-14.98</v>
      </c>
      <c r="R4944" s="36" t="s">
        <v>1767</v>
      </c>
      <c r="S4944" s="7">
        <f t="shared" si="421"/>
        <v>2</v>
      </c>
      <c r="T4944" s="15" t="str">
        <f>VLOOKUP(R4944,产品分类!$C$2:$D$1278,2,0)</f>
        <v>数码电子</v>
      </c>
    </row>
    <row r="4945" spans="1:20">
      <c r="A4945" s="16">
        <f>DATE(2012,12,31)-842</f>
        <v>40432</v>
      </c>
      <c r="B4945" s="16">
        <f>DATE(2012,12,31)-842</f>
        <v>40432</v>
      </c>
      <c r="C4945" s="9" t="s">
        <v>671</v>
      </c>
      <c r="D4945">
        <v>10021294254</v>
      </c>
      <c r="E4945" t="s">
        <v>47</v>
      </c>
      <c r="F4945" t="s">
        <v>61</v>
      </c>
      <c r="G4945" t="s">
        <v>62</v>
      </c>
      <c r="H4945" t="s">
        <v>2356</v>
      </c>
      <c r="I4945" t="s">
        <v>2357</v>
      </c>
      <c r="J4945" t="s">
        <v>52</v>
      </c>
      <c r="K4945" s="3">
        <v>100312931419</v>
      </c>
      <c r="L4945" s="10">
        <v>40433</v>
      </c>
      <c r="M4945">
        <v>2046.81</v>
      </c>
      <c r="N4945" s="17">
        <v>29</v>
      </c>
      <c r="O4945" s="5">
        <v>67.28</v>
      </c>
      <c r="P4945" s="5">
        <v>19.99</v>
      </c>
      <c r="Q4945" s="6">
        <v>469.2765</v>
      </c>
      <c r="R4945" s="37" t="s">
        <v>862</v>
      </c>
      <c r="S4945" s="7">
        <f t="shared" si="421"/>
        <v>1</v>
      </c>
      <c r="T4945" s="15" t="str">
        <f>VLOOKUP(R4945,产品分类!$C$2:$D$1278,2,0)</f>
        <v>办公用品</v>
      </c>
    </row>
    <row r="4946" spans="1:20">
      <c r="A4946" s="8">
        <f>DATE(2012,12,31)-984</f>
        <v>40290</v>
      </c>
      <c r="B4946" s="8">
        <f>DATE(2012,12,31)-984</f>
        <v>40290</v>
      </c>
      <c r="C4946" s="9" t="s">
        <v>2397</v>
      </c>
      <c r="D4946">
        <v>10021318891</v>
      </c>
      <c r="E4946" t="s">
        <v>47</v>
      </c>
      <c r="F4946" t="s">
        <v>61</v>
      </c>
      <c r="G4946" t="s">
        <v>62</v>
      </c>
      <c r="H4946" t="s">
        <v>2356</v>
      </c>
      <c r="I4946" t="s">
        <v>2357</v>
      </c>
      <c r="J4946" t="s">
        <v>52</v>
      </c>
      <c r="K4946" s="3">
        <v>10017862368</v>
      </c>
      <c r="L4946" s="10">
        <v>40292</v>
      </c>
      <c r="M4946">
        <v>231.27</v>
      </c>
      <c r="N4946" s="11">
        <v>11</v>
      </c>
      <c r="O4946" s="12">
        <v>20.24</v>
      </c>
      <c r="P4946" s="12">
        <v>6.67</v>
      </c>
      <c r="Q4946" s="13">
        <v>89.29</v>
      </c>
      <c r="R4946" s="36" t="s">
        <v>1005</v>
      </c>
      <c r="S4946" s="7">
        <f t="shared" si="421"/>
        <v>2</v>
      </c>
      <c r="T4946" s="15" t="str">
        <f>VLOOKUP(R4946,产品分类!$C$2:$D$1278,2,0)</f>
        <v>办公用品</v>
      </c>
    </row>
    <row r="4947" spans="1:20">
      <c r="A4947" s="8">
        <f>DATE(2012,12,31)-293</f>
        <v>40981</v>
      </c>
      <c r="B4947" s="8">
        <f>DATE(2012,12,31)-293</f>
        <v>40981</v>
      </c>
      <c r="C4947" s="9" t="s">
        <v>2223</v>
      </c>
      <c r="D4947">
        <v>10021645702</v>
      </c>
      <c r="E4947" t="s">
        <v>47</v>
      </c>
      <c r="F4947" t="s">
        <v>61</v>
      </c>
      <c r="G4947" t="s">
        <v>62</v>
      </c>
      <c r="H4947" t="s">
        <v>2356</v>
      </c>
      <c r="I4947" t="s">
        <v>2357</v>
      </c>
      <c r="J4947" t="s">
        <v>52</v>
      </c>
      <c r="K4947" s="3">
        <v>10098209281</v>
      </c>
      <c r="L4947" s="10">
        <v>40983</v>
      </c>
      <c r="M4947">
        <v>6483.26</v>
      </c>
      <c r="N4947" s="11">
        <v>29</v>
      </c>
      <c r="O4947" s="12">
        <v>240.98</v>
      </c>
      <c r="P4947" s="12">
        <v>60.2</v>
      </c>
      <c r="Q4947" s="13">
        <v>341.98</v>
      </c>
      <c r="R4947" s="36" t="s">
        <v>1636</v>
      </c>
      <c r="S4947" s="7">
        <f t="shared" si="421"/>
        <v>2</v>
      </c>
      <c r="T4947" s="15" t="str">
        <f>VLOOKUP(R4947,产品分类!$C$2:$D$1278,2,0)</f>
        <v>家具产品</v>
      </c>
    </row>
    <row r="4948" spans="1:20">
      <c r="A4948" s="8">
        <f>DATE(2012,12,31)-293</f>
        <v>40981</v>
      </c>
      <c r="B4948" s="8">
        <f>DATE(2012,12,31)-293</f>
        <v>40981</v>
      </c>
      <c r="C4948" s="9" t="s">
        <v>2223</v>
      </c>
      <c r="D4948">
        <v>10021367781</v>
      </c>
      <c r="E4948" t="s">
        <v>47</v>
      </c>
      <c r="F4948" t="s">
        <v>61</v>
      </c>
      <c r="G4948" t="s">
        <v>62</v>
      </c>
      <c r="H4948" t="s">
        <v>2356</v>
      </c>
      <c r="I4948" t="s">
        <v>2357</v>
      </c>
      <c r="J4948" t="s">
        <v>52</v>
      </c>
      <c r="K4948" s="3">
        <v>100827853212</v>
      </c>
      <c r="L4948" s="10">
        <v>40983</v>
      </c>
      <c r="M4948">
        <v>1446.207</v>
      </c>
      <c r="N4948" s="11">
        <v>13</v>
      </c>
      <c r="O4948" s="12">
        <v>125.99</v>
      </c>
      <c r="P4948" s="12">
        <v>8.08</v>
      </c>
      <c r="Q4948" s="13">
        <v>29.556</v>
      </c>
      <c r="R4948" s="36" t="s">
        <v>190</v>
      </c>
      <c r="S4948" s="7">
        <f t="shared" si="421"/>
        <v>2</v>
      </c>
      <c r="T4948" s="15" t="str">
        <f>VLOOKUP(R4948,产品分类!$C$2:$D$1278,2,0)</f>
        <v>家具产品</v>
      </c>
    </row>
    <row r="4949" spans="1:20">
      <c r="A4949" s="8">
        <f>DATE(2012,12,31)-1425</f>
        <v>39849</v>
      </c>
      <c r="B4949" s="8">
        <f>DATE(2012,12,31)-1425</f>
        <v>39849</v>
      </c>
      <c r="C4949" s="9" t="s">
        <v>229</v>
      </c>
      <c r="D4949">
        <v>10021526343</v>
      </c>
      <c r="E4949" t="s">
        <v>47</v>
      </c>
      <c r="F4949" t="s">
        <v>61</v>
      </c>
      <c r="G4949" t="s">
        <v>62</v>
      </c>
      <c r="H4949" t="s">
        <v>2356</v>
      </c>
      <c r="I4949" t="s">
        <v>2357</v>
      </c>
      <c r="J4949" t="s">
        <v>52</v>
      </c>
      <c r="K4949" s="3">
        <v>100724102425</v>
      </c>
      <c r="L4949" s="10">
        <v>39851</v>
      </c>
      <c r="M4949">
        <v>150.24</v>
      </c>
      <c r="N4949" s="11">
        <v>15</v>
      </c>
      <c r="O4949" s="12">
        <v>9.98</v>
      </c>
      <c r="P4949" s="12">
        <v>12.52</v>
      </c>
      <c r="Q4949" s="13">
        <v>-102.93</v>
      </c>
      <c r="R4949" s="36" t="s">
        <v>2129</v>
      </c>
      <c r="S4949" s="7">
        <f t="shared" si="421"/>
        <v>2</v>
      </c>
      <c r="T4949" s="15" t="str">
        <f>VLOOKUP(R4949,产品分类!$C$2:$D$1278,2,0)</f>
        <v>家具产品</v>
      </c>
    </row>
    <row r="4950" spans="1:20">
      <c r="A4950" s="8">
        <f>DATE(2012,12,31)-941</f>
        <v>40333</v>
      </c>
      <c r="B4950" s="8">
        <f>DATE(2012,12,31)-941</f>
        <v>40333</v>
      </c>
      <c r="C4950" s="9" t="s">
        <v>158</v>
      </c>
      <c r="D4950">
        <v>10021265889</v>
      </c>
      <c r="E4950" t="s">
        <v>47</v>
      </c>
      <c r="F4950" t="s">
        <v>48</v>
      </c>
      <c r="G4950" t="s">
        <v>49</v>
      </c>
      <c r="H4950" t="s">
        <v>2183</v>
      </c>
      <c r="I4950" t="s">
        <v>2184</v>
      </c>
      <c r="J4950" t="s">
        <v>52</v>
      </c>
      <c r="K4950" s="3">
        <v>100131560357</v>
      </c>
      <c r="L4950" s="10">
        <v>40340</v>
      </c>
      <c r="M4950">
        <v>211.44</v>
      </c>
      <c r="N4950" s="11">
        <v>18</v>
      </c>
      <c r="O4950" s="12">
        <v>10.97</v>
      </c>
      <c r="P4950" s="12">
        <v>6.5</v>
      </c>
      <c r="Q4950" s="13">
        <v>-75.81</v>
      </c>
      <c r="R4950" s="36" t="s">
        <v>381</v>
      </c>
      <c r="S4950" s="7">
        <f t="shared" si="421"/>
        <v>7</v>
      </c>
      <c r="T4950" s="15" t="str">
        <f>VLOOKUP(R4950,产品分类!$C$2:$D$1278,2,0)</f>
        <v>数码电子</v>
      </c>
    </row>
    <row r="4951" spans="1:20">
      <c r="A4951" s="8">
        <f>DATE(2012,12,31)-613</f>
        <v>40661</v>
      </c>
      <c r="B4951" s="8">
        <f>DATE(2012,12,31)-613</f>
        <v>40661</v>
      </c>
      <c r="C4951" s="9" t="s">
        <v>632</v>
      </c>
      <c r="D4951">
        <v>10021264092</v>
      </c>
      <c r="E4951" t="s">
        <v>47</v>
      </c>
      <c r="F4951" t="s">
        <v>66</v>
      </c>
      <c r="G4951" t="s">
        <v>67</v>
      </c>
      <c r="H4951" t="s">
        <v>2359</v>
      </c>
      <c r="I4951" t="s">
        <v>2360</v>
      </c>
      <c r="J4951" t="s">
        <v>52</v>
      </c>
      <c r="K4951" s="3">
        <v>100730889525</v>
      </c>
      <c r="L4951" s="10">
        <v>40661</v>
      </c>
      <c r="M4951">
        <v>1403.027</v>
      </c>
      <c r="N4951" s="11">
        <v>27</v>
      </c>
      <c r="O4951" s="12">
        <v>65.99</v>
      </c>
      <c r="P4951" s="12">
        <v>5.63</v>
      </c>
      <c r="Q4951" s="13">
        <v>153.801</v>
      </c>
      <c r="R4951" s="36" t="s">
        <v>733</v>
      </c>
      <c r="S4951" s="7">
        <f t="shared" si="421"/>
        <v>0</v>
      </c>
      <c r="T4951" s="15" t="str">
        <f>VLOOKUP(R4951,产品分类!$C$2:$D$1278,2,0)</f>
        <v>家具产品</v>
      </c>
    </row>
    <row r="4952" spans="1:20">
      <c r="A4952" s="8">
        <f>DATE(2012,12,31)-415</f>
        <v>40859</v>
      </c>
      <c r="B4952" s="8">
        <f>DATE(2012,12,31)-415</f>
        <v>40859</v>
      </c>
      <c r="C4952" s="9" t="s">
        <v>1916</v>
      </c>
      <c r="D4952">
        <v>10021672373</v>
      </c>
      <c r="E4952" t="s">
        <v>47</v>
      </c>
      <c r="F4952" t="s">
        <v>97</v>
      </c>
      <c r="G4952" t="s">
        <v>98</v>
      </c>
      <c r="H4952" t="s">
        <v>99</v>
      </c>
      <c r="I4952" t="s">
        <v>98</v>
      </c>
      <c r="J4952" t="s">
        <v>52</v>
      </c>
      <c r="K4952" s="3">
        <v>100928798881</v>
      </c>
      <c r="L4952" s="10">
        <v>40860</v>
      </c>
      <c r="M4952">
        <v>109.29</v>
      </c>
      <c r="N4952" s="11">
        <v>21</v>
      </c>
      <c r="O4952" s="12">
        <v>5.28</v>
      </c>
      <c r="P4952" s="12">
        <v>6.26</v>
      </c>
      <c r="Q4952" s="13">
        <v>-77.08</v>
      </c>
      <c r="R4952" s="36" t="s">
        <v>292</v>
      </c>
      <c r="S4952" s="7">
        <f t="shared" si="421"/>
        <v>1</v>
      </c>
      <c r="T4952" s="15" t="str">
        <f>VLOOKUP(R4952,产品分类!$C$2:$D$1278,2,0)</f>
        <v>办公用品</v>
      </c>
    </row>
    <row r="4953" spans="1:20">
      <c r="A4953" s="8">
        <f>DATE(2012,12,31)-415</f>
        <v>40859</v>
      </c>
      <c r="B4953" s="8">
        <f>DATE(2012,12,31)-415</f>
        <v>40859</v>
      </c>
      <c r="C4953" s="9" t="s">
        <v>1916</v>
      </c>
      <c r="D4953">
        <v>10021265352</v>
      </c>
      <c r="E4953" t="s">
        <v>47</v>
      </c>
      <c r="F4953" t="s">
        <v>72</v>
      </c>
      <c r="G4953" t="s">
        <v>73</v>
      </c>
      <c r="H4953" t="s">
        <v>2008</v>
      </c>
      <c r="I4953" t="s">
        <v>2009</v>
      </c>
      <c r="J4953" t="s">
        <v>52</v>
      </c>
      <c r="K4953" s="3">
        <v>100431475343</v>
      </c>
      <c r="L4953" s="10">
        <v>40861</v>
      </c>
      <c r="M4953">
        <v>2257.88</v>
      </c>
      <c r="N4953" s="11">
        <v>38</v>
      </c>
      <c r="O4953" s="12">
        <v>59.76</v>
      </c>
      <c r="P4953" s="12">
        <v>9.71</v>
      </c>
      <c r="Q4953" s="13">
        <v>474.98</v>
      </c>
      <c r="R4953" s="36" t="s">
        <v>1747</v>
      </c>
      <c r="S4953" s="7">
        <f t="shared" si="421"/>
        <v>2</v>
      </c>
      <c r="T4953" s="15" t="str">
        <f>VLOOKUP(R4953,产品分类!$C$2:$D$1278,2,0)</f>
        <v>办公用品</v>
      </c>
    </row>
    <row r="4954" spans="1:20">
      <c r="A4954" s="8">
        <f t="shared" ref="A4954:B4956" si="423">DATE(2012,12,31)-763</f>
        <v>40511</v>
      </c>
      <c r="B4954" s="8">
        <f t="shared" si="423"/>
        <v>40511</v>
      </c>
      <c r="C4954" s="9" t="s">
        <v>191</v>
      </c>
      <c r="D4954">
        <v>10021338206</v>
      </c>
      <c r="E4954" t="s">
        <v>47</v>
      </c>
      <c r="F4954" t="s">
        <v>132</v>
      </c>
      <c r="G4954" t="s">
        <v>133</v>
      </c>
      <c r="H4954" t="s">
        <v>134</v>
      </c>
      <c r="I4954" t="s">
        <v>133</v>
      </c>
      <c r="J4954" t="s">
        <v>52</v>
      </c>
      <c r="K4954" s="3">
        <v>100923436381</v>
      </c>
      <c r="L4954" s="10">
        <v>40512</v>
      </c>
      <c r="M4954">
        <v>125.78</v>
      </c>
      <c r="N4954" s="11">
        <v>4</v>
      </c>
      <c r="O4954" s="12">
        <v>30.56</v>
      </c>
      <c r="P4954" s="12">
        <v>2.99</v>
      </c>
      <c r="Q4954" s="13">
        <v>8.432</v>
      </c>
      <c r="R4954" s="36" t="s">
        <v>1457</v>
      </c>
      <c r="S4954" s="7">
        <f t="shared" si="421"/>
        <v>1</v>
      </c>
      <c r="T4954" s="15" t="str">
        <f>VLOOKUP(R4954,产品分类!$C$2:$D$1278,2,0)</f>
        <v>办公用品</v>
      </c>
    </row>
    <row r="4955" spans="1:20">
      <c r="A4955" s="8">
        <f t="shared" si="423"/>
        <v>40511</v>
      </c>
      <c r="B4955" s="8">
        <f t="shared" si="423"/>
        <v>40511</v>
      </c>
      <c r="C4955" s="9" t="s">
        <v>191</v>
      </c>
      <c r="D4955">
        <v>10021586785</v>
      </c>
      <c r="E4955" t="s">
        <v>47</v>
      </c>
      <c r="F4955" t="s">
        <v>132</v>
      </c>
      <c r="G4955" t="s">
        <v>133</v>
      </c>
      <c r="H4955" t="s">
        <v>134</v>
      </c>
      <c r="I4955" t="s">
        <v>133</v>
      </c>
      <c r="J4955" t="s">
        <v>52</v>
      </c>
      <c r="K4955" s="3">
        <v>100729446195</v>
      </c>
      <c r="L4955" s="10">
        <v>40512</v>
      </c>
      <c r="M4955">
        <v>577</v>
      </c>
      <c r="N4955" s="11">
        <v>16</v>
      </c>
      <c r="O4955" s="12">
        <v>33.94</v>
      </c>
      <c r="P4955" s="12">
        <v>19.19</v>
      </c>
      <c r="Q4955" s="13">
        <v>-112.88</v>
      </c>
      <c r="R4955" s="36" t="s">
        <v>2185</v>
      </c>
      <c r="S4955" s="7">
        <f t="shared" si="421"/>
        <v>1</v>
      </c>
      <c r="T4955" s="15" t="str">
        <f>VLOOKUP(R4955,产品分类!$C$2:$D$1278,2,0)</f>
        <v>办公用品</v>
      </c>
    </row>
    <row r="4956" spans="1:20">
      <c r="A4956" s="8">
        <f t="shared" si="423"/>
        <v>40511</v>
      </c>
      <c r="B4956" s="8">
        <f t="shared" si="423"/>
        <v>40511</v>
      </c>
      <c r="C4956" s="9" t="s">
        <v>191</v>
      </c>
      <c r="D4956">
        <v>10021256295</v>
      </c>
      <c r="E4956" t="s">
        <v>47</v>
      </c>
      <c r="F4956" t="s">
        <v>171</v>
      </c>
      <c r="G4956" t="s">
        <v>172</v>
      </c>
      <c r="H4956" t="s">
        <v>2352</v>
      </c>
      <c r="I4956" t="s">
        <v>2353</v>
      </c>
      <c r="J4956" t="s">
        <v>52</v>
      </c>
      <c r="K4956" s="3">
        <v>100424939913</v>
      </c>
      <c r="L4956" s="10">
        <v>40513</v>
      </c>
      <c r="M4956">
        <v>24.53</v>
      </c>
      <c r="N4956" s="11">
        <v>2</v>
      </c>
      <c r="O4956" s="12">
        <v>9.49</v>
      </c>
      <c r="P4956" s="12">
        <v>5.76</v>
      </c>
      <c r="Q4956" s="13">
        <v>-28.1445</v>
      </c>
      <c r="R4956" s="36" t="s">
        <v>2107</v>
      </c>
      <c r="S4956" s="7">
        <f t="shared" si="421"/>
        <v>2</v>
      </c>
      <c r="T4956" s="15" t="str">
        <f>VLOOKUP(R4956,产品分类!$C$2:$D$1278,2,0)</f>
        <v>办公用品</v>
      </c>
    </row>
    <row r="4957" spans="1:20">
      <c r="A4957" s="8">
        <f>DATE(2012,12,31)-721</f>
        <v>40553</v>
      </c>
      <c r="B4957" s="8">
        <f>DATE(2012,12,31)-721</f>
        <v>40553</v>
      </c>
      <c r="C4957" s="9" t="s">
        <v>1109</v>
      </c>
      <c r="D4957">
        <v>10021360679</v>
      </c>
      <c r="E4957" t="s">
        <v>47</v>
      </c>
      <c r="F4957" t="s">
        <v>152</v>
      </c>
      <c r="G4957" t="s">
        <v>153</v>
      </c>
      <c r="H4957" t="s">
        <v>2302</v>
      </c>
      <c r="I4957" t="s">
        <v>2303</v>
      </c>
      <c r="J4957" t="s">
        <v>52</v>
      </c>
      <c r="K4957" s="3">
        <v>10046505103</v>
      </c>
      <c r="L4957" s="10">
        <v>40553</v>
      </c>
      <c r="M4957">
        <v>217.25</v>
      </c>
      <c r="N4957" s="11">
        <v>39</v>
      </c>
      <c r="O4957" s="12">
        <v>5.84</v>
      </c>
      <c r="P4957" s="12">
        <v>1.2</v>
      </c>
      <c r="Q4957" s="13">
        <v>33.5</v>
      </c>
      <c r="R4957" s="36" t="s">
        <v>1478</v>
      </c>
      <c r="S4957" s="7">
        <f t="shared" si="421"/>
        <v>0</v>
      </c>
      <c r="T4957" s="15" t="str">
        <f>VLOOKUP(R4957,产品分类!$C$2:$D$1278,2,0)</f>
        <v>办公用品</v>
      </c>
    </row>
    <row r="4958" spans="1:20">
      <c r="A4958" s="8">
        <f>DATE(2012,12,31)-721</f>
        <v>40553</v>
      </c>
      <c r="B4958" s="8">
        <f>DATE(2012,12,31)-721</f>
        <v>40553</v>
      </c>
      <c r="C4958" s="9" t="s">
        <v>1109</v>
      </c>
      <c r="D4958">
        <v>10021680286</v>
      </c>
      <c r="E4958" t="s">
        <v>47</v>
      </c>
      <c r="F4958" t="s">
        <v>72</v>
      </c>
      <c r="G4958" t="s">
        <v>73</v>
      </c>
      <c r="H4958" t="s">
        <v>2008</v>
      </c>
      <c r="I4958" t="s">
        <v>2009</v>
      </c>
      <c r="J4958" t="s">
        <v>52</v>
      </c>
      <c r="K4958" s="3">
        <v>100130832437</v>
      </c>
      <c r="L4958" s="10">
        <v>40555</v>
      </c>
      <c r="M4958">
        <v>5993.74</v>
      </c>
      <c r="N4958" s="11">
        <v>28</v>
      </c>
      <c r="O4958" s="12">
        <v>218.75</v>
      </c>
      <c r="P4958" s="12">
        <v>69.64</v>
      </c>
      <c r="Q4958" s="13">
        <v>-998.937</v>
      </c>
      <c r="R4958" s="36" t="s">
        <v>456</v>
      </c>
      <c r="S4958" s="7">
        <f t="shared" si="421"/>
        <v>2</v>
      </c>
      <c r="T4958" s="15" t="str">
        <f>VLOOKUP(R4958,产品分类!$C$2:$D$1278,2,0)</f>
        <v>办公用品</v>
      </c>
    </row>
    <row r="4959" spans="1:20">
      <c r="A4959" s="8">
        <f>DATE(2012,12,31)-889</f>
        <v>40385</v>
      </c>
      <c r="B4959" s="8">
        <f>DATE(2012,12,31)-889</f>
        <v>40385</v>
      </c>
      <c r="C4959" s="9" t="s">
        <v>225</v>
      </c>
      <c r="D4959">
        <v>10021653916</v>
      </c>
      <c r="E4959" t="s">
        <v>47</v>
      </c>
      <c r="F4959" t="s">
        <v>72</v>
      </c>
      <c r="G4959" t="s">
        <v>73</v>
      </c>
      <c r="H4959" t="s">
        <v>2398</v>
      </c>
      <c r="I4959" t="s">
        <v>2399</v>
      </c>
      <c r="J4959" t="s">
        <v>52</v>
      </c>
      <c r="K4959" s="3">
        <v>10094616491</v>
      </c>
      <c r="L4959" s="10">
        <v>40386</v>
      </c>
      <c r="M4959">
        <v>1083.4015</v>
      </c>
      <c r="N4959" s="11">
        <v>19</v>
      </c>
      <c r="O4959" s="12">
        <v>65.99</v>
      </c>
      <c r="P4959" s="12">
        <v>8.99</v>
      </c>
      <c r="Q4959" s="13">
        <v>64.53</v>
      </c>
      <c r="R4959" s="36" t="s">
        <v>730</v>
      </c>
      <c r="S4959" s="7">
        <f t="shared" si="421"/>
        <v>1</v>
      </c>
      <c r="T4959" s="15" t="str">
        <f>VLOOKUP(R4959,产品分类!$C$2:$D$1278,2,0)</f>
        <v>办公用品</v>
      </c>
    </row>
    <row r="4960" spans="1:20">
      <c r="A4960" s="8">
        <f>DATE(2012,12,31)-651</f>
        <v>40623</v>
      </c>
      <c r="B4960" s="8">
        <f>DATE(2012,12,31)-651</f>
        <v>40623</v>
      </c>
      <c r="C4960" s="9" t="s">
        <v>904</v>
      </c>
      <c r="D4960">
        <v>10021407368</v>
      </c>
      <c r="E4960" t="s">
        <v>47</v>
      </c>
      <c r="F4960" t="s">
        <v>72</v>
      </c>
      <c r="G4960" t="s">
        <v>73</v>
      </c>
      <c r="H4960" t="s">
        <v>2398</v>
      </c>
      <c r="I4960" t="s">
        <v>2399</v>
      </c>
      <c r="J4960" t="s">
        <v>52</v>
      </c>
      <c r="K4960" s="3">
        <v>100932717191</v>
      </c>
      <c r="L4960" s="10">
        <v>40625</v>
      </c>
      <c r="M4960">
        <v>407.8725</v>
      </c>
      <c r="N4960" s="11">
        <v>7</v>
      </c>
      <c r="O4960" s="12">
        <v>65.99</v>
      </c>
      <c r="P4960" s="12">
        <v>3.99</v>
      </c>
      <c r="Q4960" s="13">
        <v>-165.627</v>
      </c>
      <c r="R4960" s="36" t="s">
        <v>727</v>
      </c>
      <c r="S4960" s="7">
        <f t="shared" si="421"/>
        <v>2</v>
      </c>
      <c r="T4960" s="15" t="str">
        <f>VLOOKUP(R4960,产品分类!$C$2:$D$1278,2,0)</f>
        <v>家具产品</v>
      </c>
    </row>
    <row r="4961" spans="1:20">
      <c r="A4961" s="8">
        <f>DATE(2012,12,31)-143</f>
        <v>41131</v>
      </c>
      <c r="B4961" s="8">
        <f>DATE(2012,12,31)-143</f>
        <v>41131</v>
      </c>
      <c r="C4961" s="9" t="s">
        <v>1068</v>
      </c>
      <c r="D4961">
        <v>10021402204</v>
      </c>
      <c r="E4961" t="s">
        <v>47</v>
      </c>
      <c r="F4961" t="s">
        <v>230</v>
      </c>
      <c r="G4961" t="s">
        <v>231</v>
      </c>
      <c r="H4961" t="s">
        <v>2372</v>
      </c>
      <c r="I4961" t="s">
        <v>2373</v>
      </c>
      <c r="J4961" t="s">
        <v>52</v>
      </c>
      <c r="K4961" s="3">
        <v>100330709489</v>
      </c>
      <c r="L4961" s="10">
        <v>41133</v>
      </c>
      <c r="M4961">
        <v>4359</v>
      </c>
      <c r="N4961" s="11">
        <v>41</v>
      </c>
      <c r="O4961" s="12">
        <v>99.99</v>
      </c>
      <c r="P4961" s="12">
        <v>19.99</v>
      </c>
      <c r="Q4961" s="13">
        <v>907.67</v>
      </c>
      <c r="R4961" s="36" t="s">
        <v>532</v>
      </c>
      <c r="S4961" s="7">
        <f t="shared" si="421"/>
        <v>2</v>
      </c>
      <c r="T4961" s="15" t="str">
        <f>VLOOKUP(R4961,产品分类!$C$2:$D$1278,2,0)</f>
        <v>办公用品</v>
      </c>
    </row>
    <row r="4962" spans="1:20">
      <c r="A4962" s="16">
        <f t="shared" ref="A4962:B4964" si="424">DATE(2012,12,31)-1035</f>
        <v>40239</v>
      </c>
      <c r="B4962" s="16">
        <f t="shared" si="424"/>
        <v>40239</v>
      </c>
      <c r="C4962" s="9" t="s">
        <v>1826</v>
      </c>
      <c r="D4962">
        <v>10021647933</v>
      </c>
      <c r="E4962" t="s">
        <v>47</v>
      </c>
      <c r="F4962" t="s">
        <v>230</v>
      </c>
      <c r="G4962" t="s">
        <v>231</v>
      </c>
      <c r="H4962" t="s">
        <v>2372</v>
      </c>
      <c r="I4962" t="s">
        <v>2373</v>
      </c>
      <c r="J4962" t="s">
        <v>52</v>
      </c>
      <c r="K4962" s="3">
        <v>10039994829</v>
      </c>
      <c r="L4962" s="10">
        <v>40240</v>
      </c>
      <c r="M4962">
        <v>28.81</v>
      </c>
      <c r="N4962" s="17">
        <v>10</v>
      </c>
      <c r="O4962" s="5">
        <v>2.89</v>
      </c>
      <c r="P4962" s="5">
        <v>0.49</v>
      </c>
      <c r="Q4962" s="6">
        <v>7.15</v>
      </c>
      <c r="R4962" s="37" t="s">
        <v>925</v>
      </c>
      <c r="S4962" s="7">
        <f t="shared" si="421"/>
        <v>1</v>
      </c>
      <c r="T4962" s="15" t="str">
        <f>VLOOKUP(R4962,产品分类!$C$2:$D$1278,2,0)</f>
        <v>办公用品</v>
      </c>
    </row>
    <row r="4963" spans="1:20">
      <c r="A4963" s="8">
        <f t="shared" si="424"/>
        <v>40239</v>
      </c>
      <c r="B4963" s="8">
        <f t="shared" si="424"/>
        <v>40239</v>
      </c>
      <c r="C4963" s="9" t="s">
        <v>1826</v>
      </c>
      <c r="D4963">
        <v>10021652027</v>
      </c>
      <c r="E4963" t="s">
        <v>47</v>
      </c>
      <c r="F4963" t="s">
        <v>91</v>
      </c>
      <c r="G4963" t="s">
        <v>92</v>
      </c>
      <c r="H4963" t="s">
        <v>2053</v>
      </c>
      <c r="I4963" t="s">
        <v>2054</v>
      </c>
      <c r="J4963" t="s">
        <v>52</v>
      </c>
      <c r="K4963" s="3">
        <v>100132653047</v>
      </c>
      <c r="L4963" s="10">
        <v>40242</v>
      </c>
      <c r="M4963">
        <v>1445.6</v>
      </c>
      <c r="N4963" s="11">
        <v>35</v>
      </c>
      <c r="O4963" s="12">
        <v>41.32</v>
      </c>
      <c r="P4963" s="12">
        <v>8.66</v>
      </c>
      <c r="Q4963" s="13">
        <v>126.03</v>
      </c>
      <c r="R4963" s="36" t="s">
        <v>321</v>
      </c>
      <c r="S4963" s="7">
        <f t="shared" si="421"/>
        <v>3</v>
      </c>
      <c r="T4963" s="15" t="str">
        <f>VLOOKUP(R4963,产品分类!$C$2:$D$1278,2,0)</f>
        <v>数码电子</v>
      </c>
    </row>
    <row r="4964" spans="1:20">
      <c r="A4964" s="16">
        <f t="shared" si="424"/>
        <v>40239</v>
      </c>
      <c r="B4964" s="16">
        <f t="shared" si="424"/>
        <v>40239</v>
      </c>
      <c r="C4964" s="9" t="s">
        <v>1826</v>
      </c>
      <c r="D4964">
        <v>10021615402</v>
      </c>
      <c r="E4964" t="s">
        <v>47</v>
      </c>
      <c r="F4964" t="s">
        <v>91</v>
      </c>
      <c r="G4964" t="s">
        <v>92</v>
      </c>
      <c r="H4964" t="s">
        <v>2053</v>
      </c>
      <c r="I4964" t="s">
        <v>2054</v>
      </c>
      <c r="J4964" t="s">
        <v>52</v>
      </c>
      <c r="K4964" s="3">
        <v>100833154842</v>
      </c>
      <c r="L4964" s="10">
        <v>40240</v>
      </c>
      <c r="M4964">
        <v>119.03</v>
      </c>
      <c r="N4964" s="17">
        <v>13</v>
      </c>
      <c r="O4964" s="5">
        <v>8.95</v>
      </c>
      <c r="P4964" s="5">
        <v>2.01</v>
      </c>
      <c r="Q4964" s="6">
        <v>29.62</v>
      </c>
      <c r="R4964" s="37" t="s">
        <v>2078</v>
      </c>
      <c r="S4964" s="7">
        <f t="shared" si="421"/>
        <v>1</v>
      </c>
      <c r="T4964" s="15" t="str">
        <f>VLOOKUP(R4964,产品分类!$C$2:$D$1278,2,0)</f>
        <v>数码电子</v>
      </c>
    </row>
    <row r="4965" spans="1:20">
      <c r="A4965" s="8">
        <f>DATE(2012,12,31)-938</f>
        <v>40336</v>
      </c>
      <c r="B4965" s="8">
        <f>DATE(2012,12,31)-938</f>
        <v>40336</v>
      </c>
      <c r="C4965" s="9" t="s">
        <v>1129</v>
      </c>
      <c r="D4965">
        <v>10021572128</v>
      </c>
      <c r="E4965" t="s">
        <v>47</v>
      </c>
      <c r="F4965" t="s">
        <v>122</v>
      </c>
      <c r="G4965" t="s">
        <v>123</v>
      </c>
      <c r="H4965" t="s">
        <v>2159</v>
      </c>
      <c r="I4965" t="s">
        <v>2160</v>
      </c>
      <c r="J4965" t="s">
        <v>52</v>
      </c>
      <c r="K4965" s="3">
        <v>10099217001</v>
      </c>
      <c r="L4965" s="10">
        <v>40336</v>
      </c>
      <c r="M4965">
        <v>188.44</v>
      </c>
      <c r="N4965" s="11">
        <v>6</v>
      </c>
      <c r="O4965" s="12">
        <v>30.98</v>
      </c>
      <c r="P4965" s="12">
        <v>5.76</v>
      </c>
      <c r="Q4965" s="13">
        <v>17.57</v>
      </c>
      <c r="R4965" s="36" t="s">
        <v>751</v>
      </c>
      <c r="S4965" s="7">
        <f t="shared" si="421"/>
        <v>0</v>
      </c>
      <c r="T4965" s="15" t="str">
        <f>VLOOKUP(R4965,产品分类!$C$2:$D$1278,2,0)</f>
        <v>办公用品</v>
      </c>
    </row>
    <row r="4966" spans="1:20">
      <c r="A4966" s="8">
        <f>DATE(2012,12,31)-938</f>
        <v>40336</v>
      </c>
      <c r="B4966" s="8">
        <f>DATE(2012,12,31)-938</f>
        <v>40336</v>
      </c>
      <c r="C4966" s="9" t="s">
        <v>1129</v>
      </c>
      <c r="D4966">
        <v>10021355274</v>
      </c>
      <c r="E4966" t="s">
        <v>47</v>
      </c>
      <c r="F4966" t="s">
        <v>55</v>
      </c>
      <c r="G4966" t="s">
        <v>56</v>
      </c>
      <c r="H4966" t="s">
        <v>2331</v>
      </c>
      <c r="I4966" t="s">
        <v>2332</v>
      </c>
      <c r="J4966" t="s">
        <v>52</v>
      </c>
      <c r="K4966" s="3">
        <v>10036463849</v>
      </c>
      <c r="L4966" s="10">
        <v>40337</v>
      </c>
      <c r="M4966">
        <v>1265.497</v>
      </c>
      <c r="N4966" s="11">
        <v>13</v>
      </c>
      <c r="O4966" s="12">
        <v>125.99</v>
      </c>
      <c r="P4966" s="12">
        <v>7.69</v>
      </c>
      <c r="Q4966" s="13">
        <v>-228.184</v>
      </c>
      <c r="R4966" s="36" t="s">
        <v>999</v>
      </c>
      <c r="S4966" s="7">
        <f t="shared" si="421"/>
        <v>1</v>
      </c>
      <c r="T4966" s="15" t="str">
        <f>VLOOKUP(R4966,产品分类!$C$2:$D$1278,2,0)</f>
        <v>办公用品</v>
      </c>
    </row>
    <row r="4967" spans="1:20">
      <c r="A4967" s="8">
        <f>DATE(2012,12,31)-623</f>
        <v>40651</v>
      </c>
      <c r="B4967" s="8">
        <f>DATE(2012,12,31)-623</f>
        <v>40651</v>
      </c>
      <c r="C4967" s="9" t="s">
        <v>1595</v>
      </c>
      <c r="D4967">
        <v>10021401699</v>
      </c>
      <c r="E4967" t="s">
        <v>47</v>
      </c>
      <c r="F4967" t="s">
        <v>132</v>
      </c>
      <c r="G4967" t="s">
        <v>133</v>
      </c>
      <c r="H4967" t="s">
        <v>134</v>
      </c>
      <c r="I4967" t="s">
        <v>133</v>
      </c>
      <c r="J4967" t="s">
        <v>52</v>
      </c>
      <c r="K4967" s="3">
        <v>100131998767</v>
      </c>
      <c r="L4967" s="10">
        <v>40653</v>
      </c>
      <c r="M4967">
        <v>41.06</v>
      </c>
      <c r="N4967" s="11">
        <v>4</v>
      </c>
      <c r="O4967" s="12">
        <v>8.88</v>
      </c>
      <c r="P4967" s="12">
        <v>6.28</v>
      </c>
      <c r="Q4967" s="13">
        <v>-16.3875</v>
      </c>
      <c r="R4967" s="36" t="s">
        <v>895</v>
      </c>
      <c r="S4967" s="7">
        <f t="shared" si="421"/>
        <v>2</v>
      </c>
      <c r="T4967" s="15" t="str">
        <f>VLOOKUP(R4967,产品分类!$C$2:$D$1278,2,0)</f>
        <v>办公用品</v>
      </c>
    </row>
    <row r="4968" spans="1:20">
      <c r="A4968" s="8">
        <f>DATE(2012,12,31)-1365</f>
        <v>39909</v>
      </c>
      <c r="B4968" s="8">
        <f>DATE(2012,12,31)-1365</f>
        <v>39909</v>
      </c>
      <c r="C4968" s="9" t="s">
        <v>2369</v>
      </c>
      <c r="D4968">
        <v>10021361127</v>
      </c>
      <c r="E4968" t="s">
        <v>47</v>
      </c>
      <c r="F4968" t="s">
        <v>208</v>
      </c>
      <c r="G4968" t="s">
        <v>209</v>
      </c>
      <c r="H4968" t="s">
        <v>2300</v>
      </c>
      <c r="I4968" t="s">
        <v>2301</v>
      </c>
      <c r="J4968" t="s">
        <v>52</v>
      </c>
      <c r="K4968" s="3">
        <v>10031888799</v>
      </c>
      <c r="L4968" s="10">
        <v>39910</v>
      </c>
      <c r="M4968">
        <v>746.93</v>
      </c>
      <c r="N4968" s="11">
        <v>40</v>
      </c>
      <c r="O4968" s="12">
        <v>18.97</v>
      </c>
      <c r="P4968" s="12">
        <v>9.03</v>
      </c>
      <c r="Q4968" s="13">
        <v>67.03</v>
      </c>
      <c r="R4968" s="36" t="s">
        <v>131</v>
      </c>
      <c r="S4968" s="7">
        <f t="shared" si="421"/>
        <v>1</v>
      </c>
      <c r="T4968" s="15" t="str">
        <f>VLOOKUP(R4968,产品分类!$C$2:$D$1278,2,0)</f>
        <v>家具产品</v>
      </c>
    </row>
    <row r="4969" spans="1:20">
      <c r="A4969" s="8">
        <f>DATE(2012,12,31)-1365</f>
        <v>39909</v>
      </c>
      <c r="B4969" s="8">
        <f>DATE(2012,12,31)-1365</f>
        <v>39909</v>
      </c>
      <c r="C4969" s="9" t="s">
        <v>2369</v>
      </c>
      <c r="D4969">
        <v>10021409936</v>
      </c>
      <c r="E4969" t="s">
        <v>47</v>
      </c>
      <c r="F4969" t="s">
        <v>102</v>
      </c>
      <c r="G4969" t="s">
        <v>103</v>
      </c>
      <c r="H4969" t="s">
        <v>2400</v>
      </c>
      <c r="I4969" t="s">
        <v>2401</v>
      </c>
      <c r="J4969" t="s">
        <v>52</v>
      </c>
      <c r="K4969" s="3">
        <v>10014050687</v>
      </c>
      <c r="L4969" s="10">
        <v>39910</v>
      </c>
      <c r="M4969">
        <v>313.4</v>
      </c>
      <c r="N4969" s="11">
        <v>37</v>
      </c>
      <c r="O4969" s="12">
        <v>8.34</v>
      </c>
      <c r="P4969" s="12">
        <v>4.82</v>
      </c>
      <c r="Q4969" s="13">
        <v>-5.05</v>
      </c>
      <c r="R4969" s="36" t="s">
        <v>548</v>
      </c>
      <c r="S4969" s="7">
        <f t="shared" si="421"/>
        <v>1</v>
      </c>
      <c r="T4969" s="15" t="str">
        <f>VLOOKUP(R4969,产品分类!$C$2:$D$1278,2,0)</f>
        <v>办公用品</v>
      </c>
    </row>
    <row r="4970" spans="1:20">
      <c r="A4970" s="8">
        <f t="shared" ref="A4970:B4973" si="425">DATE(2012,12,31)-1115</f>
        <v>40159</v>
      </c>
      <c r="B4970" s="8">
        <f t="shared" si="425"/>
        <v>40159</v>
      </c>
      <c r="C4970" s="9" t="s">
        <v>849</v>
      </c>
      <c r="D4970">
        <v>10021317894</v>
      </c>
      <c r="E4970" t="s">
        <v>47</v>
      </c>
      <c r="F4970" t="s">
        <v>527</v>
      </c>
      <c r="G4970" t="s">
        <v>528</v>
      </c>
      <c r="H4970" t="s">
        <v>2385</v>
      </c>
      <c r="I4970" t="s">
        <v>2386</v>
      </c>
      <c r="J4970" t="s">
        <v>52</v>
      </c>
      <c r="K4970" s="3">
        <v>100832077902</v>
      </c>
      <c r="L4970" s="10">
        <v>40161</v>
      </c>
      <c r="M4970">
        <v>72.08</v>
      </c>
      <c r="N4970" s="11">
        <v>16</v>
      </c>
      <c r="O4970" s="12">
        <v>4.28</v>
      </c>
      <c r="P4970" s="12">
        <v>5.68</v>
      </c>
      <c r="Q4970" s="13">
        <v>-54.75</v>
      </c>
      <c r="R4970" s="36" t="s">
        <v>1614</v>
      </c>
      <c r="S4970" s="7">
        <f t="shared" si="421"/>
        <v>2</v>
      </c>
      <c r="T4970" s="15" t="str">
        <f>VLOOKUP(R4970,产品分类!$C$2:$D$1278,2,0)</f>
        <v>数码电子</v>
      </c>
    </row>
    <row r="4971" spans="1:20">
      <c r="A4971" s="8">
        <f t="shared" si="425"/>
        <v>40159</v>
      </c>
      <c r="B4971" s="8">
        <f t="shared" si="425"/>
        <v>40159</v>
      </c>
      <c r="C4971" s="9" t="s">
        <v>849</v>
      </c>
      <c r="D4971">
        <v>10021475456</v>
      </c>
      <c r="E4971" t="s">
        <v>47</v>
      </c>
      <c r="F4971" t="s">
        <v>177</v>
      </c>
      <c r="G4971" t="s">
        <v>178</v>
      </c>
      <c r="H4971" t="s">
        <v>2339</v>
      </c>
      <c r="I4971" t="s">
        <v>2340</v>
      </c>
      <c r="J4971" t="s">
        <v>52</v>
      </c>
      <c r="K4971" s="3">
        <v>100827397282</v>
      </c>
      <c r="L4971" s="10">
        <v>40161</v>
      </c>
      <c r="M4971">
        <v>10338.93</v>
      </c>
      <c r="N4971" s="11">
        <v>29</v>
      </c>
      <c r="O4971" s="12">
        <v>376.13</v>
      </c>
      <c r="P4971" s="12">
        <v>85.63</v>
      </c>
      <c r="Q4971" s="13">
        <v>-871.515</v>
      </c>
      <c r="R4971" s="36" t="s">
        <v>1213</v>
      </c>
      <c r="S4971" s="7">
        <f t="shared" si="421"/>
        <v>2</v>
      </c>
      <c r="T4971" s="15" t="str">
        <f>VLOOKUP(R4971,产品分类!$C$2:$D$1278,2,0)</f>
        <v>办公用品</v>
      </c>
    </row>
    <row r="4972" spans="1:20">
      <c r="A4972" s="8">
        <f t="shared" si="425"/>
        <v>40159</v>
      </c>
      <c r="B4972" s="8">
        <f t="shared" si="425"/>
        <v>40159</v>
      </c>
      <c r="C4972" s="9" t="s">
        <v>849</v>
      </c>
      <c r="D4972">
        <v>10021410523</v>
      </c>
      <c r="E4972" t="s">
        <v>47</v>
      </c>
      <c r="F4972" t="s">
        <v>342</v>
      </c>
      <c r="G4972" t="s">
        <v>343</v>
      </c>
      <c r="H4972" t="s">
        <v>2395</v>
      </c>
      <c r="I4972" t="s">
        <v>2396</v>
      </c>
      <c r="J4972" t="s">
        <v>52</v>
      </c>
      <c r="K4972" s="3">
        <v>100930335141</v>
      </c>
      <c r="L4972" s="10">
        <v>40160</v>
      </c>
      <c r="M4972">
        <v>15897.01</v>
      </c>
      <c r="N4972" s="11">
        <v>37</v>
      </c>
      <c r="O4972" s="12">
        <v>424.21</v>
      </c>
      <c r="P4972" s="12">
        <v>110.2</v>
      </c>
      <c r="Q4972" s="13">
        <v>455.02</v>
      </c>
      <c r="R4972" s="36" t="s">
        <v>2260</v>
      </c>
      <c r="S4972" s="7">
        <f t="shared" si="421"/>
        <v>1</v>
      </c>
      <c r="T4972" s="15" t="str">
        <f>VLOOKUP(R4972,产品分类!$C$2:$D$1278,2,0)</f>
        <v>家具产品</v>
      </c>
    </row>
    <row r="4973" spans="1:20">
      <c r="A4973" s="8">
        <f t="shared" si="425"/>
        <v>40159</v>
      </c>
      <c r="B4973" s="8">
        <f t="shared" si="425"/>
        <v>40159</v>
      </c>
      <c r="C4973" s="9" t="s">
        <v>849</v>
      </c>
      <c r="D4973">
        <v>10021572441</v>
      </c>
      <c r="E4973" t="s">
        <v>47</v>
      </c>
      <c r="F4973" t="s">
        <v>61</v>
      </c>
      <c r="G4973" t="s">
        <v>62</v>
      </c>
      <c r="H4973" t="s">
        <v>2356</v>
      </c>
      <c r="I4973" t="s">
        <v>2357</v>
      </c>
      <c r="J4973" t="s">
        <v>52</v>
      </c>
      <c r="K4973" s="3">
        <v>100330743599</v>
      </c>
      <c r="L4973" s="10">
        <v>40161</v>
      </c>
      <c r="M4973">
        <v>1265.293</v>
      </c>
      <c r="N4973" s="11">
        <v>8</v>
      </c>
      <c r="O4973" s="12">
        <v>195.99</v>
      </c>
      <c r="P4973" s="12">
        <v>8.99</v>
      </c>
      <c r="Q4973" s="13">
        <v>-554.444</v>
      </c>
      <c r="R4973" s="36" t="s">
        <v>414</v>
      </c>
      <c r="S4973" s="7">
        <f t="shared" si="421"/>
        <v>2</v>
      </c>
      <c r="T4973" s="15" t="str">
        <f>VLOOKUP(R4973,产品分类!$C$2:$D$1278,2,0)</f>
        <v>数码电子</v>
      </c>
    </row>
    <row r="4974" spans="1:20">
      <c r="A4974" s="8">
        <f>DATE(2012,12,31)-538</f>
        <v>40736</v>
      </c>
      <c r="B4974" s="8">
        <f>DATE(2012,12,31)-538</f>
        <v>40736</v>
      </c>
      <c r="C4974" s="9" t="s">
        <v>823</v>
      </c>
      <c r="D4974">
        <v>10021373644</v>
      </c>
      <c r="E4974" t="s">
        <v>47</v>
      </c>
      <c r="F4974" t="s">
        <v>61</v>
      </c>
      <c r="G4974" t="s">
        <v>62</v>
      </c>
      <c r="H4974" t="s">
        <v>2356</v>
      </c>
      <c r="I4974" t="s">
        <v>2357</v>
      </c>
      <c r="J4974" t="s">
        <v>52</v>
      </c>
      <c r="K4974" s="3">
        <v>100923669031</v>
      </c>
      <c r="L4974" s="10">
        <v>40743</v>
      </c>
      <c r="M4974">
        <v>149.31</v>
      </c>
      <c r="N4974" s="11">
        <v>23</v>
      </c>
      <c r="O4974" s="12">
        <v>6.48</v>
      </c>
      <c r="P4974" s="12">
        <v>7.81</v>
      </c>
      <c r="Q4974" s="13">
        <v>-98.42</v>
      </c>
      <c r="R4974" s="36" t="s">
        <v>2402</v>
      </c>
      <c r="S4974" s="7">
        <f t="shared" si="421"/>
        <v>7</v>
      </c>
      <c r="T4974" s="15" t="str">
        <f>VLOOKUP(R4974,产品分类!$C$2:$D$1278,2,0)</f>
        <v>数码电子</v>
      </c>
    </row>
    <row r="4975" spans="1:20">
      <c r="A4975" s="16">
        <f>DATE(2012,12,31)-312</f>
        <v>40962</v>
      </c>
      <c r="B4975" s="16">
        <f>DATE(2012,12,31)-312</f>
        <v>40962</v>
      </c>
      <c r="C4975" s="9" t="s">
        <v>1930</v>
      </c>
      <c r="D4975">
        <v>10021271708</v>
      </c>
      <c r="E4975" t="s">
        <v>47</v>
      </c>
      <c r="F4975" t="s">
        <v>61</v>
      </c>
      <c r="G4975" t="s">
        <v>62</v>
      </c>
      <c r="H4975" t="s">
        <v>2356</v>
      </c>
      <c r="I4975" t="s">
        <v>2357</v>
      </c>
      <c r="J4975" t="s">
        <v>52</v>
      </c>
      <c r="K4975" s="3">
        <v>10035923489</v>
      </c>
      <c r="L4975" s="10">
        <v>40962</v>
      </c>
      <c r="M4975">
        <v>70.88</v>
      </c>
      <c r="N4975" s="17">
        <v>9</v>
      </c>
      <c r="O4975" s="5">
        <v>6.48</v>
      </c>
      <c r="P4975" s="5">
        <v>9.68</v>
      </c>
      <c r="Q4975" s="6">
        <v>-50.2</v>
      </c>
      <c r="R4975" s="37" t="s">
        <v>1905</v>
      </c>
      <c r="S4975" s="7">
        <f t="shared" si="421"/>
        <v>0</v>
      </c>
      <c r="T4975" s="15" t="str">
        <f>VLOOKUP(R4975,产品分类!$C$2:$D$1278,2,0)</f>
        <v>数码电子</v>
      </c>
    </row>
    <row r="4976" spans="1:20">
      <c r="A4976" s="8">
        <f>DATE(2012,12,31)-710</f>
        <v>40564</v>
      </c>
      <c r="B4976" s="8">
        <f>DATE(2012,12,31)-710</f>
        <v>40564</v>
      </c>
      <c r="C4976" s="9" t="s">
        <v>2403</v>
      </c>
      <c r="D4976">
        <v>10021488353</v>
      </c>
      <c r="E4976" t="s">
        <v>47</v>
      </c>
      <c r="F4976" t="s">
        <v>61</v>
      </c>
      <c r="G4976" t="s">
        <v>62</v>
      </c>
      <c r="H4976" t="s">
        <v>2356</v>
      </c>
      <c r="I4976" t="s">
        <v>2357</v>
      </c>
      <c r="J4976" t="s">
        <v>52</v>
      </c>
      <c r="K4976" s="3">
        <v>100432480373</v>
      </c>
      <c r="L4976" s="10">
        <v>40566</v>
      </c>
      <c r="M4976">
        <v>188.38</v>
      </c>
      <c r="N4976" s="11">
        <v>38</v>
      </c>
      <c r="O4976" s="12">
        <v>4.91</v>
      </c>
      <c r="P4976" s="12">
        <v>5.68</v>
      </c>
      <c r="Q4976" s="13">
        <v>-120.1175</v>
      </c>
      <c r="R4976" s="36" t="s">
        <v>1350</v>
      </c>
      <c r="S4976" s="7">
        <f t="shared" si="421"/>
        <v>2</v>
      </c>
      <c r="T4976" s="15" t="str">
        <f>VLOOKUP(R4976,产品分类!$C$2:$D$1278,2,0)</f>
        <v>办公用品</v>
      </c>
    </row>
    <row r="4977" spans="1:20">
      <c r="A4977" s="8">
        <f>DATE(2012,12,31)-1009</f>
        <v>40265</v>
      </c>
      <c r="B4977" s="8">
        <f>DATE(2012,12,31)-1009</f>
        <v>40265</v>
      </c>
      <c r="C4977" s="9" t="s">
        <v>1868</v>
      </c>
      <c r="D4977">
        <v>10021317611</v>
      </c>
      <c r="E4977" t="s">
        <v>47</v>
      </c>
      <c r="F4977" t="s">
        <v>277</v>
      </c>
      <c r="G4977" t="s">
        <v>278</v>
      </c>
      <c r="H4977" t="s">
        <v>279</v>
      </c>
      <c r="I4977" t="s">
        <v>280</v>
      </c>
      <c r="J4977" t="s">
        <v>52</v>
      </c>
      <c r="K4977" s="3">
        <v>100911858161</v>
      </c>
      <c r="L4977" s="10">
        <v>40267</v>
      </c>
      <c r="M4977">
        <v>100.34</v>
      </c>
      <c r="N4977" s="11">
        <v>25</v>
      </c>
      <c r="O4977" s="12">
        <v>3.58</v>
      </c>
      <c r="P4977" s="12">
        <v>5.47</v>
      </c>
      <c r="Q4977" s="13">
        <v>-88.1935</v>
      </c>
      <c r="R4977" s="36" t="s">
        <v>320</v>
      </c>
      <c r="S4977" s="7">
        <f t="shared" si="421"/>
        <v>2</v>
      </c>
      <c r="T4977" s="15" t="str">
        <f>VLOOKUP(R4977,产品分类!$C$2:$D$1278,2,0)</f>
        <v>办公用品</v>
      </c>
    </row>
    <row r="4978" spans="1:20">
      <c r="A4978" s="8">
        <f>DATE(2012,12,31)-1009</f>
        <v>40265</v>
      </c>
      <c r="B4978" s="8">
        <f>DATE(2012,12,31)-1009</f>
        <v>40265</v>
      </c>
      <c r="C4978" s="9" t="s">
        <v>1868</v>
      </c>
      <c r="D4978">
        <v>10021394041</v>
      </c>
      <c r="E4978" t="s">
        <v>47</v>
      </c>
      <c r="F4978" t="s">
        <v>122</v>
      </c>
      <c r="G4978" t="s">
        <v>123</v>
      </c>
      <c r="H4978" t="s">
        <v>2159</v>
      </c>
      <c r="I4978" t="s">
        <v>2160</v>
      </c>
      <c r="J4978" t="s">
        <v>52</v>
      </c>
      <c r="K4978" s="3">
        <v>100730979075</v>
      </c>
      <c r="L4978" s="10">
        <v>40267</v>
      </c>
      <c r="M4978">
        <v>75.68</v>
      </c>
      <c r="N4978" s="11">
        <v>45</v>
      </c>
      <c r="O4978" s="12">
        <v>1.81</v>
      </c>
      <c r="P4978" s="12">
        <v>0.75</v>
      </c>
      <c r="Q4978" s="13">
        <v>-4.04</v>
      </c>
      <c r="R4978" s="36" t="s">
        <v>1253</v>
      </c>
      <c r="S4978" s="7">
        <f t="shared" si="421"/>
        <v>2</v>
      </c>
      <c r="T4978" s="15" t="str">
        <f>VLOOKUP(R4978,产品分类!$C$2:$D$1278,2,0)</f>
        <v>办公用品</v>
      </c>
    </row>
    <row r="4979" spans="1:20">
      <c r="A4979" s="8">
        <f>DATE(2012,12,31)-820</f>
        <v>40454</v>
      </c>
      <c r="B4979" s="8">
        <f>DATE(2012,12,31)-820</f>
        <v>40454</v>
      </c>
      <c r="C4979" s="9" t="s">
        <v>382</v>
      </c>
      <c r="D4979">
        <v>10021401678</v>
      </c>
      <c r="E4979" t="s">
        <v>47</v>
      </c>
      <c r="F4979" t="s">
        <v>61</v>
      </c>
      <c r="G4979" t="s">
        <v>62</v>
      </c>
      <c r="H4979" t="s">
        <v>2356</v>
      </c>
      <c r="I4979" t="s">
        <v>2357</v>
      </c>
      <c r="J4979" t="s">
        <v>52</v>
      </c>
      <c r="K4979" s="3">
        <v>100323461789</v>
      </c>
      <c r="L4979" s="10">
        <v>40455</v>
      </c>
      <c r="M4979">
        <v>53.01</v>
      </c>
      <c r="N4979" s="11">
        <v>5</v>
      </c>
      <c r="O4979" s="12">
        <v>10.31</v>
      </c>
      <c r="P4979" s="12">
        <v>1.79</v>
      </c>
      <c r="Q4979" s="13">
        <v>3.85</v>
      </c>
      <c r="R4979" s="36" t="s">
        <v>1059</v>
      </c>
      <c r="S4979" s="7">
        <f t="shared" si="421"/>
        <v>1</v>
      </c>
      <c r="T4979" s="15" t="str">
        <f>VLOOKUP(R4979,产品分类!$C$2:$D$1278,2,0)</f>
        <v>办公用品</v>
      </c>
    </row>
    <row r="4980" spans="1:20">
      <c r="A4980" s="8">
        <f t="shared" ref="A4980:B4982" si="426">DATE(2012,12,31)-1012</f>
        <v>40262</v>
      </c>
      <c r="B4980" s="8">
        <f t="shared" si="426"/>
        <v>40262</v>
      </c>
      <c r="C4980" s="9" t="s">
        <v>193</v>
      </c>
      <c r="D4980">
        <v>10021331032</v>
      </c>
      <c r="E4980" t="s">
        <v>47</v>
      </c>
      <c r="F4980" t="s">
        <v>97</v>
      </c>
      <c r="G4980" t="s">
        <v>98</v>
      </c>
      <c r="H4980" t="s">
        <v>99</v>
      </c>
      <c r="I4980" t="s">
        <v>98</v>
      </c>
      <c r="J4980" t="s">
        <v>52</v>
      </c>
      <c r="K4980" s="3">
        <v>1004453233</v>
      </c>
      <c r="L4980" s="10">
        <v>40269</v>
      </c>
      <c r="M4980">
        <v>1835.84</v>
      </c>
      <c r="N4980" s="11">
        <v>16</v>
      </c>
      <c r="O4980" s="12">
        <v>110.98</v>
      </c>
      <c r="P4980" s="12">
        <v>13.99</v>
      </c>
      <c r="Q4980" s="13">
        <v>608.74</v>
      </c>
      <c r="R4980" s="36" t="s">
        <v>422</v>
      </c>
      <c r="S4980" s="7">
        <f t="shared" si="421"/>
        <v>7</v>
      </c>
      <c r="T4980" s="15" t="str">
        <f>VLOOKUP(R4980,产品分类!$C$2:$D$1278,2,0)</f>
        <v>数码电子</v>
      </c>
    </row>
    <row r="4981" spans="1:20">
      <c r="A4981" s="16">
        <f t="shared" si="426"/>
        <v>40262</v>
      </c>
      <c r="B4981" s="16">
        <f t="shared" si="426"/>
        <v>40262</v>
      </c>
      <c r="C4981" s="9" t="s">
        <v>193</v>
      </c>
      <c r="D4981">
        <v>10021540314</v>
      </c>
      <c r="E4981" t="s">
        <v>47</v>
      </c>
      <c r="F4981" t="s">
        <v>97</v>
      </c>
      <c r="G4981" t="s">
        <v>98</v>
      </c>
      <c r="H4981" t="s">
        <v>99</v>
      </c>
      <c r="I4981" t="s">
        <v>98</v>
      </c>
      <c r="J4981" t="s">
        <v>52</v>
      </c>
      <c r="K4981" s="3">
        <v>100315379429</v>
      </c>
      <c r="L4981" s="10">
        <v>40266</v>
      </c>
      <c r="M4981">
        <v>133.43</v>
      </c>
      <c r="N4981" s="17">
        <v>48</v>
      </c>
      <c r="O4981" s="5">
        <v>2.84</v>
      </c>
      <c r="P4981" s="5">
        <v>0.93</v>
      </c>
      <c r="Q4981" s="6">
        <v>9.5</v>
      </c>
      <c r="R4981" s="37" t="s">
        <v>544</v>
      </c>
      <c r="S4981" s="7">
        <f t="shared" si="421"/>
        <v>4</v>
      </c>
      <c r="T4981" s="15" t="str">
        <f>VLOOKUP(R4981,产品分类!$C$2:$D$1278,2,0)</f>
        <v>办公用品</v>
      </c>
    </row>
    <row r="4982" spans="1:20">
      <c r="A4982" s="8">
        <f t="shared" si="426"/>
        <v>40262</v>
      </c>
      <c r="B4982" s="8">
        <f t="shared" si="426"/>
        <v>40262</v>
      </c>
      <c r="C4982" s="9" t="s">
        <v>193</v>
      </c>
      <c r="D4982">
        <v>10021336836</v>
      </c>
      <c r="E4982" t="s">
        <v>47</v>
      </c>
      <c r="F4982" t="s">
        <v>66</v>
      </c>
      <c r="G4982" t="s">
        <v>67</v>
      </c>
      <c r="H4982" t="s">
        <v>2359</v>
      </c>
      <c r="I4982" t="s">
        <v>2360</v>
      </c>
      <c r="J4982" t="s">
        <v>52</v>
      </c>
      <c r="K4982" s="3">
        <v>100420781534</v>
      </c>
      <c r="L4982" s="10">
        <v>40264</v>
      </c>
      <c r="M4982">
        <v>1655.3665</v>
      </c>
      <c r="N4982" s="11">
        <v>31</v>
      </c>
      <c r="O4982" s="12">
        <v>65.99</v>
      </c>
      <c r="P4982" s="12">
        <v>8.99</v>
      </c>
      <c r="Q4982" s="13">
        <v>173.934</v>
      </c>
      <c r="R4982" s="36" t="s">
        <v>730</v>
      </c>
      <c r="S4982" s="7">
        <f t="shared" si="421"/>
        <v>2</v>
      </c>
      <c r="T4982" s="15" t="str">
        <f>VLOOKUP(R4982,产品分类!$C$2:$D$1278,2,0)</f>
        <v>办公用品</v>
      </c>
    </row>
    <row r="4983" spans="1:20">
      <c r="A4983" s="8">
        <f>DATE(2012,12,31)-60</f>
        <v>41214</v>
      </c>
      <c r="B4983" s="8">
        <f>DATE(2012,12,31)-60</f>
        <v>41214</v>
      </c>
      <c r="C4983" s="9" t="s">
        <v>697</v>
      </c>
      <c r="D4983">
        <v>10021460173</v>
      </c>
      <c r="E4983" t="s">
        <v>47</v>
      </c>
      <c r="F4983" t="s">
        <v>66</v>
      </c>
      <c r="G4983" t="s">
        <v>67</v>
      </c>
      <c r="H4983" t="s">
        <v>2359</v>
      </c>
      <c r="I4983" t="s">
        <v>2360</v>
      </c>
      <c r="J4983" t="s">
        <v>52</v>
      </c>
      <c r="K4983" s="3">
        <v>10079581665</v>
      </c>
      <c r="L4983" s="10">
        <v>41216</v>
      </c>
      <c r="M4983">
        <v>46.37</v>
      </c>
      <c r="N4983" s="11">
        <v>37</v>
      </c>
      <c r="O4983" s="12">
        <v>1.26</v>
      </c>
      <c r="P4983" s="12">
        <v>0.7</v>
      </c>
      <c r="Q4983" s="13">
        <v>-19.81</v>
      </c>
      <c r="R4983" s="36" t="s">
        <v>339</v>
      </c>
      <c r="S4983" s="7">
        <f t="shared" si="421"/>
        <v>2</v>
      </c>
      <c r="T4983" s="15" t="str">
        <f>VLOOKUP(R4983,产品分类!$C$2:$D$1278,2,0)</f>
        <v>数码电子</v>
      </c>
    </row>
    <row r="4984" spans="1:20">
      <c r="A4984" s="16">
        <f>DATE(2012,12,31)-1120</f>
        <v>40154</v>
      </c>
      <c r="B4984" s="16">
        <f>DATE(2012,12,31)-1120</f>
        <v>40154</v>
      </c>
      <c r="C4984" s="9" t="s">
        <v>1282</v>
      </c>
      <c r="D4984">
        <v>10021395971</v>
      </c>
      <c r="E4984" t="s">
        <v>47</v>
      </c>
      <c r="F4984" t="s">
        <v>152</v>
      </c>
      <c r="G4984" t="s">
        <v>153</v>
      </c>
      <c r="H4984" t="s">
        <v>2302</v>
      </c>
      <c r="I4984" t="s">
        <v>2303</v>
      </c>
      <c r="J4984" t="s">
        <v>52</v>
      </c>
      <c r="K4984" s="3">
        <v>100415880594</v>
      </c>
      <c r="L4984" s="10">
        <v>40161</v>
      </c>
      <c r="M4984">
        <v>3286.27</v>
      </c>
      <c r="N4984" s="17">
        <v>45</v>
      </c>
      <c r="O4984" s="5">
        <v>70.97</v>
      </c>
      <c r="P4984" s="5">
        <v>3.5</v>
      </c>
      <c r="Q4984" s="6">
        <v>1102.58</v>
      </c>
      <c r="R4984" s="37" t="s">
        <v>365</v>
      </c>
      <c r="S4984" s="7">
        <f t="shared" si="421"/>
        <v>7</v>
      </c>
      <c r="T4984" s="15" t="str">
        <f>VLOOKUP(R4984,产品分类!$C$2:$D$1278,2,0)</f>
        <v>数码电子</v>
      </c>
    </row>
    <row r="4985" spans="1:20">
      <c r="A4985" s="8">
        <f>DATE(2012,12,31)-1309</f>
        <v>39965</v>
      </c>
      <c r="B4985" s="8">
        <f>DATE(2012,12,31)-1309</f>
        <v>39965</v>
      </c>
      <c r="C4985" s="9" t="s">
        <v>2404</v>
      </c>
      <c r="D4985">
        <v>10021365214</v>
      </c>
      <c r="E4985" t="s">
        <v>47</v>
      </c>
      <c r="F4985" t="s">
        <v>152</v>
      </c>
      <c r="G4985" t="s">
        <v>153</v>
      </c>
      <c r="H4985" t="s">
        <v>2302</v>
      </c>
      <c r="I4985" t="s">
        <v>2303</v>
      </c>
      <c r="J4985" t="s">
        <v>52</v>
      </c>
      <c r="K4985" s="3">
        <v>100421396144</v>
      </c>
      <c r="L4985" s="10">
        <v>39965</v>
      </c>
      <c r="M4985">
        <v>48.75</v>
      </c>
      <c r="N4985" s="11">
        <v>11</v>
      </c>
      <c r="O4985" s="12">
        <v>4.49</v>
      </c>
      <c r="P4985" s="12">
        <v>1.49</v>
      </c>
      <c r="Q4985" s="13">
        <v>3.502</v>
      </c>
      <c r="R4985" s="36" t="s">
        <v>2405</v>
      </c>
      <c r="S4985" s="7">
        <f t="shared" si="421"/>
        <v>0</v>
      </c>
      <c r="T4985" s="15" t="str">
        <f>VLOOKUP(R4985,产品分类!$C$2:$D$1278,2,0)</f>
        <v>家具产品</v>
      </c>
    </row>
    <row r="4986" spans="1:20">
      <c r="A4986" s="8">
        <f>DATE(2012,12,31)-1309</f>
        <v>39965</v>
      </c>
      <c r="B4986" s="8">
        <f>DATE(2012,12,31)-1309</f>
        <v>39965</v>
      </c>
      <c r="C4986" s="9" t="s">
        <v>2404</v>
      </c>
      <c r="D4986">
        <v>10021620637</v>
      </c>
      <c r="E4986" t="s">
        <v>47</v>
      </c>
      <c r="F4986" t="s">
        <v>152</v>
      </c>
      <c r="G4986" t="s">
        <v>153</v>
      </c>
      <c r="H4986" t="s">
        <v>2302</v>
      </c>
      <c r="I4986" t="s">
        <v>2303</v>
      </c>
      <c r="J4986" t="s">
        <v>52</v>
      </c>
      <c r="K4986" s="3">
        <v>10086307752</v>
      </c>
      <c r="L4986" s="10">
        <v>39966</v>
      </c>
      <c r="M4986">
        <v>112.6</v>
      </c>
      <c r="N4986" s="11">
        <v>30</v>
      </c>
      <c r="O4986" s="12">
        <v>3.68</v>
      </c>
      <c r="P4986" s="12">
        <v>1.32</v>
      </c>
      <c r="Q4986" s="13">
        <v>-25.99</v>
      </c>
      <c r="R4986" s="36" t="s">
        <v>1061</v>
      </c>
      <c r="S4986" s="7">
        <f t="shared" si="421"/>
        <v>1</v>
      </c>
      <c r="T4986" s="15" t="str">
        <f>VLOOKUP(R4986,产品分类!$C$2:$D$1278,2,0)</f>
        <v>办公用品</v>
      </c>
    </row>
    <row r="4987" spans="1:20">
      <c r="A4987" s="8">
        <f>DATE(2012,12,31)-755</f>
        <v>40519</v>
      </c>
      <c r="B4987" s="8">
        <f>DATE(2012,12,31)-755</f>
        <v>40519</v>
      </c>
      <c r="C4987" s="9" t="s">
        <v>2203</v>
      </c>
      <c r="D4987">
        <v>10021657028</v>
      </c>
      <c r="E4987" t="s">
        <v>47</v>
      </c>
      <c r="F4987" t="s">
        <v>97</v>
      </c>
      <c r="G4987" t="s">
        <v>98</v>
      </c>
      <c r="H4987" t="s">
        <v>99</v>
      </c>
      <c r="I4987" t="s">
        <v>98</v>
      </c>
      <c r="J4987" t="s">
        <v>52</v>
      </c>
      <c r="K4987" s="3">
        <v>10015028096</v>
      </c>
      <c r="L4987" s="10">
        <v>40521</v>
      </c>
      <c r="M4987">
        <v>44.64</v>
      </c>
      <c r="N4987" s="11">
        <v>7</v>
      </c>
      <c r="O4987" s="12">
        <v>5.84</v>
      </c>
      <c r="P4987" s="12">
        <v>1.2</v>
      </c>
      <c r="Q4987" s="13">
        <v>2.08</v>
      </c>
      <c r="R4987" s="36" t="s">
        <v>1478</v>
      </c>
      <c r="S4987" s="7">
        <f t="shared" si="421"/>
        <v>2</v>
      </c>
      <c r="T4987" s="15" t="str">
        <f>VLOOKUP(R4987,产品分类!$C$2:$D$1278,2,0)</f>
        <v>办公用品</v>
      </c>
    </row>
    <row r="4988" spans="1:20">
      <c r="A4988" s="8">
        <f>DATE(2012,12,31)-755</f>
        <v>40519</v>
      </c>
      <c r="B4988" s="8">
        <f>DATE(2012,12,31)-755</f>
        <v>40519</v>
      </c>
      <c r="C4988" s="9" t="s">
        <v>2203</v>
      </c>
      <c r="D4988">
        <v>10021257255</v>
      </c>
      <c r="E4988" t="s">
        <v>47</v>
      </c>
      <c r="F4988" t="s">
        <v>152</v>
      </c>
      <c r="G4988" t="s">
        <v>153</v>
      </c>
      <c r="H4988" t="s">
        <v>2302</v>
      </c>
      <c r="I4988" t="s">
        <v>2303</v>
      </c>
      <c r="J4988" t="s">
        <v>52</v>
      </c>
      <c r="K4988" s="3">
        <v>100325519279</v>
      </c>
      <c r="L4988" s="10">
        <v>40521</v>
      </c>
      <c r="M4988">
        <v>1289.62</v>
      </c>
      <c r="N4988" s="11">
        <v>41</v>
      </c>
      <c r="O4988" s="12">
        <v>35.99</v>
      </c>
      <c r="P4988" s="12">
        <v>1.1</v>
      </c>
      <c r="Q4988" s="13">
        <v>432.522</v>
      </c>
      <c r="R4988" s="36" t="s">
        <v>537</v>
      </c>
      <c r="S4988" s="7">
        <f t="shared" si="421"/>
        <v>2</v>
      </c>
      <c r="T4988" s="15" t="str">
        <f>VLOOKUP(R4988,产品分类!$C$2:$D$1278,2,0)</f>
        <v>办公用品</v>
      </c>
    </row>
    <row r="4989" spans="1:20">
      <c r="A4989" s="8">
        <f>DATE(2012,12,31)-325</f>
        <v>40949</v>
      </c>
      <c r="B4989" s="8">
        <f>DATE(2012,12,31)-325</f>
        <v>40949</v>
      </c>
      <c r="C4989" s="9" t="s">
        <v>1964</v>
      </c>
      <c r="D4989">
        <v>10021250688</v>
      </c>
      <c r="E4989" t="s">
        <v>47</v>
      </c>
      <c r="F4989" t="s">
        <v>152</v>
      </c>
      <c r="G4989" t="s">
        <v>153</v>
      </c>
      <c r="H4989" t="s">
        <v>2302</v>
      </c>
      <c r="I4989" t="s">
        <v>2303</v>
      </c>
      <c r="J4989" t="s">
        <v>52</v>
      </c>
      <c r="K4989" s="3">
        <v>100914246111</v>
      </c>
      <c r="L4989" s="10">
        <v>40951</v>
      </c>
      <c r="M4989">
        <v>455.93</v>
      </c>
      <c r="N4989" s="11">
        <v>36</v>
      </c>
      <c r="O4989" s="12">
        <v>12.64</v>
      </c>
      <c r="P4989" s="12">
        <v>4.98</v>
      </c>
      <c r="Q4989" s="13">
        <v>83.51</v>
      </c>
      <c r="R4989" s="36" t="s">
        <v>181</v>
      </c>
      <c r="S4989" s="7">
        <f t="shared" si="421"/>
        <v>2</v>
      </c>
      <c r="T4989" s="15" t="str">
        <f>VLOOKUP(R4989,产品分类!$C$2:$D$1278,2,0)</f>
        <v>数码电子</v>
      </c>
    </row>
    <row r="4990" spans="1:20">
      <c r="A4990" s="8">
        <f>DATE(2012,12,31)-686</f>
        <v>40588</v>
      </c>
      <c r="B4990" s="8">
        <f>DATE(2012,12,31)-686</f>
        <v>40588</v>
      </c>
      <c r="C4990" s="9" t="s">
        <v>1604</v>
      </c>
      <c r="D4990">
        <v>10021658729</v>
      </c>
      <c r="E4990" t="s">
        <v>47</v>
      </c>
      <c r="F4990" t="s">
        <v>152</v>
      </c>
      <c r="G4990" t="s">
        <v>153</v>
      </c>
      <c r="H4990" t="s">
        <v>2302</v>
      </c>
      <c r="I4990" t="s">
        <v>2303</v>
      </c>
      <c r="J4990" t="s">
        <v>52</v>
      </c>
      <c r="K4990" s="3">
        <v>100410566354</v>
      </c>
      <c r="L4990" s="10">
        <v>40589</v>
      </c>
      <c r="M4990">
        <v>1731.104</v>
      </c>
      <c r="N4990" s="11">
        <v>18</v>
      </c>
      <c r="O4990" s="12">
        <v>111.96</v>
      </c>
      <c r="P4990" s="12">
        <v>69</v>
      </c>
      <c r="Q4990" s="13">
        <v>-270.573732</v>
      </c>
      <c r="R4990" s="36" t="s">
        <v>1834</v>
      </c>
      <c r="S4990" s="7">
        <f t="shared" si="421"/>
        <v>1</v>
      </c>
      <c r="T4990" s="15" t="str">
        <f>VLOOKUP(R4990,产品分类!$C$2:$D$1278,2,0)</f>
        <v>家具产品</v>
      </c>
    </row>
    <row r="4991" spans="1:20">
      <c r="A4991" s="8">
        <f>DATE(2012,12,31)-798</f>
        <v>40476</v>
      </c>
      <c r="B4991" s="8">
        <f>DATE(2012,12,31)-798</f>
        <v>40476</v>
      </c>
      <c r="C4991" s="9" t="s">
        <v>832</v>
      </c>
      <c r="D4991">
        <v>10021261233</v>
      </c>
      <c r="E4991" t="s">
        <v>47</v>
      </c>
      <c r="F4991" t="s">
        <v>66</v>
      </c>
      <c r="G4991" t="s">
        <v>67</v>
      </c>
      <c r="H4991" t="s">
        <v>2359</v>
      </c>
      <c r="I4991" t="s">
        <v>2360</v>
      </c>
      <c r="J4991" t="s">
        <v>52</v>
      </c>
      <c r="K4991" s="3">
        <v>100829227422</v>
      </c>
      <c r="L4991" s="10">
        <v>40483</v>
      </c>
      <c r="M4991">
        <v>2575.01</v>
      </c>
      <c r="N4991" s="11">
        <v>27</v>
      </c>
      <c r="O4991" s="12">
        <v>99.99</v>
      </c>
      <c r="P4991" s="12">
        <v>19.99</v>
      </c>
      <c r="Q4991" s="13">
        <v>231.46</v>
      </c>
      <c r="R4991" s="36" t="s">
        <v>532</v>
      </c>
      <c r="S4991" s="7">
        <f t="shared" si="421"/>
        <v>7</v>
      </c>
      <c r="T4991" s="15" t="str">
        <f>VLOOKUP(R4991,产品分类!$C$2:$D$1278,2,0)</f>
        <v>办公用品</v>
      </c>
    </row>
    <row r="4992" spans="1:20">
      <c r="A4992" s="8">
        <f>DATE(2012,12,31)-98</f>
        <v>41176</v>
      </c>
      <c r="B4992" s="8">
        <f>DATE(2012,12,31)-98</f>
        <v>41176</v>
      </c>
      <c r="C4992" s="9" t="s">
        <v>1348</v>
      </c>
      <c r="D4992">
        <v>10021494464</v>
      </c>
      <c r="E4992" t="s">
        <v>47</v>
      </c>
      <c r="F4992" t="s">
        <v>48</v>
      </c>
      <c r="G4992" t="s">
        <v>49</v>
      </c>
      <c r="H4992" t="s">
        <v>2183</v>
      </c>
      <c r="I4992" t="s">
        <v>2184</v>
      </c>
      <c r="J4992" t="s">
        <v>52</v>
      </c>
      <c r="K4992" s="3">
        <v>10075641815</v>
      </c>
      <c r="L4992" s="10">
        <v>41178</v>
      </c>
      <c r="M4992">
        <v>4581.54</v>
      </c>
      <c r="N4992" s="11">
        <v>34</v>
      </c>
      <c r="O4992" s="12">
        <v>130.98</v>
      </c>
      <c r="P4992" s="12">
        <v>54.74</v>
      </c>
      <c r="Q4992" s="13">
        <v>-614.37</v>
      </c>
      <c r="R4992" s="36" t="s">
        <v>142</v>
      </c>
      <c r="S4992" s="7">
        <f t="shared" si="421"/>
        <v>2</v>
      </c>
      <c r="T4992" s="15" t="str">
        <f>VLOOKUP(R4992,产品分类!$C$2:$D$1278,2,0)</f>
        <v>数码电子</v>
      </c>
    </row>
    <row r="4993" spans="1:20">
      <c r="A4993" s="8">
        <f t="shared" ref="A4993:B4995" si="427">DATE(2012,12,31)-668</f>
        <v>40606</v>
      </c>
      <c r="B4993" s="8">
        <f t="shared" si="427"/>
        <v>40606</v>
      </c>
      <c r="C4993" s="9" t="s">
        <v>818</v>
      </c>
      <c r="D4993">
        <v>10021660300</v>
      </c>
      <c r="E4993" t="s">
        <v>47</v>
      </c>
      <c r="F4993" t="s">
        <v>97</v>
      </c>
      <c r="G4993" t="s">
        <v>98</v>
      </c>
      <c r="H4993" t="s">
        <v>99</v>
      </c>
      <c r="I4993" t="s">
        <v>98</v>
      </c>
      <c r="J4993" t="s">
        <v>52</v>
      </c>
      <c r="K4993" s="3">
        <v>10085355372</v>
      </c>
      <c r="L4993" s="10">
        <v>40607</v>
      </c>
      <c r="M4993">
        <v>11266.4</v>
      </c>
      <c r="N4993" s="11">
        <v>50</v>
      </c>
      <c r="O4993" s="12">
        <v>243.98</v>
      </c>
      <c r="P4993" s="12">
        <v>43.32</v>
      </c>
      <c r="Q4993" s="13">
        <v>1902.99</v>
      </c>
      <c r="R4993" s="36" t="s">
        <v>704</v>
      </c>
      <c r="S4993" s="7">
        <f t="shared" si="421"/>
        <v>1</v>
      </c>
      <c r="T4993" s="15" t="str">
        <f>VLOOKUP(R4993,产品分类!$C$2:$D$1278,2,0)</f>
        <v>数码电子</v>
      </c>
    </row>
    <row r="4994" spans="1:20">
      <c r="A4994" s="8">
        <f t="shared" si="427"/>
        <v>40606</v>
      </c>
      <c r="B4994" s="8">
        <f t="shared" si="427"/>
        <v>40606</v>
      </c>
      <c r="C4994" s="9" t="s">
        <v>818</v>
      </c>
      <c r="D4994">
        <v>10021596179</v>
      </c>
      <c r="E4994" t="s">
        <v>47</v>
      </c>
      <c r="F4994" t="s">
        <v>66</v>
      </c>
      <c r="G4994" t="s">
        <v>67</v>
      </c>
      <c r="H4994" t="s">
        <v>2359</v>
      </c>
      <c r="I4994" t="s">
        <v>2360</v>
      </c>
      <c r="J4994" t="s">
        <v>52</v>
      </c>
      <c r="K4994" s="3">
        <v>100132831607</v>
      </c>
      <c r="L4994" s="10">
        <v>40608</v>
      </c>
      <c r="M4994">
        <v>71.61</v>
      </c>
      <c r="N4994" s="11">
        <v>15</v>
      </c>
      <c r="O4994" s="12">
        <v>4.89</v>
      </c>
      <c r="P4994" s="12">
        <v>4.93</v>
      </c>
      <c r="Q4994" s="13">
        <v>-70.31</v>
      </c>
      <c r="R4994" s="36" t="s">
        <v>512</v>
      </c>
      <c r="S4994" s="7">
        <f t="shared" si="421"/>
        <v>2</v>
      </c>
      <c r="T4994" s="15" t="str">
        <f>VLOOKUP(R4994,产品分类!$C$2:$D$1278,2,0)</f>
        <v>办公用品</v>
      </c>
    </row>
    <row r="4995" spans="1:20">
      <c r="A4995" s="8">
        <f t="shared" si="427"/>
        <v>40606</v>
      </c>
      <c r="B4995" s="8">
        <f t="shared" si="427"/>
        <v>40606</v>
      </c>
      <c r="C4995" s="9" t="s">
        <v>818</v>
      </c>
      <c r="D4995">
        <v>10021285165</v>
      </c>
      <c r="E4995" t="s">
        <v>47</v>
      </c>
      <c r="F4995" t="s">
        <v>72</v>
      </c>
      <c r="G4995" t="s">
        <v>73</v>
      </c>
      <c r="H4995" t="s">
        <v>2398</v>
      </c>
      <c r="I4995" t="s">
        <v>2399</v>
      </c>
      <c r="J4995" t="s">
        <v>52</v>
      </c>
      <c r="K4995" s="3">
        <v>100929503471</v>
      </c>
      <c r="L4995" s="10">
        <v>40606</v>
      </c>
      <c r="M4995">
        <v>10.43</v>
      </c>
      <c r="N4995" s="11">
        <v>2</v>
      </c>
      <c r="O4995" s="12">
        <v>4.98</v>
      </c>
      <c r="P4995" s="12">
        <v>0.8</v>
      </c>
      <c r="Q4995" s="13">
        <v>-4.72</v>
      </c>
      <c r="R4995" s="36" t="s">
        <v>521</v>
      </c>
      <c r="S4995" s="7">
        <f t="shared" ref="S4995:S5058" si="428">+L4995-B4995</f>
        <v>0</v>
      </c>
      <c r="T4995" s="15" t="str">
        <f>VLOOKUP(R4995,产品分类!$C$2:$D$1278,2,0)</f>
        <v>家具产品</v>
      </c>
    </row>
    <row r="4996" spans="1:20">
      <c r="A4996" s="8">
        <f>DATE(2012,12,31)-1203</f>
        <v>40071</v>
      </c>
      <c r="B4996" s="8">
        <f>DATE(2012,12,31)-1203</f>
        <v>40071</v>
      </c>
      <c r="C4996" s="9" t="s">
        <v>275</v>
      </c>
      <c r="D4996">
        <v>10021428175</v>
      </c>
      <c r="E4996" t="s">
        <v>47</v>
      </c>
      <c r="F4996" t="s">
        <v>78</v>
      </c>
      <c r="G4996" t="s">
        <v>79</v>
      </c>
      <c r="H4996" t="s">
        <v>2379</v>
      </c>
      <c r="I4996" t="s">
        <v>2380</v>
      </c>
      <c r="J4996" t="s">
        <v>52</v>
      </c>
      <c r="K4996" s="3">
        <v>100331034829</v>
      </c>
      <c r="L4996" s="10">
        <v>40073</v>
      </c>
      <c r="M4996">
        <v>34.88</v>
      </c>
      <c r="N4996" s="11">
        <v>2</v>
      </c>
      <c r="O4996" s="12">
        <v>13.79</v>
      </c>
      <c r="P4996" s="12">
        <v>8.78</v>
      </c>
      <c r="Q4996" s="13">
        <v>-22.12</v>
      </c>
      <c r="R4996" s="36" t="s">
        <v>1542</v>
      </c>
      <c r="S4996" s="7">
        <f t="shared" si="428"/>
        <v>2</v>
      </c>
      <c r="T4996" s="15" t="str">
        <f>VLOOKUP(R4996,产品分类!$C$2:$D$1278,2,0)</f>
        <v>办公用品</v>
      </c>
    </row>
    <row r="4997" spans="1:20">
      <c r="A4997" s="16">
        <f>DATE(2012,12,31)-608</f>
        <v>40666</v>
      </c>
      <c r="B4997" s="16">
        <f>DATE(2012,12,31)-608</f>
        <v>40666</v>
      </c>
      <c r="C4997" s="9" t="s">
        <v>2397</v>
      </c>
      <c r="D4997">
        <v>10021420361</v>
      </c>
      <c r="E4997" t="s">
        <v>47</v>
      </c>
      <c r="F4997" t="s">
        <v>72</v>
      </c>
      <c r="G4997" t="s">
        <v>73</v>
      </c>
      <c r="H4997" t="s">
        <v>2398</v>
      </c>
      <c r="I4997" t="s">
        <v>2399</v>
      </c>
      <c r="J4997" t="s">
        <v>52</v>
      </c>
      <c r="K4997" s="3">
        <v>100724945565</v>
      </c>
      <c r="L4997" s="10">
        <v>40666</v>
      </c>
      <c r="M4997">
        <v>150.33</v>
      </c>
      <c r="N4997" s="17">
        <v>15</v>
      </c>
      <c r="O4997" s="5">
        <v>9.71</v>
      </c>
      <c r="P4997" s="5">
        <v>9.45</v>
      </c>
      <c r="Q4997" s="6">
        <v>-98.23</v>
      </c>
      <c r="R4997" s="37" t="s">
        <v>135</v>
      </c>
      <c r="S4997" s="7">
        <f t="shared" si="428"/>
        <v>0</v>
      </c>
      <c r="T4997" s="15" t="str">
        <f>VLOOKUP(R4997,产品分类!$C$2:$D$1278,2,0)</f>
        <v>办公用品</v>
      </c>
    </row>
    <row r="4998" spans="1:20">
      <c r="A4998" s="8">
        <f>DATE(2012,12,31)-417</f>
        <v>40857</v>
      </c>
      <c r="B4998" s="8">
        <f>DATE(2012,12,31)-417</f>
        <v>40857</v>
      </c>
      <c r="C4998" s="9" t="s">
        <v>1462</v>
      </c>
      <c r="D4998">
        <v>10021673016</v>
      </c>
      <c r="E4998" t="s">
        <v>47</v>
      </c>
      <c r="F4998" t="s">
        <v>72</v>
      </c>
      <c r="G4998" t="s">
        <v>73</v>
      </c>
      <c r="H4998" t="s">
        <v>2398</v>
      </c>
      <c r="I4998" t="s">
        <v>2399</v>
      </c>
      <c r="J4998" t="s">
        <v>52</v>
      </c>
      <c r="K4998" s="3">
        <v>100131627056</v>
      </c>
      <c r="L4998" s="10">
        <v>40858</v>
      </c>
      <c r="M4998">
        <v>208.77</v>
      </c>
      <c r="N4998" s="11">
        <v>43</v>
      </c>
      <c r="O4998" s="12">
        <v>4.82</v>
      </c>
      <c r="P4998" s="12">
        <v>5.72</v>
      </c>
      <c r="Q4998" s="13">
        <v>-144.24</v>
      </c>
      <c r="R4998" s="36" t="s">
        <v>1647</v>
      </c>
      <c r="S4998" s="7">
        <f t="shared" si="428"/>
        <v>1</v>
      </c>
      <c r="T4998" s="15" t="str">
        <f>VLOOKUP(R4998,产品分类!$C$2:$D$1278,2,0)</f>
        <v>办公用品</v>
      </c>
    </row>
    <row r="4999" spans="1:20">
      <c r="A4999" s="8">
        <f>DATE(2012,12,31)-932</f>
        <v>40342</v>
      </c>
      <c r="B4999" s="8">
        <f>DATE(2012,12,31)-932</f>
        <v>40342</v>
      </c>
      <c r="C4999" s="9" t="s">
        <v>1736</v>
      </c>
      <c r="D4999">
        <v>10021666129</v>
      </c>
      <c r="E4999" t="s">
        <v>47</v>
      </c>
      <c r="F4999" t="s">
        <v>72</v>
      </c>
      <c r="G4999" t="s">
        <v>73</v>
      </c>
      <c r="H4999" t="s">
        <v>2398</v>
      </c>
      <c r="I4999" t="s">
        <v>2399</v>
      </c>
      <c r="J4999" t="s">
        <v>52</v>
      </c>
      <c r="K4999" s="3">
        <v>100827030882</v>
      </c>
      <c r="L4999" s="10">
        <v>40344</v>
      </c>
      <c r="M4999">
        <v>1727.79</v>
      </c>
      <c r="N4999" s="11">
        <v>32</v>
      </c>
      <c r="O4999" s="12">
        <v>58.14</v>
      </c>
      <c r="P4999" s="12">
        <v>36.61</v>
      </c>
      <c r="Q4999" s="13">
        <v>-694.9</v>
      </c>
      <c r="R4999" s="36" t="s">
        <v>1368</v>
      </c>
      <c r="S4999" s="7">
        <f t="shared" si="428"/>
        <v>2</v>
      </c>
      <c r="T4999" s="15" t="str">
        <f>VLOOKUP(R4999,产品分类!$C$2:$D$1278,2,0)</f>
        <v>数码电子</v>
      </c>
    </row>
    <row r="5000" spans="1:20">
      <c r="A5000" s="8">
        <f>DATE(2012,12,31)-29</f>
        <v>41245</v>
      </c>
      <c r="B5000" s="8">
        <f>DATE(2012,12,31)-29</f>
        <v>41245</v>
      </c>
      <c r="C5000" s="9" t="s">
        <v>1001</v>
      </c>
      <c r="D5000">
        <v>10021593379</v>
      </c>
      <c r="E5000" t="s">
        <v>47</v>
      </c>
      <c r="F5000" t="s">
        <v>72</v>
      </c>
      <c r="G5000" t="s">
        <v>73</v>
      </c>
      <c r="H5000" t="s">
        <v>2398</v>
      </c>
      <c r="I5000" t="s">
        <v>2399</v>
      </c>
      <c r="J5000" t="s">
        <v>52</v>
      </c>
      <c r="K5000" s="3">
        <v>100332417869</v>
      </c>
      <c r="L5000" s="10">
        <v>41246</v>
      </c>
      <c r="M5000">
        <v>423.95</v>
      </c>
      <c r="N5000" s="11">
        <v>4</v>
      </c>
      <c r="O5000" s="12">
        <v>99.99</v>
      </c>
      <c r="P5000" s="12">
        <v>19.99</v>
      </c>
      <c r="Q5000" s="13">
        <v>-263.95</v>
      </c>
      <c r="R5000" s="36" t="s">
        <v>532</v>
      </c>
      <c r="S5000" s="7">
        <f t="shared" si="428"/>
        <v>1</v>
      </c>
      <c r="T5000" s="15" t="str">
        <f>VLOOKUP(R5000,产品分类!$C$2:$D$1278,2,0)</f>
        <v>办公用品</v>
      </c>
    </row>
    <row r="5001" spans="1:20">
      <c r="A5001" s="8">
        <f>DATE(2012,12,31)-449</f>
        <v>40825</v>
      </c>
      <c r="B5001" s="8">
        <f>DATE(2012,12,31)-449</f>
        <v>40825</v>
      </c>
      <c r="C5001" s="9" t="s">
        <v>149</v>
      </c>
      <c r="D5001">
        <v>10021673352</v>
      </c>
      <c r="E5001" t="s">
        <v>47</v>
      </c>
      <c r="F5001" t="s">
        <v>72</v>
      </c>
      <c r="G5001" t="s">
        <v>73</v>
      </c>
      <c r="H5001" t="s">
        <v>2398</v>
      </c>
      <c r="I5001" t="s">
        <v>2399</v>
      </c>
      <c r="J5001" t="s">
        <v>52</v>
      </c>
      <c r="K5001" s="3">
        <v>100126932558</v>
      </c>
      <c r="L5001" s="10">
        <v>40827</v>
      </c>
      <c r="M5001">
        <v>43.26</v>
      </c>
      <c r="N5001" s="11">
        <v>9</v>
      </c>
      <c r="O5001" s="12">
        <v>4.82</v>
      </c>
      <c r="P5001" s="12">
        <v>1.49</v>
      </c>
      <c r="Q5001" s="13">
        <v>3.9015</v>
      </c>
      <c r="R5001" s="36" t="s">
        <v>1891</v>
      </c>
      <c r="S5001" s="7">
        <f t="shared" si="428"/>
        <v>2</v>
      </c>
      <c r="T5001" s="15" t="str">
        <f>VLOOKUP(R5001,产品分类!$C$2:$D$1278,2,0)</f>
        <v>办公用品</v>
      </c>
    </row>
    <row r="5002" spans="1:20">
      <c r="A5002" s="8">
        <f>DATE(2012,12,31)-449</f>
        <v>40825</v>
      </c>
      <c r="B5002" s="8">
        <f>DATE(2012,12,31)-449</f>
        <v>40825</v>
      </c>
      <c r="C5002" s="9" t="s">
        <v>149</v>
      </c>
      <c r="D5002">
        <v>10021292869</v>
      </c>
      <c r="E5002" t="s">
        <v>47</v>
      </c>
      <c r="F5002" t="s">
        <v>78</v>
      </c>
      <c r="G5002" t="s">
        <v>79</v>
      </c>
      <c r="H5002" t="s">
        <v>2379</v>
      </c>
      <c r="I5002" t="s">
        <v>2380</v>
      </c>
      <c r="J5002" t="s">
        <v>52</v>
      </c>
      <c r="K5002" s="3">
        <v>10032607069</v>
      </c>
      <c r="L5002" s="10">
        <v>40827</v>
      </c>
      <c r="M5002">
        <v>174.03</v>
      </c>
      <c r="N5002" s="11">
        <v>25</v>
      </c>
      <c r="O5002" s="12">
        <v>6.48</v>
      </c>
      <c r="P5002" s="12">
        <v>5.74</v>
      </c>
      <c r="Q5002" s="13">
        <v>-42.37</v>
      </c>
      <c r="R5002" s="36" t="s">
        <v>1644</v>
      </c>
      <c r="S5002" s="7">
        <f t="shared" si="428"/>
        <v>2</v>
      </c>
      <c r="T5002" s="15" t="str">
        <f>VLOOKUP(R5002,产品分类!$C$2:$D$1278,2,0)</f>
        <v>数码电子</v>
      </c>
    </row>
    <row r="5003" spans="1:20">
      <c r="A5003" s="8">
        <f>DATE(2012,12,31)-832</f>
        <v>40442</v>
      </c>
      <c r="B5003" s="8">
        <f>DATE(2012,12,31)-832</f>
        <v>40442</v>
      </c>
      <c r="C5003" s="9" t="s">
        <v>525</v>
      </c>
      <c r="D5003">
        <v>10021427798</v>
      </c>
      <c r="E5003" t="s">
        <v>47</v>
      </c>
      <c r="F5003" t="s">
        <v>72</v>
      </c>
      <c r="G5003" t="s">
        <v>73</v>
      </c>
      <c r="H5003" t="s">
        <v>2398</v>
      </c>
      <c r="I5003" t="s">
        <v>2399</v>
      </c>
      <c r="J5003" t="s">
        <v>52</v>
      </c>
      <c r="K5003" s="3">
        <v>100830704592</v>
      </c>
      <c r="L5003" s="10">
        <v>40444</v>
      </c>
      <c r="M5003">
        <v>2251.56</v>
      </c>
      <c r="N5003" s="11">
        <v>21</v>
      </c>
      <c r="O5003" s="12">
        <v>100.98</v>
      </c>
      <c r="P5003" s="12">
        <v>26.22</v>
      </c>
      <c r="Q5003" s="13">
        <v>226.63</v>
      </c>
      <c r="R5003" s="36" t="s">
        <v>424</v>
      </c>
      <c r="S5003" s="7">
        <f t="shared" si="428"/>
        <v>2</v>
      </c>
      <c r="T5003" s="15" t="str">
        <f>VLOOKUP(R5003,产品分类!$C$2:$D$1278,2,0)</f>
        <v>数码电子</v>
      </c>
    </row>
    <row r="5004" spans="1:20">
      <c r="A5004" s="8">
        <f>DATE(2012,12,31)-516</f>
        <v>40758</v>
      </c>
      <c r="B5004" s="8">
        <f>DATE(2012,12,31)-516</f>
        <v>40758</v>
      </c>
      <c r="C5004" s="9" t="s">
        <v>236</v>
      </c>
      <c r="D5004">
        <v>10021511264</v>
      </c>
      <c r="E5004" t="s">
        <v>47</v>
      </c>
      <c r="F5004" t="s">
        <v>72</v>
      </c>
      <c r="G5004" t="s">
        <v>73</v>
      </c>
      <c r="H5004" t="s">
        <v>2398</v>
      </c>
      <c r="I5004" t="s">
        <v>2399</v>
      </c>
      <c r="J5004" t="s">
        <v>52</v>
      </c>
      <c r="K5004" s="3">
        <v>100128681726</v>
      </c>
      <c r="L5004" s="10">
        <v>40763</v>
      </c>
      <c r="M5004">
        <v>910.98</v>
      </c>
      <c r="N5004" s="11">
        <v>10</v>
      </c>
      <c r="O5004" s="12">
        <v>96.45</v>
      </c>
      <c r="P5004" s="12">
        <v>13.99</v>
      </c>
      <c r="Q5004" s="13">
        <v>18.77</v>
      </c>
      <c r="R5004" s="36" t="s">
        <v>2167</v>
      </c>
      <c r="S5004" s="7">
        <f t="shared" si="428"/>
        <v>5</v>
      </c>
      <c r="T5004" s="15" t="str">
        <f>VLOOKUP(R5004,产品分类!$C$2:$D$1278,2,0)</f>
        <v>办公用品</v>
      </c>
    </row>
    <row r="5005" spans="1:20">
      <c r="A5005" s="8">
        <f>DATE(2012,12,31)-821</f>
        <v>40453</v>
      </c>
      <c r="B5005" s="8">
        <f>DATE(2012,12,31)-821</f>
        <v>40453</v>
      </c>
      <c r="C5005" s="9" t="s">
        <v>1523</v>
      </c>
      <c r="D5005">
        <v>10021262425</v>
      </c>
      <c r="E5005" t="s">
        <v>47</v>
      </c>
      <c r="F5005" t="s">
        <v>72</v>
      </c>
      <c r="G5005" t="s">
        <v>73</v>
      </c>
      <c r="H5005" t="s">
        <v>2398</v>
      </c>
      <c r="I5005" t="s">
        <v>2399</v>
      </c>
      <c r="J5005" t="s">
        <v>52</v>
      </c>
      <c r="K5005" s="3">
        <v>100730070695</v>
      </c>
      <c r="L5005" s="10">
        <v>40455</v>
      </c>
      <c r="M5005">
        <v>313.52</v>
      </c>
      <c r="N5005" s="11">
        <v>48</v>
      </c>
      <c r="O5005" s="12">
        <v>6.48</v>
      </c>
      <c r="P5005" s="12">
        <v>9.17</v>
      </c>
      <c r="Q5005" s="13">
        <v>-254.68</v>
      </c>
      <c r="R5005" s="36" t="s">
        <v>1600</v>
      </c>
      <c r="S5005" s="7">
        <f t="shared" si="428"/>
        <v>2</v>
      </c>
      <c r="T5005" s="15" t="str">
        <f>VLOOKUP(R5005,产品分类!$C$2:$D$1278,2,0)</f>
        <v>办公用品</v>
      </c>
    </row>
    <row r="5006" spans="1:20">
      <c r="A5006" s="8">
        <f>DATE(2012,12,31)-409</f>
        <v>40865</v>
      </c>
      <c r="B5006" s="8">
        <f>DATE(2012,12,31)-409</f>
        <v>40865</v>
      </c>
      <c r="C5006" s="9" t="s">
        <v>1407</v>
      </c>
      <c r="D5006">
        <v>10021261526</v>
      </c>
      <c r="E5006" t="s">
        <v>47</v>
      </c>
      <c r="F5006" t="s">
        <v>230</v>
      </c>
      <c r="G5006" t="s">
        <v>231</v>
      </c>
      <c r="H5006" t="s">
        <v>2372</v>
      </c>
      <c r="I5006" t="s">
        <v>2373</v>
      </c>
      <c r="J5006" t="s">
        <v>52</v>
      </c>
      <c r="K5006" s="3">
        <v>100729458345</v>
      </c>
      <c r="L5006" s="10">
        <v>40866</v>
      </c>
      <c r="M5006">
        <v>620.23</v>
      </c>
      <c r="N5006" s="11">
        <v>48</v>
      </c>
      <c r="O5006" s="12">
        <v>12.64</v>
      </c>
      <c r="P5006" s="12">
        <v>4.98</v>
      </c>
      <c r="Q5006" s="13">
        <v>115.24</v>
      </c>
      <c r="R5006" s="36" t="s">
        <v>181</v>
      </c>
      <c r="S5006" s="7">
        <f t="shared" si="428"/>
        <v>1</v>
      </c>
      <c r="T5006" s="15" t="str">
        <f>VLOOKUP(R5006,产品分类!$C$2:$D$1278,2,0)</f>
        <v>数码电子</v>
      </c>
    </row>
    <row r="5007" spans="1:20">
      <c r="A5007" s="8">
        <f>DATE(2012,12,31)-69</f>
        <v>41205</v>
      </c>
      <c r="B5007" s="8">
        <f>DATE(2012,12,31)-69</f>
        <v>41205</v>
      </c>
      <c r="C5007" s="9" t="s">
        <v>853</v>
      </c>
      <c r="D5007">
        <v>10021346504</v>
      </c>
      <c r="E5007" t="s">
        <v>47</v>
      </c>
      <c r="F5007" t="s">
        <v>230</v>
      </c>
      <c r="G5007" t="s">
        <v>231</v>
      </c>
      <c r="H5007" t="s">
        <v>2372</v>
      </c>
      <c r="I5007" t="s">
        <v>2373</v>
      </c>
      <c r="J5007" t="s">
        <v>52</v>
      </c>
      <c r="K5007" s="3">
        <v>100130706167</v>
      </c>
      <c r="L5007" s="10">
        <v>41206</v>
      </c>
      <c r="M5007">
        <v>3931.17</v>
      </c>
      <c r="N5007" s="11">
        <v>42</v>
      </c>
      <c r="O5007" s="12">
        <v>100.97</v>
      </c>
      <c r="P5007" s="12">
        <v>7.18</v>
      </c>
      <c r="Q5007" s="13">
        <v>1174.02</v>
      </c>
      <c r="R5007" s="36" t="s">
        <v>2187</v>
      </c>
      <c r="S5007" s="7">
        <f t="shared" si="428"/>
        <v>1</v>
      </c>
      <c r="T5007" s="15" t="str">
        <f>VLOOKUP(R5007,产品分类!$C$2:$D$1278,2,0)</f>
        <v>家具产品</v>
      </c>
    </row>
    <row r="5008" spans="1:20">
      <c r="A5008" s="16">
        <f>DATE(2012,12,31)-69</f>
        <v>41205</v>
      </c>
      <c r="B5008" s="16">
        <f>DATE(2012,12,31)-69</f>
        <v>41205</v>
      </c>
      <c r="C5008" s="9" t="s">
        <v>853</v>
      </c>
      <c r="D5008">
        <v>10021511183</v>
      </c>
      <c r="E5008" t="s">
        <v>47</v>
      </c>
      <c r="F5008" t="s">
        <v>78</v>
      </c>
      <c r="G5008" t="s">
        <v>79</v>
      </c>
      <c r="H5008" t="s">
        <v>2379</v>
      </c>
      <c r="I5008" t="s">
        <v>2380</v>
      </c>
      <c r="J5008" t="s">
        <v>52</v>
      </c>
      <c r="K5008" s="3">
        <v>10099770431</v>
      </c>
      <c r="L5008" s="10">
        <v>41205</v>
      </c>
      <c r="M5008">
        <v>134.88</v>
      </c>
      <c r="N5008" s="17">
        <v>24</v>
      </c>
      <c r="O5008" s="5">
        <v>5.28</v>
      </c>
      <c r="P5008" s="5">
        <v>8.16</v>
      </c>
      <c r="Q5008" s="6">
        <v>-122.21</v>
      </c>
      <c r="R5008" s="37" t="s">
        <v>2089</v>
      </c>
      <c r="S5008" s="7">
        <f t="shared" si="428"/>
        <v>0</v>
      </c>
      <c r="T5008" s="15" t="str">
        <f>VLOOKUP(R5008,产品分类!$C$2:$D$1278,2,0)</f>
        <v>家具产品</v>
      </c>
    </row>
    <row r="5009" spans="1:20">
      <c r="A5009" s="8">
        <f>DATE(2012,12,31)-75</f>
        <v>41199</v>
      </c>
      <c r="B5009" s="8">
        <f>DATE(2012,12,31)-75</f>
        <v>41199</v>
      </c>
      <c r="C5009" s="9" t="s">
        <v>1272</v>
      </c>
      <c r="D5009">
        <v>10021336083</v>
      </c>
      <c r="E5009" t="s">
        <v>47</v>
      </c>
      <c r="F5009" t="s">
        <v>230</v>
      </c>
      <c r="G5009" t="s">
        <v>231</v>
      </c>
      <c r="H5009" t="s">
        <v>2372</v>
      </c>
      <c r="I5009" t="s">
        <v>2373</v>
      </c>
      <c r="J5009" t="s">
        <v>52</v>
      </c>
      <c r="K5009" s="3">
        <v>100112480078</v>
      </c>
      <c r="L5009" s="10">
        <v>41199</v>
      </c>
      <c r="M5009">
        <v>1355.47</v>
      </c>
      <c r="N5009" s="11">
        <v>49</v>
      </c>
      <c r="O5009" s="12">
        <v>28.53</v>
      </c>
      <c r="P5009" s="12">
        <v>1.49</v>
      </c>
      <c r="Q5009" s="13">
        <v>590.0445</v>
      </c>
      <c r="R5009" s="36" t="s">
        <v>1651</v>
      </c>
      <c r="S5009" s="7">
        <f t="shared" si="428"/>
        <v>0</v>
      </c>
      <c r="T5009" s="15" t="str">
        <f>VLOOKUP(R5009,产品分类!$C$2:$D$1278,2,0)</f>
        <v>数码电子</v>
      </c>
    </row>
    <row r="5010" spans="1:20">
      <c r="A5010" s="8">
        <f>DATE(2012,12,31)-1381</f>
        <v>39893</v>
      </c>
      <c r="B5010" s="8">
        <f>DATE(2012,12,31)-1381</f>
        <v>39893</v>
      </c>
      <c r="C5010" s="9" t="s">
        <v>1080</v>
      </c>
      <c r="D5010">
        <v>10021295378</v>
      </c>
      <c r="E5010" t="s">
        <v>47</v>
      </c>
      <c r="F5010" t="s">
        <v>114</v>
      </c>
      <c r="G5010" t="s">
        <v>115</v>
      </c>
      <c r="H5010" t="s">
        <v>2374</v>
      </c>
      <c r="I5010" t="s">
        <v>2375</v>
      </c>
      <c r="J5010" t="s">
        <v>52</v>
      </c>
      <c r="K5010" s="3">
        <v>100916493891</v>
      </c>
      <c r="L5010" s="10">
        <v>39895</v>
      </c>
      <c r="M5010">
        <v>2587.53</v>
      </c>
      <c r="N5010" s="11">
        <v>44</v>
      </c>
      <c r="O5010" s="12">
        <v>55.94</v>
      </c>
      <c r="P5010" s="12">
        <v>6.55</v>
      </c>
      <c r="Q5010" s="13">
        <v>401.85</v>
      </c>
      <c r="R5010" s="36" t="s">
        <v>740</v>
      </c>
      <c r="S5010" s="7">
        <f t="shared" si="428"/>
        <v>2</v>
      </c>
      <c r="T5010" s="15" t="str">
        <f>VLOOKUP(R5010,产品分类!$C$2:$D$1278,2,0)</f>
        <v>办公用品</v>
      </c>
    </row>
    <row r="5011" spans="1:20">
      <c r="A5011" s="8">
        <f>DATE(2012,12,31)-1426</f>
        <v>39848</v>
      </c>
      <c r="B5011" s="8">
        <f>DATE(2012,12,31)-1426</f>
        <v>39848</v>
      </c>
      <c r="C5011" s="9" t="s">
        <v>1534</v>
      </c>
      <c r="D5011">
        <v>10021261265</v>
      </c>
      <c r="E5011" t="s">
        <v>47</v>
      </c>
      <c r="F5011" t="s">
        <v>114</v>
      </c>
      <c r="G5011" t="s">
        <v>115</v>
      </c>
      <c r="H5011" t="s">
        <v>2374</v>
      </c>
      <c r="I5011" t="s">
        <v>2375</v>
      </c>
      <c r="J5011" t="s">
        <v>52</v>
      </c>
      <c r="K5011" s="3">
        <v>100129339897</v>
      </c>
      <c r="L5011" s="10">
        <v>39850</v>
      </c>
      <c r="M5011">
        <v>118.66</v>
      </c>
      <c r="N5011" s="11">
        <v>9</v>
      </c>
      <c r="O5011" s="12">
        <v>12.97</v>
      </c>
      <c r="P5011" s="12">
        <v>1.49</v>
      </c>
      <c r="Q5011" s="13">
        <v>32.6825</v>
      </c>
      <c r="R5011" s="36" t="s">
        <v>917</v>
      </c>
      <c r="S5011" s="7">
        <f t="shared" si="428"/>
        <v>2</v>
      </c>
      <c r="T5011" s="15" t="str">
        <f>VLOOKUP(R5011,产品分类!$C$2:$D$1278,2,0)</f>
        <v>家具产品</v>
      </c>
    </row>
    <row r="5012" spans="1:20">
      <c r="A5012" s="8">
        <f>DATE(2012,12,31)-1426</f>
        <v>39848</v>
      </c>
      <c r="B5012" s="8">
        <f>DATE(2012,12,31)-1426</f>
        <v>39848</v>
      </c>
      <c r="C5012" s="9" t="s">
        <v>1534</v>
      </c>
      <c r="D5012">
        <v>10021347970</v>
      </c>
      <c r="E5012" t="s">
        <v>47</v>
      </c>
      <c r="F5012" t="s">
        <v>114</v>
      </c>
      <c r="G5012" t="s">
        <v>115</v>
      </c>
      <c r="H5012" t="s">
        <v>2374</v>
      </c>
      <c r="I5012" t="s">
        <v>2375</v>
      </c>
      <c r="J5012" t="s">
        <v>52</v>
      </c>
      <c r="K5012" s="3">
        <v>100731333395</v>
      </c>
      <c r="L5012" s="10">
        <v>39850</v>
      </c>
      <c r="M5012">
        <v>213.74</v>
      </c>
      <c r="N5012" s="11">
        <v>36</v>
      </c>
      <c r="O5012" s="12">
        <v>5.81</v>
      </c>
      <c r="P5012" s="12">
        <v>3.37</v>
      </c>
      <c r="Q5012" s="13">
        <v>-32.15</v>
      </c>
      <c r="R5012" s="36" t="s">
        <v>224</v>
      </c>
      <c r="S5012" s="7">
        <f t="shared" si="428"/>
        <v>2</v>
      </c>
      <c r="T5012" s="15" t="str">
        <f>VLOOKUP(R5012,产品分类!$C$2:$D$1278,2,0)</f>
        <v>办公用品</v>
      </c>
    </row>
    <row r="5013" spans="1:20">
      <c r="A5013" s="16">
        <f>DATE(2012,12,31)-845</f>
        <v>40429</v>
      </c>
      <c r="B5013" s="16">
        <f>DATE(2012,12,31)-845</f>
        <v>40429</v>
      </c>
      <c r="C5013" s="9" t="s">
        <v>1273</v>
      </c>
      <c r="D5013">
        <v>10021627710</v>
      </c>
      <c r="E5013" t="s">
        <v>47</v>
      </c>
      <c r="F5013" t="s">
        <v>473</v>
      </c>
      <c r="G5013" t="s">
        <v>474</v>
      </c>
      <c r="H5013" t="s">
        <v>2406</v>
      </c>
      <c r="I5013" t="s">
        <v>2407</v>
      </c>
      <c r="J5013" t="s">
        <v>52</v>
      </c>
      <c r="K5013" s="3">
        <v>100426235273</v>
      </c>
      <c r="L5013" s="10">
        <v>40431</v>
      </c>
      <c r="M5013">
        <v>136.72</v>
      </c>
      <c r="N5013" s="17">
        <v>35</v>
      </c>
      <c r="O5013" s="5">
        <v>4.13</v>
      </c>
      <c r="P5013" s="5">
        <v>1.23</v>
      </c>
      <c r="Q5013" s="6">
        <v>5.91</v>
      </c>
      <c r="R5013" s="37" t="s">
        <v>2382</v>
      </c>
      <c r="S5013" s="7">
        <f t="shared" si="428"/>
        <v>2</v>
      </c>
      <c r="T5013" s="15" t="str">
        <f>VLOOKUP(R5013,产品分类!$C$2:$D$1278,2,0)</f>
        <v>办公用品</v>
      </c>
    </row>
    <row r="5014" spans="1:20">
      <c r="A5014" s="8">
        <f>DATE(2012,12,31)-714</f>
        <v>40560</v>
      </c>
      <c r="B5014" s="8">
        <f>DATE(2012,12,31)-714</f>
        <v>40560</v>
      </c>
      <c r="C5014" s="9" t="s">
        <v>2228</v>
      </c>
      <c r="D5014">
        <v>10021670653</v>
      </c>
      <c r="E5014" t="s">
        <v>47</v>
      </c>
      <c r="F5014" t="s">
        <v>91</v>
      </c>
      <c r="G5014" t="s">
        <v>92</v>
      </c>
      <c r="H5014" t="s">
        <v>2053</v>
      </c>
      <c r="I5014" t="s">
        <v>2054</v>
      </c>
      <c r="J5014" t="s">
        <v>52</v>
      </c>
      <c r="K5014" s="3">
        <v>100430553554</v>
      </c>
      <c r="L5014" s="10">
        <v>40562</v>
      </c>
      <c r="M5014">
        <v>28.55</v>
      </c>
      <c r="N5014" s="11">
        <v>6</v>
      </c>
      <c r="O5014" s="12">
        <v>4.28</v>
      </c>
      <c r="P5014" s="12">
        <v>1.6</v>
      </c>
      <c r="Q5014" s="13">
        <v>-4.5</v>
      </c>
      <c r="R5014" s="36" t="s">
        <v>1403</v>
      </c>
      <c r="S5014" s="7">
        <f t="shared" si="428"/>
        <v>2</v>
      </c>
      <c r="T5014" s="15" t="str">
        <f>VLOOKUP(R5014,产品分类!$C$2:$D$1278,2,0)</f>
        <v>办公用品</v>
      </c>
    </row>
    <row r="5015" spans="1:20">
      <c r="A5015" s="8">
        <f>DATE(2012,12,31)-514</f>
        <v>40760</v>
      </c>
      <c r="B5015" s="8">
        <f>DATE(2012,12,31)-514</f>
        <v>40760</v>
      </c>
      <c r="C5015" s="9" t="s">
        <v>2404</v>
      </c>
      <c r="D5015">
        <v>10021279444</v>
      </c>
      <c r="E5015" t="s">
        <v>47</v>
      </c>
      <c r="F5015" t="s">
        <v>91</v>
      </c>
      <c r="G5015" t="s">
        <v>92</v>
      </c>
      <c r="H5015" t="s">
        <v>2053</v>
      </c>
      <c r="I5015" t="s">
        <v>2054</v>
      </c>
      <c r="J5015" t="s">
        <v>52</v>
      </c>
      <c r="K5015" s="3">
        <v>1003790419</v>
      </c>
      <c r="L5015" s="10">
        <v>40767</v>
      </c>
      <c r="M5015">
        <v>6427.18</v>
      </c>
      <c r="N5015" s="11">
        <v>42</v>
      </c>
      <c r="O5015" s="12">
        <v>165.98</v>
      </c>
      <c r="P5015" s="12">
        <v>19.99</v>
      </c>
      <c r="Q5015" s="13">
        <v>2097.103</v>
      </c>
      <c r="R5015" s="36" t="s">
        <v>990</v>
      </c>
      <c r="S5015" s="7">
        <f t="shared" si="428"/>
        <v>7</v>
      </c>
      <c r="T5015" s="15" t="str">
        <f>VLOOKUP(R5015,产品分类!$C$2:$D$1278,2,0)</f>
        <v>家具产品</v>
      </c>
    </row>
    <row r="5016" spans="1:20">
      <c r="A5016" s="8">
        <f>DATE(2012,12,31)-514</f>
        <v>40760</v>
      </c>
      <c r="B5016" s="8">
        <f>DATE(2012,12,31)-514</f>
        <v>40760</v>
      </c>
      <c r="C5016" s="9" t="s">
        <v>2404</v>
      </c>
      <c r="D5016">
        <v>10021503483</v>
      </c>
      <c r="E5016" t="s">
        <v>47</v>
      </c>
      <c r="F5016" t="s">
        <v>55</v>
      </c>
      <c r="G5016" t="s">
        <v>56</v>
      </c>
      <c r="H5016" t="s">
        <v>2331</v>
      </c>
      <c r="I5016" t="s">
        <v>2332</v>
      </c>
      <c r="J5016" t="s">
        <v>52</v>
      </c>
      <c r="K5016" s="3">
        <v>100929658271</v>
      </c>
      <c r="L5016" s="10">
        <v>40765</v>
      </c>
      <c r="M5016">
        <v>1330.73</v>
      </c>
      <c r="N5016" s="11">
        <v>13</v>
      </c>
      <c r="O5016" s="12">
        <v>105.49</v>
      </c>
      <c r="P5016" s="12">
        <v>41.64</v>
      </c>
      <c r="Q5016" s="13">
        <v>-450.1</v>
      </c>
      <c r="R5016" s="36" t="s">
        <v>489</v>
      </c>
      <c r="S5016" s="7">
        <f t="shared" si="428"/>
        <v>5</v>
      </c>
      <c r="T5016" s="15" t="str">
        <f>VLOOKUP(R5016,产品分类!$C$2:$D$1278,2,0)</f>
        <v>办公用品</v>
      </c>
    </row>
    <row r="5017" spans="1:20">
      <c r="A5017" s="8">
        <f>DATE(2012,12,31)-363</f>
        <v>40911</v>
      </c>
      <c r="B5017" s="8">
        <f>DATE(2012,12,31)-363</f>
        <v>40911</v>
      </c>
      <c r="C5017" s="9" t="s">
        <v>1258</v>
      </c>
      <c r="D5017">
        <v>10021257409</v>
      </c>
      <c r="E5017" t="s">
        <v>47</v>
      </c>
      <c r="F5017" t="s">
        <v>55</v>
      </c>
      <c r="G5017" t="s">
        <v>56</v>
      </c>
      <c r="H5017" t="s">
        <v>2331</v>
      </c>
      <c r="I5017" t="s">
        <v>2332</v>
      </c>
      <c r="J5017" t="s">
        <v>52</v>
      </c>
      <c r="K5017" s="3">
        <v>100326066109</v>
      </c>
      <c r="L5017" s="10">
        <v>40912</v>
      </c>
      <c r="M5017">
        <v>741.57</v>
      </c>
      <c r="N5017" s="11">
        <v>49</v>
      </c>
      <c r="O5017" s="12">
        <v>15.57</v>
      </c>
      <c r="P5017" s="12">
        <v>1.39</v>
      </c>
      <c r="Q5017" s="13">
        <v>352.41</v>
      </c>
      <c r="R5017" s="36" t="s">
        <v>843</v>
      </c>
      <c r="S5017" s="7">
        <f t="shared" si="428"/>
        <v>1</v>
      </c>
      <c r="T5017" s="15" t="str">
        <f>VLOOKUP(R5017,产品分类!$C$2:$D$1278,2,0)</f>
        <v>办公用品</v>
      </c>
    </row>
    <row r="5018" spans="1:20">
      <c r="A5018" s="8">
        <f>DATE(2012,12,31)-363</f>
        <v>40911</v>
      </c>
      <c r="B5018" s="8">
        <f>DATE(2012,12,31)-363</f>
        <v>40911</v>
      </c>
      <c r="C5018" s="9" t="s">
        <v>1258</v>
      </c>
      <c r="D5018">
        <v>10021575887</v>
      </c>
      <c r="E5018" t="s">
        <v>47</v>
      </c>
      <c r="F5018" t="s">
        <v>55</v>
      </c>
      <c r="G5018" t="s">
        <v>56</v>
      </c>
      <c r="H5018" t="s">
        <v>2331</v>
      </c>
      <c r="I5018" t="s">
        <v>2332</v>
      </c>
      <c r="J5018" t="s">
        <v>52</v>
      </c>
      <c r="K5018" s="3">
        <v>100413277794</v>
      </c>
      <c r="L5018" s="10">
        <v>40913</v>
      </c>
      <c r="M5018">
        <v>10.39</v>
      </c>
      <c r="N5018" s="11">
        <v>6</v>
      </c>
      <c r="O5018" s="12">
        <v>1.76</v>
      </c>
      <c r="P5018" s="12">
        <v>0.7</v>
      </c>
      <c r="Q5018" s="13">
        <v>-3.24</v>
      </c>
      <c r="R5018" s="36" t="s">
        <v>561</v>
      </c>
      <c r="S5018" s="7">
        <f t="shared" si="428"/>
        <v>2</v>
      </c>
      <c r="T5018" s="15" t="str">
        <f>VLOOKUP(R5018,产品分类!$C$2:$D$1278,2,0)</f>
        <v>数码电子</v>
      </c>
    </row>
    <row r="5019" spans="1:20">
      <c r="A5019" s="8">
        <f t="shared" ref="A5019:B5021" si="429">DATE(2012,12,31)-1074</f>
        <v>40200</v>
      </c>
      <c r="B5019" s="8">
        <f t="shared" si="429"/>
        <v>40200</v>
      </c>
      <c r="C5019" s="9" t="s">
        <v>1432</v>
      </c>
      <c r="D5019">
        <v>10021250120</v>
      </c>
      <c r="E5019" t="s">
        <v>47</v>
      </c>
      <c r="F5019" t="s">
        <v>91</v>
      </c>
      <c r="G5019" t="s">
        <v>92</v>
      </c>
      <c r="H5019" t="s">
        <v>2053</v>
      </c>
      <c r="I5019" t="s">
        <v>2054</v>
      </c>
      <c r="J5019" t="s">
        <v>52</v>
      </c>
      <c r="K5019" s="3">
        <v>10081351532</v>
      </c>
      <c r="L5019" s="10">
        <v>40202</v>
      </c>
      <c r="M5019">
        <v>2722.85</v>
      </c>
      <c r="N5019" s="11">
        <v>24</v>
      </c>
      <c r="O5019" s="12">
        <v>113.98</v>
      </c>
      <c r="P5019" s="12">
        <v>30</v>
      </c>
      <c r="Q5019" s="13">
        <v>-112.62</v>
      </c>
      <c r="R5019" s="36" t="s">
        <v>556</v>
      </c>
      <c r="S5019" s="7">
        <f t="shared" si="428"/>
        <v>2</v>
      </c>
      <c r="T5019" s="15" t="str">
        <f>VLOOKUP(R5019,产品分类!$C$2:$D$1278,2,0)</f>
        <v>办公用品</v>
      </c>
    </row>
    <row r="5020" spans="1:20">
      <c r="A5020" s="8">
        <f t="shared" si="429"/>
        <v>40200</v>
      </c>
      <c r="B5020" s="8">
        <f t="shared" si="429"/>
        <v>40200</v>
      </c>
      <c r="C5020" s="9" t="s">
        <v>1432</v>
      </c>
      <c r="D5020">
        <v>10021258812</v>
      </c>
      <c r="E5020" t="s">
        <v>47</v>
      </c>
      <c r="F5020" t="s">
        <v>122</v>
      </c>
      <c r="G5020" t="s">
        <v>123</v>
      </c>
      <c r="H5020" t="s">
        <v>2159</v>
      </c>
      <c r="I5020" t="s">
        <v>2160</v>
      </c>
      <c r="J5020" t="s">
        <v>52</v>
      </c>
      <c r="K5020" s="3">
        <v>100127417207</v>
      </c>
      <c r="L5020" s="10">
        <v>40202</v>
      </c>
      <c r="M5020">
        <v>59.93</v>
      </c>
      <c r="N5020" s="11">
        <v>2</v>
      </c>
      <c r="O5020" s="12">
        <v>30.73</v>
      </c>
      <c r="P5020" s="12">
        <v>4</v>
      </c>
      <c r="Q5020" s="13">
        <v>-147.81</v>
      </c>
      <c r="R5020" s="36" t="s">
        <v>1016</v>
      </c>
      <c r="S5020" s="7">
        <f t="shared" si="428"/>
        <v>2</v>
      </c>
      <c r="T5020" s="15" t="str">
        <f>VLOOKUP(R5020,产品分类!$C$2:$D$1278,2,0)</f>
        <v>办公用品</v>
      </c>
    </row>
    <row r="5021" spans="1:20">
      <c r="A5021" s="8">
        <f t="shared" si="429"/>
        <v>40200</v>
      </c>
      <c r="B5021" s="8">
        <f t="shared" si="429"/>
        <v>40200</v>
      </c>
      <c r="C5021" s="9" t="s">
        <v>1432</v>
      </c>
      <c r="D5021">
        <v>10021621488</v>
      </c>
      <c r="E5021" t="s">
        <v>47</v>
      </c>
      <c r="F5021" t="s">
        <v>253</v>
      </c>
      <c r="G5021" t="s">
        <v>254</v>
      </c>
      <c r="H5021" t="s">
        <v>2344</v>
      </c>
      <c r="I5021" t="s">
        <v>2345</v>
      </c>
      <c r="J5021" t="s">
        <v>52</v>
      </c>
      <c r="K5021" s="3">
        <v>100914342411</v>
      </c>
      <c r="L5021" s="10">
        <v>40202</v>
      </c>
      <c r="M5021">
        <v>851.52</v>
      </c>
      <c r="N5021" s="11">
        <v>19</v>
      </c>
      <c r="O5021" s="12">
        <v>47.9</v>
      </c>
      <c r="P5021" s="12">
        <v>5.86</v>
      </c>
      <c r="Q5021" s="13">
        <v>307.64</v>
      </c>
      <c r="R5021" s="36" t="s">
        <v>736</v>
      </c>
      <c r="S5021" s="7">
        <f t="shared" si="428"/>
        <v>2</v>
      </c>
      <c r="T5021" s="15" t="str">
        <f>VLOOKUP(R5021,产品分类!$C$2:$D$1278,2,0)</f>
        <v>数码电子</v>
      </c>
    </row>
    <row r="5022" spans="1:20">
      <c r="A5022" s="8">
        <f>DATE(2012,12,31)-1350</f>
        <v>39924</v>
      </c>
      <c r="B5022" s="8">
        <f>DATE(2012,12,31)-1350</f>
        <v>39924</v>
      </c>
      <c r="C5022" s="9" t="s">
        <v>1866</v>
      </c>
      <c r="D5022">
        <v>10021475566</v>
      </c>
      <c r="E5022" t="s">
        <v>47</v>
      </c>
      <c r="F5022" t="s">
        <v>122</v>
      </c>
      <c r="G5022" t="s">
        <v>123</v>
      </c>
      <c r="H5022" t="s">
        <v>2159</v>
      </c>
      <c r="I5022" t="s">
        <v>2160</v>
      </c>
      <c r="J5022" t="s">
        <v>52</v>
      </c>
      <c r="K5022" s="3">
        <v>10012313506</v>
      </c>
      <c r="L5022" s="10">
        <v>39924</v>
      </c>
      <c r="M5022">
        <v>7841.57</v>
      </c>
      <c r="N5022" s="11">
        <v>21</v>
      </c>
      <c r="O5022" s="12">
        <v>363.25</v>
      </c>
      <c r="P5022" s="12">
        <v>19.99</v>
      </c>
      <c r="Q5022" s="13">
        <v>2347.18</v>
      </c>
      <c r="R5022" s="36" t="s">
        <v>192</v>
      </c>
      <c r="S5022" s="7">
        <f t="shared" si="428"/>
        <v>0</v>
      </c>
      <c r="T5022" s="15" t="str">
        <f>VLOOKUP(R5022,产品分类!$C$2:$D$1278,2,0)</f>
        <v>办公用品</v>
      </c>
    </row>
    <row r="5023" spans="1:20">
      <c r="A5023" s="8">
        <f>DATE(2012,12,31)-1350</f>
        <v>39924</v>
      </c>
      <c r="B5023" s="8">
        <f>DATE(2012,12,31)-1350</f>
        <v>39924</v>
      </c>
      <c r="C5023" s="9" t="s">
        <v>1866</v>
      </c>
      <c r="D5023">
        <v>10021522210</v>
      </c>
      <c r="E5023" t="s">
        <v>47</v>
      </c>
      <c r="F5023" t="s">
        <v>55</v>
      </c>
      <c r="G5023" t="s">
        <v>56</v>
      </c>
      <c r="H5023" t="s">
        <v>2331</v>
      </c>
      <c r="I5023" t="s">
        <v>2332</v>
      </c>
      <c r="J5023" t="s">
        <v>52</v>
      </c>
      <c r="K5023" s="3">
        <v>100111239996</v>
      </c>
      <c r="L5023" s="10">
        <v>39924</v>
      </c>
      <c r="M5023">
        <v>156.31</v>
      </c>
      <c r="N5023" s="11">
        <v>21</v>
      </c>
      <c r="O5023" s="12">
        <v>7.59</v>
      </c>
      <c r="P5023" s="12">
        <v>4</v>
      </c>
      <c r="Q5023" s="13">
        <v>-9.81</v>
      </c>
      <c r="R5023" s="36" t="s">
        <v>996</v>
      </c>
      <c r="S5023" s="7">
        <f t="shared" si="428"/>
        <v>0</v>
      </c>
      <c r="T5023" s="15" t="str">
        <f>VLOOKUP(R5023,产品分类!$C$2:$D$1278,2,0)</f>
        <v>家具产品</v>
      </c>
    </row>
    <row r="5024" spans="1:20">
      <c r="A5024" s="8">
        <f>DATE(2012,12,31)-279</f>
        <v>40995</v>
      </c>
      <c r="B5024" s="8">
        <f>DATE(2012,12,31)-279</f>
        <v>40995</v>
      </c>
      <c r="C5024" s="9" t="s">
        <v>373</v>
      </c>
      <c r="D5024">
        <v>10021620690</v>
      </c>
      <c r="E5024" t="s">
        <v>47</v>
      </c>
      <c r="F5024" t="s">
        <v>122</v>
      </c>
      <c r="G5024" t="s">
        <v>123</v>
      </c>
      <c r="H5024" t="s">
        <v>2159</v>
      </c>
      <c r="I5024" t="s">
        <v>2160</v>
      </c>
      <c r="J5024" t="s">
        <v>52</v>
      </c>
      <c r="K5024" s="3">
        <v>10096833631</v>
      </c>
      <c r="L5024" s="10">
        <v>40996</v>
      </c>
      <c r="M5024">
        <v>324.52</v>
      </c>
      <c r="N5024" s="11">
        <v>11</v>
      </c>
      <c r="O5024" s="12">
        <v>29.18</v>
      </c>
      <c r="P5024" s="12">
        <v>8.55</v>
      </c>
      <c r="Q5024" s="13">
        <v>154.02</v>
      </c>
      <c r="R5024" s="36" t="s">
        <v>912</v>
      </c>
      <c r="S5024" s="7">
        <f t="shared" si="428"/>
        <v>1</v>
      </c>
      <c r="T5024" s="15" t="str">
        <f>VLOOKUP(R5024,产品分类!$C$2:$D$1278,2,0)</f>
        <v>办公用品</v>
      </c>
    </row>
    <row r="5025" spans="1:20">
      <c r="A5025" s="8">
        <f>DATE(2012,12,31)-947</f>
        <v>40327</v>
      </c>
      <c r="B5025" s="8">
        <f>DATE(2012,12,31)-947</f>
        <v>40327</v>
      </c>
      <c r="C5025" s="9" t="s">
        <v>1110</v>
      </c>
      <c r="D5025">
        <v>10021508907</v>
      </c>
      <c r="E5025" t="s">
        <v>47</v>
      </c>
      <c r="F5025" t="s">
        <v>122</v>
      </c>
      <c r="G5025" t="s">
        <v>123</v>
      </c>
      <c r="H5025" t="s">
        <v>2159</v>
      </c>
      <c r="I5025" t="s">
        <v>2160</v>
      </c>
      <c r="J5025" t="s">
        <v>52</v>
      </c>
      <c r="K5025" s="3">
        <v>100932326131</v>
      </c>
      <c r="L5025" s="10">
        <v>40328</v>
      </c>
      <c r="M5025">
        <v>173.08</v>
      </c>
      <c r="N5025" s="11">
        <v>36</v>
      </c>
      <c r="O5025" s="12">
        <v>4.91</v>
      </c>
      <c r="P5025" s="12">
        <v>0.5</v>
      </c>
      <c r="Q5025" s="13">
        <v>81.63</v>
      </c>
      <c r="R5025" s="36" t="s">
        <v>827</v>
      </c>
      <c r="S5025" s="7">
        <f t="shared" si="428"/>
        <v>1</v>
      </c>
      <c r="T5025" s="15" t="str">
        <f>VLOOKUP(R5025,产品分类!$C$2:$D$1278,2,0)</f>
        <v>家具产品</v>
      </c>
    </row>
    <row r="5026" spans="1:20">
      <c r="A5026" s="8">
        <f>DATE(2012,12,31)-947</f>
        <v>40327</v>
      </c>
      <c r="B5026" s="8">
        <f>DATE(2012,12,31)-947</f>
        <v>40327</v>
      </c>
      <c r="C5026" s="9" t="s">
        <v>1110</v>
      </c>
      <c r="D5026">
        <v>10021248415</v>
      </c>
      <c r="E5026" t="s">
        <v>47</v>
      </c>
      <c r="F5026" t="s">
        <v>91</v>
      </c>
      <c r="G5026" t="s">
        <v>92</v>
      </c>
      <c r="H5026" t="s">
        <v>2053</v>
      </c>
      <c r="I5026" t="s">
        <v>2054</v>
      </c>
      <c r="J5026" t="s">
        <v>52</v>
      </c>
      <c r="K5026" s="3">
        <v>10031933879</v>
      </c>
      <c r="L5026" s="10">
        <v>40329</v>
      </c>
      <c r="M5026">
        <v>3492.6585</v>
      </c>
      <c r="N5026" s="11">
        <v>49</v>
      </c>
      <c r="O5026" s="12">
        <v>85.99</v>
      </c>
      <c r="P5026" s="12">
        <v>0.99</v>
      </c>
      <c r="Q5026" s="13">
        <v>1181.808</v>
      </c>
      <c r="R5026" s="36" t="s">
        <v>1684</v>
      </c>
      <c r="S5026" s="7">
        <f t="shared" si="428"/>
        <v>2</v>
      </c>
      <c r="T5026" s="15" t="str">
        <f>VLOOKUP(R5026,产品分类!$C$2:$D$1278,2,0)</f>
        <v>办公用品</v>
      </c>
    </row>
    <row r="5027" spans="1:20">
      <c r="A5027" s="8">
        <f>DATE(2012,12,31)-603</f>
        <v>40671</v>
      </c>
      <c r="B5027" s="8">
        <f>DATE(2012,12,31)-603</f>
        <v>40671</v>
      </c>
      <c r="C5027" s="9" t="s">
        <v>1196</v>
      </c>
      <c r="D5027">
        <v>10021586525</v>
      </c>
      <c r="E5027" t="s">
        <v>47</v>
      </c>
      <c r="F5027" t="s">
        <v>91</v>
      </c>
      <c r="G5027" t="s">
        <v>92</v>
      </c>
      <c r="H5027" t="s">
        <v>2053</v>
      </c>
      <c r="I5027" t="s">
        <v>2054</v>
      </c>
      <c r="J5027" t="s">
        <v>52</v>
      </c>
      <c r="K5027" s="3">
        <v>100429120033</v>
      </c>
      <c r="L5027" s="10">
        <v>40672</v>
      </c>
      <c r="M5027">
        <v>230.41</v>
      </c>
      <c r="N5027" s="11">
        <v>23</v>
      </c>
      <c r="O5027" s="12">
        <v>9.9</v>
      </c>
      <c r="P5027" s="12">
        <v>1.39</v>
      </c>
      <c r="Q5027" s="13">
        <v>94.39</v>
      </c>
      <c r="R5027" s="36" t="s">
        <v>203</v>
      </c>
      <c r="S5027" s="7">
        <f t="shared" si="428"/>
        <v>1</v>
      </c>
      <c r="T5027" s="15" t="str">
        <f>VLOOKUP(R5027,产品分类!$C$2:$D$1278,2,0)</f>
        <v>办公用品</v>
      </c>
    </row>
    <row r="5028" spans="1:20">
      <c r="A5028" s="8">
        <f>DATE(2012,12,31)-603</f>
        <v>40671</v>
      </c>
      <c r="B5028" s="8">
        <f>DATE(2012,12,31)-603</f>
        <v>40671</v>
      </c>
      <c r="C5028" s="9" t="s">
        <v>1196</v>
      </c>
      <c r="D5028">
        <v>10021665482</v>
      </c>
      <c r="E5028" t="s">
        <v>47</v>
      </c>
      <c r="F5028" t="s">
        <v>171</v>
      </c>
      <c r="G5028" t="s">
        <v>172</v>
      </c>
      <c r="H5028" t="s">
        <v>2352</v>
      </c>
      <c r="I5028" t="s">
        <v>2353</v>
      </c>
      <c r="J5028" t="s">
        <v>52</v>
      </c>
      <c r="K5028" s="3">
        <v>100126163237</v>
      </c>
      <c r="L5028" s="10">
        <v>40672</v>
      </c>
      <c r="M5028">
        <v>5163.0105</v>
      </c>
      <c r="N5028" s="11">
        <v>48</v>
      </c>
      <c r="O5028" s="12">
        <v>125.99</v>
      </c>
      <c r="P5028" s="12">
        <v>8.08</v>
      </c>
      <c r="Q5028" s="13">
        <v>1448.325</v>
      </c>
      <c r="R5028" s="36" t="s">
        <v>569</v>
      </c>
      <c r="S5028" s="7">
        <f t="shared" si="428"/>
        <v>1</v>
      </c>
      <c r="T5028" s="15" t="str">
        <f>VLOOKUP(R5028,产品分类!$C$2:$D$1278,2,0)</f>
        <v>家具产品</v>
      </c>
    </row>
    <row r="5029" spans="1:20">
      <c r="A5029" s="16">
        <f>DATE(2012,12,31)-221</f>
        <v>41053</v>
      </c>
      <c r="B5029" s="16">
        <f>DATE(2012,12,31)-221</f>
        <v>41053</v>
      </c>
      <c r="C5029" s="9" t="s">
        <v>1597</v>
      </c>
      <c r="D5029">
        <v>10021580335</v>
      </c>
      <c r="E5029" t="s">
        <v>47</v>
      </c>
      <c r="F5029" t="s">
        <v>127</v>
      </c>
      <c r="G5029" t="s">
        <v>128</v>
      </c>
      <c r="H5029" t="s">
        <v>2408</v>
      </c>
      <c r="I5029" t="s">
        <v>2409</v>
      </c>
      <c r="J5029" t="s">
        <v>52</v>
      </c>
      <c r="K5029" s="3">
        <v>100122515447</v>
      </c>
      <c r="L5029" s="10">
        <v>41055</v>
      </c>
      <c r="M5029">
        <v>53.79</v>
      </c>
      <c r="N5029" s="17">
        <v>18</v>
      </c>
      <c r="O5029" s="5">
        <v>2.88</v>
      </c>
      <c r="P5029" s="5">
        <v>0.99</v>
      </c>
      <c r="Q5029" s="6">
        <v>11.55</v>
      </c>
      <c r="R5029" s="37" t="s">
        <v>1207</v>
      </c>
      <c r="S5029" s="7">
        <f t="shared" si="428"/>
        <v>2</v>
      </c>
      <c r="T5029" s="15" t="str">
        <f>VLOOKUP(R5029,产品分类!$C$2:$D$1278,2,0)</f>
        <v>数码电子</v>
      </c>
    </row>
    <row r="5030" spans="1:20">
      <c r="A5030" s="8">
        <f>DATE(2012,12,31)-725</f>
        <v>40549</v>
      </c>
      <c r="B5030" s="8">
        <f>DATE(2012,12,31)-725</f>
        <v>40549</v>
      </c>
      <c r="C5030" s="9" t="s">
        <v>2163</v>
      </c>
      <c r="D5030">
        <v>10021345043</v>
      </c>
      <c r="E5030" t="s">
        <v>47</v>
      </c>
      <c r="F5030" t="s">
        <v>132</v>
      </c>
      <c r="G5030" t="s">
        <v>133</v>
      </c>
      <c r="H5030" t="s">
        <v>134</v>
      </c>
      <c r="I5030" t="s">
        <v>133</v>
      </c>
      <c r="J5030" t="s">
        <v>52</v>
      </c>
      <c r="K5030" s="3">
        <v>100924007071</v>
      </c>
      <c r="L5030" s="10">
        <v>40551</v>
      </c>
      <c r="M5030">
        <v>5713.48</v>
      </c>
      <c r="N5030" s="11">
        <v>15</v>
      </c>
      <c r="O5030" s="12">
        <v>376.13</v>
      </c>
      <c r="P5030" s="12">
        <v>85.63</v>
      </c>
      <c r="Q5030" s="13">
        <v>-712.5261</v>
      </c>
      <c r="R5030" s="36" t="s">
        <v>1213</v>
      </c>
      <c r="S5030" s="7">
        <f t="shared" si="428"/>
        <v>2</v>
      </c>
      <c r="T5030" s="15" t="str">
        <f>VLOOKUP(R5030,产品分类!$C$2:$D$1278,2,0)</f>
        <v>办公用品</v>
      </c>
    </row>
    <row r="5031" spans="1:20">
      <c r="A5031" s="8">
        <f>DATE(2012,12,31)-1431</f>
        <v>39843</v>
      </c>
      <c r="B5031" s="8">
        <f>DATE(2012,12,31)-1431</f>
        <v>39843</v>
      </c>
      <c r="C5031" s="9" t="s">
        <v>748</v>
      </c>
      <c r="D5031">
        <v>10021414850</v>
      </c>
      <c r="E5031" t="s">
        <v>47</v>
      </c>
      <c r="F5031" t="s">
        <v>132</v>
      </c>
      <c r="G5031" t="s">
        <v>133</v>
      </c>
      <c r="H5031" t="s">
        <v>134</v>
      </c>
      <c r="I5031" t="s">
        <v>133</v>
      </c>
      <c r="J5031" t="s">
        <v>52</v>
      </c>
      <c r="K5031" s="3">
        <v>10019621688</v>
      </c>
      <c r="L5031" s="10">
        <v>39843</v>
      </c>
      <c r="M5031">
        <v>361.65</v>
      </c>
      <c r="N5031" s="11">
        <v>23</v>
      </c>
      <c r="O5031" s="12">
        <v>15.98</v>
      </c>
      <c r="P5031" s="12">
        <v>8.99</v>
      </c>
      <c r="Q5031" s="13">
        <v>-144.27</v>
      </c>
      <c r="R5031" s="36" t="s">
        <v>1256</v>
      </c>
      <c r="S5031" s="7">
        <f t="shared" si="428"/>
        <v>0</v>
      </c>
      <c r="T5031" s="15" t="str">
        <f>VLOOKUP(R5031,产品分类!$C$2:$D$1278,2,0)</f>
        <v>家具产品</v>
      </c>
    </row>
    <row r="5032" spans="1:20">
      <c r="A5032" s="8">
        <f>DATE(2012,12,31)-566</f>
        <v>40708</v>
      </c>
      <c r="B5032" s="8">
        <f>DATE(2012,12,31)-566</f>
        <v>40708</v>
      </c>
      <c r="C5032" s="9" t="s">
        <v>1643</v>
      </c>
      <c r="D5032">
        <v>10021575347</v>
      </c>
      <c r="E5032" t="s">
        <v>47</v>
      </c>
      <c r="F5032" t="s">
        <v>132</v>
      </c>
      <c r="G5032" t="s">
        <v>133</v>
      </c>
      <c r="H5032" t="s">
        <v>134</v>
      </c>
      <c r="I5032" t="s">
        <v>133</v>
      </c>
      <c r="J5032" t="s">
        <v>52</v>
      </c>
      <c r="K5032" s="3">
        <v>10019621048</v>
      </c>
      <c r="L5032" s="10">
        <v>40708</v>
      </c>
      <c r="M5032">
        <v>348.92</v>
      </c>
      <c r="N5032" s="11">
        <v>31</v>
      </c>
      <c r="O5032" s="12">
        <v>10.98</v>
      </c>
      <c r="P5032" s="12">
        <v>3.37</v>
      </c>
      <c r="Q5032" s="13">
        <v>28.47</v>
      </c>
      <c r="R5032" s="36" t="s">
        <v>1792</v>
      </c>
      <c r="S5032" s="7">
        <f t="shared" si="428"/>
        <v>0</v>
      </c>
      <c r="T5032" s="15" t="str">
        <f>VLOOKUP(R5032,产品分类!$C$2:$D$1278,2,0)</f>
        <v>办公用品</v>
      </c>
    </row>
    <row r="5033" spans="1:20">
      <c r="A5033" s="8">
        <f>DATE(2012,12,31)-951</f>
        <v>40323</v>
      </c>
      <c r="B5033" s="8">
        <f>DATE(2012,12,31)-951</f>
        <v>40323</v>
      </c>
      <c r="C5033" s="9" t="s">
        <v>188</v>
      </c>
      <c r="D5033">
        <v>10021346040</v>
      </c>
      <c r="E5033" t="s">
        <v>47</v>
      </c>
      <c r="F5033" t="s">
        <v>97</v>
      </c>
      <c r="G5033" t="s">
        <v>98</v>
      </c>
      <c r="H5033" t="s">
        <v>99</v>
      </c>
      <c r="I5033" t="s">
        <v>98</v>
      </c>
      <c r="J5033" t="s">
        <v>52</v>
      </c>
      <c r="K5033" s="3">
        <v>100327997709</v>
      </c>
      <c r="L5033" s="10">
        <v>40326</v>
      </c>
      <c r="M5033">
        <v>129.71</v>
      </c>
      <c r="N5033" s="11">
        <v>30</v>
      </c>
      <c r="O5033" s="12">
        <v>4.28</v>
      </c>
      <c r="P5033" s="12">
        <v>5.68</v>
      </c>
      <c r="Q5033" s="13">
        <v>-100.61</v>
      </c>
      <c r="R5033" s="36" t="s">
        <v>1614</v>
      </c>
      <c r="S5033" s="7">
        <f t="shared" si="428"/>
        <v>3</v>
      </c>
      <c r="T5033" s="15" t="str">
        <f>VLOOKUP(R5033,产品分类!$C$2:$D$1278,2,0)</f>
        <v>数码电子</v>
      </c>
    </row>
    <row r="5034" spans="1:20">
      <c r="A5034" s="16">
        <f>DATE(2012,12,31)-871</f>
        <v>40403</v>
      </c>
      <c r="B5034" s="16">
        <f>DATE(2012,12,31)-871</f>
        <v>40403</v>
      </c>
      <c r="C5034" s="9" t="s">
        <v>1941</v>
      </c>
      <c r="D5034">
        <v>10021252842</v>
      </c>
      <c r="E5034" t="s">
        <v>47</v>
      </c>
      <c r="F5034" t="s">
        <v>97</v>
      </c>
      <c r="G5034" t="s">
        <v>98</v>
      </c>
      <c r="H5034" t="s">
        <v>99</v>
      </c>
      <c r="I5034" t="s">
        <v>98</v>
      </c>
      <c r="J5034" t="s">
        <v>52</v>
      </c>
      <c r="K5034" s="3">
        <v>100115433086</v>
      </c>
      <c r="L5034" s="10">
        <v>40404</v>
      </c>
      <c r="M5034">
        <v>485.46</v>
      </c>
      <c r="N5034" s="17">
        <v>11</v>
      </c>
      <c r="O5034" s="5">
        <v>40.99</v>
      </c>
      <c r="P5034" s="5">
        <v>17.48</v>
      </c>
      <c r="Q5034" s="6">
        <v>48.88</v>
      </c>
      <c r="R5034" s="37" t="s">
        <v>620</v>
      </c>
      <c r="S5034" s="7">
        <f t="shared" si="428"/>
        <v>1</v>
      </c>
      <c r="T5034" s="15" t="str">
        <f>VLOOKUP(R5034,产品分类!$C$2:$D$1278,2,0)</f>
        <v>数码电子</v>
      </c>
    </row>
    <row r="5035" spans="1:20">
      <c r="A5035" s="8">
        <f>DATE(2012,12,31)-871</f>
        <v>40403</v>
      </c>
      <c r="B5035" s="8">
        <f>DATE(2012,12,31)-871</f>
        <v>40403</v>
      </c>
      <c r="C5035" s="9" t="s">
        <v>1941</v>
      </c>
      <c r="D5035">
        <v>10021249689</v>
      </c>
      <c r="E5035" t="s">
        <v>47</v>
      </c>
      <c r="F5035" t="s">
        <v>97</v>
      </c>
      <c r="G5035" t="s">
        <v>98</v>
      </c>
      <c r="H5035" t="s">
        <v>99</v>
      </c>
      <c r="I5035" t="s">
        <v>98</v>
      </c>
      <c r="J5035" t="s">
        <v>52</v>
      </c>
      <c r="K5035" s="3">
        <v>100410007804</v>
      </c>
      <c r="L5035" s="10">
        <v>40405</v>
      </c>
      <c r="M5035">
        <v>161.67</v>
      </c>
      <c r="N5035" s="11">
        <v>45</v>
      </c>
      <c r="O5035" s="12">
        <v>3.6</v>
      </c>
      <c r="P5035" s="12">
        <v>2.2</v>
      </c>
      <c r="Q5035" s="13">
        <v>-7.71</v>
      </c>
      <c r="R5035" s="36" t="s">
        <v>2044</v>
      </c>
      <c r="S5035" s="7">
        <f t="shared" si="428"/>
        <v>2</v>
      </c>
      <c r="T5035" s="15" t="str">
        <f>VLOOKUP(R5035,产品分类!$C$2:$D$1278,2,0)</f>
        <v>数码电子</v>
      </c>
    </row>
    <row r="5036" spans="1:20">
      <c r="A5036" s="16">
        <f>DATE(2012,12,31)-316</f>
        <v>40958</v>
      </c>
      <c r="B5036" s="16">
        <f>DATE(2012,12,31)-316</f>
        <v>40958</v>
      </c>
      <c r="C5036" s="9" t="s">
        <v>553</v>
      </c>
      <c r="D5036">
        <v>10021581015</v>
      </c>
      <c r="E5036" t="s">
        <v>47</v>
      </c>
      <c r="F5036" t="s">
        <v>97</v>
      </c>
      <c r="G5036" t="s">
        <v>98</v>
      </c>
      <c r="H5036" t="s">
        <v>99</v>
      </c>
      <c r="I5036" t="s">
        <v>98</v>
      </c>
      <c r="J5036" t="s">
        <v>52</v>
      </c>
      <c r="K5036" s="3">
        <v>10011416918</v>
      </c>
      <c r="L5036" s="10">
        <v>40963</v>
      </c>
      <c r="M5036">
        <v>37.4</v>
      </c>
      <c r="N5036" s="17">
        <v>20</v>
      </c>
      <c r="O5036" s="5">
        <v>1.68</v>
      </c>
      <c r="P5036" s="5">
        <v>1.57</v>
      </c>
      <c r="Q5036" s="6">
        <v>-17.18</v>
      </c>
      <c r="R5036" s="37" t="s">
        <v>881</v>
      </c>
      <c r="S5036" s="7">
        <f t="shared" si="428"/>
        <v>5</v>
      </c>
      <c r="T5036" s="15" t="str">
        <f>VLOOKUP(R5036,产品分类!$C$2:$D$1278,2,0)</f>
        <v>家具产品</v>
      </c>
    </row>
    <row r="5037" spans="1:20">
      <c r="A5037" s="16">
        <f>DATE(2012,12,31)-750</f>
        <v>40524</v>
      </c>
      <c r="B5037" s="16">
        <f>DATE(2012,12,31)-750</f>
        <v>40524</v>
      </c>
      <c r="C5037" s="9" t="s">
        <v>816</v>
      </c>
      <c r="D5037">
        <v>10021424471</v>
      </c>
      <c r="E5037" t="s">
        <v>47</v>
      </c>
      <c r="F5037" t="s">
        <v>132</v>
      </c>
      <c r="G5037" t="s">
        <v>133</v>
      </c>
      <c r="H5037" t="s">
        <v>134</v>
      </c>
      <c r="I5037" t="s">
        <v>133</v>
      </c>
      <c r="J5037" t="s">
        <v>52</v>
      </c>
      <c r="K5037" s="3">
        <v>10019656257</v>
      </c>
      <c r="L5037" s="10">
        <v>40526</v>
      </c>
      <c r="M5037">
        <v>240.18</v>
      </c>
      <c r="N5037" s="17">
        <v>40</v>
      </c>
      <c r="O5037" s="5">
        <v>5.78</v>
      </c>
      <c r="P5037" s="5">
        <v>7.64</v>
      </c>
      <c r="Q5037" s="6">
        <v>-160.21</v>
      </c>
      <c r="R5037" s="37" t="s">
        <v>1107</v>
      </c>
      <c r="S5037" s="7">
        <f t="shared" si="428"/>
        <v>2</v>
      </c>
      <c r="T5037" s="15" t="str">
        <f>VLOOKUP(R5037,产品分类!$C$2:$D$1278,2,0)</f>
        <v>家具产品</v>
      </c>
    </row>
    <row r="5038" spans="1:20">
      <c r="A5038" s="16">
        <f>DATE(2012,12,31)-750</f>
        <v>40524</v>
      </c>
      <c r="B5038" s="16">
        <f>DATE(2012,12,31)-750</f>
        <v>40524</v>
      </c>
      <c r="C5038" s="9" t="s">
        <v>816</v>
      </c>
      <c r="D5038">
        <v>10021676691</v>
      </c>
      <c r="E5038" t="s">
        <v>47</v>
      </c>
      <c r="F5038" t="s">
        <v>102</v>
      </c>
      <c r="G5038" t="s">
        <v>103</v>
      </c>
      <c r="H5038" t="s">
        <v>2400</v>
      </c>
      <c r="I5038" t="s">
        <v>2401</v>
      </c>
      <c r="J5038" t="s">
        <v>52</v>
      </c>
      <c r="K5038" s="3">
        <v>100132653236</v>
      </c>
      <c r="L5038" s="10">
        <v>40525</v>
      </c>
      <c r="M5038">
        <v>529.28</v>
      </c>
      <c r="N5038" s="17">
        <v>45</v>
      </c>
      <c r="O5038" s="5">
        <v>12.21</v>
      </c>
      <c r="P5038" s="5">
        <v>4.81</v>
      </c>
      <c r="Q5038" s="6">
        <v>-30.27</v>
      </c>
      <c r="R5038" s="37" t="s">
        <v>1767</v>
      </c>
      <c r="S5038" s="7">
        <f t="shared" si="428"/>
        <v>1</v>
      </c>
      <c r="T5038" s="15" t="str">
        <f>VLOOKUP(R5038,产品分类!$C$2:$D$1278,2,0)</f>
        <v>数码电子</v>
      </c>
    </row>
    <row r="5039" spans="1:20">
      <c r="A5039" s="8">
        <f t="shared" ref="A5039:B5041" si="430">DATE(2012,12,31)-768</f>
        <v>40506</v>
      </c>
      <c r="B5039" s="8">
        <f t="shared" si="430"/>
        <v>40506</v>
      </c>
      <c r="C5039" s="9" t="s">
        <v>2410</v>
      </c>
      <c r="D5039">
        <v>10021343780</v>
      </c>
      <c r="E5039" t="s">
        <v>47</v>
      </c>
      <c r="F5039" t="s">
        <v>137</v>
      </c>
      <c r="G5039" t="s">
        <v>138</v>
      </c>
      <c r="H5039" t="s">
        <v>139</v>
      </c>
      <c r="I5039" t="s">
        <v>140</v>
      </c>
      <c r="J5039" t="s">
        <v>52</v>
      </c>
      <c r="K5039" s="3">
        <v>100129169887</v>
      </c>
      <c r="L5039" s="10">
        <v>40507</v>
      </c>
      <c r="M5039">
        <v>881.501</v>
      </c>
      <c r="N5039" s="11">
        <v>28</v>
      </c>
      <c r="O5039" s="12">
        <v>35.99</v>
      </c>
      <c r="P5039" s="12">
        <v>3.3</v>
      </c>
      <c r="Q5039" s="13">
        <v>334.53</v>
      </c>
      <c r="R5039" s="36" t="s">
        <v>1817</v>
      </c>
      <c r="S5039" s="7">
        <f t="shared" si="428"/>
        <v>1</v>
      </c>
      <c r="T5039" s="15" t="str">
        <f>VLOOKUP(R5039,产品分类!$C$2:$D$1278,2,0)</f>
        <v>数码电子</v>
      </c>
    </row>
    <row r="5040" spans="1:20">
      <c r="A5040" s="8">
        <f t="shared" si="430"/>
        <v>40506</v>
      </c>
      <c r="B5040" s="8">
        <f t="shared" si="430"/>
        <v>40506</v>
      </c>
      <c r="C5040" s="9" t="s">
        <v>2410</v>
      </c>
      <c r="D5040">
        <v>10021610173</v>
      </c>
      <c r="E5040" t="s">
        <v>47</v>
      </c>
      <c r="F5040" t="s">
        <v>102</v>
      </c>
      <c r="G5040" t="s">
        <v>103</v>
      </c>
      <c r="H5040" t="s">
        <v>2400</v>
      </c>
      <c r="I5040" t="s">
        <v>2401</v>
      </c>
      <c r="J5040" t="s">
        <v>52</v>
      </c>
      <c r="K5040" s="3">
        <v>100125408948</v>
      </c>
      <c r="L5040" s="10">
        <v>40508</v>
      </c>
      <c r="M5040">
        <v>161.72</v>
      </c>
      <c r="N5040" s="11">
        <v>25</v>
      </c>
      <c r="O5040" s="12">
        <v>6.48</v>
      </c>
      <c r="P5040" s="12">
        <v>8.4</v>
      </c>
      <c r="Q5040" s="13">
        <v>-121.18</v>
      </c>
      <c r="R5040" s="36" t="s">
        <v>767</v>
      </c>
      <c r="S5040" s="7">
        <f t="shared" si="428"/>
        <v>2</v>
      </c>
      <c r="T5040" s="15" t="str">
        <f>VLOOKUP(R5040,产品分类!$C$2:$D$1278,2,0)</f>
        <v>家具产品</v>
      </c>
    </row>
    <row r="5041" spans="1:20">
      <c r="A5041" s="8">
        <f t="shared" si="430"/>
        <v>40506</v>
      </c>
      <c r="B5041" s="8">
        <f t="shared" si="430"/>
        <v>40506</v>
      </c>
      <c r="C5041" s="9" t="s">
        <v>2410</v>
      </c>
      <c r="D5041">
        <v>10021628869</v>
      </c>
      <c r="E5041" t="s">
        <v>47</v>
      </c>
      <c r="F5041" t="s">
        <v>208</v>
      </c>
      <c r="G5041" t="s">
        <v>209</v>
      </c>
      <c r="H5041" t="s">
        <v>2300</v>
      </c>
      <c r="I5041" t="s">
        <v>2301</v>
      </c>
      <c r="J5041" t="s">
        <v>52</v>
      </c>
      <c r="K5041" s="3">
        <v>100130702756</v>
      </c>
      <c r="L5041" s="10">
        <v>40508</v>
      </c>
      <c r="M5041">
        <v>660.059</v>
      </c>
      <c r="N5041" s="11">
        <v>36</v>
      </c>
      <c r="O5041" s="12">
        <v>20.99</v>
      </c>
      <c r="P5041" s="12">
        <v>1.25</v>
      </c>
      <c r="Q5041" s="13">
        <v>-0.649</v>
      </c>
      <c r="R5041" s="36" t="s">
        <v>1326</v>
      </c>
      <c r="S5041" s="7">
        <f t="shared" si="428"/>
        <v>2</v>
      </c>
      <c r="T5041" s="15" t="str">
        <f>VLOOKUP(R5041,产品分类!$C$2:$D$1278,2,0)</f>
        <v>家具产品</v>
      </c>
    </row>
    <row r="5042" spans="1:20">
      <c r="A5042" s="8">
        <f>DATE(2012,12,31)-1440</f>
        <v>39834</v>
      </c>
      <c r="B5042" s="8">
        <f>DATE(2012,12,31)-1440</f>
        <v>39834</v>
      </c>
      <c r="C5042" s="9" t="s">
        <v>571</v>
      </c>
      <c r="D5042">
        <v>10021249672</v>
      </c>
      <c r="E5042" t="s">
        <v>47</v>
      </c>
      <c r="F5042" t="s">
        <v>102</v>
      </c>
      <c r="G5042" t="s">
        <v>103</v>
      </c>
      <c r="H5042" t="s">
        <v>2400</v>
      </c>
      <c r="I5042" t="s">
        <v>2401</v>
      </c>
      <c r="J5042" t="s">
        <v>52</v>
      </c>
      <c r="K5042" s="3">
        <v>10019996287</v>
      </c>
      <c r="L5042" s="10">
        <v>39835</v>
      </c>
      <c r="M5042">
        <v>312.26</v>
      </c>
      <c r="N5042" s="11">
        <v>41</v>
      </c>
      <c r="O5042" s="12">
        <v>7.84</v>
      </c>
      <c r="P5042" s="12">
        <v>4.71</v>
      </c>
      <c r="Q5042" s="13">
        <v>-10.3845</v>
      </c>
      <c r="R5042" s="36" t="s">
        <v>817</v>
      </c>
      <c r="S5042" s="7">
        <f t="shared" si="428"/>
        <v>1</v>
      </c>
      <c r="T5042" s="15" t="str">
        <f>VLOOKUP(R5042,产品分类!$C$2:$D$1278,2,0)</f>
        <v>办公用品</v>
      </c>
    </row>
    <row r="5043" spans="1:20">
      <c r="A5043" s="8">
        <f>DATE(2012,12,31)-1440</f>
        <v>39834</v>
      </c>
      <c r="B5043" s="8">
        <f>DATE(2012,12,31)-1440</f>
        <v>39834</v>
      </c>
      <c r="C5043" s="9" t="s">
        <v>571</v>
      </c>
      <c r="D5043">
        <v>10021269479</v>
      </c>
      <c r="E5043" t="s">
        <v>47</v>
      </c>
      <c r="F5043" t="s">
        <v>102</v>
      </c>
      <c r="G5043" t="s">
        <v>103</v>
      </c>
      <c r="H5043" t="s">
        <v>2400</v>
      </c>
      <c r="I5043" t="s">
        <v>2401</v>
      </c>
      <c r="J5043" t="s">
        <v>52</v>
      </c>
      <c r="K5043" s="3">
        <v>100132446146</v>
      </c>
      <c r="L5043" s="10">
        <v>39835</v>
      </c>
      <c r="M5043">
        <v>4152.55</v>
      </c>
      <c r="N5043" s="11">
        <v>40</v>
      </c>
      <c r="O5043" s="12">
        <v>105.34</v>
      </c>
      <c r="P5043" s="12">
        <v>24.49</v>
      </c>
      <c r="Q5043" s="13">
        <v>813.33</v>
      </c>
      <c r="R5043" s="36" t="s">
        <v>1441</v>
      </c>
      <c r="S5043" s="7">
        <f t="shared" si="428"/>
        <v>1</v>
      </c>
      <c r="T5043" s="15" t="str">
        <f>VLOOKUP(R5043,产品分类!$C$2:$D$1278,2,0)</f>
        <v>办公用品</v>
      </c>
    </row>
    <row r="5044" spans="1:20">
      <c r="A5044" s="8">
        <f>DATE(2012,12,31)-44</f>
        <v>41230</v>
      </c>
      <c r="B5044" s="8">
        <f>DATE(2012,12,31)-44</f>
        <v>41230</v>
      </c>
      <c r="C5044" s="9" t="s">
        <v>162</v>
      </c>
      <c r="D5044">
        <v>10021522120</v>
      </c>
      <c r="E5044" t="s">
        <v>47</v>
      </c>
      <c r="F5044" t="s">
        <v>208</v>
      </c>
      <c r="G5044" t="s">
        <v>209</v>
      </c>
      <c r="H5044" t="s">
        <v>2300</v>
      </c>
      <c r="I5044" t="s">
        <v>2301</v>
      </c>
      <c r="J5044" t="s">
        <v>52</v>
      </c>
      <c r="K5044" s="3">
        <v>10049869323</v>
      </c>
      <c r="L5044" s="10">
        <v>41232</v>
      </c>
      <c r="M5044">
        <v>1770.7</v>
      </c>
      <c r="N5044" s="11">
        <v>6</v>
      </c>
      <c r="O5044" s="12">
        <v>280.98</v>
      </c>
      <c r="P5044" s="12">
        <v>57</v>
      </c>
      <c r="Q5044" s="13">
        <v>-448.25</v>
      </c>
      <c r="R5044" s="36" t="s">
        <v>1283</v>
      </c>
      <c r="S5044" s="7">
        <f t="shared" si="428"/>
        <v>2</v>
      </c>
      <c r="T5044" s="15" t="str">
        <f>VLOOKUP(R5044,产品分类!$C$2:$D$1278,2,0)</f>
        <v>办公用品</v>
      </c>
    </row>
    <row r="5045" spans="1:20">
      <c r="A5045" s="8">
        <f>DATE(2012,12,31)-44</f>
        <v>41230</v>
      </c>
      <c r="B5045" s="8">
        <f>DATE(2012,12,31)-44</f>
        <v>41230</v>
      </c>
      <c r="C5045" s="9" t="s">
        <v>162</v>
      </c>
      <c r="D5045">
        <v>10021505676</v>
      </c>
      <c r="E5045" t="s">
        <v>47</v>
      </c>
      <c r="F5045" t="s">
        <v>304</v>
      </c>
      <c r="G5045" t="s">
        <v>305</v>
      </c>
      <c r="H5045" t="s">
        <v>2383</v>
      </c>
      <c r="I5045" t="s">
        <v>2384</v>
      </c>
      <c r="J5045" t="s">
        <v>52</v>
      </c>
      <c r="K5045" s="3">
        <v>100931117071</v>
      </c>
      <c r="L5045" s="10">
        <v>41231</v>
      </c>
      <c r="M5045">
        <v>628.33</v>
      </c>
      <c r="N5045" s="11">
        <v>48</v>
      </c>
      <c r="O5045" s="12">
        <v>14.03</v>
      </c>
      <c r="P5045" s="12">
        <v>9.37</v>
      </c>
      <c r="Q5045" s="13">
        <v>-226.62</v>
      </c>
      <c r="R5045" s="36" t="s">
        <v>1014</v>
      </c>
      <c r="S5045" s="7">
        <f t="shared" si="428"/>
        <v>1</v>
      </c>
      <c r="T5045" s="15" t="str">
        <f>VLOOKUP(R5045,产品分类!$C$2:$D$1278,2,0)</f>
        <v>数码电子</v>
      </c>
    </row>
    <row r="5046" spans="1:20">
      <c r="A5046" s="16">
        <f>DATE(2012,12,31)-949</f>
        <v>40325</v>
      </c>
      <c r="B5046" s="16">
        <f>DATE(2012,12,31)-949</f>
        <v>40325</v>
      </c>
      <c r="C5046" s="9" t="s">
        <v>609</v>
      </c>
      <c r="D5046">
        <v>10021386632</v>
      </c>
      <c r="E5046" t="s">
        <v>47</v>
      </c>
      <c r="F5046" t="s">
        <v>171</v>
      </c>
      <c r="G5046" t="s">
        <v>172</v>
      </c>
      <c r="H5046" t="s">
        <v>2352</v>
      </c>
      <c r="I5046" t="s">
        <v>2353</v>
      </c>
      <c r="J5046" t="s">
        <v>52</v>
      </c>
      <c r="K5046" s="3">
        <v>100112007226</v>
      </c>
      <c r="L5046" s="10">
        <v>40328</v>
      </c>
      <c r="M5046">
        <v>136.63</v>
      </c>
      <c r="N5046" s="17">
        <v>47</v>
      </c>
      <c r="O5046" s="5">
        <v>2.88</v>
      </c>
      <c r="P5046" s="5">
        <v>5.33</v>
      </c>
      <c r="Q5046" s="6">
        <v>-162.61</v>
      </c>
      <c r="R5046" s="37" t="s">
        <v>2279</v>
      </c>
      <c r="S5046" s="7">
        <f t="shared" si="428"/>
        <v>3</v>
      </c>
      <c r="T5046" s="15" t="str">
        <f>VLOOKUP(R5046,产品分类!$C$2:$D$1278,2,0)</f>
        <v>家具产品</v>
      </c>
    </row>
    <row r="5047" spans="1:20">
      <c r="A5047" s="8">
        <f>DATE(2012,12,31)-303</f>
        <v>40971</v>
      </c>
      <c r="B5047" s="8">
        <f>DATE(2012,12,31)-303</f>
        <v>40971</v>
      </c>
      <c r="C5047" s="9" t="s">
        <v>1191</v>
      </c>
      <c r="D5047">
        <v>10021669765</v>
      </c>
      <c r="E5047" t="s">
        <v>47</v>
      </c>
      <c r="F5047" t="s">
        <v>171</v>
      </c>
      <c r="G5047" t="s">
        <v>172</v>
      </c>
      <c r="H5047" t="s">
        <v>2352</v>
      </c>
      <c r="I5047" t="s">
        <v>2353</v>
      </c>
      <c r="J5047" t="s">
        <v>52</v>
      </c>
      <c r="K5047" s="3">
        <v>100729867945</v>
      </c>
      <c r="L5047" s="10">
        <v>40973</v>
      </c>
      <c r="M5047">
        <v>141.2</v>
      </c>
      <c r="N5047" s="11">
        <v>21</v>
      </c>
      <c r="O5047" s="12">
        <v>6.23</v>
      </c>
      <c r="P5047" s="12">
        <v>6.97</v>
      </c>
      <c r="Q5047" s="13">
        <v>-74.4395</v>
      </c>
      <c r="R5047" s="36" t="s">
        <v>2290</v>
      </c>
      <c r="S5047" s="7">
        <f t="shared" si="428"/>
        <v>2</v>
      </c>
      <c r="T5047" s="15" t="str">
        <f>VLOOKUP(R5047,产品分类!$C$2:$D$1278,2,0)</f>
        <v>家具产品</v>
      </c>
    </row>
    <row r="5048" spans="1:20">
      <c r="A5048" s="8">
        <f>DATE(2012,12,31)-644</f>
        <v>40630</v>
      </c>
      <c r="B5048" s="8">
        <f>DATE(2012,12,31)-644</f>
        <v>40630</v>
      </c>
      <c r="C5048" s="9" t="s">
        <v>1126</v>
      </c>
      <c r="D5048">
        <v>10021595022</v>
      </c>
      <c r="E5048" t="s">
        <v>47</v>
      </c>
      <c r="F5048" t="s">
        <v>171</v>
      </c>
      <c r="G5048" t="s">
        <v>172</v>
      </c>
      <c r="H5048" t="s">
        <v>2352</v>
      </c>
      <c r="I5048" t="s">
        <v>2353</v>
      </c>
      <c r="J5048" t="s">
        <v>52</v>
      </c>
      <c r="K5048" s="3">
        <v>10016555478</v>
      </c>
      <c r="L5048" s="10">
        <v>40632</v>
      </c>
      <c r="M5048">
        <v>1038.82</v>
      </c>
      <c r="N5048" s="11">
        <v>45</v>
      </c>
      <c r="O5048" s="12">
        <v>22.38</v>
      </c>
      <c r="P5048" s="12">
        <v>15.1</v>
      </c>
      <c r="Q5048" s="13">
        <v>-78.361</v>
      </c>
      <c r="R5048" s="36" t="s">
        <v>938</v>
      </c>
      <c r="S5048" s="7">
        <f t="shared" si="428"/>
        <v>2</v>
      </c>
      <c r="T5048" s="15" t="str">
        <f>VLOOKUP(R5048,产品分类!$C$2:$D$1278,2,0)</f>
        <v>办公用品</v>
      </c>
    </row>
    <row r="5049" spans="1:20">
      <c r="A5049" s="8">
        <f>DATE(2012,12,31)-644</f>
        <v>40630</v>
      </c>
      <c r="B5049" s="8">
        <f>DATE(2012,12,31)-644</f>
        <v>40630</v>
      </c>
      <c r="C5049" s="9" t="s">
        <v>1126</v>
      </c>
      <c r="D5049">
        <v>10021605750</v>
      </c>
      <c r="E5049" t="s">
        <v>47</v>
      </c>
      <c r="F5049" t="s">
        <v>171</v>
      </c>
      <c r="G5049" t="s">
        <v>172</v>
      </c>
      <c r="H5049" t="s">
        <v>2352</v>
      </c>
      <c r="I5049" t="s">
        <v>2353</v>
      </c>
      <c r="J5049" t="s">
        <v>52</v>
      </c>
      <c r="K5049" s="3">
        <v>100410938324</v>
      </c>
      <c r="L5049" s="10">
        <v>40634</v>
      </c>
      <c r="M5049">
        <v>564.39</v>
      </c>
      <c r="N5049" s="11">
        <v>47</v>
      </c>
      <c r="O5049" s="12">
        <v>12.95</v>
      </c>
      <c r="P5049" s="12">
        <v>4.98</v>
      </c>
      <c r="Q5049" s="13">
        <v>51.8245</v>
      </c>
      <c r="R5049" s="36" t="s">
        <v>312</v>
      </c>
      <c r="S5049" s="7">
        <f t="shared" si="428"/>
        <v>4</v>
      </c>
      <c r="T5049" s="15" t="str">
        <f>VLOOKUP(R5049,产品分类!$C$2:$D$1278,2,0)</f>
        <v>数码电子</v>
      </c>
    </row>
    <row r="5050" spans="1:20">
      <c r="A5050" s="8">
        <f>DATE(2012,12,31)-792</f>
        <v>40482</v>
      </c>
      <c r="B5050" s="8">
        <f>DATE(2012,12,31)-792</f>
        <v>40482</v>
      </c>
      <c r="C5050" s="9" t="s">
        <v>515</v>
      </c>
      <c r="D5050">
        <v>10021668717</v>
      </c>
      <c r="E5050" t="s">
        <v>47</v>
      </c>
      <c r="F5050" t="s">
        <v>527</v>
      </c>
      <c r="G5050" t="s">
        <v>528</v>
      </c>
      <c r="H5050" t="s">
        <v>2385</v>
      </c>
      <c r="I5050" t="s">
        <v>2386</v>
      </c>
      <c r="J5050" t="s">
        <v>52</v>
      </c>
      <c r="K5050" s="3">
        <v>100829222742</v>
      </c>
      <c r="L5050" s="10">
        <v>40484</v>
      </c>
      <c r="M5050">
        <v>207.42</v>
      </c>
      <c r="N5050" s="11">
        <v>40</v>
      </c>
      <c r="O5050" s="12">
        <v>4.91</v>
      </c>
      <c r="P5050" s="12">
        <v>5.68</v>
      </c>
      <c r="Q5050" s="13">
        <v>-115.345</v>
      </c>
      <c r="R5050" s="36" t="s">
        <v>1350</v>
      </c>
      <c r="S5050" s="7">
        <f t="shared" si="428"/>
        <v>2</v>
      </c>
      <c r="T5050" s="15" t="str">
        <f>VLOOKUP(R5050,产品分类!$C$2:$D$1278,2,0)</f>
        <v>办公用品</v>
      </c>
    </row>
    <row r="5051" spans="1:20">
      <c r="A5051" s="8">
        <f>DATE(2012,12,31)-792</f>
        <v>40482</v>
      </c>
      <c r="B5051" s="8">
        <f>DATE(2012,12,31)-792</f>
        <v>40482</v>
      </c>
      <c r="C5051" s="9" t="s">
        <v>515</v>
      </c>
      <c r="D5051">
        <v>10021620748</v>
      </c>
      <c r="E5051" t="s">
        <v>47</v>
      </c>
      <c r="F5051" t="s">
        <v>171</v>
      </c>
      <c r="G5051" t="s">
        <v>172</v>
      </c>
      <c r="H5051" t="s">
        <v>2352</v>
      </c>
      <c r="I5051" t="s">
        <v>2353</v>
      </c>
      <c r="J5051" t="s">
        <v>52</v>
      </c>
      <c r="K5051" s="3">
        <v>10037081329</v>
      </c>
      <c r="L5051" s="10">
        <v>40484</v>
      </c>
      <c r="M5051">
        <v>1031.18</v>
      </c>
      <c r="N5051" s="11">
        <v>48</v>
      </c>
      <c r="O5051" s="12">
        <v>19.98</v>
      </c>
      <c r="P5051" s="12">
        <v>5.77</v>
      </c>
      <c r="Q5051" s="13">
        <v>349.82</v>
      </c>
      <c r="R5051" s="36" t="s">
        <v>1619</v>
      </c>
      <c r="S5051" s="7">
        <f t="shared" si="428"/>
        <v>2</v>
      </c>
      <c r="T5051" s="15" t="str">
        <f>VLOOKUP(R5051,产品分类!$C$2:$D$1278,2,0)</f>
        <v>数码电子</v>
      </c>
    </row>
    <row r="5052" spans="1:20">
      <c r="A5052" s="16">
        <f>DATE(2012,12,31)-836</f>
        <v>40438</v>
      </c>
      <c r="B5052" s="16">
        <f>DATE(2012,12,31)-836</f>
        <v>40438</v>
      </c>
      <c r="C5052" s="9" t="s">
        <v>1429</v>
      </c>
      <c r="D5052">
        <v>10021348668</v>
      </c>
      <c r="E5052" t="s">
        <v>47</v>
      </c>
      <c r="F5052" t="s">
        <v>171</v>
      </c>
      <c r="G5052" t="s">
        <v>172</v>
      </c>
      <c r="H5052" t="s">
        <v>2352</v>
      </c>
      <c r="I5052" t="s">
        <v>2353</v>
      </c>
      <c r="J5052" t="s">
        <v>52</v>
      </c>
      <c r="K5052" s="3">
        <v>100431602314</v>
      </c>
      <c r="L5052" s="10">
        <v>40442</v>
      </c>
      <c r="M5052">
        <v>29.65</v>
      </c>
      <c r="N5052" s="17">
        <v>1</v>
      </c>
      <c r="O5052" s="5">
        <v>14.98</v>
      </c>
      <c r="P5052" s="5">
        <v>7.69</v>
      </c>
      <c r="Q5052" s="6">
        <v>-16.54</v>
      </c>
      <c r="R5052" s="37" t="s">
        <v>1142</v>
      </c>
      <c r="S5052" s="7">
        <f t="shared" si="428"/>
        <v>4</v>
      </c>
      <c r="T5052" s="15" t="str">
        <f>VLOOKUP(R5052,产品分类!$C$2:$D$1278,2,0)</f>
        <v>办公用品</v>
      </c>
    </row>
    <row r="5053" spans="1:20">
      <c r="A5053" s="8">
        <f>DATE(2012,12,31)-1108</f>
        <v>40166</v>
      </c>
      <c r="B5053" s="8">
        <f>DATE(2012,12,31)-1108</f>
        <v>40166</v>
      </c>
      <c r="C5053" s="9" t="s">
        <v>1050</v>
      </c>
      <c r="D5053">
        <v>10021425885</v>
      </c>
      <c r="E5053" t="s">
        <v>47</v>
      </c>
      <c r="F5053" t="s">
        <v>171</v>
      </c>
      <c r="G5053" t="s">
        <v>172</v>
      </c>
      <c r="H5053" t="s">
        <v>2352</v>
      </c>
      <c r="I5053" t="s">
        <v>2353</v>
      </c>
      <c r="J5053" t="s">
        <v>52</v>
      </c>
      <c r="K5053" s="3">
        <v>100129875126</v>
      </c>
      <c r="L5053" s="10">
        <v>40166</v>
      </c>
      <c r="M5053">
        <v>83.02</v>
      </c>
      <c r="N5053" s="11">
        <v>15</v>
      </c>
      <c r="O5053" s="12">
        <v>4.98</v>
      </c>
      <c r="P5053" s="12">
        <v>4.62</v>
      </c>
      <c r="Q5053" s="13">
        <v>-54.01</v>
      </c>
      <c r="R5053" s="36" t="s">
        <v>146</v>
      </c>
      <c r="S5053" s="7">
        <f t="shared" si="428"/>
        <v>0</v>
      </c>
      <c r="T5053" s="15" t="str">
        <f>VLOOKUP(R5053,产品分类!$C$2:$D$1278,2,0)</f>
        <v>办公用品</v>
      </c>
    </row>
    <row r="5054" spans="1:20">
      <c r="A5054" s="8">
        <f>DATE(2012,12,31)-76</f>
        <v>41198</v>
      </c>
      <c r="B5054" s="8">
        <f>DATE(2012,12,31)-76</f>
        <v>41198</v>
      </c>
      <c r="C5054" s="9" t="s">
        <v>1968</v>
      </c>
      <c r="D5054">
        <v>10021671419</v>
      </c>
      <c r="E5054" t="s">
        <v>47</v>
      </c>
      <c r="F5054" t="s">
        <v>171</v>
      </c>
      <c r="G5054" t="s">
        <v>172</v>
      </c>
      <c r="H5054" t="s">
        <v>2352</v>
      </c>
      <c r="I5054" t="s">
        <v>2353</v>
      </c>
      <c r="J5054" t="s">
        <v>52</v>
      </c>
      <c r="K5054" s="3">
        <v>100130946738</v>
      </c>
      <c r="L5054" s="10">
        <v>41200</v>
      </c>
      <c r="M5054">
        <v>19.36</v>
      </c>
      <c r="N5054" s="11">
        <v>10</v>
      </c>
      <c r="O5054" s="12">
        <v>1.76</v>
      </c>
      <c r="P5054" s="12">
        <v>0.7</v>
      </c>
      <c r="Q5054" s="13">
        <v>-1.02</v>
      </c>
      <c r="R5054" s="36" t="s">
        <v>318</v>
      </c>
      <c r="S5054" s="7">
        <f t="shared" si="428"/>
        <v>2</v>
      </c>
      <c r="T5054" s="15" t="str">
        <f>VLOOKUP(R5054,产品分类!$C$2:$D$1278,2,0)</f>
        <v>办公用品</v>
      </c>
    </row>
    <row r="5055" spans="1:20">
      <c r="A5055" s="8">
        <f>DATE(2012,12,31)-137</f>
        <v>41137</v>
      </c>
      <c r="B5055" s="8">
        <f>DATE(2012,12,31)-137</f>
        <v>41137</v>
      </c>
      <c r="C5055" s="9" t="s">
        <v>1362</v>
      </c>
      <c r="D5055">
        <v>10021461324</v>
      </c>
      <c r="E5055" t="s">
        <v>47</v>
      </c>
      <c r="F5055" t="s">
        <v>171</v>
      </c>
      <c r="G5055" t="s">
        <v>172</v>
      </c>
      <c r="H5055" t="s">
        <v>2352</v>
      </c>
      <c r="I5055" t="s">
        <v>2353</v>
      </c>
      <c r="J5055" t="s">
        <v>52</v>
      </c>
      <c r="K5055" s="3">
        <v>100414893663</v>
      </c>
      <c r="L5055" s="10">
        <v>41139</v>
      </c>
      <c r="M5055">
        <v>95.26</v>
      </c>
      <c r="N5055" s="11">
        <v>26</v>
      </c>
      <c r="O5055" s="12">
        <v>3.28</v>
      </c>
      <c r="P5055" s="12">
        <v>5</v>
      </c>
      <c r="Q5055" s="13">
        <v>-89.06</v>
      </c>
      <c r="R5055" s="36" t="s">
        <v>906</v>
      </c>
      <c r="S5055" s="7">
        <f t="shared" si="428"/>
        <v>2</v>
      </c>
      <c r="T5055" s="15" t="str">
        <f>VLOOKUP(R5055,产品分类!$C$2:$D$1278,2,0)</f>
        <v>数码电子</v>
      </c>
    </row>
    <row r="5056" spans="1:20">
      <c r="A5056" s="8">
        <f>DATE(2012,12,31)-1048</f>
        <v>40226</v>
      </c>
      <c r="B5056" s="8">
        <f>DATE(2012,12,31)-1048</f>
        <v>40226</v>
      </c>
      <c r="C5056" s="9" t="s">
        <v>2256</v>
      </c>
      <c r="D5056">
        <v>10021656780</v>
      </c>
      <c r="E5056" t="s">
        <v>47</v>
      </c>
      <c r="F5056" t="s">
        <v>171</v>
      </c>
      <c r="G5056" t="s">
        <v>172</v>
      </c>
      <c r="H5056" t="s">
        <v>2352</v>
      </c>
      <c r="I5056" t="s">
        <v>2353</v>
      </c>
      <c r="J5056" t="s">
        <v>52</v>
      </c>
      <c r="K5056" s="3">
        <v>10013424458</v>
      </c>
      <c r="L5056" s="10">
        <v>40226</v>
      </c>
      <c r="M5056">
        <v>538.3</v>
      </c>
      <c r="N5056" s="11">
        <v>31</v>
      </c>
      <c r="O5056" s="12">
        <v>16.98</v>
      </c>
      <c r="P5056" s="12">
        <v>12.39</v>
      </c>
      <c r="Q5056" s="13">
        <v>-63.98</v>
      </c>
      <c r="R5056" s="36" t="s">
        <v>1307</v>
      </c>
      <c r="S5056" s="7">
        <f t="shared" si="428"/>
        <v>0</v>
      </c>
      <c r="T5056" s="15" t="str">
        <f>VLOOKUP(R5056,产品分类!$C$2:$D$1278,2,0)</f>
        <v>办公用品</v>
      </c>
    </row>
    <row r="5057" spans="1:20">
      <c r="A5057" s="8">
        <f>DATE(2012,12,31)-1276</f>
        <v>39998</v>
      </c>
      <c r="B5057" s="8">
        <f>DATE(2012,12,31)-1276</f>
        <v>39998</v>
      </c>
      <c r="C5057" s="9" t="s">
        <v>520</v>
      </c>
      <c r="D5057">
        <v>10021498852</v>
      </c>
      <c r="E5057" t="s">
        <v>47</v>
      </c>
      <c r="F5057" t="s">
        <v>177</v>
      </c>
      <c r="G5057" t="s">
        <v>178</v>
      </c>
      <c r="H5057" t="s">
        <v>2339</v>
      </c>
      <c r="I5057" t="s">
        <v>2340</v>
      </c>
      <c r="J5057" t="s">
        <v>52</v>
      </c>
      <c r="K5057" s="3">
        <v>100123589067</v>
      </c>
      <c r="L5057" s="10">
        <v>40000</v>
      </c>
      <c r="M5057">
        <v>6176.29</v>
      </c>
      <c r="N5057" s="11">
        <v>37</v>
      </c>
      <c r="O5057" s="12">
        <v>165.2</v>
      </c>
      <c r="P5057" s="12">
        <v>19.99</v>
      </c>
      <c r="Q5057" s="13">
        <v>1499.94</v>
      </c>
      <c r="R5057" s="36" t="s">
        <v>812</v>
      </c>
      <c r="S5057" s="7">
        <f t="shared" si="428"/>
        <v>2</v>
      </c>
      <c r="T5057" s="15" t="str">
        <f>VLOOKUP(R5057,产品分类!$C$2:$D$1278,2,0)</f>
        <v>家具产品</v>
      </c>
    </row>
    <row r="5058" spans="1:20">
      <c r="A5058" s="8">
        <f>DATE(2012,12,31)-1425</f>
        <v>39849</v>
      </c>
      <c r="B5058" s="8">
        <f>DATE(2012,12,31)-1425</f>
        <v>39849</v>
      </c>
      <c r="C5058" s="9" t="s">
        <v>848</v>
      </c>
      <c r="D5058">
        <v>10021390218</v>
      </c>
      <c r="E5058" t="s">
        <v>47</v>
      </c>
      <c r="F5058" t="s">
        <v>177</v>
      </c>
      <c r="G5058" t="s">
        <v>178</v>
      </c>
      <c r="H5058" t="s">
        <v>2339</v>
      </c>
      <c r="I5058" t="s">
        <v>2340</v>
      </c>
      <c r="J5058" t="s">
        <v>52</v>
      </c>
      <c r="K5058" s="3">
        <v>100331258489</v>
      </c>
      <c r="L5058" s="10">
        <v>39850</v>
      </c>
      <c r="M5058">
        <v>6133.18</v>
      </c>
      <c r="N5058" s="11">
        <v>23</v>
      </c>
      <c r="O5058" s="12">
        <v>279.81</v>
      </c>
      <c r="P5058" s="12">
        <v>23.19</v>
      </c>
      <c r="Q5058" s="13">
        <v>1243.17</v>
      </c>
      <c r="R5058" s="36" t="s">
        <v>720</v>
      </c>
      <c r="S5058" s="7">
        <f t="shared" si="428"/>
        <v>1</v>
      </c>
      <c r="T5058" s="15" t="str">
        <f>VLOOKUP(R5058,产品分类!$C$2:$D$1278,2,0)</f>
        <v>办公用品</v>
      </c>
    </row>
    <row r="5059" spans="1:20">
      <c r="A5059" s="8">
        <f t="shared" ref="A5059:B5061" si="431">DATE(2012,12,31)-1122</f>
        <v>40152</v>
      </c>
      <c r="B5059" s="8">
        <f t="shared" si="431"/>
        <v>40152</v>
      </c>
      <c r="C5059" s="9" t="s">
        <v>1110</v>
      </c>
      <c r="D5059">
        <v>10021582011</v>
      </c>
      <c r="E5059" t="s">
        <v>47</v>
      </c>
      <c r="F5059" t="s">
        <v>167</v>
      </c>
      <c r="G5059" t="s">
        <v>168</v>
      </c>
      <c r="H5059" t="s">
        <v>169</v>
      </c>
      <c r="I5059" t="s">
        <v>168</v>
      </c>
      <c r="J5059" t="s">
        <v>52</v>
      </c>
      <c r="K5059" s="3">
        <v>1001297516</v>
      </c>
      <c r="L5059" s="10">
        <v>40157</v>
      </c>
      <c r="M5059">
        <v>453.09</v>
      </c>
      <c r="N5059" s="11">
        <v>13</v>
      </c>
      <c r="O5059" s="12">
        <v>35.94</v>
      </c>
      <c r="P5059" s="12">
        <v>6.66</v>
      </c>
      <c r="Q5059" s="13">
        <v>107.74</v>
      </c>
      <c r="R5059" s="36" t="s">
        <v>1954</v>
      </c>
      <c r="S5059" s="7">
        <f t="shared" ref="S5059:S5122" si="432">+L5059-B5059</f>
        <v>5</v>
      </c>
      <c r="T5059" s="15" t="str">
        <f>VLOOKUP(R5059,产品分类!$C$2:$D$1278,2,0)</f>
        <v>家具产品</v>
      </c>
    </row>
    <row r="5060" spans="1:20">
      <c r="A5060" s="8">
        <f t="shared" si="431"/>
        <v>40152</v>
      </c>
      <c r="B5060" s="8">
        <f t="shared" si="431"/>
        <v>40152</v>
      </c>
      <c r="C5060" s="9" t="s">
        <v>1110</v>
      </c>
      <c r="D5060">
        <v>10021505282</v>
      </c>
      <c r="E5060" t="s">
        <v>47</v>
      </c>
      <c r="F5060" t="s">
        <v>183</v>
      </c>
      <c r="G5060" t="s">
        <v>184</v>
      </c>
      <c r="H5060" t="s">
        <v>2387</v>
      </c>
      <c r="I5060" t="s">
        <v>2388</v>
      </c>
      <c r="J5060" t="s">
        <v>52</v>
      </c>
      <c r="K5060" s="3">
        <v>100429635924</v>
      </c>
      <c r="L5060" s="10">
        <v>40159</v>
      </c>
      <c r="M5060">
        <v>2758.22</v>
      </c>
      <c r="N5060" s="11">
        <v>15</v>
      </c>
      <c r="O5060" s="12">
        <v>170.98</v>
      </c>
      <c r="P5060" s="12">
        <v>13.99</v>
      </c>
      <c r="Q5060" s="13">
        <v>966.81</v>
      </c>
      <c r="R5060" s="36" t="s">
        <v>2239</v>
      </c>
      <c r="S5060" s="7">
        <f t="shared" si="432"/>
        <v>7</v>
      </c>
      <c r="T5060" s="15" t="str">
        <f>VLOOKUP(R5060,产品分类!$C$2:$D$1278,2,0)</f>
        <v>办公用品</v>
      </c>
    </row>
    <row r="5061" spans="1:20">
      <c r="A5061" s="8">
        <f t="shared" si="431"/>
        <v>40152</v>
      </c>
      <c r="B5061" s="8">
        <f t="shared" si="431"/>
        <v>40152</v>
      </c>
      <c r="C5061" s="9" t="s">
        <v>1110</v>
      </c>
      <c r="D5061">
        <v>10021292673</v>
      </c>
      <c r="E5061" t="s">
        <v>47</v>
      </c>
      <c r="F5061" t="s">
        <v>177</v>
      </c>
      <c r="G5061" t="s">
        <v>178</v>
      </c>
      <c r="H5061" t="s">
        <v>2339</v>
      </c>
      <c r="I5061" t="s">
        <v>2340</v>
      </c>
      <c r="J5061" t="s">
        <v>52</v>
      </c>
      <c r="K5061" s="3">
        <v>1008631712</v>
      </c>
      <c r="L5061" s="10">
        <v>40154</v>
      </c>
      <c r="M5061">
        <v>102.61</v>
      </c>
      <c r="N5061" s="11">
        <v>20</v>
      </c>
      <c r="O5061" s="12">
        <v>4.98</v>
      </c>
      <c r="P5061" s="12">
        <v>7.44</v>
      </c>
      <c r="Q5061" s="13">
        <v>-92.01</v>
      </c>
      <c r="R5061" s="36" t="s">
        <v>287</v>
      </c>
      <c r="S5061" s="7">
        <f t="shared" si="432"/>
        <v>2</v>
      </c>
      <c r="T5061" s="15" t="str">
        <f>VLOOKUP(R5061,产品分类!$C$2:$D$1278,2,0)</f>
        <v>办公用品</v>
      </c>
    </row>
    <row r="5062" spans="1:20">
      <c r="A5062" s="8">
        <f>DATE(2012,12,31)-836</f>
        <v>40438</v>
      </c>
      <c r="B5062" s="8">
        <f>DATE(2012,12,31)-836</f>
        <v>40438</v>
      </c>
      <c r="C5062" s="9" t="s">
        <v>2162</v>
      </c>
      <c r="D5062">
        <v>10021676502</v>
      </c>
      <c r="E5062" t="s">
        <v>47</v>
      </c>
      <c r="F5062" t="s">
        <v>183</v>
      </c>
      <c r="G5062" t="s">
        <v>184</v>
      </c>
      <c r="H5062" t="s">
        <v>2387</v>
      </c>
      <c r="I5062" t="s">
        <v>2388</v>
      </c>
      <c r="J5062" t="s">
        <v>52</v>
      </c>
      <c r="K5062" s="3">
        <v>100132564956</v>
      </c>
      <c r="L5062" s="10">
        <v>40443</v>
      </c>
      <c r="M5062">
        <v>85.49</v>
      </c>
      <c r="N5062" s="11">
        <v>32</v>
      </c>
      <c r="O5062" s="12">
        <v>2.88</v>
      </c>
      <c r="P5062" s="12">
        <v>0.7</v>
      </c>
      <c r="Q5062" s="13">
        <v>5.72</v>
      </c>
      <c r="R5062" s="36" t="s">
        <v>100</v>
      </c>
      <c r="S5062" s="7">
        <f t="shared" si="432"/>
        <v>5</v>
      </c>
      <c r="T5062" s="15" t="str">
        <f>VLOOKUP(R5062,产品分类!$C$2:$D$1278,2,0)</f>
        <v>数码电子</v>
      </c>
    </row>
    <row r="5063" spans="1:20">
      <c r="A5063" s="8">
        <f>DATE(2012,12,31)-836</f>
        <v>40438</v>
      </c>
      <c r="B5063" s="8">
        <f>DATE(2012,12,31)-836</f>
        <v>40438</v>
      </c>
      <c r="C5063" s="9" t="s">
        <v>2162</v>
      </c>
      <c r="D5063">
        <v>10021256862</v>
      </c>
      <c r="E5063" t="s">
        <v>47</v>
      </c>
      <c r="F5063" t="s">
        <v>177</v>
      </c>
      <c r="G5063" t="s">
        <v>178</v>
      </c>
      <c r="H5063" t="s">
        <v>2339</v>
      </c>
      <c r="I5063" t="s">
        <v>2340</v>
      </c>
      <c r="J5063" t="s">
        <v>52</v>
      </c>
      <c r="K5063" s="3">
        <v>100325615399</v>
      </c>
      <c r="L5063" s="10">
        <v>40443</v>
      </c>
      <c r="M5063">
        <v>926.3</v>
      </c>
      <c r="N5063" s="11">
        <v>15</v>
      </c>
      <c r="O5063" s="12">
        <v>64.65</v>
      </c>
      <c r="P5063" s="12">
        <v>35</v>
      </c>
      <c r="Q5063" s="13">
        <v>-503.8</v>
      </c>
      <c r="R5063" s="36" t="s">
        <v>1310</v>
      </c>
      <c r="S5063" s="7">
        <f t="shared" si="432"/>
        <v>5</v>
      </c>
      <c r="T5063" s="15" t="str">
        <f>VLOOKUP(R5063,产品分类!$C$2:$D$1278,2,0)</f>
        <v>办公用品</v>
      </c>
    </row>
    <row r="5064" spans="1:20">
      <c r="A5064" s="8">
        <f>DATE(2012,12,31)-133</f>
        <v>41141</v>
      </c>
      <c r="B5064" s="8">
        <f>DATE(2012,12,31)-133</f>
        <v>41141</v>
      </c>
      <c r="C5064" s="9" t="s">
        <v>1714</v>
      </c>
      <c r="D5064">
        <v>10021339972</v>
      </c>
      <c r="E5064" t="s">
        <v>47</v>
      </c>
      <c r="F5064" t="s">
        <v>167</v>
      </c>
      <c r="G5064" t="s">
        <v>168</v>
      </c>
      <c r="H5064" t="s">
        <v>169</v>
      </c>
      <c r="I5064" t="s">
        <v>168</v>
      </c>
      <c r="J5064" t="s">
        <v>52</v>
      </c>
      <c r="K5064" s="3">
        <v>100125662766</v>
      </c>
      <c r="L5064" s="10">
        <v>41142</v>
      </c>
      <c r="M5064">
        <v>446.05</v>
      </c>
      <c r="N5064" s="11">
        <v>3</v>
      </c>
      <c r="O5064" s="12">
        <v>140.98</v>
      </c>
      <c r="P5064" s="12">
        <v>53.48</v>
      </c>
      <c r="Q5064" s="13">
        <v>-271.26</v>
      </c>
      <c r="R5064" s="36" t="s">
        <v>1086</v>
      </c>
      <c r="S5064" s="7">
        <f t="shared" si="432"/>
        <v>1</v>
      </c>
      <c r="T5064" s="15" t="str">
        <f>VLOOKUP(R5064,产品分类!$C$2:$D$1278,2,0)</f>
        <v>办公用品</v>
      </c>
    </row>
    <row r="5065" spans="1:20">
      <c r="A5065" s="8">
        <f>DATE(2012,12,31)-956</f>
        <v>40318</v>
      </c>
      <c r="B5065" s="8">
        <f>DATE(2012,12,31)-956</f>
        <v>40318</v>
      </c>
      <c r="C5065" s="9" t="s">
        <v>1534</v>
      </c>
      <c r="D5065">
        <v>10021673601</v>
      </c>
      <c r="E5065" t="s">
        <v>47</v>
      </c>
      <c r="F5065" t="s">
        <v>167</v>
      </c>
      <c r="G5065" t="s">
        <v>168</v>
      </c>
      <c r="H5065" t="s">
        <v>169</v>
      </c>
      <c r="I5065" t="s">
        <v>168</v>
      </c>
      <c r="J5065" t="s">
        <v>52</v>
      </c>
      <c r="K5065" s="3">
        <v>100731858375</v>
      </c>
      <c r="L5065" s="10">
        <v>40319</v>
      </c>
      <c r="M5065">
        <v>461.4</v>
      </c>
      <c r="N5065" s="11">
        <v>36</v>
      </c>
      <c r="O5065" s="12">
        <v>12.07</v>
      </c>
      <c r="P5065" s="12">
        <v>6.2</v>
      </c>
      <c r="Q5065" s="13">
        <v>36.39</v>
      </c>
      <c r="R5065" s="36" t="s">
        <v>869</v>
      </c>
      <c r="S5065" s="7">
        <f t="shared" si="432"/>
        <v>1</v>
      </c>
      <c r="T5065" s="15" t="str">
        <f>VLOOKUP(R5065,产品分类!$C$2:$D$1278,2,0)</f>
        <v>家具产品</v>
      </c>
    </row>
    <row r="5066" spans="1:20">
      <c r="A5066" s="8">
        <f>DATE(2012,12,31)-246</f>
        <v>41028</v>
      </c>
      <c r="B5066" s="8">
        <f>DATE(2012,12,31)-246</f>
        <v>41028</v>
      </c>
      <c r="C5066" s="9" t="s">
        <v>1221</v>
      </c>
      <c r="D5066">
        <v>10021675283</v>
      </c>
      <c r="E5066" t="s">
        <v>47</v>
      </c>
      <c r="F5066" t="s">
        <v>61</v>
      </c>
      <c r="G5066" t="s">
        <v>62</v>
      </c>
      <c r="H5066" t="s">
        <v>2356</v>
      </c>
      <c r="I5066" t="s">
        <v>2357</v>
      </c>
      <c r="J5066" t="s">
        <v>52</v>
      </c>
      <c r="K5066" s="3">
        <v>100732464425</v>
      </c>
      <c r="L5066" s="10">
        <v>41030</v>
      </c>
      <c r="M5066">
        <v>55.82</v>
      </c>
      <c r="N5066" s="11">
        <v>10</v>
      </c>
      <c r="O5066" s="12">
        <v>4.82</v>
      </c>
      <c r="P5066" s="12">
        <v>5.72</v>
      </c>
      <c r="Q5066" s="13">
        <v>-28.85</v>
      </c>
      <c r="R5066" s="36" t="s">
        <v>1647</v>
      </c>
      <c r="S5066" s="7">
        <f t="shared" si="432"/>
        <v>2</v>
      </c>
      <c r="T5066" s="15" t="str">
        <f>VLOOKUP(R5066,产品分类!$C$2:$D$1278,2,0)</f>
        <v>办公用品</v>
      </c>
    </row>
    <row r="5067" spans="1:20">
      <c r="A5067" s="8">
        <f>DATE(2012,12,31)-246</f>
        <v>41028</v>
      </c>
      <c r="B5067" s="8">
        <f>DATE(2012,12,31)-246</f>
        <v>41028</v>
      </c>
      <c r="C5067" s="9" t="s">
        <v>1221</v>
      </c>
      <c r="D5067">
        <v>10021658584</v>
      </c>
      <c r="E5067" t="s">
        <v>47</v>
      </c>
      <c r="F5067" t="s">
        <v>342</v>
      </c>
      <c r="G5067" t="s">
        <v>343</v>
      </c>
      <c r="H5067" t="s">
        <v>2395</v>
      </c>
      <c r="I5067" t="s">
        <v>2396</v>
      </c>
      <c r="J5067" t="s">
        <v>52</v>
      </c>
      <c r="K5067" s="3">
        <v>10039514759</v>
      </c>
      <c r="L5067" s="10">
        <v>41030</v>
      </c>
      <c r="M5067">
        <v>1335.316</v>
      </c>
      <c r="N5067" s="11">
        <v>45</v>
      </c>
      <c r="O5067" s="12">
        <v>35.99</v>
      </c>
      <c r="P5067" s="12">
        <v>0.99</v>
      </c>
      <c r="Q5067" s="13">
        <v>701.658</v>
      </c>
      <c r="R5067" s="36" t="s">
        <v>685</v>
      </c>
      <c r="S5067" s="7">
        <f t="shared" si="432"/>
        <v>2</v>
      </c>
      <c r="T5067" s="15" t="str">
        <f>VLOOKUP(R5067,产品分类!$C$2:$D$1278,2,0)</f>
        <v>办公用品</v>
      </c>
    </row>
    <row r="5068" spans="1:20">
      <c r="A5068" s="8">
        <f>DATE(2012,12,31)-109</f>
        <v>41165</v>
      </c>
      <c r="B5068" s="8">
        <f>DATE(2012,12,31)-109</f>
        <v>41165</v>
      </c>
      <c r="C5068" s="9" t="s">
        <v>2122</v>
      </c>
      <c r="D5068">
        <v>10021588685</v>
      </c>
      <c r="E5068" t="s">
        <v>47</v>
      </c>
      <c r="F5068" t="s">
        <v>342</v>
      </c>
      <c r="G5068" t="s">
        <v>343</v>
      </c>
      <c r="H5068" t="s">
        <v>2395</v>
      </c>
      <c r="I5068" t="s">
        <v>2396</v>
      </c>
      <c r="J5068" t="s">
        <v>52</v>
      </c>
      <c r="K5068" s="3">
        <v>100130579718</v>
      </c>
      <c r="L5068" s="10">
        <v>41166</v>
      </c>
      <c r="M5068">
        <v>394.8</v>
      </c>
      <c r="N5068" s="11">
        <v>23</v>
      </c>
      <c r="O5068" s="12">
        <v>17.98</v>
      </c>
      <c r="P5068" s="12">
        <v>4</v>
      </c>
      <c r="Q5068" s="13">
        <v>-113.8</v>
      </c>
      <c r="R5068" s="36" t="s">
        <v>1584</v>
      </c>
      <c r="S5068" s="7">
        <f t="shared" si="432"/>
        <v>1</v>
      </c>
      <c r="T5068" s="15" t="str">
        <f>VLOOKUP(R5068,产品分类!$C$2:$D$1278,2,0)</f>
        <v>办公用品</v>
      </c>
    </row>
    <row r="5069" spans="1:20">
      <c r="A5069" s="16">
        <f t="shared" ref="A5069:B5071" si="433">DATE(2012,12,31)-1324</f>
        <v>39950</v>
      </c>
      <c r="B5069" s="16">
        <f t="shared" si="433"/>
        <v>39950</v>
      </c>
      <c r="C5069" s="9" t="s">
        <v>526</v>
      </c>
      <c r="D5069">
        <v>10021530069</v>
      </c>
      <c r="E5069" t="s">
        <v>47</v>
      </c>
      <c r="F5069" t="s">
        <v>61</v>
      </c>
      <c r="G5069" t="s">
        <v>62</v>
      </c>
      <c r="H5069" t="s">
        <v>2356</v>
      </c>
      <c r="I5069" t="s">
        <v>2357</v>
      </c>
      <c r="J5069" t="s">
        <v>52</v>
      </c>
      <c r="K5069" s="3">
        <v>100929849891</v>
      </c>
      <c r="L5069" s="10">
        <v>39952</v>
      </c>
      <c r="M5069">
        <v>354.96</v>
      </c>
      <c r="N5069" s="17">
        <v>43</v>
      </c>
      <c r="O5069" s="5">
        <v>8.34</v>
      </c>
      <c r="P5069" s="5">
        <v>1.43</v>
      </c>
      <c r="Q5069" s="6">
        <v>151.27</v>
      </c>
      <c r="R5069" s="37" t="s">
        <v>822</v>
      </c>
      <c r="S5069" s="7">
        <f t="shared" si="432"/>
        <v>2</v>
      </c>
      <c r="T5069" s="15" t="str">
        <f>VLOOKUP(R5069,产品分类!$C$2:$D$1278,2,0)</f>
        <v>家具产品</v>
      </c>
    </row>
    <row r="5070" spans="1:20">
      <c r="A5070" s="16">
        <f t="shared" si="433"/>
        <v>39950</v>
      </c>
      <c r="B5070" s="16">
        <f t="shared" si="433"/>
        <v>39950</v>
      </c>
      <c r="C5070" s="9" t="s">
        <v>526</v>
      </c>
      <c r="D5070">
        <v>10021335078</v>
      </c>
      <c r="E5070" t="s">
        <v>47</v>
      </c>
      <c r="F5070" t="s">
        <v>61</v>
      </c>
      <c r="G5070" t="s">
        <v>62</v>
      </c>
      <c r="H5070" t="s">
        <v>2356</v>
      </c>
      <c r="I5070" t="s">
        <v>2357</v>
      </c>
      <c r="J5070" t="s">
        <v>52</v>
      </c>
      <c r="K5070" s="3">
        <v>10017946347</v>
      </c>
      <c r="L5070" s="10">
        <v>39951</v>
      </c>
      <c r="M5070">
        <v>130.97</v>
      </c>
      <c r="N5070" s="17">
        <v>26</v>
      </c>
      <c r="O5070" s="5">
        <v>4.98</v>
      </c>
      <c r="P5070" s="5">
        <v>6.07</v>
      </c>
      <c r="Q5070" s="6">
        <v>-83.42</v>
      </c>
      <c r="R5070" s="37" t="s">
        <v>1586</v>
      </c>
      <c r="S5070" s="7">
        <f t="shared" si="432"/>
        <v>1</v>
      </c>
      <c r="T5070" s="15" t="str">
        <f>VLOOKUP(R5070,产品分类!$C$2:$D$1278,2,0)</f>
        <v>家具产品</v>
      </c>
    </row>
    <row r="5071" spans="1:20">
      <c r="A5071" s="8">
        <f t="shared" si="433"/>
        <v>39950</v>
      </c>
      <c r="B5071" s="8">
        <f t="shared" si="433"/>
        <v>39950</v>
      </c>
      <c r="C5071" s="9" t="s">
        <v>526</v>
      </c>
      <c r="D5071">
        <v>10021499828</v>
      </c>
      <c r="E5071" t="s">
        <v>47</v>
      </c>
      <c r="F5071" t="s">
        <v>61</v>
      </c>
      <c r="G5071" t="s">
        <v>62</v>
      </c>
      <c r="H5071" t="s">
        <v>2356</v>
      </c>
      <c r="I5071" t="s">
        <v>2357</v>
      </c>
      <c r="J5071" t="s">
        <v>52</v>
      </c>
      <c r="K5071" s="3">
        <v>100125290417</v>
      </c>
      <c r="L5071" s="10">
        <v>39951</v>
      </c>
      <c r="M5071">
        <v>493.43</v>
      </c>
      <c r="N5071" s="11">
        <v>26</v>
      </c>
      <c r="O5071" s="12">
        <v>19.84</v>
      </c>
      <c r="P5071" s="12">
        <v>4.1</v>
      </c>
      <c r="Q5071" s="13">
        <v>120.18</v>
      </c>
      <c r="R5071" s="36" t="s">
        <v>175</v>
      </c>
      <c r="S5071" s="7">
        <f t="shared" si="432"/>
        <v>1</v>
      </c>
      <c r="T5071" s="15" t="str">
        <f>VLOOKUP(R5071,产品分类!$C$2:$D$1278,2,0)</f>
        <v>办公用品</v>
      </c>
    </row>
    <row r="5072" spans="1:20">
      <c r="A5072" s="8">
        <f>DATE(2012,12,31)-266</f>
        <v>41008</v>
      </c>
      <c r="B5072" s="8">
        <f>DATE(2012,12,31)-266</f>
        <v>41008</v>
      </c>
      <c r="C5072" s="9" t="s">
        <v>407</v>
      </c>
      <c r="D5072">
        <v>10021523506</v>
      </c>
      <c r="E5072" t="s">
        <v>47</v>
      </c>
      <c r="F5072" t="s">
        <v>61</v>
      </c>
      <c r="G5072" t="s">
        <v>62</v>
      </c>
      <c r="H5072" t="s">
        <v>2356</v>
      </c>
      <c r="I5072" t="s">
        <v>2357</v>
      </c>
      <c r="J5072" t="s">
        <v>52</v>
      </c>
      <c r="K5072" s="3">
        <v>100910844671</v>
      </c>
      <c r="L5072" s="10">
        <v>41013</v>
      </c>
      <c r="M5072">
        <v>604.576</v>
      </c>
      <c r="N5072" s="11">
        <v>3</v>
      </c>
      <c r="O5072" s="12">
        <v>236.97</v>
      </c>
      <c r="P5072" s="12">
        <v>59.24</v>
      </c>
      <c r="Q5072" s="13">
        <v>-572.685399</v>
      </c>
      <c r="R5072" s="36" t="s">
        <v>2188</v>
      </c>
      <c r="S5072" s="7">
        <f t="shared" si="432"/>
        <v>5</v>
      </c>
      <c r="T5072" s="15" t="str">
        <f>VLOOKUP(R5072,产品分类!$C$2:$D$1278,2,0)</f>
        <v>办公用品</v>
      </c>
    </row>
    <row r="5073" spans="1:20">
      <c r="A5073" s="16">
        <f>DATE(2012,12,31)-499</f>
        <v>40775</v>
      </c>
      <c r="B5073" s="16">
        <f>DATE(2012,12,31)-499</f>
        <v>40775</v>
      </c>
      <c r="C5073" s="9" t="s">
        <v>615</v>
      </c>
      <c r="D5073">
        <v>10021420096</v>
      </c>
      <c r="E5073" t="s">
        <v>47</v>
      </c>
      <c r="F5073" t="s">
        <v>61</v>
      </c>
      <c r="G5073" t="s">
        <v>62</v>
      </c>
      <c r="H5073" t="s">
        <v>2356</v>
      </c>
      <c r="I5073" t="s">
        <v>2357</v>
      </c>
      <c r="J5073" t="s">
        <v>52</v>
      </c>
      <c r="K5073" s="3">
        <v>100924612231</v>
      </c>
      <c r="L5073" s="10">
        <v>40776</v>
      </c>
      <c r="M5073">
        <v>128.56</v>
      </c>
      <c r="N5073" s="17">
        <v>6</v>
      </c>
      <c r="O5073" s="5">
        <v>19.98</v>
      </c>
      <c r="P5073" s="5">
        <v>8.68</v>
      </c>
      <c r="Q5073" s="6">
        <v>-7.84</v>
      </c>
      <c r="R5073" s="37" t="s">
        <v>1340</v>
      </c>
      <c r="S5073" s="7">
        <f t="shared" si="432"/>
        <v>1</v>
      </c>
      <c r="T5073" s="15" t="str">
        <f>VLOOKUP(R5073,产品分类!$C$2:$D$1278,2,0)</f>
        <v>办公用品</v>
      </c>
    </row>
    <row r="5074" spans="1:20">
      <c r="A5074" s="8">
        <f>DATE(2012,12,31)-770</f>
        <v>40504</v>
      </c>
      <c r="B5074" s="8">
        <f>DATE(2012,12,31)-770</f>
        <v>40504</v>
      </c>
      <c r="C5074" s="9" t="s">
        <v>653</v>
      </c>
      <c r="D5074">
        <v>10021295721</v>
      </c>
      <c r="E5074" t="s">
        <v>47</v>
      </c>
      <c r="F5074" t="s">
        <v>61</v>
      </c>
      <c r="G5074" t="s">
        <v>62</v>
      </c>
      <c r="H5074" t="s">
        <v>2356</v>
      </c>
      <c r="I5074" t="s">
        <v>2357</v>
      </c>
      <c r="J5074" t="s">
        <v>52</v>
      </c>
      <c r="K5074" s="3">
        <v>100716027725</v>
      </c>
      <c r="L5074" s="10">
        <v>40504</v>
      </c>
      <c r="M5074">
        <v>826.9735</v>
      </c>
      <c r="N5074" s="11">
        <v>6</v>
      </c>
      <c r="O5074" s="12">
        <v>155.99</v>
      </c>
      <c r="P5074" s="12">
        <v>8.99</v>
      </c>
      <c r="Q5074" s="13">
        <v>-413.325</v>
      </c>
      <c r="R5074" s="36" t="s">
        <v>2243</v>
      </c>
      <c r="S5074" s="7">
        <f t="shared" si="432"/>
        <v>0</v>
      </c>
      <c r="T5074" s="15" t="str">
        <f>VLOOKUP(R5074,产品分类!$C$2:$D$1278,2,0)</f>
        <v>数码电子</v>
      </c>
    </row>
    <row r="5075" spans="1:20">
      <c r="A5075" s="8">
        <f>DATE(2012,12,31)-581</f>
        <v>40693</v>
      </c>
      <c r="B5075" s="8">
        <f>DATE(2012,12,31)-581</f>
        <v>40693</v>
      </c>
      <c r="C5075" s="9" t="s">
        <v>1361</v>
      </c>
      <c r="D5075">
        <v>10021497786</v>
      </c>
      <c r="E5075" t="s">
        <v>47</v>
      </c>
      <c r="F5075" t="s">
        <v>61</v>
      </c>
      <c r="G5075" t="s">
        <v>62</v>
      </c>
      <c r="H5075" t="s">
        <v>2356</v>
      </c>
      <c r="I5075" t="s">
        <v>2357</v>
      </c>
      <c r="J5075" t="s">
        <v>52</v>
      </c>
      <c r="K5075" s="3">
        <v>100119942366</v>
      </c>
      <c r="L5075" s="10">
        <v>40694</v>
      </c>
      <c r="M5075">
        <v>999.226</v>
      </c>
      <c r="N5075" s="11">
        <v>33</v>
      </c>
      <c r="O5075" s="12">
        <v>35.99</v>
      </c>
      <c r="P5075" s="12">
        <v>3.3</v>
      </c>
      <c r="Q5075" s="13">
        <v>381.168</v>
      </c>
      <c r="R5075" s="36" t="s">
        <v>1817</v>
      </c>
      <c r="S5075" s="7">
        <f t="shared" si="432"/>
        <v>1</v>
      </c>
      <c r="T5075" s="15" t="str">
        <f>VLOOKUP(R5075,产品分类!$C$2:$D$1278,2,0)</f>
        <v>数码电子</v>
      </c>
    </row>
    <row r="5076" spans="1:20">
      <c r="A5076" s="8">
        <f>DATE(2012,12,31)-39</f>
        <v>41235</v>
      </c>
      <c r="B5076" s="8">
        <f>DATE(2012,12,31)-39</f>
        <v>41235</v>
      </c>
      <c r="C5076" s="9" t="s">
        <v>825</v>
      </c>
      <c r="D5076">
        <v>10021495548</v>
      </c>
      <c r="E5076" t="s">
        <v>47</v>
      </c>
      <c r="F5076" t="s">
        <v>61</v>
      </c>
      <c r="G5076" t="s">
        <v>62</v>
      </c>
      <c r="H5076" t="s">
        <v>2356</v>
      </c>
      <c r="I5076" t="s">
        <v>2357</v>
      </c>
      <c r="J5076" t="s">
        <v>52</v>
      </c>
      <c r="K5076" s="3">
        <v>100410007453</v>
      </c>
      <c r="L5076" s="10">
        <v>41242</v>
      </c>
      <c r="M5076">
        <v>2218.891</v>
      </c>
      <c r="N5076" s="11">
        <v>12</v>
      </c>
      <c r="O5076" s="12">
        <v>205.99</v>
      </c>
      <c r="P5076" s="12">
        <v>8.99</v>
      </c>
      <c r="Q5076" s="13">
        <v>79.542</v>
      </c>
      <c r="R5076" s="36" t="s">
        <v>1543</v>
      </c>
      <c r="S5076" s="7">
        <f t="shared" si="432"/>
        <v>7</v>
      </c>
      <c r="T5076" s="15" t="str">
        <f>VLOOKUP(R5076,产品分类!$C$2:$D$1278,2,0)</f>
        <v>家具产品</v>
      </c>
    </row>
    <row r="5077" spans="1:20">
      <c r="A5077" s="8">
        <f>DATE(2012,12,31)-1080</f>
        <v>40194</v>
      </c>
      <c r="B5077" s="8">
        <f>DATE(2012,12,31)-1080</f>
        <v>40194</v>
      </c>
      <c r="C5077" s="9" t="s">
        <v>2291</v>
      </c>
      <c r="D5077">
        <v>10021258675</v>
      </c>
      <c r="E5077" t="s">
        <v>47</v>
      </c>
      <c r="F5077" t="s">
        <v>61</v>
      </c>
      <c r="G5077" t="s">
        <v>62</v>
      </c>
      <c r="H5077" t="s">
        <v>2356</v>
      </c>
      <c r="I5077" t="s">
        <v>2357</v>
      </c>
      <c r="J5077" t="s">
        <v>52</v>
      </c>
      <c r="K5077" s="3">
        <v>100927185611</v>
      </c>
      <c r="L5077" s="10">
        <v>40195</v>
      </c>
      <c r="M5077">
        <v>29.19</v>
      </c>
      <c r="N5077" s="11">
        <v>6</v>
      </c>
      <c r="O5077" s="12">
        <v>4.49</v>
      </c>
      <c r="P5077" s="12">
        <v>1.49</v>
      </c>
      <c r="Q5077" s="13">
        <v>0.646</v>
      </c>
      <c r="R5077" s="36" t="s">
        <v>2405</v>
      </c>
      <c r="S5077" s="7">
        <f t="shared" si="432"/>
        <v>1</v>
      </c>
      <c r="T5077" s="15" t="str">
        <f>VLOOKUP(R5077,产品分类!$C$2:$D$1278,2,0)</f>
        <v>家具产品</v>
      </c>
    </row>
    <row r="5078" spans="1:20">
      <c r="A5078" s="8">
        <f>DATE(2012,12,31)-56</f>
        <v>41218</v>
      </c>
      <c r="B5078" s="8">
        <f>DATE(2012,12,31)-56</f>
        <v>41218</v>
      </c>
      <c r="C5078" s="9" t="s">
        <v>375</v>
      </c>
      <c r="D5078">
        <v>10021422473</v>
      </c>
      <c r="E5078" t="s">
        <v>47</v>
      </c>
      <c r="F5078" t="s">
        <v>61</v>
      </c>
      <c r="G5078" t="s">
        <v>62</v>
      </c>
      <c r="H5078" t="s">
        <v>2356</v>
      </c>
      <c r="I5078" t="s">
        <v>2357</v>
      </c>
      <c r="J5078" t="s">
        <v>52</v>
      </c>
      <c r="K5078" s="3">
        <v>10019456556</v>
      </c>
      <c r="L5078" s="10">
        <v>41218</v>
      </c>
      <c r="M5078">
        <v>463</v>
      </c>
      <c r="N5078" s="11">
        <v>32</v>
      </c>
      <c r="O5078" s="12">
        <v>14.45</v>
      </c>
      <c r="P5078" s="12">
        <v>7.17</v>
      </c>
      <c r="Q5078" s="13">
        <v>24.6075</v>
      </c>
      <c r="R5078" s="36" t="s">
        <v>1317</v>
      </c>
      <c r="S5078" s="7">
        <f t="shared" si="432"/>
        <v>0</v>
      </c>
      <c r="T5078" s="15" t="str">
        <f>VLOOKUP(R5078,产品分类!$C$2:$D$1278,2,0)</f>
        <v>家具产品</v>
      </c>
    </row>
    <row r="5079" spans="1:20">
      <c r="A5079" s="8">
        <f>DATE(2012,12,31)-513</f>
        <v>40761</v>
      </c>
      <c r="B5079" s="8">
        <f>DATE(2012,12,31)-513</f>
        <v>40761</v>
      </c>
      <c r="C5079" s="9" t="s">
        <v>785</v>
      </c>
      <c r="D5079">
        <v>10021447073</v>
      </c>
      <c r="E5079" t="s">
        <v>47</v>
      </c>
      <c r="F5079" t="s">
        <v>61</v>
      </c>
      <c r="G5079" t="s">
        <v>62</v>
      </c>
      <c r="H5079" t="s">
        <v>2356</v>
      </c>
      <c r="I5079" t="s">
        <v>2357</v>
      </c>
      <c r="J5079" t="s">
        <v>52</v>
      </c>
      <c r="K5079" s="3">
        <v>100122264356</v>
      </c>
      <c r="L5079" s="10">
        <v>40763</v>
      </c>
      <c r="M5079">
        <v>39.01</v>
      </c>
      <c r="N5079" s="11">
        <v>7</v>
      </c>
      <c r="O5079" s="12">
        <v>4.98</v>
      </c>
      <c r="P5079" s="12">
        <v>4.32</v>
      </c>
      <c r="Q5079" s="13">
        <v>-38.44</v>
      </c>
      <c r="R5079" s="36" t="s">
        <v>1901</v>
      </c>
      <c r="S5079" s="7">
        <f t="shared" si="432"/>
        <v>2</v>
      </c>
      <c r="T5079" s="15" t="str">
        <f>VLOOKUP(R5079,产品分类!$C$2:$D$1278,2,0)</f>
        <v>家具产品</v>
      </c>
    </row>
    <row r="5080" spans="1:20">
      <c r="A5080" s="8">
        <f>DATE(2012,12,31)-513</f>
        <v>40761</v>
      </c>
      <c r="B5080" s="8">
        <f>DATE(2012,12,31)-513</f>
        <v>40761</v>
      </c>
      <c r="C5080" s="9" t="s">
        <v>785</v>
      </c>
      <c r="D5080">
        <v>10021343998</v>
      </c>
      <c r="E5080" t="s">
        <v>47</v>
      </c>
      <c r="F5080" t="s">
        <v>61</v>
      </c>
      <c r="G5080" t="s">
        <v>62</v>
      </c>
      <c r="H5080" t="s">
        <v>2356</v>
      </c>
      <c r="I5080" t="s">
        <v>2357</v>
      </c>
      <c r="J5080" t="s">
        <v>52</v>
      </c>
      <c r="K5080" s="3">
        <v>10082669502</v>
      </c>
      <c r="L5080" s="10">
        <v>40762</v>
      </c>
      <c r="M5080">
        <v>62.03</v>
      </c>
      <c r="N5080" s="11">
        <v>6</v>
      </c>
      <c r="O5080" s="12">
        <v>9.77</v>
      </c>
      <c r="P5080" s="12">
        <v>6.02</v>
      </c>
      <c r="Q5080" s="13">
        <v>17.31</v>
      </c>
      <c r="R5080" s="36" t="s">
        <v>1227</v>
      </c>
      <c r="S5080" s="7">
        <f t="shared" si="432"/>
        <v>1</v>
      </c>
      <c r="T5080" s="15" t="str">
        <f>VLOOKUP(R5080,产品分类!$C$2:$D$1278,2,0)</f>
        <v>办公用品</v>
      </c>
    </row>
    <row r="5081" spans="1:20">
      <c r="A5081" s="8">
        <f>DATE(2012,12,31)-1338</f>
        <v>39936</v>
      </c>
      <c r="B5081" s="8">
        <f>DATE(2012,12,31)-1338</f>
        <v>39936</v>
      </c>
      <c r="C5081" s="9" t="s">
        <v>1079</v>
      </c>
      <c r="D5081">
        <v>10021341515</v>
      </c>
      <c r="E5081" t="s">
        <v>47</v>
      </c>
      <c r="F5081" t="s">
        <v>61</v>
      </c>
      <c r="G5081" t="s">
        <v>62</v>
      </c>
      <c r="H5081" t="s">
        <v>2356</v>
      </c>
      <c r="I5081" t="s">
        <v>2357</v>
      </c>
      <c r="J5081" t="s">
        <v>52</v>
      </c>
      <c r="K5081" s="3">
        <v>100327075469</v>
      </c>
      <c r="L5081" s="10">
        <v>39938</v>
      </c>
      <c r="M5081">
        <v>1765.45</v>
      </c>
      <c r="N5081" s="11">
        <v>15</v>
      </c>
      <c r="O5081" s="12">
        <v>120.98</v>
      </c>
      <c r="P5081" s="12">
        <v>3.99</v>
      </c>
      <c r="Q5081" s="13">
        <v>374.82</v>
      </c>
      <c r="R5081" s="36" t="s">
        <v>1169</v>
      </c>
      <c r="S5081" s="7">
        <f t="shared" si="432"/>
        <v>2</v>
      </c>
      <c r="T5081" s="15" t="str">
        <f>VLOOKUP(R5081,产品分类!$C$2:$D$1278,2,0)</f>
        <v>办公用品</v>
      </c>
    </row>
    <row r="5082" spans="1:20">
      <c r="A5082" s="8">
        <f>DATE(2012,12,31)-101</f>
        <v>41173</v>
      </c>
      <c r="B5082" s="8">
        <f>DATE(2012,12,31)-101</f>
        <v>41173</v>
      </c>
      <c r="C5082" s="9" t="s">
        <v>2071</v>
      </c>
      <c r="D5082">
        <v>10021523571</v>
      </c>
      <c r="E5082" t="s">
        <v>47</v>
      </c>
      <c r="F5082" t="s">
        <v>61</v>
      </c>
      <c r="G5082" t="s">
        <v>62</v>
      </c>
      <c r="H5082" t="s">
        <v>2356</v>
      </c>
      <c r="I5082" t="s">
        <v>2357</v>
      </c>
      <c r="J5082" t="s">
        <v>52</v>
      </c>
      <c r="K5082" s="3">
        <v>100911531631</v>
      </c>
      <c r="L5082" s="10">
        <v>41176</v>
      </c>
      <c r="M5082">
        <v>1465.29</v>
      </c>
      <c r="N5082" s="11">
        <v>12</v>
      </c>
      <c r="O5082" s="12">
        <v>120.97</v>
      </c>
      <c r="P5082" s="12">
        <v>7.11</v>
      </c>
      <c r="Q5082" s="13">
        <v>373.5</v>
      </c>
      <c r="R5082" s="36" t="s">
        <v>1000</v>
      </c>
      <c r="S5082" s="7">
        <f t="shared" si="432"/>
        <v>3</v>
      </c>
      <c r="T5082" s="15" t="str">
        <f>VLOOKUP(R5082,产品分类!$C$2:$D$1278,2,0)</f>
        <v>家具产品</v>
      </c>
    </row>
    <row r="5083" spans="1:20">
      <c r="A5083" s="8">
        <f>DATE(2012,12,31)-101</f>
        <v>41173</v>
      </c>
      <c r="B5083" s="8">
        <f>DATE(2012,12,31)-101</f>
        <v>41173</v>
      </c>
      <c r="C5083" s="9" t="s">
        <v>2071</v>
      </c>
      <c r="D5083">
        <v>10021451276</v>
      </c>
      <c r="E5083" t="s">
        <v>47</v>
      </c>
      <c r="F5083" t="s">
        <v>61</v>
      </c>
      <c r="G5083" t="s">
        <v>62</v>
      </c>
      <c r="H5083" t="s">
        <v>2356</v>
      </c>
      <c r="I5083" t="s">
        <v>2357</v>
      </c>
      <c r="J5083" t="s">
        <v>52</v>
      </c>
      <c r="K5083" s="3">
        <v>100930143801</v>
      </c>
      <c r="L5083" s="10">
        <v>41175</v>
      </c>
      <c r="M5083">
        <v>3590.33</v>
      </c>
      <c r="N5083" s="11">
        <v>24</v>
      </c>
      <c r="O5083" s="12">
        <v>146.34</v>
      </c>
      <c r="P5083" s="12">
        <v>43.75</v>
      </c>
      <c r="Q5083" s="13">
        <v>-31.725</v>
      </c>
      <c r="R5083" s="36" t="s">
        <v>998</v>
      </c>
      <c r="S5083" s="7">
        <f t="shared" si="432"/>
        <v>2</v>
      </c>
      <c r="T5083" s="15" t="str">
        <f>VLOOKUP(R5083,产品分类!$C$2:$D$1278,2,0)</f>
        <v>办公用品</v>
      </c>
    </row>
    <row r="5084" spans="1:20">
      <c r="A5084" s="8">
        <f>DATE(2012,12,31)-1300</f>
        <v>39974</v>
      </c>
      <c r="B5084" s="8">
        <f>DATE(2012,12,31)-1300</f>
        <v>39974</v>
      </c>
      <c r="C5084" s="9" t="s">
        <v>868</v>
      </c>
      <c r="D5084">
        <v>10021481801</v>
      </c>
      <c r="E5084" t="s">
        <v>47</v>
      </c>
      <c r="F5084" t="s">
        <v>61</v>
      </c>
      <c r="G5084" t="s">
        <v>62</v>
      </c>
      <c r="H5084" t="s">
        <v>2356</v>
      </c>
      <c r="I5084" t="s">
        <v>2357</v>
      </c>
      <c r="J5084" t="s">
        <v>52</v>
      </c>
      <c r="K5084" s="3">
        <v>100833026952</v>
      </c>
      <c r="L5084" s="10">
        <v>39974</v>
      </c>
      <c r="M5084">
        <v>57.03</v>
      </c>
      <c r="N5084" s="11">
        <v>7</v>
      </c>
      <c r="O5084" s="12">
        <v>7.28</v>
      </c>
      <c r="P5084" s="12">
        <v>3.52</v>
      </c>
      <c r="Q5084" s="13">
        <v>-31.38</v>
      </c>
      <c r="R5084" s="36" t="s">
        <v>1013</v>
      </c>
      <c r="S5084" s="7">
        <f t="shared" si="432"/>
        <v>0</v>
      </c>
      <c r="T5084" s="15" t="str">
        <f>VLOOKUP(R5084,产品分类!$C$2:$D$1278,2,0)</f>
        <v>办公用品</v>
      </c>
    </row>
    <row r="5085" spans="1:20">
      <c r="A5085" s="8">
        <f>DATE(2012,12,31)-308</f>
        <v>40966</v>
      </c>
      <c r="B5085" s="8">
        <f>DATE(2012,12,31)-308</f>
        <v>40966</v>
      </c>
      <c r="C5085" s="9" t="s">
        <v>382</v>
      </c>
      <c r="D5085">
        <v>10021327156</v>
      </c>
      <c r="E5085" t="s">
        <v>47</v>
      </c>
      <c r="F5085" t="s">
        <v>72</v>
      </c>
      <c r="G5085" t="s">
        <v>73</v>
      </c>
      <c r="H5085" t="s">
        <v>2398</v>
      </c>
      <c r="I5085" t="s">
        <v>2399</v>
      </c>
      <c r="J5085" t="s">
        <v>52</v>
      </c>
      <c r="K5085" s="3">
        <v>100132848267</v>
      </c>
      <c r="L5085" s="10">
        <v>40968</v>
      </c>
      <c r="M5085">
        <v>894.51</v>
      </c>
      <c r="N5085" s="11">
        <v>43</v>
      </c>
      <c r="O5085" s="12">
        <v>20.89</v>
      </c>
      <c r="P5085" s="12">
        <v>1.99</v>
      </c>
      <c r="Q5085" s="13">
        <v>294.21</v>
      </c>
      <c r="R5085" s="36" t="s">
        <v>1745</v>
      </c>
      <c r="S5085" s="7">
        <f t="shared" si="432"/>
        <v>2</v>
      </c>
      <c r="T5085" s="15" t="str">
        <f>VLOOKUP(R5085,产品分类!$C$2:$D$1278,2,0)</f>
        <v>数码电子</v>
      </c>
    </row>
    <row r="5086" spans="1:20">
      <c r="A5086" s="8">
        <f t="shared" ref="A5086:B5088" si="434">DATE(2012,12,31)-888</f>
        <v>40386</v>
      </c>
      <c r="B5086" s="8">
        <f t="shared" si="434"/>
        <v>40386</v>
      </c>
      <c r="C5086" s="9" t="s">
        <v>966</v>
      </c>
      <c r="D5086">
        <v>10021489567</v>
      </c>
      <c r="E5086" t="s">
        <v>47</v>
      </c>
      <c r="F5086" t="s">
        <v>72</v>
      </c>
      <c r="G5086" t="s">
        <v>73</v>
      </c>
      <c r="H5086" t="s">
        <v>2398</v>
      </c>
      <c r="I5086" t="s">
        <v>2399</v>
      </c>
      <c r="J5086" t="s">
        <v>52</v>
      </c>
      <c r="K5086" s="3">
        <v>100933045781</v>
      </c>
      <c r="L5086" s="10">
        <v>40387</v>
      </c>
      <c r="M5086">
        <v>164.02</v>
      </c>
      <c r="N5086" s="11">
        <v>23</v>
      </c>
      <c r="O5086" s="12">
        <v>6.68</v>
      </c>
      <c r="P5086" s="12">
        <v>6.15</v>
      </c>
      <c r="Q5086" s="13">
        <v>-47.64</v>
      </c>
      <c r="R5086" s="36" t="s">
        <v>2411</v>
      </c>
      <c r="S5086" s="7">
        <f t="shared" si="432"/>
        <v>1</v>
      </c>
      <c r="T5086" s="15" t="str">
        <f>VLOOKUP(R5086,产品分类!$C$2:$D$1278,2,0)</f>
        <v>家具产品</v>
      </c>
    </row>
    <row r="5087" spans="1:20">
      <c r="A5087" s="8">
        <f t="shared" si="434"/>
        <v>40386</v>
      </c>
      <c r="B5087" s="8">
        <f t="shared" si="434"/>
        <v>40386</v>
      </c>
      <c r="C5087" s="9" t="s">
        <v>966</v>
      </c>
      <c r="D5087">
        <v>10021513554</v>
      </c>
      <c r="E5087" t="s">
        <v>47</v>
      </c>
      <c r="F5087" t="s">
        <v>78</v>
      </c>
      <c r="G5087" t="s">
        <v>79</v>
      </c>
      <c r="H5087" t="s">
        <v>2379</v>
      </c>
      <c r="I5087" t="s">
        <v>2380</v>
      </c>
      <c r="J5087" t="s">
        <v>52</v>
      </c>
      <c r="K5087" s="3">
        <v>100833060792</v>
      </c>
      <c r="L5087" s="10">
        <v>40387</v>
      </c>
      <c r="M5087">
        <v>136.81</v>
      </c>
      <c r="N5087" s="11">
        <v>23</v>
      </c>
      <c r="O5087" s="12">
        <v>5.68</v>
      </c>
      <c r="P5087" s="12">
        <v>3.6</v>
      </c>
      <c r="Q5087" s="13">
        <v>-30.51</v>
      </c>
      <c r="R5087" s="36" t="s">
        <v>1538</v>
      </c>
      <c r="S5087" s="7">
        <f t="shared" si="432"/>
        <v>1</v>
      </c>
      <c r="T5087" s="15" t="str">
        <f>VLOOKUP(R5087,产品分类!$C$2:$D$1278,2,0)</f>
        <v>办公用品</v>
      </c>
    </row>
    <row r="5088" spans="1:20">
      <c r="A5088" s="8">
        <f t="shared" si="434"/>
        <v>40386</v>
      </c>
      <c r="B5088" s="8">
        <f t="shared" si="434"/>
        <v>40386</v>
      </c>
      <c r="C5088" s="9" t="s">
        <v>966</v>
      </c>
      <c r="D5088">
        <v>10021513312</v>
      </c>
      <c r="E5088" t="s">
        <v>47</v>
      </c>
      <c r="F5088" t="s">
        <v>230</v>
      </c>
      <c r="G5088" t="s">
        <v>231</v>
      </c>
      <c r="H5088" t="s">
        <v>2372</v>
      </c>
      <c r="I5088" t="s">
        <v>2373</v>
      </c>
      <c r="J5088" t="s">
        <v>52</v>
      </c>
      <c r="K5088" s="3">
        <v>100933059641</v>
      </c>
      <c r="L5088" s="10">
        <v>40386</v>
      </c>
      <c r="M5088">
        <v>4701.69</v>
      </c>
      <c r="N5088" s="11">
        <v>26</v>
      </c>
      <c r="O5088" s="12">
        <v>205.99</v>
      </c>
      <c r="P5088" s="12">
        <v>2.5</v>
      </c>
      <c r="Q5088" s="13">
        <v>1148.904</v>
      </c>
      <c r="R5088" s="36" t="s">
        <v>1613</v>
      </c>
      <c r="S5088" s="7">
        <f t="shared" si="432"/>
        <v>0</v>
      </c>
      <c r="T5088" s="15" t="str">
        <f>VLOOKUP(R5088,产品分类!$C$2:$D$1278,2,0)</f>
        <v>数码电子</v>
      </c>
    </row>
    <row r="5089" spans="1:20">
      <c r="A5089" s="8">
        <f>DATE(2012,12,31)-1058</f>
        <v>40216</v>
      </c>
      <c r="B5089" s="8">
        <f>DATE(2012,12,31)-1058</f>
        <v>40216</v>
      </c>
      <c r="C5089" s="9" t="s">
        <v>1094</v>
      </c>
      <c r="D5089">
        <v>10021442021</v>
      </c>
      <c r="E5089" t="s">
        <v>47</v>
      </c>
      <c r="F5089" t="s">
        <v>114</v>
      </c>
      <c r="G5089" t="s">
        <v>115</v>
      </c>
      <c r="H5089" t="s">
        <v>2374</v>
      </c>
      <c r="I5089" t="s">
        <v>2375</v>
      </c>
      <c r="J5089" t="s">
        <v>52</v>
      </c>
      <c r="K5089" s="3">
        <v>100432982763</v>
      </c>
      <c r="L5089" s="10">
        <v>40217</v>
      </c>
      <c r="M5089">
        <v>109.87</v>
      </c>
      <c r="N5089" s="11">
        <v>21</v>
      </c>
      <c r="O5089" s="12">
        <v>4.98</v>
      </c>
      <c r="P5089" s="12">
        <v>7.54</v>
      </c>
      <c r="Q5089" s="13">
        <v>-98.17</v>
      </c>
      <c r="R5089" s="36" t="s">
        <v>2261</v>
      </c>
      <c r="S5089" s="7">
        <f t="shared" si="432"/>
        <v>1</v>
      </c>
      <c r="T5089" s="15" t="str">
        <f>VLOOKUP(R5089,产品分类!$C$2:$D$1278,2,0)</f>
        <v>办公用品</v>
      </c>
    </row>
    <row r="5090" spans="1:20">
      <c r="A5090" s="8">
        <f>DATE(2012,12,31)-1058</f>
        <v>40216</v>
      </c>
      <c r="B5090" s="8">
        <f>DATE(2012,12,31)-1058</f>
        <v>40216</v>
      </c>
      <c r="C5090" s="9" t="s">
        <v>1094</v>
      </c>
      <c r="D5090">
        <v>10021537050</v>
      </c>
      <c r="E5090" t="s">
        <v>47</v>
      </c>
      <c r="F5090" t="s">
        <v>473</v>
      </c>
      <c r="G5090" t="s">
        <v>474</v>
      </c>
      <c r="H5090" t="s">
        <v>2406</v>
      </c>
      <c r="I5090" t="s">
        <v>2407</v>
      </c>
      <c r="J5090" t="s">
        <v>52</v>
      </c>
      <c r="K5090" s="3">
        <v>100733094515</v>
      </c>
      <c r="L5090" s="10">
        <v>40216</v>
      </c>
      <c r="M5090">
        <v>816.65</v>
      </c>
      <c r="N5090" s="11">
        <v>37</v>
      </c>
      <c r="O5090" s="12">
        <v>22.84</v>
      </c>
      <c r="P5090" s="12">
        <v>16.87</v>
      </c>
      <c r="Q5090" s="13">
        <v>-182.8</v>
      </c>
      <c r="R5090" s="36" t="s">
        <v>1958</v>
      </c>
      <c r="S5090" s="7">
        <f t="shared" si="432"/>
        <v>0</v>
      </c>
      <c r="T5090" s="15" t="str">
        <f>VLOOKUP(R5090,产品分类!$C$2:$D$1278,2,0)</f>
        <v>数码电子</v>
      </c>
    </row>
    <row r="5091" spans="1:20">
      <c r="A5091" s="8">
        <f>DATE(2012,12,31)-732</f>
        <v>40542</v>
      </c>
      <c r="B5091" s="8">
        <f>DATE(2012,12,31)-732</f>
        <v>40542</v>
      </c>
      <c r="C5091" s="9" t="s">
        <v>275</v>
      </c>
      <c r="D5091">
        <v>10021278243</v>
      </c>
      <c r="E5091" t="s">
        <v>47</v>
      </c>
      <c r="F5091" t="s">
        <v>55</v>
      </c>
      <c r="G5091" t="s">
        <v>56</v>
      </c>
      <c r="H5091" t="s">
        <v>2331</v>
      </c>
      <c r="I5091" t="s">
        <v>2332</v>
      </c>
      <c r="J5091" t="s">
        <v>52</v>
      </c>
      <c r="K5091" s="3">
        <v>100132778238</v>
      </c>
      <c r="L5091" s="10">
        <v>40553</v>
      </c>
      <c r="M5091">
        <v>1272.83</v>
      </c>
      <c r="N5091" s="11">
        <v>13</v>
      </c>
      <c r="O5091" s="12">
        <v>100.98</v>
      </c>
      <c r="P5091" s="12">
        <v>7.18</v>
      </c>
      <c r="Q5091" s="13">
        <v>250.47</v>
      </c>
      <c r="R5091" s="36" t="s">
        <v>1779</v>
      </c>
      <c r="S5091" s="7">
        <f t="shared" si="432"/>
        <v>11</v>
      </c>
      <c r="T5091" s="15" t="str">
        <f>VLOOKUP(R5091,产品分类!$C$2:$D$1278,2,0)</f>
        <v>家具产品</v>
      </c>
    </row>
    <row r="5092" spans="1:20">
      <c r="A5092" s="16">
        <f>DATE(2012,12,31)-732</f>
        <v>40542</v>
      </c>
      <c r="B5092" s="16">
        <f>DATE(2012,12,31)-732</f>
        <v>40542</v>
      </c>
      <c r="C5092" s="9" t="s">
        <v>275</v>
      </c>
      <c r="D5092">
        <v>10021304889</v>
      </c>
      <c r="E5092" t="s">
        <v>47</v>
      </c>
      <c r="F5092" t="s">
        <v>171</v>
      </c>
      <c r="G5092" t="s">
        <v>172</v>
      </c>
      <c r="H5092" t="s">
        <v>2352</v>
      </c>
      <c r="I5092" t="s">
        <v>2353</v>
      </c>
      <c r="J5092" t="s">
        <v>52</v>
      </c>
      <c r="K5092" s="3">
        <v>100932794691</v>
      </c>
      <c r="L5092" s="10">
        <v>40557</v>
      </c>
      <c r="M5092">
        <v>165.36</v>
      </c>
      <c r="N5092" s="17">
        <v>25</v>
      </c>
      <c r="O5092" s="5">
        <v>6.48</v>
      </c>
      <c r="P5092" s="5">
        <v>7.49</v>
      </c>
      <c r="Q5092" s="6">
        <v>-94.79</v>
      </c>
      <c r="R5092" s="37" t="s">
        <v>1030</v>
      </c>
      <c r="S5092" s="7">
        <f t="shared" si="432"/>
        <v>15</v>
      </c>
      <c r="T5092" s="15" t="str">
        <f>VLOOKUP(R5092,产品分类!$C$2:$D$1278,2,0)</f>
        <v>办公用品</v>
      </c>
    </row>
    <row r="5093" spans="1:20">
      <c r="A5093" s="16">
        <f>DATE(2012,12,31)-133</f>
        <v>41141</v>
      </c>
      <c r="B5093" s="16">
        <f>DATE(2012,12,31)-133</f>
        <v>41141</v>
      </c>
      <c r="C5093" s="9" t="s">
        <v>1595</v>
      </c>
      <c r="D5093">
        <v>10021520933</v>
      </c>
      <c r="E5093" t="s">
        <v>47</v>
      </c>
      <c r="F5093" t="s">
        <v>177</v>
      </c>
      <c r="G5093" t="s">
        <v>178</v>
      </c>
      <c r="H5093" t="s">
        <v>2339</v>
      </c>
      <c r="I5093" t="s">
        <v>2340</v>
      </c>
      <c r="J5093" t="s">
        <v>52</v>
      </c>
      <c r="K5093" s="3">
        <v>100933081861</v>
      </c>
      <c r="L5093" s="10">
        <v>41143</v>
      </c>
      <c r="M5093">
        <v>611.16</v>
      </c>
      <c r="N5093" s="17">
        <v>46</v>
      </c>
      <c r="O5093" s="5">
        <v>12.95</v>
      </c>
      <c r="P5093" s="5">
        <v>4.98</v>
      </c>
      <c r="Q5093" s="6">
        <v>100.215</v>
      </c>
      <c r="R5093" s="37" t="s">
        <v>312</v>
      </c>
      <c r="S5093" s="7">
        <f t="shared" si="432"/>
        <v>2</v>
      </c>
      <c r="T5093" s="15" t="str">
        <f>VLOOKUP(R5093,产品分类!$C$2:$D$1278,2,0)</f>
        <v>数码电子</v>
      </c>
    </row>
    <row r="5094" spans="1:20">
      <c r="A5094" s="8">
        <f>DATE(2012,12,31)-849</f>
        <v>40425</v>
      </c>
      <c r="B5094" s="8">
        <f>DATE(2012,12,31)-849</f>
        <v>40425</v>
      </c>
      <c r="C5094" s="9" t="s">
        <v>2007</v>
      </c>
      <c r="D5094">
        <v>10021533989</v>
      </c>
      <c r="E5094" t="s">
        <v>47</v>
      </c>
      <c r="F5094" t="s">
        <v>171</v>
      </c>
      <c r="G5094" t="s">
        <v>172</v>
      </c>
      <c r="H5094" t="s">
        <v>2352</v>
      </c>
      <c r="I5094" t="s">
        <v>2353</v>
      </c>
      <c r="J5094" t="s">
        <v>52</v>
      </c>
      <c r="K5094" s="3">
        <v>100432970234</v>
      </c>
      <c r="L5094" s="10">
        <v>40427</v>
      </c>
      <c r="M5094">
        <v>278.1</v>
      </c>
      <c r="N5094" s="11">
        <v>10</v>
      </c>
      <c r="O5094" s="12">
        <v>30.56</v>
      </c>
      <c r="P5094" s="12">
        <v>2.99</v>
      </c>
      <c r="Q5094" s="13">
        <v>68.102</v>
      </c>
      <c r="R5094" s="36" t="s">
        <v>1457</v>
      </c>
      <c r="S5094" s="7">
        <f t="shared" si="432"/>
        <v>2</v>
      </c>
      <c r="T5094" s="15" t="str">
        <f>VLOOKUP(R5094,产品分类!$C$2:$D$1278,2,0)</f>
        <v>办公用品</v>
      </c>
    </row>
    <row r="5095" spans="1:20">
      <c r="A5095" s="8">
        <f>DATE(2012,12,31)-805</f>
        <v>40469</v>
      </c>
      <c r="B5095" s="8">
        <f>DATE(2012,12,31)-805</f>
        <v>40469</v>
      </c>
      <c r="C5095" s="9" t="s">
        <v>1161</v>
      </c>
      <c r="D5095">
        <v>10021355090</v>
      </c>
      <c r="E5095" t="s">
        <v>47</v>
      </c>
      <c r="F5095" t="s">
        <v>171</v>
      </c>
      <c r="G5095" t="s">
        <v>172</v>
      </c>
      <c r="H5095" t="s">
        <v>2352</v>
      </c>
      <c r="I5095" t="s">
        <v>2353</v>
      </c>
      <c r="J5095" t="s">
        <v>52</v>
      </c>
      <c r="K5095" s="3">
        <v>100432865303</v>
      </c>
      <c r="L5095" s="10">
        <v>40471</v>
      </c>
      <c r="M5095">
        <v>85.89</v>
      </c>
      <c r="N5095" s="11">
        <v>5</v>
      </c>
      <c r="O5095" s="12">
        <v>15.98</v>
      </c>
      <c r="P5095" s="12">
        <v>6.5</v>
      </c>
      <c r="Q5095" s="13">
        <v>-48.88</v>
      </c>
      <c r="R5095" s="36" t="s">
        <v>371</v>
      </c>
      <c r="S5095" s="7">
        <f t="shared" si="432"/>
        <v>2</v>
      </c>
      <c r="T5095" s="15" t="str">
        <f>VLOOKUP(R5095,产品分类!$C$2:$D$1278,2,0)</f>
        <v>办公用品</v>
      </c>
    </row>
    <row r="5096" spans="1:20">
      <c r="A5096" s="8">
        <f>DATE(2012,12,31)-209</f>
        <v>41065</v>
      </c>
      <c r="B5096" s="8">
        <f>DATE(2012,12,31)-209</f>
        <v>41065</v>
      </c>
      <c r="C5096" s="9" t="s">
        <v>1859</v>
      </c>
      <c r="D5096">
        <v>10021491940</v>
      </c>
      <c r="E5096" t="s">
        <v>47</v>
      </c>
      <c r="F5096" t="s">
        <v>152</v>
      </c>
      <c r="G5096" t="s">
        <v>153</v>
      </c>
      <c r="H5096" t="s">
        <v>2302</v>
      </c>
      <c r="I5096" t="s">
        <v>2303</v>
      </c>
      <c r="J5096" t="s">
        <v>52</v>
      </c>
      <c r="K5096" s="3">
        <v>100933053231</v>
      </c>
      <c r="L5096" s="10">
        <v>41067</v>
      </c>
      <c r="M5096">
        <v>4567.36</v>
      </c>
      <c r="N5096" s="11">
        <v>13</v>
      </c>
      <c r="O5096" s="12">
        <v>363.25</v>
      </c>
      <c r="P5096" s="12">
        <v>19.99</v>
      </c>
      <c r="Q5096" s="13">
        <v>889.31</v>
      </c>
      <c r="R5096" s="36" t="s">
        <v>192</v>
      </c>
      <c r="S5096" s="7">
        <f t="shared" si="432"/>
        <v>2</v>
      </c>
      <c r="T5096" s="15" t="str">
        <f>VLOOKUP(R5096,产品分类!$C$2:$D$1278,2,0)</f>
        <v>办公用品</v>
      </c>
    </row>
    <row r="5097" spans="1:20">
      <c r="A5097" s="8">
        <f t="shared" ref="A5097:B5100" si="435">DATE(2012,12,31)-1125</f>
        <v>40149</v>
      </c>
      <c r="B5097" s="8">
        <f t="shared" si="435"/>
        <v>40149</v>
      </c>
      <c r="C5097" s="9" t="s">
        <v>145</v>
      </c>
      <c r="D5097">
        <v>10021409253</v>
      </c>
      <c r="E5097" t="s">
        <v>47</v>
      </c>
      <c r="F5097" t="s">
        <v>72</v>
      </c>
      <c r="G5097" t="s">
        <v>73</v>
      </c>
      <c r="H5097" t="s">
        <v>2398</v>
      </c>
      <c r="I5097" t="s">
        <v>2399</v>
      </c>
      <c r="J5097" t="s">
        <v>52</v>
      </c>
      <c r="K5097" s="3">
        <v>100932949121</v>
      </c>
      <c r="L5097" s="10">
        <v>40149</v>
      </c>
      <c r="M5097">
        <v>61.43</v>
      </c>
      <c r="N5097" s="11">
        <v>9</v>
      </c>
      <c r="O5097" s="12">
        <v>5.4</v>
      </c>
      <c r="P5097" s="12">
        <v>7.78</v>
      </c>
      <c r="Q5097" s="13">
        <v>-42.9755</v>
      </c>
      <c r="R5097" s="36" t="s">
        <v>200</v>
      </c>
      <c r="S5097" s="7">
        <f t="shared" si="432"/>
        <v>0</v>
      </c>
      <c r="T5097" s="15" t="str">
        <f>VLOOKUP(R5097,产品分类!$C$2:$D$1278,2,0)</f>
        <v>数码电子</v>
      </c>
    </row>
    <row r="5098" spans="1:20">
      <c r="A5098" s="8">
        <f t="shared" si="435"/>
        <v>40149</v>
      </c>
      <c r="B5098" s="8">
        <f t="shared" si="435"/>
        <v>40149</v>
      </c>
      <c r="C5098" s="9" t="s">
        <v>145</v>
      </c>
      <c r="D5098">
        <v>10021292523</v>
      </c>
      <c r="E5098" t="s">
        <v>47</v>
      </c>
      <c r="F5098" t="s">
        <v>55</v>
      </c>
      <c r="G5098" t="s">
        <v>56</v>
      </c>
      <c r="H5098" t="s">
        <v>2331</v>
      </c>
      <c r="I5098" t="s">
        <v>2332</v>
      </c>
      <c r="J5098" t="s">
        <v>52</v>
      </c>
      <c r="K5098" s="3">
        <v>100832792692</v>
      </c>
      <c r="L5098" s="10">
        <v>40149</v>
      </c>
      <c r="M5098">
        <v>129.5</v>
      </c>
      <c r="N5098" s="11">
        <v>6</v>
      </c>
      <c r="O5098" s="12">
        <v>20.28</v>
      </c>
      <c r="P5098" s="12">
        <v>6.68</v>
      </c>
      <c r="Q5098" s="13">
        <v>65.49</v>
      </c>
      <c r="R5098" s="36" t="s">
        <v>1197</v>
      </c>
      <c r="S5098" s="7">
        <f t="shared" si="432"/>
        <v>0</v>
      </c>
      <c r="T5098" s="15" t="str">
        <f>VLOOKUP(R5098,产品分类!$C$2:$D$1278,2,0)</f>
        <v>数码电子</v>
      </c>
    </row>
    <row r="5099" spans="1:20">
      <c r="A5099" s="8">
        <f t="shared" si="435"/>
        <v>40149</v>
      </c>
      <c r="B5099" s="8">
        <f t="shared" si="435"/>
        <v>40149</v>
      </c>
      <c r="C5099" s="9" t="s">
        <v>145</v>
      </c>
      <c r="D5099">
        <v>10021375694</v>
      </c>
      <c r="E5099" t="s">
        <v>47</v>
      </c>
      <c r="F5099" t="s">
        <v>102</v>
      </c>
      <c r="G5099" t="s">
        <v>103</v>
      </c>
      <c r="H5099" t="s">
        <v>2400</v>
      </c>
      <c r="I5099" t="s">
        <v>2401</v>
      </c>
      <c r="J5099" t="s">
        <v>52</v>
      </c>
      <c r="K5099" s="3">
        <v>100932899991</v>
      </c>
      <c r="L5099" s="10">
        <v>40150</v>
      </c>
      <c r="M5099">
        <v>125.95</v>
      </c>
      <c r="N5099" s="11">
        <v>10</v>
      </c>
      <c r="O5099" s="12">
        <v>11.55</v>
      </c>
      <c r="P5099" s="12">
        <v>2.36</v>
      </c>
      <c r="Q5099" s="13">
        <v>15.73</v>
      </c>
      <c r="R5099" s="36" t="s">
        <v>1043</v>
      </c>
      <c r="S5099" s="7">
        <f t="shared" si="432"/>
        <v>1</v>
      </c>
      <c r="T5099" s="15" t="str">
        <f>VLOOKUP(R5099,产品分类!$C$2:$D$1278,2,0)</f>
        <v>家具产品</v>
      </c>
    </row>
    <row r="5100" spans="1:20">
      <c r="A5100" s="8">
        <f t="shared" si="435"/>
        <v>40149</v>
      </c>
      <c r="B5100" s="8">
        <f t="shared" si="435"/>
        <v>40149</v>
      </c>
      <c r="C5100" s="9" t="s">
        <v>145</v>
      </c>
      <c r="D5100">
        <v>10021385587</v>
      </c>
      <c r="E5100" t="s">
        <v>47</v>
      </c>
      <c r="F5100" t="s">
        <v>127</v>
      </c>
      <c r="G5100" t="s">
        <v>128</v>
      </c>
      <c r="H5100" t="s">
        <v>2408</v>
      </c>
      <c r="I5100" t="s">
        <v>2409</v>
      </c>
      <c r="J5100" t="s">
        <v>52</v>
      </c>
      <c r="K5100" s="3">
        <v>100432908774</v>
      </c>
      <c r="L5100" s="10">
        <v>40150</v>
      </c>
      <c r="M5100">
        <v>90.93</v>
      </c>
      <c r="N5100" s="11">
        <v>43</v>
      </c>
      <c r="O5100" s="12">
        <v>2.08</v>
      </c>
      <c r="P5100" s="12">
        <v>2.56</v>
      </c>
      <c r="Q5100" s="13">
        <v>-72.5</v>
      </c>
      <c r="R5100" s="36" t="s">
        <v>59</v>
      </c>
      <c r="S5100" s="7">
        <f t="shared" si="432"/>
        <v>1</v>
      </c>
      <c r="T5100" s="15" t="str">
        <f>VLOOKUP(R5100,产品分类!$C$2:$D$1278,2,0)</f>
        <v>数码电子</v>
      </c>
    </row>
    <row r="5101" spans="1:20">
      <c r="A5101" s="8">
        <f>DATE(2012,12,31)-372</f>
        <v>40902</v>
      </c>
      <c r="B5101" s="8">
        <f>DATE(2012,12,31)-372</f>
        <v>40902</v>
      </c>
      <c r="C5101" s="9" t="s">
        <v>785</v>
      </c>
      <c r="D5101">
        <v>10021655092</v>
      </c>
      <c r="E5101" t="s">
        <v>47</v>
      </c>
      <c r="F5101" t="s">
        <v>61</v>
      </c>
      <c r="G5101" t="s">
        <v>62</v>
      </c>
      <c r="H5101" t="s">
        <v>2356</v>
      </c>
      <c r="I5101" t="s">
        <v>2357</v>
      </c>
      <c r="J5101" t="s">
        <v>52</v>
      </c>
      <c r="K5101" s="3">
        <v>100433258144</v>
      </c>
      <c r="L5101" s="10">
        <v>40904</v>
      </c>
      <c r="M5101">
        <v>4768.59</v>
      </c>
      <c r="N5101" s="11">
        <v>45</v>
      </c>
      <c r="O5101" s="12">
        <v>100.98</v>
      </c>
      <c r="P5101" s="12">
        <v>45</v>
      </c>
      <c r="Q5101" s="13">
        <v>-593.8</v>
      </c>
      <c r="R5101" s="36" t="s">
        <v>2412</v>
      </c>
      <c r="S5101" s="7">
        <f t="shared" si="432"/>
        <v>2</v>
      </c>
      <c r="T5101" s="15" t="str">
        <f>VLOOKUP(R5101,产品分类!$C$2:$D$1278,2,0)</f>
        <v>家具产品</v>
      </c>
    </row>
    <row r="5102" spans="1:20">
      <c r="A5102" s="8">
        <f>DATE(2012,12,31)-372</f>
        <v>40902</v>
      </c>
      <c r="B5102" s="8">
        <f>DATE(2012,12,31)-372</f>
        <v>40902</v>
      </c>
      <c r="C5102" s="9" t="s">
        <v>785</v>
      </c>
      <c r="D5102">
        <v>10021481658</v>
      </c>
      <c r="E5102" t="s">
        <v>47</v>
      </c>
      <c r="F5102" t="s">
        <v>72</v>
      </c>
      <c r="G5102" t="s">
        <v>73</v>
      </c>
      <c r="H5102" t="s">
        <v>2398</v>
      </c>
      <c r="I5102" t="s">
        <v>2399</v>
      </c>
      <c r="J5102" t="s">
        <v>52</v>
      </c>
      <c r="K5102" s="3">
        <v>100930875791</v>
      </c>
      <c r="L5102" s="10">
        <v>40904</v>
      </c>
      <c r="M5102">
        <v>117.77</v>
      </c>
      <c r="N5102" s="11">
        <v>33</v>
      </c>
      <c r="O5102" s="12">
        <v>3.75</v>
      </c>
      <c r="P5102" s="12">
        <v>0.5</v>
      </c>
      <c r="Q5102" s="13">
        <v>47.98</v>
      </c>
      <c r="R5102" s="36" t="s">
        <v>1027</v>
      </c>
      <c r="S5102" s="7">
        <f t="shared" si="432"/>
        <v>2</v>
      </c>
      <c r="T5102" s="15" t="str">
        <f>VLOOKUP(R5102,产品分类!$C$2:$D$1278,2,0)</f>
        <v>数码电子</v>
      </c>
    </row>
    <row r="5103" spans="1:20">
      <c r="A5103" s="8">
        <f>DATE(2012,12,31)-352</f>
        <v>40922</v>
      </c>
      <c r="B5103" s="8">
        <f>DATE(2012,12,31)-352</f>
        <v>40922</v>
      </c>
      <c r="C5103" s="9" t="s">
        <v>649</v>
      </c>
      <c r="D5103">
        <v>10021634888</v>
      </c>
      <c r="E5103" t="s">
        <v>47</v>
      </c>
      <c r="F5103" t="s">
        <v>97</v>
      </c>
      <c r="G5103" t="s">
        <v>98</v>
      </c>
      <c r="H5103" t="s">
        <v>99</v>
      </c>
      <c r="I5103" t="s">
        <v>98</v>
      </c>
      <c r="J5103" t="s">
        <v>52</v>
      </c>
      <c r="K5103" s="3">
        <v>100131027278</v>
      </c>
      <c r="L5103" s="10">
        <v>40923</v>
      </c>
      <c r="M5103">
        <v>17605.77</v>
      </c>
      <c r="N5103" s="11">
        <v>38</v>
      </c>
      <c r="O5103" s="12">
        <v>449.99</v>
      </c>
      <c r="P5103" s="12">
        <v>49</v>
      </c>
      <c r="Q5103" s="13">
        <v>-370.04</v>
      </c>
      <c r="R5103" s="36" t="s">
        <v>545</v>
      </c>
      <c r="S5103" s="7">
        <f t="shared" si="432"/>
        <v>1</v>
      </c>
      <c r="T5103" s="15" t="str">
        <f>VLOOKUP(R5103,产品分类!$C$2:$D$1278,2,0)</f>
        <v>办公用品</v>
      </c>
    </row>
    <row r="5104" spans="1:20">
      <c r="A5104" s="8">
        <f>DATE(2012,12,31)-1328</f>
        <v>39946</v>
      </c>
      <c r="B5104" s="8">
        <f>DATE(2012,12,31)-1328</f>
        <v>39946</v>
      </c>
      <c r="C5104" s="9" t="s">
        <v>201</v>
      </c>
      <c r="D5104">
        <v>10021315698</v>
      </c>
      <c r="E5104" t="s">
        <v>47</v>
      </c>
      <c r="F5104" t="s">
        <v>61</v>
      </c>
      <c r="G5104" t="s">
        <v>62</v>
      </c>
      <c r="H5104" t="s">
        <v>2356</v>
      </c>
      <c r="I5104" t="s">
        <v>2357</v>
      </c>
      <c r="J5104" t="s">
        <v>52</v>
      </c>
      <c r="K5104" s="3">
        <v>100432276604</v>
      </c>
      <c r="L5104" s="10">
        <v>39948</v>
      </c>
      <c r="M5104">
        <v>865.35</v>
      </c>
      <c r="N5104" s="11">
        <v>28</v>
      </c>
      <c r="O5104" s="12">
        <v>30.42</v>
      </c>
      <c r="P5104" s="12">
        <v>8.65</v>
      </c>
      <c r="Q5104" s="13">
        <v>-159.25</v>
      </c>
      <c r="R5104" s="36" t="s">
        <v>1231</v>
      </c>
      <c r="S5104" s="7">
        <f t="shared" si="432"/>
        <v>2</v>
      </c>
      <c r="T5104" s="15" t="str">
        <f>VLOOKUP(R5104,产品分类!$C$2:$D$1278,2,0)</f>
        <v>办公用品</v>
      </c>
    </row>
    <row r="5105" spans="1:20">
      <c r="A5105" s="8">
        <f>DATE(2012,12,31)-1328</f>
        <v>39946</v>
      </c>
      <c r="B5105" s="8">
        <f>DATE(2012,12,31)-1328</f>
        <v>39946</v>
      </c>
      <c r="C5105" s="9" t="s">
        <v>201</v>
      </c>
      <c r="D5105">
        <v>10021505360</v>
      </c>
      <c r="E5105" t="s">
        <v>47</v>
      </c>
      <c r="F5105" t="s">
        <v>66</v>
      </c>
      <c r="G5105" t="s">
        <v>67</v>
      </c>
      <c r="H5105" t="s">
        <v>2413</v>
      </c>
      <c r="I5105" t="s">
        <v>2414</v>
      </c>
      <c r="J5105" t="s">
        <v>52</v>
      </c>
      <c r="K5105" s="3">
        <v>100130799318</v>
      </c>
      <c r="L5105" s="10">
        <v>39947</v>
      </c>
      <c r="M5105">
        <v>823.07</v>
      </c>
      <c r="N5105" s="11">
        <v>22</v>
      </c>
      <c r="O5105" s="12">
        <v>37.94</v>
      </c>
      <c r="P5105" s="12">
        <v>5.08</v>
      </c>
      <c r="Q5105" s="13">
        <v>318.25</v>
      </c>
      <c r="R5105" s="36" t="s">
        <v>947</v>
      </c>
      <c r="S5105" s="7">
        <f t="shared" si="432"/>
        <v>1</v>
      </c>
      <c r="T5105" s="15" t="str">
        <f>VLOOKUP(R5105,产品分类!$C$2:$D$1278,2,0)</f>
        <v>办公用品</v>
      </c>
    </row>
    <row r="5106" spans="1:20">
      <c r="A5106" s="8">
        <f>DATE(2012,12,31)-404</f>
        <v>40870</v>
      </c>
      <c r="B5106" s="8">
        <f>DATE(2012,12,31)-404</f>
        <v>40870</v>
      </c>
      <c r="C5106" s="9" t="s">
        <v>873</v>
      </c>
      <c r="D5106">
        <v>10021587999</v>
      </c>
      <c r="E5106" t="s">
        <v>47</v>
      </c>
      <c r="F5106" t="s">
        <v>66</v>
      </c>
      <c r="G5106" t="s">
        <v>67</v>
      </c>
      <c r="H5106" t="s">
        <v>2413</v>
      </c>
      <c r="I5106" t="s">
        <v>2414</v>
      </c>
      <c r="J5106" t="s">
        <v>52</v>
      </c>
      <c r="K5106" s="3">
        <v>100130128376</v>
      </c>
      <c r="L5106" s="10">
        <v>40871</v>
      </c>
      <c r="M5106">
        <v>68.66</v>
      </c>
      <c r="N5106" s="11">
        <v>2</v>
      </c>
      <c r="O5106" s="12">
        <v>30.98</v>
      </c>
      <c r="P5106" s="12">
        <v>5.76</v>
      </c>
      <c r="Q5106" s="13">
        <v>-29.6</v>
      </c>
      <c r="R5106" s="36" t="s">
        <v>751</v>
      </c>
      <c r="S5106" s="7">
        <f t="shared" si="432"/>
        <v>1</v>
      </c>
      <c r="T5106" s="15" t="str">
        <f>VLOOKUP(R5106,产品分类!$C$2:$D$1278,2,0)</f>
        <v>办公用品</v>
      </c>
    </row>
    <row r="5107" spans="1:20">
      <c r="A5107" s="8">
        <f>DATE(2012,12,31)-420</f>
        <v>40854</v>
      </c>
      <c r="B5107" s="8">
        <f>DATE(2012,12,31)-420</f>
        <v>40854</v>
      </c>
      <c r="C5107" s="9" t="s">
        <v>1686</v>
      </c>
      <c r="D5107">
        <v>10021431298</v>
      </c>
      <c r="E5107" t="s">
        <v>47</v>
      </c>
      <c r="F5107" t="s">
        <v>66</v>
      </c>
      <c r="G5107" t="s">
        <v>67</v>
      </c>
      <c r="H5107" t="s">
        <v>2413</v>
      </c>
      <c r="I5107" t="s">
        <v>2414</v>
      </c>
      <c r="J5107" t="s">
        <v>52</v>
      </c>
      <c r="K5107" s="3">
        <v>100432225303</v>
      </c>
      <c r="L5107" s="10">
        <v>40857</v>
      </c>
      <c r="M5107">
        <v>616.39</v>
      </c>
      <c r="N5107" s="11">
        <v>32</v>
      </c>
      <c r="O5107" s="12">
        <v>20.89</v>
      </c>
      <c r="P5107" s="12">
        <v>1.99</v>
      </c>
      <c r="Q5107" s="13">
        <v>148.28</v>
      </c>
      <c r="R5107" s="36" t="s">
        <v>1745</v>
      </c>
      <c r="S5107" s="7">
        <f t="shared" si="432"/>
        <v>3</v>
      </c>
      <c r="T5107" s="15" t="str">
        <f>VLOOKUP(R5107,产品分类!$C$2:$D$1278,2,0)</f>
        <v>数码电子</v>
      </c>
    </row>
    <row r="5108" spans="1:20">
      <c r="A5108" s="8">
        <f>DATE(2012,12,31)-80</f>
        <v>41194</v>
      </c>
      <c r="B5108" s="8">
        <f>DATE(2012,12,31)-80</f>
        <v>41194</v>
      </c>
      <c r="C5108" s="9" t="s">
        <v>425</v>
      </c>
      <c r="D5108">
        <v>10021666730</v>
      </c>
      <c r="E5108" t="s">
        <v>47</v>
      </c>
      <c r="F5108" t="s">
        <v>78</v>
      </c>
      <c r="G5108" t="s">
        <v>79</v>
      </c>
      <c r="H5108" t="s">
        <v>2379</v>
      </c>
      <c r="I5108" t="s">
        <v>2380</v>
      </c>
      <c r="J5108" t="s">
        <v>52</v>
      </c>
      <c r="K5108" s="3">
        <v>100327551839</v>
      </c>
      <c r="L5108" s="10">
        <v>41196</v>
      </c>
      <c r="M5108">
        <v>329.63</v>
      </c>
      <c r="N5108" s="11">
        <v>3</v>
      </c>
      <c r="O5108" s="12">
        <v>125.99</v>
      </c>
      <c r="P5108" s="12">
        <v>8.99</v>
      </c>
      <c r="Q5108" s="13">
        <v>-541.332</v>
      </c>
      <c r="R5108" s="36" t="s">
        <v>1637</v>
      </c>
      <c r="S5108" s="7">
        <f t="shared" si="432"/>
        <v>2</v>
      </c>
      <c r="T5108" s="15" t="str">
        <f>VLOOKUP(R5108,产品分类!$C$2:$D$1278,2,0)</f>
        <v>数码电子</v>
      </c>
    </row>
    <row r="5109" spans="1:20">
      <c r="A5109" s="16">
        <f>DATE(2012,12,31)-1127</f>
        <v>40147</v>
      </c>
      <c r="B5109" s="16">
        <f>DATE(2012,12,31)-1127</f>
        <v>40147</v>
      </c>
      <c r="C5109" s="9" t="s">
        <v>359</v>
      </c>
      <c r="D5109">
        <v>10021342495</v>
      </c>
      <c r="E5109" t="s">
        <v>47</v>
      </c>
      <c r="F5109" t="s">
        <v>122</v>
      </c>
      <c r="G5109" t="s">
        <v>123</v>
      </c>
      <c r="H5109" t="s">
        <v>2159</v>
      </c>
      <c r="I5109" t="s">
        <v>2160</v>
      </c>
      <c r="J5109" t="s">
        <v>52</v>
      </c>
      <c r="K5109" s="3">
        <v>100928132851</v>
      </c>
      <c r="L5109" s="10">
        <v>40151</v>
      </c>
      <c r="M5109">
        <v>276</v>
      </c>
      <c r="N5109" s="17">
        <v>44</v>
      </c>
      <c r="O5109" s="5">
        <v>6.48</v>
      </c>
      <c r="P5109" s="5">
        <v>5.82</v>
      </c>
      <c r="Q5109" s="6">
        <v>-98.53</v>
      </c>
      <c r="R5109" s="37" t="s">
        <v>2415</v>
      </c>
      <c r="S5109" s="7">
        <f t="shared" si="432"/>
        <v>4</v>
      </c>
      <c r="T5109" s="15" t="str">
        <f>VLOOKUP(R5109,产品分类!$C$2:$D$1278,2,0)</f>
        <v>办公用品</v>
      </c>
    </row>
    <row r="5110" spans="1:20">
      <c r="A5110" s="16">
        <f>DATE(2012,12,31)-1127</f>
        <v>40147</v>
      </c>
      <c r="B5110" s="16">
        <f>DATE(2012,12,31)-1127</f>
        <v>40147</v>
      </c>
      <c r="C5110" s="9" t="s">
        <v>359</v>
      </c>
      <c r="D5110">
        <v>10021430242</v>
      </c>
      <c r="E5110" t="s">
        <v>47</v>
      </c>
      <c r="F5110" t="s">
        <v>102</v>
      </c>
      <c r="G5110" t="s">
        <v>103</v>
      </c>
      <c r="H5110" t="s">
        <v>2400</v>
      </c>
      <c r="I5110" t="s">
        <v>2401</v>
      </c>
      <c r="J5110" t="s">
        <v>52</v>
      </c>
      <c r="K5110" s="3">
        <v>100331913319</v>
      </c>
      <c r="L5110" s="10">
        <v>40151</v>
      </c>
      <c r="M5110">
        <v>132.01</v>
      </c>
      <c r="N5110" s="17">
        <v>46</v>
      </c>
      <c r="O5110" s="5">
        <v>2.88</v>
      </c>
      <c r="P5110" s="5">
        <v>1.01</v>
      </c>
      <c r="Q5110" s="6">
        <v>6.93</v>
      </c>
      <c r="R5110" s="37" t="s">
        <v>1540</v>
      </c>
      <c r="S5110" s="7">
        <f t="shared" si="432"/>
        <v>4</v>
      </c>
      <c r="T5110" s="15" t="str">
        <f>VLOOKUP(R5110,产品分类!$C$2:$D$1278,2,0)</f>
        <v>数码电子</v>
      </c>
    </row>
    <row r="5111" spans="1:20">
      <c r="A5111" s="16">
        <f>DATE(2012,12,31)-339</f>
        <v>40935</v>
      </c>
      <c r="B5111" s="16">
        <f>DATE(2012,12,31)-339</f>
        <v>40935</v>
      </c>
      <c r="C5111" s="9" t="s">
        <v>1428</v>
      </c>
      <c r="D5111">
        <v>10021360282</v>
      </c>
      <c r="E5111" t="s">
        <v>47</v>
      </c>
      <c r="F5111" t="s">
        <v>152</v>
      </c>
      <c r="G5111" t="s">
        <v>153</v>
      </c>
      <c r="H5111" t="s">
        <v>2302</v>
      </c>
      <c r="I5111" t="s">
        <v>2303</v>
      </c>
      <c r="J5111" t="s">
        <v>52</v>
      </c>
      <c r="K5111" s="3">
        <v>100919473331</v>
      </c>
      <c r="L5111" s="10">
        <v>40936</v>
      </c>
      <c r="M5111">
        <v>207.92</v>
      </c>
      <c r="N5111" s="17">
        <v>33</v>
      </c>
      <c r="O5111" s="5">
        <v>6.23</v>
      </c>
      <c r="P5111" s="5">
        <v>6.97</v>
      </c>
      <c r="Q5111" s="6">
        <v>-124.844</v>
      </c>
      <c r="R5111" s="37" t="s">
        <v>2290</v>
      </c>
      <c r="S5111" s="7">
        <f t="shared" si="432"/>
        <v>1</v>
      </c>
      <c r="T5111" s="15" t="str">
        <f>VLOOKUP(R5111,产品分类!$C$2:$D$1278,2,0)</f>
        <v>家具产品</v>
      </c>
    </row>
    <row r="5112" spans="1:20">
      <c r="A5112" s="8">
        <f>DATE(2012,12,31)-843</f>
        <v>40431</v>
      </c>
      <c r="B5112" s="8">
        <f>DATE(2012,12,31)-843</f>
        <v>40431</v>
      </c>
      <c r="C5112" s="9" t="s">
        <v>964</v>
      </c>
      <c r="D5112">
        <v>10021313054</v>
      </c>
      <c r="E5112" t="s">
        <v>47</v>
      </c>
      <c r="F5112" t="s">
        <v>72</v>
      </c>
      <c r="G5112" t="s">
        <v>73</v>
      </c>
      <c r="H5112" t="s">
        <v>2398</v>
      </c>
      <c r="I5112" t="s">
        <v>2399</v>
      </c>
      <c r="J5112" t="s">
        <v>52</v>
      </c>
      <c r="K5112" s="3">
        <v>100131697158</v>
      </c>
      <c r="L5112" s="10">
        <v>40431</v>
      </c>
      <c r="M5112">
        <v>36.65</v>
      </c>
      <c r="N5112" s="11">
        <v>6</v>
      </c>
      <c r="O5112" s="12">
        <v>6.08</v>
      </c>
      <c r="P5112" s="12">
        <v>0.91</v>
      </c>
      <c r="Q5112" s="13">
        <v>0.43</v>
      </c>
      <c r="R5112" s="36" t="s">
        <v>1556</v>
      </c>
      <c r="S5112" s="7">
        <f t="shared" si="432"/>
        <v>0</v>
      </c>
      <c r="T5112" s="15" t="str">
        <f>VLOOKUP(R5112,产品分类!$C$2:$D$1278,2,0)</f>
        <v>家具产品</v>
      </c>
    </row>
    <row r="5113" spans="1:20">
      <c r="A5113" s="8">
        <f>DATE(2012,12,31)-843</f>
        <v>40431</v>
      </c>
      <c r="B5113" s="8">
        <f>DATE(2012,12,31)-843</f>
        <v>40431</v>
      </c>
      <c r="C5113" s="9" t="s">
        <v>964</v>
      </c>
      <c r="D5113">
        <v>10021484990</v>
      </c>
      <c r="E5113" t="s">
        <v>47</v>
      </c>
      <c r="F5113" t="s">
        <v>91</v>
      </c>
      <c r="G5113" t="s">
        <v>92</v>
      </c>
      <c r="H5113" t="s">
        <v>2053</v>
      </c>
      <c r="I5113" t="s">
        <v>2054</v>
      </c>
      <c r="J5113" t="s">
        <v>52</v>
      </c>
      <c r="K5113" s="3">
        <v>100123804986</v>
      </c>
      <c r="L5113" s="10">
        <v>40432</v>
      </c>
      <c r="M5113">
        <v>964.09</v>
      </c>
      <c r="N5113" s="11">
        <v>44</v>
      </c>
      <c r="O5113" s="12">
        <v>22.01</v>
      </c>
      <c r="P5113" s="12">
        <v>5.53</v>
      </c>
      <c r="Q5113" s="13">
        <v>105.37</v>
      </c>
      <c r="R5113" s="36" t="s">
        <v>747</v>
      </c>
      <c r="S5113" s="7">
        <f t="shared" si="432"/>
        <v>1</v>
      </c>
      <c r="T5113" s="15" t="str">
        <f>VLOOKUP(R5113,产品分类!$C$2:$D$1278,2,0)</f>
        <v>数码电子</v>
      </c>
    </row>
    <row r="5114" spans="1:20">
      <c r="A5114" s="8">
        <f t="shared" ref="A5114:B5116" si="436">DATE(2012,12,31)-848</f>
        <v>40426</v>
      </c>
      <c r="B5114" s="8">
        <f t="shared" si="436"/>
        <v>40426</v>
      </c>
      <c r="C5114" s="9" t="s">
        <v>956</v>
      </c>
      <c r="D5114">
        <v>10021409929</v>
      </c>
      <c r="E5114" t="s">
        <v>47</v>
      </c>
      <c r="F5114" t="s">
        <v>91</v>
      </c>
      <c r="G5114" t="s">
        <v>92</v>
      </c>
      <c r="H5114" t="s">
        <v>2053</v>
      </c>
      <c r="I5114" t="s">
        <v>2054</v>
      </c>
      <c r="J5114" t="s">
        <v>52</v>
      </c>
      <c r="K5114" s="3">
        <v>100432207493</v>
      </c>
      <c r="L5114" s="10">
        <v>40426</v>
      </c>
      <c r="M5114">
        <v>90.75</v>
      </c>
      <c r="N5114" s="11">
        <v>6</v>
      </c>
      <c r="O5114" s="12">
        <v>12.99</v>
      </c>
      <c r="P5114" s="12">
        <v>14.37</v>
      </c>
      <c r="Q5114" s="13">
        <v>-26.39</v>
      </c>
      <c r="R5114" s="36" t="s">
        <v>1790</v>
      </c>
      <c r="S5114" s="7">
        <f t="shared" si="432"/>
        <v>0</v>
      </c>
      <c r="T5114" s="15" t="str">
        <f>VLOOKUP(R5114,产品分类!$C$2:$D$1278,2,0)</f>
        <v>办公用品</v>
      </c>
    </row>
    <row r="5115" spans="1:20">
      <c r="A5115" s="8">
        <f t="shared" si="436"/>
        <v>40426</v>
      </c>
      <c r="B5115" s="8">
        <f t="shared" si="436"/>
        <v>40426</v>
      </c>
      <c r="C5115" s="9" t="s">
        <v>956</v>
      </c>
      <c r="D5115">
        <v>10021518947</v>
      </c>
      <c r="E5115" t="s">
        <v>47</v>
      </c>
      <c r="F5115" t="s">
        <v>91</v>
      </c>
      <c r="G5115" t="s">
        <v>92</v>
      </c>
      <c r="H5115" t="s">
        <v>2053</v>
      </c>
      <c r="I5115" t="s">
        <v>2054</v>
      </c>
      <c r="J5115" t="s">
        <v>52</v>
      </c>
      <c r="K5115" s="3">
        <v>100129993378</v>
      </c>
      <c r="L5115" s="10">
        <v>40428</v>
      </c>
      <c r="M5115">
        <v>927.82</v>
      </c>
      <c r="N5115" s="11">
        <v>43</v>
      </c>
      <c r="O5115" s="12">
        <v>20.24</v>
      </c>
      <c r="P5115" s="12">
        <v>6.67</v>
      </c>
      <c r="Q5115" s="13">
        <v>255.03</v>
      </c>
      <c r="R5115" s="36" t="s">
        <v>1005</v>
      </c>
      <c r="S5115" s="7">
        <f t="shared" si="432"/>
        <v>2</v>
      </c>
      <c r="T5115" s="15" t="str">
        <f>VLOOKUP(R5115,产品分类!$C$2:$D$1278,2,0)</f>
        <v>办公用品</v>
      </c>
    </row>
    <row r="5116" spans="1:20">
      <c r="A5116" s="16">
        <f t="shared" si="436"/>
        <v>40426</v>
      </c>
      <c r="B5116" s="16">
        <f t="shared" si="436"/>
        <v>40426</v>
      </c>
      <c r="C5116" s="9" t="s">
        <v>956</v>
      </c>
      <c r="D5116">
        <v>10021475482</v>
      </c>
      <c r="E5116" t="s">
        <v>47</v>
      </c>
      <c r="F5116" t="s">
        <v>102</v>
      </c>
      <c r="G5116" t="s">
        <v>103</v>
      </c>
      <c r="H5116" t="s">
        <v>2400</v>
      </c>
      <c r="I5116" t="s">
        <v>2401</v>
      </c>
      <c r="J5116" t="s">
        <v>52</v>
      </c>
      <c r="K5116" s="3">
        <v>100924852631</v>
      </c>
      <c r="L5116" s="10">
        <v>40429</v>
      </c>
      <c r="M5116">
        <v>123.37</v>
      </c>
      <c r="N5116" s="17">
        <v>27</v>
      </c>
      <c r="O5116" s="5">
        <v>4.71</v>
      </c>
      <c r="P5116" s="5">
        <v>0.7</v>
      </c>
      <c r="Q5116" s="6">
        <v>-6.69</v>
      </c>
      <c r="R5116" s="37" t="s">
        <v>487</v>
      </c>
      <c r="S5116" s="7">
        <f t="shared" si="432"/>
        <v>3</v>
      </c>
      <c r="T5116" s="15" t="str">
        <f>VLOOKUP(R5116,产品分类!$C$2:$D$1278,2,0)</f>
        <v>家具产品</v>
      </c>
    </row>
    <row r="5117" spans="1:20">
      <c r="A5117" s="8">
        <f>DATE(2012,12,31)-1366</f>
        <v>39908</v>
      </c>
      <c r="B5117" s="8">
        <f>DATE(2012,12,31)-1366</f>
        <v>39908</v>
      </c>
      <c r="C5117" s="9" t="s">
        <v>2416</v>
      </c>
      <c r="D5117">
        <v>10021327244</v>
      </c>
      <c r="E5117" t="s">
        <v>47</v>
      </c>
      <c r="F5117" t="s">
        <v>527</v>
      </c>
      <c r="G5117" t="s">
        <v>528</v>
      </c>
      <c r="H5117" t="s">
        <v>2385</v>
      </c>
      <c r="I5117" t="s">
        <v>2386</v>
      </c>
      <c r="J5117" t="s">
        <v>52</v>
      </c>
      <c r="K5117" s="3">
        <v>10074479835</v>
      </c>
      <c r="L5117" s="10">
        <v>39909</v>
      </c>
      <c r="M5117">
        <v>564.98</v>
      </c>
      <c r="N5117" s="11">
        <v>26</v>
      </c>
      <c r="O5117" s="12">
        <v>22.38</v>
      </c>
      <c r="P5117" s="12">
        <v>15.1</v>
      </c>
      <c r="Q5117" s="13">
        <v>-107.5135</v>
      </c>
      <c r="R5117" s="36" t="s">
        <v>938</v>
      </c>
      <c r="S5117" s="7">
        <f t="shared" si="432"/>
        <v>1</v>
      </c>
      <c r="T5117" s="15" t="str">
        <f>VLOOKUP(R5117,产品分类!$C$2:$D$1278,2,0)</f>
        <v>办公用品</v>
      </c>
    </row>
    <row r="5118" spans="1:20">
      <c r="A5118" s="8">
        <f>DATE(2012,12,31)-1366</f>
        <v>39908</v>
      </c>
      <c r="B5118" s="8">
        <f>DATE(2012,12,31)-1366</f>
        <v>39908</v>
      </c>
      <c r="C5118" s="9" t="s">
        <v>2416</v>
      </c>
      <c r="D5118">
        <v>10021536516</v>
      </c>
      <c r="E5118" t="s">
        <v>47</v>
      </c>
      <c r="F5118" t="s">
        <v>171</v>
      </c>
      <c r="G5118" t="s">
        <v>172</v>
      </c>
      <c r="H5118" t="s">
        <v>2352</v>
      </c>
      <c r="I5118" t="s">
        <v>2353</v>
      </c>
      <c r="J5118" t="s">
        <v>52</v>
      </c>
      <c r="K5118" s="3">
        <v>10015282436</v>
      </c>
      <c r="L5118" s="10">
        <v>39910</v>
      </c>
      <c r="M5118">
        <v>129.48</v>
      </c>
      <c r="N5118" s="11">
        <v>18</v>
      </c>
      <c r="O5118" s="12">
        <v>6.98</v>
      </c>
      <c r="P5118" s="12">
        <v>2.83</v>
      </c>
      <c r="Q5118" s="13">
        <v>46.01</v>
      </c>
      <c r="R5118" s="36" t="s">
        <v>1984</v>
      </c>
      <c r="S5118" s="7">
        <f t="shared" si="432"/>
        <v>2</v>
      </c>
      <c r="T5118" s="15" t="str">
        <f>VLOOKUP(R5118,产品分类!$C$2:$D$1278,2,0)</f>
        <v>办公用品</v>
      </c>
    </row>
    <row r="5119" spans="1:20">
      <c r="A5119" s="8">
        <f>DATE(2012,12,31)-682</f>
        <v>40592</v>
      </c>
      <c r="B5119" s="8">
        <f>DATE(2012,12,31)-682</f>
        <v>40592</v>
      </c>
      <c r="C5119" s="9" t="s">
        <v>968</v>
      </c>
      <c r="D5119">
        <v>10021560529</v>
      </c>
      <c r="E5119" t="s">
        <v>47</v>
      </c>
      <c r="F5119" t="s">
        <v>171</v>
      </c>
      <c r="G5119" t="s">
        <v>172</v>
      </c>
      <c r="H5119" t="s">
        <v>2352</v>
      </c>
      <c r="I5119" t="s">
        <v>2353</v>
      </c>
      <c r="J5119" t="s">
        <v>52</v>
      </c>
      <c r="K5119" s="3">
        <v>100421849673</v>
      </c>
      <c r="L5119" s="10">
        <v>40595</v>
      </c>
      <c r="M5119">
        <v>69.57</v>
      </c>
      <c r="N5119" s="11">
        <v>8</v>
      </c>
      <c r="O5119" s="12">
        <v>7.98</v>
      </c>
      <c r="P5119" s="12">
        <v>6.5</v>
      </c>
      <c r="Q5119" s="13">
        <v>-36.06</v>
      </c>
      <c r="R5119" s="36" t="s">
        <v>1029</v>
      </c>
      <c r="S5119" s="7">
        <f t="shared" si="432"/>
        <v>3</v>
      </c>
      <c r="T5119" s="15" t="str">
        <f>VLOOKUP(R5119,产品分类!$C$2:$D$1278,2,0)</f>
        <v>家具产品</v>
      </c>
    </row>
    <row r="5120" spans="1:20">
      <c r="A5120" s="8">
        <f>DATE(2012,12,31)-1411</f>
        <v>39863</v>
      </c>
      <c r="B5120" s="8">
        <f>DATE(2012,12,31)-1411</f>
        <v>39863</v>
      </c>
      <c r="C5120" s="9" t="s">
        <v>481</v>
      </c>
      <c r="D5120">
        <v>10021492573</v>
      </c>
      <c r="E5120" t="s">
        <v>47</v>
      </c>
      <c r="F5120" t="s">
        <v>72</v>
      </c>
      <c r="G5120" t="s">
        <v>73</v>
      </c>
      <c r="H5120" t="s">
        <v>2398</v>
      </c>
      <c r="I5120" t="s">
        <v>2399</v>
      </c>
      <c r="J5120" t="s">
        <v>52</v>
      </c>
      <c r="K5120" s="3">
        <v>10081393752</v>
      </c>
      <c r="L5120" s="10">
        <v>39865</v>
      </c>
      <c r="M5120">
        <v>1838.19</v>
      </c>
      <c r="N5120" s="11">
        <v>48</v>
      </c>
      <c r="O5120" s="12">
        <v>39.48</v>
      </c>
      <c r="P5120" s="12">
        <v>1.99</v>
      </c>
      <c r="Q5120" s="13">
        <v>561.43</v>
      </c>
      <c r="R5120" s="36" t="s">
        <v>235</v>
      </c>
      <c r="S5120" s="7">
        <f t="shared" si="432"/>
        <v>2</v>
      </c>
      <c r="T5120" s="15" t="str">
        <f>VLOOKUP(R5120,产品分类!$C$2:$D$1278,2,0)</f>
        <v>办公用品</v>
      </c>
    </row>
    <row r="5121" spans="1:20">
      <c r="A5121" s="8">
        <f>DATE(2012,12,31)-862</f>
        <v>40412</v>
      </c>
      <c r="B5121" s="8">
        <f>DATE(2012,12,31)-862</f>
        <v>40412</v>
      </c>
      <c r="C5121" s="9" t="s">
        <v>442</v>
      </c>
      <c r="D5121">
        <v>10021455676</v>
      </c>
      <c r="E5121" t="s">
        <v>47</v>
      </c>
      <c r="F5121" t="s">
        <v>55</v>
      </c>
      <c r="G5121" t="s">
        <v>56</v>
      </c>
      <c r="H5121" t="s">
        <v>2331</v>
      </c>
      <c r="I5121" t="s">
        <v>2332</v>
      </c>
      <c r="J5121" t="s">
        <v>52</v>
      </c>
      <c r="K5121" s="3">
        <v>100925317741</v>
      </c>
      <c r="L5121" s="10">
        <v>40413</v>
      </c>
      <c r="M5121">
        <v>1190.8</v>
      </c>
      <c r="N5121" s="11">
        <v>44</v>
      </c>
      <c r="O5121" s="12">
        <v>28.53</v>
      </c>
      <c r="P5121" s="12">
        <v>1.49</v>
      </c>
      <c r="Q5121" s="13">
        <v>502.486</v>
      </c>
      <c r="R5121" s="36" t="s">
        <v>1651</v>
      </c>
      <c r="S5121" s="7">
        <f t="shared" si="432"/>
        <v>1</v>
      </c>
      <c r="T5121" s="15" t="str">
        <f>VLOOKUP(R5121,产品分类!$C$2:$D$1278,2,0)</f>
        <v>数码电子</v>
      </c>
    </row>
    <row r="5122" spans="1:20">
      <c r="A5122" s="8">
        <f t="shared" ref="A5122:B5124" si="437">DATE(2012,12,31)-545</f>
        <v>40729</v>
      </c>
      <c r="B5122" s="8">
        <f t="shared" si="437"/>
        <v>40729</v>
      </c>
      <c r="C5122" s="9" t="s">
        <v>1689</v>
      </c>
      <c r="D5122">
        <v>10021313881</v>
      </c>
      <c r="E5122" t="s">
        <v>47</v>
      </c>
      <c r="F5122" t="s">
        <v>61</v>
      </c>
      <c r="G5122" t="s">
        <v>62</v>
      </c>
      <c r="H5122" t="s">
        <v>2356</v>
      </c>
      <c r="I5122" t="s">
        <v>2357</v>
      </c>
      <c r="J5122" t="s">
        <v>52</v>
      </c>
      <c r="K5122" s="3">
        <v>100425018103</v>
      </c>
      <c r="L5122" s="10">
        <v>40730</v>
      </c>
      <c r="M5122">
        <v>55.68</v>
      </c>
      <c r="N5122" s="11">
        <v>7</v>
      </c>
      <c r="O5122" s="12">
        <v>5.98</v>
      </c>
      <c r="P5122" s="12">
        <v>5.15</v>
      </c>
      <c r="Q5122" s="13">
        <v>-7.4</v>
      </c>
      <c r="R5122" s="36" t="s">
        <v>164</v>
      </c>
      <c r="S5122" s="7">
        <f t="shared" si="432"/>
        <v>1</v>
      </c>
      <c r="T5122" s="15" t="str">
        <f>VLOOKUP(R5122,产品分类!$C$2:$D$1278,2,0)</f>
        <v>办公用品</v>
      </c>
    </row>
    <row r="5123" spans="1:20">
      <c r="A5123" s="8">
        <f t="shared" si="437"/>
        <v>40729</v>
      </c>
      <c r="B5123" s="8">
        <f t="shared" si="437"/>
        <v>40729</v>
      </c>
      <c r="C5123" s="9" t="s">
        <v>1689</v>
      </c>
      <c r="D5123">
        <v>10021492008</v>
      </c>
      <c r="E5123" t="s">
        <v>47</v>
      </c>
      <c r="F5123" t="s">
        <v>61</v>
      </c>
      <c r="G5123" t="s">
        <v>62</v>
      </c>
      <c r="H5123" t="s">
        <v>2356</v>
      </c>
      <c r="I5123" t="s">
        <v>2357</v>
      </c>
      <c r="J5123" t="s">
        <v>52</v>
      </c>
      <c r="K5123" s="3">
        <v>100431567684</v>
      </c>
      <c r="L5123" s="10">
        <v>40730</v>
      </c>
      <c r="M5123">
        <v>14588.28</v>
      </c>
      <c r="N5123" s="11">
        <v>47</v>
      </c>
      <c r="O5123" s="12">
        <v>328.14</v>
      </c>
      <c r="P5123" s="12">
        <v>91.05</v>
      </c>
      <c r="Q5123" s="13">
        <v>861.78</v>
      </c>
      <c r="R5123" s="36" t="s">
        <v>583</v>
      </c>
      <c r="S5123" s="7">
        <f t="shared" ref="S5123:S5186" si="438">+L5123-B5123</f>
        <v>1</v>
      </c>
      <c r="T5123" s="15" t="str">
        <f>VLOOKUP(R5123,产品分类!$C$2:$D$1278,2,0)</f>
        <v>家具产品</v>
      </c>
    </row>
    <row r="5124" spans="1:20">
      <c r="A5124" s="8">
        <f t="shared" si="437"/>
        <v>40729</v>
      </c>
      <c r="B5124" s="8">
        <f t="shared" si="437"/>
        <v>40729</v>
      </c>
      <c r="C5124" s="9" t="s">
        <v>1689</v>
      </c>
      <c r="D5124">
        <v>10021637071</v>
      </c>
      <c r="E5124" t="s">
        <v>47</v>
      </c>
      <c r="F5124" t="s">
        <v>152</v>
      </c>
      <c r="G5124" t="s">
        <v>153</v>
      </c>
      <c r="H5124" t="s">
        <v>2302</v>
      </c>
      <c r="I5124" t="s">
        <v>2303</v>
      </c>
      <c r="J5124" t="s">
        <v>52</v>
      </c>
      <c r="K5124" s="3">
        <v>100912768961</v>
      </c>
      <c r="L5124" s="10">
        <v>40731</v>
      </c>
      <c r="M5124">
        <v>2675.08</v>
      </c>
      <c r="N5124" s="11">
        <v>27</v>
      </c>
      <c r="O5124" s="12">
        <v>105.34</v>
      </c>
      <c r="P5124" s="12">
        <v>24.49</v>
      </c>
      <c r="Q5124" s="13">
        <v>489.58</v>
      </c>
      <c r="R5124" s="36" t="s">
        <v>1441</v>
      </c>
      <c r="S5124" s="7">
        <f t="shared" si="438"/>
        <v>2</v>
      </c>
      <c r="T5124" s="15" t="str">
        <f>VLOOKUP(R5124,产品分类!$C$2:$D$1278,2,0)</f>
        <v>办公用品</v>
      </c>
    </row>
    <row r="5125" spans="1:20">
      <c r="A5125" s="8">
        <f>DATE(2012,12,31)-338</f>
        <v>40936</v>
      </c>
      <c r="B5125" s="8">
        <f>DATE(2012,12,31)-338</f>
        <v>40936</v>
      </c>
      <c r="C5125" s="9" t="s">
        <v>1941</v>
      </c>
      <c r="D5125">
        <v>10021619198</v>
      </c>
      <c r="E5125" t="s">
        <v>47</v>
      </c>
      <c r="F5125" t="s">
        <v>72</v>
      </c>
      <c r="G5125" t="s">
        <v>73</v>
      </c>
      <c r="H5125" t="s">
        <v>2398</v>
      </c>
      <c r="I5125" t="s">
        <v>2399</v>
      </c>
      <c r="J5125" t="s">
        <v>52</v>
      </c>
      <c r="K5125" s="3">
        <v>100130172656</v>
      </c>
      <c r="L5125" s="10">
        <v>40937</v>
      </c>
      <c r="M5125">
        <v>2380.5695</v>
      </c>
      <c r="N5125" s="11">
        <v>41</v>
      </c>
      <c r="O5125" s="12">
        <v>65.99</v>
      </c>
      <c r="P5125" s="12">
        <v>3.9</v>
      </c>
      <c r="Q5125" s="13">
        <v>740.475</v>
      </c>
      <c r="R5125" s="36" t="s">
        <v>1114</v>
      </c>
      <c r="S5125" s="7">
        <f t="shared" si="438"/>
        <v>1</v>
      </c>
      <c r="T5125" s="15" t="str">
        <f>VLOOKUP(R5125,产品分类!$C$2:$D$1278,2,0)</f>
        <v>家具产品</v>
      </c>
    </row>
    <row r="5126" spans="1:20">
      <c r="A5126" s="8">
        <f>DATE(2012,12,31)-278</f>
        <v>40996</v>
      </c>
      <c r="B5126" s="8">
        <f>DATE(2012,12,31)-278</f>
        <v>40996</v>
      </c>
      <c r="C5126" s="9" t="s">
        <v>191</v>
      </c>
      <c r="D5126">
        <v>10021488248</v>
      </c>
      <c r="E5126" t="s">
        <v>47</v>
      </c>
      <c r="F5126" t="s">
        <v>72</v>
      </c>
      <c r="G5126" t="s">
        <v>73</v>
      </c>
      <c r="H5126" t="s">
        <v>2398</v>
      </c>
      <c r="I5126" t="s">
        <v>2399</v>
      </c>
      <c r="J5126" t="s">
        <v>52</v>
      </c>
      <c r="K5126" s="3">
        <v>100132955556</v>
      </c>
      <c r="L5126" s="10">
        <v>40997</v>
      </c>
      <c r="M5126">
        <v>10413.67</v>
      </c>
      <c r="N5126" s="11">
        <v>30</v>
      </c>
      <c r="O5126" s="12">
        <v>355.98</v>
      </c>
      <c r="P5126" s="12">
        <v>58.92</v>
      </c>
      <c r="Q5126" s="13">
        <v>1099.29</v>
      </c>
      <c r="R5126" s="36" t="s">
        <v>1545</v>
      </c>
      <c r="S5126" s="7">
        <f t="shared" si="438"/>
        <v>1</v>
      </c>
      <c r="T5126" s="15" t="str">
        <f>VLOOKUP(R5126,产品分类!$C$2:$D$1278,2,0)</f>
        <v>办公用品</v>
      </c>
    </row>
    <row r="5127" spans="1:20">
      <c r="A5127" s="8">
        <f>DATE(2012,12,31)-278</f>
        <v>40996</v>
      </c>
      <c r="B5127" s="8">
        <f>DATE(2012,12,31)-278</f>
        <v>40996</v>
      </c>
      <c r="C5127" s="9" t="s">
        <v>191</v>
      </c>
      <c r="D5127">
        <v>10021309732</v>
      </c>
      <c r="E5127" t="s">
        <v>47</v>
      </c>
      <c r="F5127" t="s">
        <v>91</v>
      </c>
      <c r="G5127" t="s">
        <v>92</v>
      </c>
      <c r="H5127" t="s">
        <v>2053</v>
      </c>
      <c r="I5127" t="s">
        <v>2054</v>
      </c>
      <c r="J5127" t="s">
        <v>52</v>
      </c>
      <c r="K5127" s="3">
        <v>100719484365</v>
      </c>
      <c r="L5127" s="10">
        <v>40999</v>
      </c>
      <c r="M5127">
        <v>71.49</v>
      </c>
      <c r="N5127" s="11">
        <v>3</v>
      </c>
      <c r="O5127" s="12">
        <v>19.99</v>
      </c>
      <c r="P5127" s="12">
        <v>11.17</v>
      </c>
      <c r="Q5127" s="13">
        <v>41.98</v>
      </c>
      <c r="R5127" s="36" t="s">
        <v>2017</v>
      </c>
      <c r="S5127" s="7">
        <f t="shared" si="438"/>
        <v>3</v>
      </c>
      <c r="T5127" s="15" t="str">
        <f>VLOOKUP(R5127,产品分类!$C$2:$D$1278,2,0)</f>
        <v>家具产品</v>
      </c>
    </row>
    <row r="5128" spans="1:20">
      <c r="A5128" s="8">
        <f>DATE(2012,12,31)-525</f>
        <v>40749</v>
      </c>
      <c r="B5128" s="8">
        <f>DATE(2012,12,31)-525</f>
        <v>40749</v>
      </c>
      <c r="C5128" s="9" t="s">
        <v>865</v>
      </c>
      <c r="D5128">
        <v>10021442606</v>
      </c>
      <c r="E5128" t="s">
        <v>47</v>
      </c>
      <c r="F5128" t="s">
        <v>97</v>
      </c>
      <c r="G5128" t="s">
        <v>98</v>
      </c>
      <c r="H5128" t="s">
        <v>99</v>
      </c>
      <c r="I5128" t="s">
        <v>98</v>
      </c>
      <c r="J5128" t="s">
        <v>52</v>
      </c>
      <c r="K5128" s="3">
        <v>100722658575</v>
      </c>
      <c r="L5128" s="10">
        <v>40752</v>
      </c>
      <c r="M5128">
        <v>883.37</v>
      </c>
      <c r="N5128" s="11">
        <v>9</v>
      </c>
      <c r="O5128" s="12">
        <v>100.98</v>
      </c>
      <c r="P5128" s="12">
        <v>7.18</v>
      </c>
      <c r="Q5128" s="13">
        <v>51.3</v>
      </c>
      <c r="R5128" s="36" t="s">
        <v>1779</v>
      </c>
      <c r="S5128" s="7">
        <f t="shared" si="438"/>
        <v>3</v>
      </c>
      <c r="T5128" s="15" t="str">
        <f>VLOOKUP(R5128,产品分类!$C$2:$D$1278,2,0)</f>
        <v>家具产品</v>
      </c>
    </row>
    <row r="5129" spans="1:20">
      <c r="A5129" s="16">
        <f>DATE(2012,12,31)-1036</f>
        <v>40238</v>
      </c>
      <c r="B5129" s="16">
        <f>DATE(2012,12,31)-1036</f>
        <v>40238</v>
      </c>
      <c r="C5129" s="9" t="s">
        <v>1809</v>
      </c>
      <c r="D5129">
        <v>10021393960</v>
      </c>
      <c r="E5129" t="s">
        <v>47</v>
      </c>
      <c r="F5129" t="s">
        <v>527</v>
      </c>
      <c r="G5129" t="s">
        <v>528</v>
      </c>
      <c r="H5129" t="s">
        <v>2385</v>
      </c>
      <c r="I5129" t="s">
        <v>2386</v>
      </c>
      <c r="J5129" t="s">
        <v>52</v>
      </c>
      <c r="K5129" s="3">
        <v>100131860318</v>
      </c>
      <c r="L5129" s="10">
        <v>40239</v>
      </c>
      <c r="M5129">
        <v>877.64</v>
      </c>
      <c r="N5129" s="17">
        <v>18</v>
      </c>
      <c r="O5129" s="5">
        <v>48.58</v>
      </c>
      <c r="P5129" s="5">
        <v>3.99</v>
      </c>
      <c r="Q5129" s="6">
        <v>218.97</v>
      </c>
      <c r="R5129" s="37" t="s">
        <v>516</v>
      </c>
      <c r="S5129" s="7">
        <f t="shared" si="438"/>
        <v>1</v>
      </c>
      <c r="T5129" s="15" t="str">
        <f>VLOOKUP(R5129,产品分类!$C$2:$D$1278,2,0)</f>
        <v>数码电子</v>
      </c>
    </row>
    <row r="5130" spans="1:20">
      <c r="A5130" s="8">
        <f>DATE(2012,12,31)-1036</f>
        <v>40238</v>
      </c>
      <c r="B5130" s="8">
        <f>DATE(2012,12,31)-1036</f>
        <v>40238</v>
      </c>
      <c r="C5130" s="9" t="s">
        <v>1809</v>
      </c>
      <c r="D5130">
        <v>10021336972</v>
      </c>
      <c r="E5130" t="s">
        <v>47</v>
      </c>
      <c r="F5130" t="s">
        <v>66</v>
      </c>
      <c r="G5130" t="s">
        <v>67</v>
      </c>
      <c r="H5130" t="s">
        <v>2413</v>
      </c>
      <c r="I5130" t="s">
        <v>2414</v>
      </c>
      <c r="J5130" t="s">
        <v>52</v>
      </c>
      <c r="K5130" s="3">
        <v>100321048339</v>
      </c>
      <c r="L5130" s="10">
        <v>40240</v>
      </c>
      <c r="M5130">
        <v>190.1</v>
      </c>
      <c r="N5130" s="11">
        <v>9</v>
      </c>
      <c r="O5130" s="12">
        <v>20.95</v>
      </c>
      <c r="P5130" s="12">
        <v>4</v>
      </c>
      <c r="Q5130" s="13">
        <v>-63.78</v>
      </c>
      <c r="R5130" s="36" t="s">
        <v>1324</v>
      </c>
      <c r="S5130" s="7">
        <f t="shared" si="438"/>
        <v>2</v>
      </c>
      <c r="T5130" s="15" t="str">
        <f>VLOOKUP(R5130,产品分类!$C$2:$D$1278,2,0)</f>
        <v>家具产品</v>
      </c>
    </row>
    <row r="5131" spans="1:20">
      <c r="A5131" s="8">
        <f>DATE(2012,12,31)-793</f>
        <v>40481</v>
      </c>
      <c r="B5131" s="8">
        <f>DATE(2012,12,31)-793</f>
        <v>40481</v>
      </c>
      <c r="C5131" s="9" t="s">
        <v>1041</v>
      </c>
      <c r="D5131">
        <v>10021248173</v>
      </c>
      <c r="E5131" t="s">
        <v>47</v>
      </c>
      <c r="F5131" t="s">
        <v>48</v>
      </c>
      <c r="G5131" t="s">
        <v>49</v>
      </c>
      <c r="H5131" t="s">
        <v>2183</v>
      </c>
      <c r="I5131" t="s">
        <v>2184</v>
      </c>
      <c r="J5131" t="s">
        <v>52</v>
      </c>
      <c r="K5131" s="3">
        <v>1008568632</v>
      </c>
      <c r="L5131" s="10">
        <v>40483</v>
      </c>
      <c r="M5131">
        <v>44.99</v>
      </c>
      <c r="N5131" s="11">
        <v>8</v>
      </c>
      <c r="O5131" s="12">
        <v>4.98</v>
      </c>
      <c r="P5131" s="12">
        <v>7.54</v>
      </c>
      <c r="Q5131" s="13">
        <v>-40.43</v>
      </c>
      <c r="R5131" s="36" t="s">
        <v>2261</v>
      </c>
      <c r="S5131" s="7">
        <f t="shared" si="438"/>
        <v>2</v>
      </c>
      <c r="T5131" s="15" t="str">
        <f>VLOOKUP(R5131,产品分类!$C$2:$D$1278,2,0)</f>
        <v>办公用品</v>
      </c>
    </row>
    <row r="5132" spans="1:20">
      <c r="A5132" s="8">
        <f>DATE(2012,12,31)-460</f>
        <v>40814</v>
      </c>
      <c r="B5132" s="8">
        <f>DATE(2012,12,31)-460</f>
        <v>40814</v>
      </c>
      <c r="C5132" s="9" t="s">
        <v>1198</v>
      </c>
      <c r="D5132">
        <v>10021496416</v>
      </c>
      <c r="E5132" t="s">
        <v>47</v>
      </c>
      <c r="F5132" t="s">
        <v>152</v>
      </c>
      <c r="G5132" t="s">
        <v>153</v>
      </c>
      <c r="H5132" t="s">
        <v>2302</v>
      </c>
      <c r="I5132" t="s">
        <v>2303</v>
      </c>
      <c r="J5132" t="s">
        <v>52</v>
      </c>
      <c r="K5132" s="3">
        <v>100111288136</v>
      </c>
      <c r="L5132" s="10">
        <v>40818</v>
      </c>
      <c r="M5132">
        <v>825.8</v>
      </c>
      <c r="N5132" s="11">
        <v>40</v>
      </c>
      <c r="O5132" s="12">
        <v>21.98</v>
      </c>
      <c r="P5132" s="12">
        <v>2.87</v>
      </c>
      <c r="Q5132" s="13">
        <v>183.48</v>
      </c>
      <c r="R5132" s="36" t="s">
        <v>753</v>
      </c>
      <c r="S5132" s="7">
        <f t="shared" si="438"/>
        <v>4</v>
      </c>
      <c r="T5132" s="15" t="str">
        <f>VLOOKUP(R5132,产品分类!$C$2:$D$1278,2,0)</f>
        <v>家具产品</v>
      </c>
    </row>
    <row r="5133" spans="1:20">
      <c r="A5133" s="8">
        <f>DATE(2012,12,31)-460</f>
        <v>40814</v>
      </c>
      <c r="B5133" s="8">
        <f>DATE(2012,12,31)-460</f>
        <v>40814</v>
      </c>
      <c r="C5133" s="9" t="s">
        <v>1198</v>
      </c>
      <c r="D5133">
        <v>10021248409</v>
      </c>
      <c r="E5133" t="s">
        <v>47</v>
      </c>
      <c r="F5133" t="s">
        <v>48</v>
      </c>
      <c r="G5133" t="s">
        <v>49</v>
      </c>
      <c r="H5133" t="s">
        <v>2183</v>
      </c>
      <c r="I5133" t="s">
        <v>2184</v>
      </c>
      <c r="J5133" t="s">
        <v>52</v>
      </c>
      <c r="K5133" s="3">
        <v>10091899851</v>
      </c>
      <c r="L5133" s="10">
        <v>40821</v>
      </c>
      <c r="M5133">
        <v>4273.95</v>
      </c>
      <c r="N5133" s="11">
        <v>49</v>
      </c>
      <c r="O5133" s="12">
        <v>90.48</v>
      </c>
      <c r="P5133" s="12">
        <v>19.99</v>
      </c>
      <c r="Q5133" s="13">
        <v>1340.07</v>
      </c>
      <c r="R5133" s="36" t="s">
        <v>1008</v>
      </c>
      <c r="S5133" s="7">
        <f t="shared" si="438"/>
        <v>7</v>
      </c>
      <c r="T5133" s="15" t="str">
        <f>VLOOKUP(R5133,产品分类!$C$2:$D$1278,2,0)</f>
        <v>办公用品</v>
      </c>
    </row>
    <row r="5134" spans="1:20">
      <c r="A5134" s="8">
        <f>DATE(2012,12,31)-1327</f>
        <v>39947</v>
      </c>
      <c r="B5134" s="8">
        <f>DATE(2012,12,31)-1327</f>
        <v>39947</v>
      </c>
      <c r="C5134" s="9" t="s">
        <v>158</v>
      </c>
      <c r="D5134">
        <v>10021660875</v>
      </c>
      <c r="E5134" t="s">
        <v>47</v>
      </c>
      <c r="F5134" t="s">
        <v>48</v>
      </c>
      <c r="G5134" t="s">
        <v>49</v>
      </c>
      <c r="H5134" t="s">
        <v>2183</v>
      </c>
      <c r="I5134" t="s">
        <v>2184</v>
      </c>
      <c r="J5134" t="s">
        <v>52</v>
      </c>
      <c r="K5134" s="3">
        <v>100115294036</v>
      </c>
      <c r="L5134" s="10">
        <v>39949</v>
      </c>
      <c r="M5134">
        <v>45.73</v>
      </c>
      <c r="N5134" s="11">
        <v>8</v>
      </c>
      <c r="O5134" s="12">
        <v>4.98</v>
      </c>
      <c r="P5134" s="12">
        <v>5.49</v>
      </c>
      <c r="Q5134" s="13">
        <v>-23.29</v>
      </c>
      <c r="R5134" s="36" t="s">
        <v>602</v>
      </c>
      <c r="S5134" s="7">
        <f t="shared" si="438"/>
        <v>2</v>
      </c>
      <c r="T5134" s="15" t="str">
        <f>VLOOKUP(R5134,产品分类!$C$2:$D$1278,2,0)</f>
        <v>办公用品</v>
      </c>
    </row>
    <row r="5135" spans="1:20">
      <c r="A5135" s="8">
        <f>DATE(2012,12,31)-409</f>
        <v>40865</v>
      </c>
      <c r="B5135" s="8">
        <f>DATE(2012,12,31)-409</f>
        <v>40865</v>
      </c>
      <c r="C5135" s="9" t="s">
        <v>2060</v>
      </c>
      <c r="D5135">
        <v>10021298669</v>
      </c>
      <c r="E5135" t="s">
        <v>47</v>
      </c>
      <c r="F5135" t="s">
        <v>48</v>
      </c>
      <c r="G5135" t="s">
        <v>49</v>
      </c>
      <c r="H5135" t="s">
        <v>2183</v>
      </c>
      <c r="I5135" t="s">
        <v>2184</v>
      </c>
      <c r="J5135" t="s">
        <v>52</v>
      </c>
      <c r="K5135" s="3">
        <v>100414323593</v>
      </c>
      <c r="L5135" s="10">
        <v>40867</v>
      </c>
      <c r="M5135">
        <v>416.39</v>
      </c>
      <c r="N5135" s="11">
        <v>18</v>
      </c>
      <c r="O5135" s="12">
        <v>22.24</v>
      </c>
      <c r="P5135" s="12">
        <v>1.99</v>
      </c>
      <c r="Q5135" s="13">
        <v>119.47</v>
      </c>
      <c r="R5135" s="36" t="s">
        <v>1479</v>
      </c>
      <c r="S5135" s="7">
        <f t="shared" si="438"/>
        <v>2</v>
      </c>
      <c r="T5135" s="15" t="str">
        <f>VLOOKUP(R5135,产品分类!$C$2:$D$1278,2,0)</f>
        <v>数码电子</v>
      </c>
    </row>
    <row r="5136" spans="1:20">
      <c r="A5136" s="8">
        <f>DATE(2012,12,31)-1407</f>
        <v>39867</v>
      </c>
      <c r="B5136" s="8">
        <f>DATE(2012,12,31)-1407</f>
        <v>39867</v>
      </c>
      <c r="C5136" s="9" t="s">
        <v>1925</v>
      </c>
      <c r="D5136">
        <v>10021340046</v>
      </c>
      <c r="E5136" t="s">
        <v>47</v>
      </c>
      <c r="F5136" t="s">
        <v>66</v>
      </c>
      <c r="G5136" t="s">
        <v>67</v>
      </c>
      <c r="H5136" t="s">
        <v>2413</v>
      </c>
      <c r="I5136" t="s">
        <v>2414</v>
      </c>
      <c r="J5136" t="s">
        <v>52</v>
      </c>
      <c r="K5136" s="3">
        <v>100411428653</v>
      </c>
      <c r="L5136" s="10">
        <v>39869</v>
      </c>
      <c r="M5136">
        <v>240.87</v>
      </c>
      <c r="N5136" s="11">
        <v>17</v>
      </c>
      <c r="O5136" s="12">
        <v>13.79</v>
      </c>
      <c r="P5136" s="12">
        <v>8.78</v>
      </c>
      <c r="Q5136" s="13">
        <v>-36.77</v>
      </c>
      <c r="R5136" s="36" t="s">
        <v>1542</v>
      </c>
      <c r="S5136" s="7">
        <f t="shared" si="438"/>
        <v>2</v>
      </c>
      <c r="T5136" s="15" t="str">
        <f>VLOOKUP(R5136,产品分类!$C$2:$D$1278,2,0)</f>
        <v>办公用品</v>
      </c>
    </row>
    <row r="5137" spans="1:20">
      <c r="A5137" s="8">
        <f>DATE(2012,12,31)-1407</f>
        <v>39867</v>
      </c>
      <c r="B5137" s="8">
        <f>DATE(2012,12,31)-1407</f>
        <v>39867</v>
      </c>
      <c r="C5137" s="9" t="s">
        <v>1925</v>
      </c>
      <c r="D5137">
        <v>10021345915</v>
      </c>
      <c r="E5137" t="s">
        <v>47</v>
      </c>
      <c r="F5137" t="s">
        <v>66</v>
      </c>
      <c r="G5137" t="s">
        <v>67</v>
      </c>
      <c r="H5137" t="s">
        <v>2413</v>
      </c>
      <c r="I5137" t="s">
        <v>2414</v>
      </c>
      <c r="J5137" t="s">
        <v>52</v>
      </c>
      <c r="K5137" s="3">
        <v>100130526707</v>
      </c>
      <c r="L5137" s="10">
        <v>39868</v>
      </c>
      <c r="M5137">
        <v>1025.02</v>
      </c>
      <c r="N5137" s="11">
        <v>30</v>
      </c>
      <c r="O5137" s="12">
        <v>33.29</v>
      </c>
      <c r="P5137" s="12">
        <v>8.74</v>
      </c>
      <c r="Q5137" s="13">
        <v>87.03</v>
      </c>
      <c r="R5137" s="36" t="s">
        <v>1996</v>
      </c>
      <c r="S5137" s="7">
        <f t="shared" si="438"/>
        <v>1</v>
      </c>
      <c r="T5137" s="15" t="str">
        <f>VLOOKUP(R5137,产品分类!$C$2:$D$1278,2,0)</f>
        <v>办公用品</v>
      </c>
    </row>
    <row r="5138" spans="1:20">
      <c r="A5138" s="8">
        <f>DATE(2012,12,31)-232</f>
        <v>41042</v>
      </c>
      <c r="B5138" s="8">
        <f>DATE(2012,12,31)-232</f>
        <v>41042</v>
      </c>
      <c r="C5138" s="9" t="s">
        <v>940</v>
      </c>
      <c r="D5138">
        <v>10021252768</v>
      </c>
      <c r="E5138" t="s">
        <v>47</v>
      </c>
      <c r="F5138" t="s">
        <v>66</v>
      </c>
      <c r="G5138" t="s">
        <v>67</v>
      </c>
      <c r="H5138" t="s">
        <v>2413</v>
      </c>
      <c r="I5138" t="s">
        <v>2414</v>
      </c>
      <c r="J5138" t="s">
        <v>52</v>
      </c>
      <c r="K5138" s="3">
        <v>100913675171</v>
      </c>
      <c r="L5138" s="10">
        <v>41043</v>
      </c>
      <c r="M5138">
        <v>2298.32</v>
      </c>
      <c r="N5138" s="11">
        <v>24</v>
      </c>
      <c r="O5138" s="12">
        <v>99.99</v>
      </c>
      <c r="P5138" s="12">
        <v>19.99</v>
      </c>
      <c r="Q5138" s="13">
        <v>218.72</v>
      </c>
      <c r="R5138" s="36" t="s">
        <v>1902</v>
      </c>
      <c r="S5138" s="7">
        <f t="shared" si="438"/>
        <v>1</v>
      </c>
      <c r="T5138" s="15" t="str">
        <f>VLOOKUP(R5138,产品分类!$C$2:$D$1278,2,0)</f>
        <v>办公用品</v>
      </c>
    </row>
    <row r="5139" spans="1:20">
      <c r="A5139" s="8">
        <f>DATE(2012,12,31)-937</f>
        <v>40337</v>
      </c>
      <c r="B5139" s="8">
        <f>DATE(2012,12,31)-937</f>
        <v>40337</v>
      </c>
      <c r="C5139" s="9" t="s">
        <v>46</v>
      </c>
      <c r="D5139">
        <v>10021344367</v>
      </c>
      <c r="E5139" t="s">
        <v>47</v>
      </c>
      <c r="F5139" t="s">
        <v>152</v>
      </c>
      <c r="G5139" t="s">
        <v>153</v>
      </c>
      <c r="H5139" t="s">
        <v>2302</v>
      </c>
      <c r="I5139" t="s">
        <v>2303</v>
      </c>
      <c r="J5139" t="s">
        <v>52</v>
      </c>
      <c r="K5139" s="3">
        <v>100929520021</v>
      </c>
      <c r="L5139" s="10">
        <v>40338</v>
      </c>
      <c r="M5139">
        <v>1168.15</v>
      </c>
      <c r="N5139" s="11">
        <v>24</v>
      </c>
      <c r="O5139" s="12">
        <v>48.91</v>
      </c>
      <c r="P5139" s="12">
        <v>35</v>
      </c>
      <c r="Q5139" s="13">
        <v>-743.96</v>
      </c>
      <c r="R5139" s="36" t="s">
        <v>1240</v>
      </c>
      <c r="S5139" s="7">
        <f t="shared" si="438"/>
        <v>1</v>
      </c>
      <c r="T5139" s="15" t="str">
        <f>VLOOKUP(R5139,产品分类!$C$2:$D$1278,2,0)</f>
        <v>办公用品</v>
      </c>
    </row>
    <row r="5140" spans="1:20">
      <c r="A5140" s="8">
        <f t="shared" ref="A5140:B5142" si="439">DATE(2012,12,31)-1280</f>
        <v>39994</v>
      </c>
      <c r="B5140" s="8">
        <f t="shared" si="439"/>
        <v>39994</v>
      </c>
      <c r="C5140" s="9" t="s">
        <v>785</v>
      </c>
      <c r="D5140">
        <v>10021444588</v>
      </c>
      <c r="E5140" t="s">
        <v>47</v>
      </c>
      <c r="F5140" t="s">
        <v>66</v>
      </c>
      <c r="G5140" t="s">
        <v>67</v>
      </c>
      <c r="H5140" t="s">
        <v>2413</v>
      </c>
      <c r="I5140" t="s">
        <v>2414</v>
      </c>
      <c r="J5140" t="s">
        <v>52</v>
      </c>
      <c r="K5140" s="3">
        <v>10019822306</v>
      </c>
      <c r="L5140" s="10">
        <v>39995</v>
      </c>
      <c r="M5140">
        <v>179.98</v>
      </c>
      <c r="N5140" s="11">
        <v>21</v>
      </c>
      <c r="O5140" s="12">
        <v>7.89</v>
      </c>
      <c r="P5140" s="12">
        <v>2.82</v>
      </c>
      <c r="Q5140" s="13">
        <v>38.7</v>
      </c>
      <c r="R5140" s="36" t="s">
        <v>2155</v>
      </c>
      <c r="S5140" s="7">
        <f t="shared" si="438"/>
        <v>1</v>
      </c>
      <c r="T5140" s="15" t="str">
        <f>VLOOKUP(R5140,产品分类!$C$2:$D$1278,2,0)</f>
        <v>数码电子</v>
      </c>
    </row>
    <row r="5141" spans="1:20">
      <c r="A5141" s="8">
        <f t="shared" si="439"/>
        <v>39994</v>
      </c>
      <c r="B5141" s="8">
        <f t="shared" si="439"/>
        <v>39994</v>
      </c>
      <c r="C5141" s="9" t="s">
        <v>785</v>
      </c>
      <c r="D5141">
        <v>10021415784</v>
      </c>
      <c r="E5141" t="s">
        <v>47</v>
      </c>
      <c r="F5141" t="s">
        <v>152</v>
      </c>
      <c r="G5141" t="s">
        <v>153</v>
      </c>
      <c r="H5141" t="s">
        <v>2302</v>
      </c>
      <c r="I5141" t="s">
        <v>2303</v>
      </c>
      <c r="J5141" t="s">
        <v>52</v>
      </c>
      <c r="K5141" s="3">
        <v>100110805826</v>
      </c>
      <c r="L5141" s="10">
        <v>39995</v>
      </c>
      <c r="M5141">
        <v>55.44</v>
      </c>
      <c r="N5141" s="11">
        <v>16</v>
      </c>
      <c r="O5141" s="12">
        <v>3.68</v>
      </c>
      <c r="P5141" s="12">
        <v>1.32</v>
      </c>
      <c r="Q5141" s="13">
        <v>-21.91</v>
      </c>
      <c r="R5141" s="36" t="s">
        <v>1061</v>
      </c>
      <c r="S5141" s="7">
        <f t="shared" si="438"/>
        <v>1</v>
      </c>
      <c r="T5141" s="15" t="str">
        <f>VLOOKUP(R5141,产品分类!$C$2:$D$1278,2,0)</f>
        <v>办公用品</v>
      </c>
    </row>
    <row r="5142" spans="1:20">
      <c r="A5142" s="8">
        <f t="shared" si="439"/>
        <v>39994</v>
      </c>
      <c r="B5142" s="8">
        <f t="shared" si="439"/>
        <v>39994</v>
      </c>
      <c r="C5142" s="9" t="s">
        <v>785</v>
      </c>
      <c r="D5142">
        <v>10021445320</v>
      </c>
      <c r="E5142" t="s">
        <v>47</v>
      </c>
      <c r="F5142" t="s">
        <v>152</v>
      </c>
      <c r="G5142" t="s">
        <v>153</v>
      </c>
      <c r="H5142" t="s">
        <v>2302</v>
      </c>
      <c r="I5142" t="s">
        <v>2303</v>
      </c>
      <c r="J5142" t="s">
        <v>52</v>
      </c>
      <c r="K5142" s="3">
        <v>100412340163</v>
      </c>
      <c r="L5142" s="10">
        <v>39997</v>
      </c>
      <c r="M5142">
        <v>174.62</v>
      </c>
      <c r="N5142" s="11">
        <v>18</v>
      </c>
      <c r="O5142" s="12">
        <v>9.71</v>
      </c>
      <c r="P5142" s="12">
        <v>9.45</v>
      </c>
      <c r="Q5142" s="13">
        <v>-119.77</v>
      </c>
      <c r="R5142" s="36" t="s">
        <v>135</v>
      </c>
      <c r="S5142" s="7">
        <f t="shared" si="438"/>
        <v>3</v>
      </c>
      <c r="T5142" s="15" t="str">
        <f>VLOOKUP(R5142,产品分类!$C$2:$D$1278,2,0)</f>
        <v>办公用品</v>
      </c>
    </row>
    <row r="5143" spans="1:20">
      <c r="A5143" s="8">
        <f>DATE(2012,12,31)-840</f>
        <v>40434</v>
      </c>
      <c r="B5143" s="8">
        <f>DATE(2012,12,31)-840</f>
        <v>40434</v>
      </c>
      <c r="C5143" s="9" t="s">
        <v>809</v>
      </c>
      <c r="D5143">
        <v>10021522045</v>
      </c>
      <c r="E5143" t="s">
        <v>47</v>
      </c>
      <c r="F5143" t="s">
        <v>66</v>
      </c>
      <c r="G5143" t="s">
        <v>67</v>
      </c>
      <c r="H5143" t="s">
        <v>2413</v>
      </c>
      <c r="I5143" t="s">
        <v>2414</v>
      </c>
      <c r="J5143" t="s">
        <v>52</v>
      </c>
      <c r="K5143" s="3">
        <v>10079816385</v>
      </c>
      <c r="L5143" s="10">
        <v>40441</v>
      </c>
      <c r="M5143">
        <v>984.6315</v>
      </c>
      <c r="N5143" s="11">
        <v>20</v>
      </c>
      <c r="O5143" s="12">
        <v>55.99</v>
      </c>
      <c r="P5143" s="12">
        <v>5</v>
      </c>
      <c r="Q5143" s="13">
        <v>-129.14</v>
      </c>
      <c r="R5143" s="36" t="s">
        <v>1020</v>
      </c>
      <c r="S5143" s="7">
        <f t="shared" si="438"/>
        <v>7</v>
      </c>
      <c r="T5143" s="15" t="str">
        <f>VLOOKUP(R5143,产品分类!$C$2:$D$1278,2,0)</f>
        <v>办公用品</v>
      </c>
    </row>
    <row r="5144" spans="1:20">
      <c r="A5144" s="8">
        <f>DATE(2012,12,31)-547</f>
        <v>40727</v>
      </c>
      <c r="B5144" s="8">
        <f>DATE(2012,12,31)-547</f>
        <v>40727</v>
      </c>
      <c r="C5144" s="9" t="s">
        <v>953</v>
      </c>
      <c r="D5144">
        <v>10021657785</v>
      </c>
      <c r="E5144" t="s">
        <v>47</v>
      </c>
      <c r="F5144" t="s">
        <v>48</v>
      </c>
      <c r="G5144" t="s">
        <v>49</v>
      </c>
      <c r="H5144" t="s">
        <v>2183</v>
      </c>
      <c r="I5144" t="s">
        <v>2184</v>
      </c>
      <c r="J5144" t="s">
        <v>52</v>
      </c>
      <c r="K5144" s="3">
        <v>100110073658</v>
      </c>
      <c r="L5144" s="10">
        <v>40730</v>
      </c>
      <c r="M5144">
        <v>113.09</v>
      </c>
      <c r="N5144" s="11">
        <v>39</v>
      </c>
      <c r="O5144" s="12">
        <v>2.94</v>
      </c>
      <c r="P5144" s="12">
        <v>0.81</v>
      </c>
      <c r="Q5144" s="13">
        <v>29.76</v>
      </c>
      <c r="R5144" s="36" t="s">
        <v>1671</v>
      </c>
      <c r="S5144" s="7">
        <f t="shared" si="438"/>
        <v>3</v>
      </c>
      <c r="T5144" s="15" t="str">
        <f>VLOOKUP(R5144,产品分类!$C$2:$D$1278,2,0)</f>
        <v>办公用品</v>
      </c>
    </row>
    <row r="5145" spans="1:20">
      <c r="A5145" s="8">
        <f>DATE(2012,12,31)-494</f>
        <v>40780</v>
      </c>
      <c r="B5145" s="8">
        <f>DATE(2012,12,31)-494</f>
        <v>40780</v>
      </c>
      <c r="C5145" s="9" t="s">
        <v>460</v>
      </c>
      <c r="D5145">
        <v>10021594829</v>
      </c>
      <c r="E5145" t="s">
        <v>47</v>
      </c>
      <c r="F5145" t="s">
        <v>152</v>
      </c>
      <c r="G5145" t="s">
        <v>153</v>
      </c>
      <c r="H5145" t="s">
        <v>2302</v>
      </c>
      <c r="I5145" t="s">
        <v>2303</v>
      </c>
      <c r="J5145" t="s">
        <v>52</v>
      </c>
      <c r="K5145" s="3">
        <v>100132774007</v>
      </c>
      <c r="L5145" s="10">
        <v>40782</v>
      </c>
      <c r="M5145">
        <v>3046.01</v>
      </c>
      <c r="N5145" s="11">
        <v>32</v>
      </c>
      <c r="O5145" s="12">
        <v>100.97</v>
      </c>
      <c r="P5145" s="12">
        <v>14</v>
      </c>
      <c r="Q5145" s="13">
        <v>998.65</v>
      </c>
      <c r="R5145" s="36" t="s">
        <v>1706</v>
      </c>
      <c r="S5145" s="7">
        <f t="shared" si="438"/>
        <v>2</v>
      </c>
      <c r="T5145" s="15" t="str">
        <f>VLOOKUP(R5145,产品分类!$C$2:$D$1278,2,0)</f>
        <v>办公用品</v>
      </c>
    </row>
    <row r="5146" spans="1:20">
      <c r="A5146" s="8">
        <f>DATE(2012,12,31)-494</f>
        <v>40780</v>
      </c>
      <c r="B5146" s="8">
        <f>DATE(2012,12,31)-494</f>
        <v>40780</v>
      </c>
      <c r="C5146" s="9" t="s">
        <v>460</v>
      </c>
      <c r="D5146">
        <v>10021345774</v>
      </c>
      <c r="E5146" t="s">
        <v>47</v>
      </c>
      <c r="F5146" t="s">
        <v>78</v>
      </c>
      <c r="G5146" t="s">
        <v>79</v>
      </c>
      <c r="H5146" t="s">
        <v>2379</v>
      </c>
      <c r="I5146" t="s">
        <v>2380</v>
      </c>
      <c r="J5146" t="s">
        <v>52</v>
      </c>
      <c r="K5146" s="3">
        <v>100130220427</v>
      </c>
      <c r="L5146" s="10">
        <v>40781</v>
      </c>
      <c r="M5146">
        <v>353.52</v>
      </c>
      <c r="N5146" s="11">
        <v>15</v>
      </c>
      <c r="O5146" s="12">
        <v>22.84</v>
      </c>
      <c r="P5146" s="12">
        <v>8.18</v>
      </c>
      <c r="Q5146" s="13">
        <v>51.53</v>
      </c>
      <c r="R5146" s="36" t="s">
        <v>1569</v>
      </c>
      <c r="S5146" s="7">
        <f t="shared" si="438"/>
        <v>1</v>
      </c>
      <c r="T5146" s="15" t="str">
        <f>VLOOKUP(R5146,产品分类!$C$2:$D$1278,2,0)</f>
        <v>办公用品</v>
      </c>
    </row>
    <row r="5147" spans="1:20">
      <c r="A5147" s="8">
        <f>DATE(2012,12,31)-1104</f>
        <v>40170</v>
      </c>
      <c r="B5147" s="8">
        <f>DATE(2012,12,31)-1104</f>
        <v>40170</v>
      </c>
      <c r="C5147" s="9" t="s">
        <v>948</v>
      </c>
      <c r="D5147">
        <v>10021526323</v>
      </c>
      <c r="E5147" t="s">
        <v>47</v>
      </c>
      <c r="F5147" t="s">
        <v>72</v>
      </c>
      <c r="G5147" t="s">
        <v>73</v>
      </c>
      <c r="H5147" t="s">
        <v>2398</v>
      </c>
      <c r="I5147" t="s">
        <v>2399</v>
      </c>
      <c r="J5147" t="s">
        <v>52</v>
      </c>
      <c r="K5147" s="3">
        <v>100322003139</v>
      </c>
      <c r="L5147" s="10">
        <v>40172</v>
      </c>
      <c r="M5147">
        <v>23255.61</v>
      </c>
      <c r="N5147" s="11">
        <v>38</v>
      </c>
      <c r="O5147" s="12">
        <v>599.99</v>
      </c>
      <c r="P5147" s="12">
        <v>24.49</v>
      </c>
      <c r="Q5147" s="13">
        <v>-734.33</v>
      </c>
      <c r="R5147" s="36" t="s">
        <v>1880</v>
      </c>
      <c r="S5147" s="7">
        <f t="shared" si="438"/>
        <v>2</v>
      </c>
      <c r="T5147" s="15" t="str">
        <f>VLOOKUP(R5147,产品分类!$C$2:$D$1278,2,0)</f>
        <v>办公用品</v>
      </c>
    </row>
    <row r="5148" spans="1:20">
      <c r="A5148" s="8">
        <f>DATE(2012,12,31)-489</f>
        <v>40785</v>
      </c>
      <c r="B5148" s="8">
        <f>DATE(2012,12,31)-489</f>
        <v>40785</v>
      </c>
      <c r="C5148" s="9" t="s">
        <v>1226</v>
      </c>
      <c r="D5148">
        <v>10021346008</v>
      </c>
      <c r="E5148" t="s">
        <v>47</v>
      </c>
      <c r="F5148" t="s">
        <v>78</v>
      </c>
      <c r="G5148" t="s">
        <v>79</v>
      </c>
      <c r="H5148" t="s">
        <v>2379</v>
      </c>
      <c r="I5148" t="s">
        <v>2380</v>
      </c>
      <c r="J5148" t="s">
        <v>52</v>
      </c>
      <c r="K5148" s="3">
        <v>100715454975</v>
      </c>
      <c r="L5148" s="10">
        <v>40788</v>
      </c>
      <c r="M5148">
        <v>1491.8265</v>
      </c>
      <c r="N5148" s="11">
        <v>28</v>
      </c>
      <c r="O5148" s="12">
        <v>65.99</v>
      </c>
      <c r="P5148" s="12">
        <v>8.99</v>
      </c>
      <c r="Q5148" s="13">
        <v>124.83</v>
      </c>
      <c r="R5148" s="36" t="s">
        <v>335</v>
      </c>
      <c r="S5148" s="7">
        <f t="shared" si="438"/>
        <v>3</v>
      </c>
      <c r="T5148" s="15" t="str">
        <f>VLOOKUP(R5148,产品分类!$C$2:$D$1278,2,0)</f>
        <v>办公用品</v>
      </c>
    </row>
    <row r="5149" spans="1:20">
      <c r="A5149" s="8">
        <f>DATE(2012,12,31)-564</f>
        <v>40710</v>
      </c>
      <c r="B5149" s="8">
        <f>DATE(2012,12,31)-564</f>
        <v>40710</v>
      </c>
      <c r="C5149" s="9" t="s">
        <v>809</v>
      </c>
      <c r="D5149">
        <v>10021521487</v>
      </c>
      <c r="E5149" t="s">
        <v>47</v>
      </c>
      <c r="F5149" t="s">
        <v>72</v>
      </c>
      <c r="G5149" t="s">
        <v>73</v>
      </c>
      <c r="H5149" t="s">
        <v>2398</v>
      </c>
      <c r="I5149" t="s">
        <v>2399</v>
      </c>
      <c r="J5149" t="s">
        <v>52</v>
      </c>
      <c r="K5149" s="3">
        <v>10012742276</v>
      </c>
      <c r="L5149" s="10">
        <v>40711</v>
      </c>
      <c r="M5149">
        <v>134.33</v>
      </c>
      <c r="N5149" s="11">
        <v>43</v>
      </c>
      <c r="O5149" s="12">
        <v>3.14</v>
      </c>
      <c r="P5149" s="12">
        <v>1.14</v>
      </c>
      <c r="Q5149" s="13">
        <v>25.02</v>
      </c>
      <c r="R5149" s="36" t="s">
        <v>2186</v>
      </c>
      <c r="S5149" s="7">
        <f t="shared" si="438"/>
        <v>1</v>
      </c>
      <c r="T5149" s="15" t="str">
        <f>VLOOKUP(R5149,产品分类!$C$2:$D$1278,2,0)</f>
        <v>数码电子</v>
      </c>
    </row>
    <row r="5150" spans="1:20">
      <c r="A5150" s="8">
        <f>DATE(2012,12,31)-564</f>
        <v>40710</v>
      </c>
      <c r="B5150" s="8">
        <f>DATE(2012,12,31)-564</f>
        <v>40710</v>
      </c>
      <c r="C5150" s="9" t="s">
        <v>809</v>
      </c>
      <c r="D5150">
        <v>10021579139</v>
      </c>
      <c r="E5150" t="s">
        <v>47</v>
      </c>
      <c r="F5150" t="s">
        <v>72</v>
      </c>
      <c r="G5150" t="s">
        <v>73</v>
      </c>
      <c r="H5150" t="s">
        <v>2398</v>
      </c>
      <c r="I5150" t="s">
        <v>2399</v>
      </c>
      <c r="J5150" t="s">
        <v>52</v>
      </c>
      <c r="K5150" s="3">
        <v>100118993028</v>
      </c>
      <c r="L5150" s="10">
        <v>40712</v>
      </c>
      <c r="M5150">
        <v>70.32</v>
      </c>
      <c r="N5150" s="11">
        <v>19</v>
      </c>
      <c r="O5150" s="12">
        <v>3.57</v>
      </c>
      <c r="P5150" s="12">
        <v>4.17</v>
      </c>
      <c r="Q5150" s="13">
        <v>-56.07</v>
      </c>
      <c r="R5150" s="36" t="s">
        <v>641</v>
      </c>
      <c r="S5150" s="7">
        <f t="shared" si="438"/>
        <v>2</v>
      </c>
      <c r="T5150" s="15" t="str">
        <f>VLOOKUP(R5150,产品分类!$C$2:$D$1278,2,0)</f>
        <v>办公用品</v>
      </c>
    </row>
    <row r="5151" spans="1:20">
      <c r="A5151" s="8">
        <f>DATE(2012,12,31)-1285</f>
        <v>39989</v>
      </c>
      <c r="B5151" s="8">
        <f>DATE(2012,12,31)-1285</f>
        <v>39989</v>
      </c>
      <c r="C5151" s="9" t="s">
        <v>587</v>
      </c>
      <c r="D5151">
        <v>10021263649</v>
      </c>
      <c r="E5151" t="s">
        <v>47</v>
      </c>
      <c r="F5151" t="s">
        <v>72</v>
      </c>
      <c r="G5151" t="s">
        <v>73</v>
      </c>
      <c r="H5151" t="s">
        <v>2417</v>
      </c>
      <c r="I5151" t="s">
        <v>2418</v>
      </c>
      <c r="J5151" t="s">
        <v>52</v>
      </c>
      <c r="K5151" s="3">
        <v>100430821844</v>
      </c>
      <c r="L5151" s="10">
        <v>39989</v>
      </c>
      <c r="M5151">
        <v>1032.072</v>
      </c>
      <c r="N5151" s="11">
        <v>17</v>
      </c>
      <c r="O5151" s="12">
        <v>70.89</v>
      </c>
      <c r="P5151" s="12">
        <v>89.3</v>
      </c>
      <c r="Q5151" s="13">
        <v>54.23085</v>
      </c>
      <c r="R5151" s="36" t="s">
        <v>70</v>
      </c>
      <c r="S5151" s="7">
        <f t="shared" si="438"/>
        <v>0</v>
      </c>
      <c r="T5151" s="15" t="str">
        <f>VLOOKUP(R5151,产品分类!$C$2:$D$1278,2,0)</f>
        <v>数码电子</v>
      </c>
    </row>
    <row r="5152" spans="1:20">
      <c r="A5152" s="16">
        <f>DATE(2012,12,31)-1360</f>
        <v>39914</v>
      </c>
      <c r="B5152" s="16">
        <f>DATE(2012,12,31)-1360</f>
        <v>39914</v>
      </c>
      <c r="C5152" s="9" t="s">
        <v>816</v>
      </c>
      <c r="D5152">
        <v>10021430619</v>
      </c>
      <c r="E5152" t="s">
        <v>47</v>
      </c>
      <c r="F5152" t="s">
        <v>72</v>
      </c>
      <c r="G5152" t="s">
        <v>73</v>
      </c>
      <c r="H5152" t="s">
        <v>2417</v>
      </c>
      <c r="I5152" t="s">
        <v>2418</v>
      </c>
      <c r="J5152" t="s">
        <v>52</v>
      </c>
      <c r="K5152" s="3">
        <v>100131797247</v>
      </c>
      <c r="L5152" s="10">
        <v>39916</v>
      </c>
      <c r="M5152">
        <v>887.45</v>
      </c>
      <c r="N5152" s="17">
        <v>47</v>
      </c>
      <c r="O5152" s="5">
        <v>20.98</v>
      </c>
      <c r="P5152" s="5">
        <v>1.49</v>
      </c>
      <c r="Q5152" s="6">
        <v>365.789</v>
      </c>
      <c r="R5152" s="37" t="s">
        <v>1155</v>
      </c>
      <c r="S5152" s="7">
        <f t="shared" si="438"/>
        <v>2</v>
      </c>
      <c r="T5152" s="15" t="str">
        <f>VLOOKUP(R5152,产品分类!$C$2:$D$1278,2,0)</f>
        <v>家具产品</v>
      </c>
    </row>
    <row r="5153" spans="1:20">
      <c r="A5153" s="16">
        <f>DATE(2012,12,31)-1360</f>
        <v>39914</v>
      </c>
      <c r="B5153" s="16">
        <f>DATE(2012,12,31)-1360</f>
        <v>39914</v>
      </c>
      <c r="C5153" s="9" t="s">
        <v>816</v>
      </c>
      <c r="D5153">
        <v>10021416360</v>
      </c>
      <c r="E5153" t="s">
        <v>47</v>
      </c>
      <c r="F5153" t="s">
        <v>78</v>
      </c>
      <c r="G5153" t="s">
        <v>79</v>
      </c>
      <c r="H5153" t="s">
        <v>2379</v>
      </c>
      <c r="I5153" t="s">
        <v>2380</v>
      </c>
      <c r="J5153" t="s">
        <v>52</v>
      </c>
      <c r="K5153" s="3">
        <v>100414549593</v>
      </c>
      <c r="L5153" s="10">
        <v>39916</v>
      </c>
      <c r="M5153">
        <v>355.97</v>
      </c>
      <c r="N5153" s="17">
        <v>7</v>
      </c>
      <c r="O5153" s="5">
        <v>48.04</v>
      </c>
      <c r="P5153" s="5">
        <v>19.99</v>
      </c>
      <c r="Q5153" s="6">
        <v>-4.45999999999999</v>
      </c>
      <c r="R5153" s="37" t="s">
        <v>2419</v>
      </c>
      <c r="S5153" s="7">
        <f t="shared" si="438"/>
        <v>2</v>
      </c>
      <c r="T5153" s="15" t="str">
        <f>VLOOKUP(R5153,产品分类!$C$2:$D$1278,2,0)</f>
        <v>办公用品</v>
      </c>
    </row>
    <row r="5154" spans="1:20">
      <c r="A5154" s="8">
        <f>DATE(2012,12,31)-1128</f>
        <v>40146</v>
      </c>
      <c r="B5154" s="8">
        <f>DATE(2012,12,31)-1128</f>
        <v>40146</v>
      </c>
      <c r="C5154" s="9" t="s">
        <v>2259</v>
      </c>
      <c r="D5154">
        <v>10021339142</v>
      </c>
      <c r="E5154" t="s">
        <v>47</v>
      </c>
      <c r="F5154" t="s">
        <v>78</v>
      </c>
      <c r="G5154" t="s">
        <v>79</v>
      </c>
      <c r="H5154" t="s">
        <v>2420</v>
      </c>
      <c r="I5154" t="s">
        <v>2421</v>
      </c>
      <c r="J5154" t="s">
        <v>52</v>
      </c>
      <c r="K5154" s="3">
        <v>100123348668</v>
      </c>
      <c r="L5154" s="10">
        <v>40147</v>
      </c>
      <c r="M5154">
        <v>181.78</v>
      </c>
      <c r="N5154" s="11">
        <v>47</v>
      </c>
      <c r="O5154" s="12">
        <v>3.78</v>
      </c>
      <c r="P5154" s="12">
        <v>0.71</v>
      </c>
      <c r="Q5154" s="13">
        <v>71.56</v>
      </c>
      <c r="R5154" s="36" t="s">
        <v>731</v>
      </c>
      <c r="S5154" s="7">
        <f t="shared" si="438"/>
        <v>1</v>
      </c>
      <c r="T5154" s="15" t="str">
        <f>VLOOKUP(R5154,产品分类!$C$2:$D$1278,2,0)</f>
        <v>家具产品</v>
      </c>
    </row>
    <row r="5155" spans="1:20">
      <c r="A5155" s="8">
        <f>DATE(2012,12,31)-469</f>
        <v>40805</v>
      </c>
      <c r="B5155" s="8">
        <f>DATE(2012,12,31)-469</f>
        <v>40805</v>
      </c>
      <c r="C5155" s="9" t="s">
        <v>1083</v>
      </c>
      <c r="D5155">
        <v>10021669688</v>
      </c>
      <c r="E5155" t="s">
        <v>47</v>
      </c>
      <c r="F5155" t="s">
        <v>72</v>
      </c>
      <c r="G5155" t="s">
        <v>73</v>
      </c>
      <c r="H5155" t="s">
        <v>2417</v>
      </c>
      <c r="I5155" t="s">
        <v>2418</v>
      </c>
      <c r="J5155" t="s">
        <v>52</v>
      </c>
      <c r="K5155" s="3">
        <v>100429853454</v>
      </c>
      <c r="L5155" s="10">
        <v>40807</v>
      </c>
      <c r="M5155">
        <v>636.5</v>
      </c>
      <c r="N5155" s="11">
        <v>46</v>
      </c>
      <c r="O5155" s="12">
        <v>12.99</v>
      </c>
      <c r="P5155" s="12">
        <v>9.44</v>
      </c>
      <c r="Q5155" s="13">
        <v>-71.9838</v>
      </c>
      <c r="R5155" s="36" t="s">
        <v>2422</v>
      </c>
      <c r="S5155" s="7">
        <f t="shared" si="438"/>
        <v>2</v>
      </c>
      <c r="T5155" s="15" t="str">
        <f>VLOOKUP(R5155,产品分类!$C$2:$D$1278,2,0)</f>
        <v>家具产品</v>
      </c>
    </row>
    <row r="5156" spans="1:20">
      <c r="A5156" s="8">
        <f>DATE(2012,12,31)-469</f>
        <v>40805</v>
      </c>
      <c r="B5156" s="8">
        <f>DATE(2012,12,31)-469</f>
        <v>40805</v>
      </c>
      <c r="C5156" s="9" t="s">
        <v>1083</v>
      </c>
      <c r="D5156">
        <v>10021348744</v>
      </c>
      <c r="E5156" t="s">
        <v>47</v>
      </c>
      <c r="F5156" t="s">
        <v>72</v>
      </c>
      <c r="G5156" t="s">
        <v>73</v>
      </c>
      <c r="H5156" t="s">
        <v>2417</v>
      </c>
      <c r="I5156" t="s">
        <v>2418</v>
      </c>
      <c r="J5156" t="s">
        <v>52</v>
      </c>
      <c r="K5156" s="3">
        <v>100431611864</v>
      </c>
      <c r="L5156" s="10">
        <v>40807</v>
      </c>
      <c r="M5156">
        <v>2614.3705</v>
      </c>
      <c r="N5156" s="11">
        <v>25</v>
      </c>
      <c r="O5156" s="12">
        <v>125.99</v>
      </c>
      <c r="P5156" s="12">
        <v>7.69</v>
      </c>
      <c r="Q5156" s="13">
        <v>384.012</v>
      </c>
      <c r="R5156" s="36" t="s">
        <v>903</v>
      </c>
      <c r="S5156" s="7">
        <f t="shared" si="438"/>
        <v>2</v>
      </c>
      <c r="T5156" s="15" t="str">
        <f>VLOOKUP(R5156,产品分类!$C$2:$D$1278,2,0)</f>
        <v>家具产品</v>
      </c>
    </row>
    <row r="5157" spans="1:20">
      <c r="A5157" s="8">
        <f>DATE(2012,12,31)-130</f>
        <v>41144</v>
      </c>
      <c r="B5157" s="8">
        <f>DATE(2012,12,31)-130</f>
        <v>41144</v>
      </c>
      <c r="C5157" s="9" t="s">
        <v>1786</v>
      </c>
      <c r="D5157">
        <v>10021671660</v>
      </c>
      <c r="E5157" t="s">
        <v>47</v>
      </c>
      <c r="F5157" t="s">
        <v>72</v>
      </c>
      <c r="G5157" t="s">
        <v>73</v>
      </c>
      <c r="H5157" t="s">
        <v>2417</v>
      </c>
      <c r="I5157" t="s">
        <v>2418</v>
      </c>
      <c r="J5157" t="s">
        <v>52</v>
      </c>
      <c r="K5157" s="3">
        <v>100830993222</v>
      </c>
      <c r="L5157" s="10">
        <v>41146</v>
      </c>
      <c r="M5157">
        <v>2245.6915</v>
      </c>
      <c r="N5157" s="11">
        <v>42</v>
      </c>
      <c r="O5157" s="12">
        <v>65.99</v>
      </c>
      <c r="P5157" s="12">
        <v>8.99</v>
      </c>
      <c r="Q5157" s="13">
        <v>369.081</v>
      </c>
      <c r="R5157" s="36" t="s">
        <v>148</v>
      </c>
      <c r="S5157" s="7">
        <f t="shared" si="438"/>
        <v>2</v>
      </c>
      <c r="T5157" s="15" t="str">
        <f>VLOOKUP(R5157,产品分类!$C$2:$D$1278,2,0)</f>
        <v>数码电子</v>
      </c>
    </row>
    <row r="5158" spans="1:20">
      <c r="A5158" s="8">
        <f t="shared" ref="A5158:B5160" si="440">DATE(2012,12,31)-1022</f>
        <v>40252</v>
      </c>
      <c r="B5158" s="8">
        <f t="shared" si="440"/>
        <v>40252</v>
      </c>
      <c r="C5158" s="9" t="s">
        <v>417</v>
      </c>
      <c r="D5158">
        <v>10021343024</v>
      </c>
      <c r="E5158" t="s">
        <v>47</v>
      </c>
      <c r="F5158" t="s">
        <v>230</v>
      </c>
      <c r="G5158" t="s">
        <v>231</v>
      </c>
      <c r="H5158" t="s">
        <v>2372</v>
      </c>
      <c r="I5158" t="s">
        <v>2373</v>
      </c>
      <c r="J5158" t="s">
        <v>52</v>
      </c>
      <c r="K5158" s="3">
        <v>100813687852</v>
      </c>
      <c r="L5158" s="10">
        <v>40253</v>
      </c>
      <c r="M5158">
        <v>1462.1615</v>
      </c>
      <c r="N5158" s="11">
        <v>26</v>
      </c>
      <c r="O5158" s="12">
        <v>65.99</v>
      </c>
      <c r="P5158" s="12">
        <v>5.99</v>
      </c>
      <c r="Q5158" s="13">
        <v>215.433</v>
      </c>
      <c r="R5158" s="36" t="s">
        <v>1660</v>
      </c>
      <c r="S5158" s="7">
        <f t="shared" si="438"/>
        <v>1</v>
      </c>
      <c r="T5158" s="15" t="str">
        <f>VLOOKUP(R5158,产品分类!$C$2:$D$1278,2,0)</f>
        <v>办公用品</v>
      </c>
    </row>
    <row r="5159" spans="1:20">
      <c r="A5159" s="8">
        <f t="shared" si="440"/>
        <v>40252</v>
      </c>
      <c r="B5159" s="8">
        <f t="shared" si="440"/>
        <v>40252</v>
      </c>
      <c r="C5159" s="9" t="s">
        <v>417</v>
      </c>
      <c r="D5159">
        <v>10021446634</v>
      </c>
      <c r="E5159" t="s">
        <v>47</v>
      </c>
      <c r="F5159" t="s">
        <v>230</v>
      </c>
      <c r="G5159" t="s">
        <v>231</v>
      </c>
      <c r="H5159" t="s">
        <v>2372</v>
      </c>
      <c r="I5159" t="s">
        <v>2373</v>
      </c>
      <c r="J5159" t="s">
        <v>52</v>
      </c>
      <c r="K5159" s="3">
        <v>100910100701</v>
      </c>
      <c r="L5159" s="10">
        <v>40253</v>
      </c>
      <c r="M5159">
        <v>999.89</v>
      </c>
      <c r="N5159" s="11">
        <v>10</v>
      </c>
      <c r="O5159" s="12">
        <v>99.99</v>
      </c>
      <c r="P5159" s="12">
        <v>19.99</v>
      </c>
      <c r="Q5159" s="13">
        <v>-119.92</v>
      </c>
      <c r="R5159" s="36" t="s">
        <v>532</v>
      </c>
      <c r="S5159" s="7">
        <f t="shared" si="438"/>
        <v>1</v>
      </c>
      <c r="T5159" s="15" t="str">
        <f>VLOOKUP(R5159,产品分类!$C$2:$D$1278,2,0)</f>
        <v>办公用品</v>
      </c>
    </row>
    <row r="5160" spans="1:20">
      <c r="A5160" s="8">
        <f t="shared" si="440"/>
        <v>40252</v>
      </c>
      <c r="B5160" s="8">
        <f t="shared" si="440"/>
        <v>40252</v>
      </c>
      <c r="C5160" s="9" t="s">
        <v>417</v>
      </c>
      <c r="D5160">
        <v>10021334062</v>
      </c>
      <c r="E5160" t="s">
        <v>47</v>
      </c>
      <c r="F5160" t="s">
        <v>434</v>
      </c>
      <c r="G5160" t="s">
        <v>435</v>
      </c>
      <c r="H5160" t="s">
        <v>436</v>
      </c>
      <c r="I5160" t="s">
        <v>437</v>
      </c>
      <c r="J5160" t="s">
        <v>52</v>
      </c>
      <c r="K5160" s="3">
        <v>10087048542</v>
      </c>
      <c r="L5160" s="10">
        <v>40253</v>
      </c>
      <c r="M5160">
        <v>35.69</v>
      </c>
      <c r="N5160" s="11">
        <v>10</v>
      </c>
      <c r="O5160" s="12">
        <v>3.28</v>
      </c>
      <c r="P5160" s="12">
        <v>4.2</v>
      </c>
      <c r="Q5160" s="13">
        <v>-31.24</v>
      </c>
      <c r="R5160" s="36" t="s">
        <v>2423</v>
      </c>
      <c r="S5160" s="7">
        <f t="shared" si="438"/>
        <v>1</v>
      </c>
      <c r="T5160" s="15" t="str">
        <f>VLOOKUP(R5160,产品分类!$C$2:$D$1278,2,0)</f>
        <v>办公用品</v>
      </c>
    </row>
    <row r="5161" spans="1:20">
      <c r="A5161" s="8">
        <f>DATE(2012,12,31)-1180</f>
        <v>40094</v>
      </c>
      <c r="B5161" s="8">
        <f>DATE(2012,12,31)-1180</f>
        <v>40094</v>
      </c>
      <c r="C5161" s="9" t="s">
        <v>332</v>
      </c>
      <c r="D5161">
        <v>10021418389</v>
      </c>
      <c r="E5161" t="s">
        <v>47</v>
      </c>
      <c r="F5161" t="s">
        <v>114</v>
      </c>
      <c r="G5161" t="s">
        <v>115</v>
      </c>
      <c r="H5161" t="s">
        <v>2374</v>
      </c>
      <c r="I5161" t="s">
        <v>2375</v>
      </c>
      <c r="J5161" t="s">
        <v>52</v>
      </c>
      <c r="K5161" s="3">
        <v>100921121581</v>
      </c>
      <c r="L5161" s="10">
        <v>40096</v>
      </c>
      <c r="M5161">
        <v>68.04</v>
      </c>
      <c r="N5161" s="11">
        <v>16</v>
      </c>
      <c r="O5161" s="12">
        <v>3.98</v>
      </c>
      <c r="P5161" s="12">
        <v>5.26</v>
      </c>
      <c r="Q5161" s="13">
        <v>-55.522</v>
      </c>
      <c r="R5161" s="36" t="s">
        <v>479</v>
      </c>
      <c r="S5161" s="7">
        <f t="shared" si="438"/>
        <v>2</v>
      </c>
      <c r="T5161" s="15" t="str">
        <f>VLOOKUP(R5161,产品分类!$C$2:$D$1278,2,0)</f>
        <v>办公用品</v>
      </c>
    </row>
    <row r="5162" spans="1:20">
      <c r="A5162" s="8">
        <f>DATE(2012,12,31)-1180</f>
        <v>40094</v>
      </c>
      <c r="B5162" s="8">
        <f>DATE(2012,12,31)-1180</f>
        <v>40094</v>
      </c>
      <c r="C5162" s="9" t="s">
        <v>332</v>
      </c>
      <c r="D5162">
        <v>10021660659</v>
      </c>
      <c r="E5162" t="s">
        <v>47</v>
      </c>
      <c r="F5162" t="s">
        <v>434</v>
      </c>
      <c r="G5162" t="s">
        <v>435</v>
      </c>
      <c r="H5162" t="s">
        <v>436</v>
      </c>
      <c r="I5162" t="s">
        <v>437</v>
      </c>
      <c r="J5162" t="s">
        <v>52</v>
      </c>
      <c r="K5162" s="3">
        <v>100712040175</v>
      </c>
      <c r="L5162" s="10">
        <v>40094</v>
      </c>
      <c r="M5162">
        <v>331.17</v>
      </c>
      <c r="N5162" s="11">
        <v>27</v>
      </c>
      <c r="O5162" s="12">
        <v>12.22</v>
      </c>
      <c r="P5162" s="12">
        <v>2.85</v>
      </c>
      <c r="Q5162" s="13">
        <v>97.19</v>
      </c>
      <c r="R5162" s="36" t="s">
        <v>1125</v>
      </c>
      <c r="S5162" s="7">
        <f t="shared" si="438"/>
        <v>0</v>
      </c>
      <c r="T5162" s="15" t="str">
        <f>VLOOKUP(R5162,产品分类!$C$2:$D$1278,2,0)</f>
        <v>家具产品</v>
      </c>
    </row>
    <row r="5163" spans="1:20">
      <c r="A5163" s="8">
        <f>DATE(2012,12,31)-743</f>
        <v>40531</v>
      </c>
      <c r="B5163" s="8">
        <f>DATE(2012,12,31)-743</f>
        <v>40531</v>
      </c>
      <c r="C5163" s="9" t="s">
        <v>2424</v>
      </c>
      <c r="D5163">
        <v>10021420526</v>
      </c>
      <c r="E5163" t="s">
        <v>47</v>
      </c>
      <c r="F5163" t="s">
        <v>473</v>
      </c>
      <c r="G5163" t="s">
        <v>474</v>
      </c>
      <c r="H5163" t="s">
        <v>2406</v>
      </c>
      <c r="I5163" t="s">
        <v>2407</v>
      </c>
      <c r="J5163" t="s">
        <v>52</v>
      </c>
      <c r="K5163" s="3">
        <v>100813446192</v>
      </c>
      <c r="L5163" s="10">
        <v>40534</v>
      </c>
      <c r="M5163">
        <v>141.4</v>
      </c>
      <c r="N5163" s="11">
        <v>26</v>
      </c>
      <c r="O5163" s="12">
        <v>5.68</v>
      </c>
      <c r="P5163" s="12">
        <v>1.46</v>
      </c>
      <c r="Q5163" s="13">
        <v>34.48</v>
      </c>
      <c r="R5163" s="36" t="s">
        <v>2150</v>
      </c>
      <c r="S5163" s="7">
        <f t="shared" si="438"/>
        <v>3</v>
      </c>
      <c r="T5163" s="15" t="str">
        <f>VLOOKUP(R5163,产品分类!$C$2:$D$1278,2,0)</f>
        <v>办公用品</v>
      </c>
    </row>
    <row r="5164" spans="1:20">
      <c r="A5164" s="8">
        <f>DATE(2012,12,31)-743</f>
        <v>40531</v>
      </c>
      <c r="B5164" s="8">
        <f>DATE(2012,12,31)-743</f>
        <v>40531</v>
      </c>
      <c r="C5164" s="9" t="s">
        <v>2424</v>
      </c>
      <c r="D5164">
        <v>10021511672</v>
      </c>
      <c r="E5164" t="s">
        <v>47</v>
      </c>
      <c r="F5164" t="s">
        <v>473</v>
      </c>
      <c r="G5164" t="s">
        <v>474</v>
      </c>
      <c r="H5164" t="s">
        <v>2406</v>
      </c>
      <c r="I5164" t="s">
        <v>2407</v>
      </c>
      <c r="J5164" t="s">
        <v>52</v>
      </c>
      <c r="K5164" s="3">
        <v>100432732724</v>
      </c>
      <c r="L5164" s="10">
        <v>40533</v>
      </c>
      <c r="M5164">
        <v>303.909</v>
      </c>
      <c r="N5164" s="11">
        <v>6</v>
      </c>
      <c r="O5164" s="12">
        <v>55.99</v>
      </c>
      <c r="P5164" s="12">
        <v>5</v>
      </c>
      <c r="Q5164" s="13">
        <v>-254.364</v>
      </c>
      <c r="R5164" s="36" t="s">
        <v>1453</v>
      </c>
      <c r="S5164" s="7">
        <f t="shared" si="438"/>
        <v>2</v>
      </c>
      <c r="T5164" s="15" t="str">
        <f>VLOOKUP(R5164,产品分类!$C$2:$D$1278,2,0)</f>
        <v>办公用品</v>
      </c>
    </row>
    <row r="5165" spans="1:20">
      <c r="A5165" s="8">
        <f>DATE(2012,12,31)-114</f>
        <v>41160</v>
      </c>
      <c r="B5165" s="8">
        <f>DATE(2012,12,31)-114</f>
        <v>41160</v>
      </c>
      <c r="C5165" s="9" t="s">
        <v>1774</v>
      </c>
      <c r="D5165">
        <v>10021593099</v>
      </c>
      <c r="E5165" t="s">
        <v>47</v>
      </c>
      <c r="F5165" t="s">
        <v>122</v>
      </c>
      <c r="G5165" t="s">
        <v>123</v>
      </c>
      <c r="H5165" t="s">
        <v>2159</v>
      </c>
      <c r="I5165" t="s">
        <v>2160</v>
      </c>
      <c r="J5165" t="s">
        <v>52</v>
      </c>
      <c r="K5165" s="3">
        <v>100425120433</v>
      </c>
      <c r="L5165" s="10">
        <v>41161</v>
      </c>
      <c r="M5165">
        <v>26.13</v>
      </c>
      <c r="N5165" s="11">
        <v>3</v>
      </c>
      <c r="O5165" s="12">
        <v>7.59</v>
      </c>
      <c r="P5165" s="12">
        <v>4</v>
      </c>
      <c r="Q5165" s="13">
        <v>-10.61</v>
      </c>
      <c r="R5165" s="36" t="s">
        <v>996</v>
      </c>
      <c r="S5165" s="7">
        <f t="shared" si="438"/>
        <v>1</v>
      </c>
      <c r="T5165" s="15" t="str">
        <f>VLOOKUP(R5165,产品分类!$C$2:$D$1278,2,0)</f>
        <v>家具产品</v>
      </c>
    </row>
    <row r="5166" spans="1:20">
      <c r="A5166" s="8">
        <f t="shared" ref="A5166:B5168" si="441">DATE(2012,12,31)-961</f>
        <v>40313</v>
      </c>
      <c r="B5166" s="8">
        <f t="shared" si="441"/>
        <v>40313</v>
      </c>
      <c r="C5166" s="9" t="s">
        <v>1821</v>
      </c>
      <c r="D5166">
        <v>10021582636</v>
      </c>
      <c r="E5166" t="s">
        <v>47</v>
      </c>
      <c r="F5166" t="s">
        <v>55</v>
      </c>
      <c r="G5166" t="s">
        <v>56</v>
      </c>
      <c r="H5166" t="s">
        <v>2425</v>
      </c>
      <c r="I5166" t="s">
        <v>2426</v>
      </c>
      <c r="J5166" t="s">
        <v>52</v>
      </c>
      <c r="K5166" s="3">
        <v>100925932901</v>
      </c>
      <c r="L5166" s="10">
        <v>40313</v>
      </c>
      <c r="M5166">
        <v>22.85</v>
      </c>
      <c r="N5166" s="11">
        <v>8</v>
      </c>
      <c r="O5166" s="12">
        <v>2.88</v>
      </c>
      <c r="P5166" s="12">
        <v>0.99</v>
      </c>
      <c r="Q5166" s="13">
        <v>0.88</v>
      </c>
      <c r="R5166" s="36" t="s">
        <v>1207</v>
      </c>
      <c r="S5166" s="7">
        <f t="shared" si="438"/>
        <v>0</v>
      </c>
      <c r="T5166" s="15" t="str">
        <f>VLOOKUP(R5166,产品分类!$C$2:$D$1278,2,0)</f>
        <v>数码电子</v>
      </c>
    </row>
    <row r="5167" spans="1:20">
      <c r="A5167" s="8">
        <f t="shared" si="441"/>
        <v>40313</v>
      </c>
      <c r="B5167" s="8">
        <f t="shared" si="441"/>
        <v>40313</v>
      </c>
      <c r="C5167" s="9" t="s">
        <v>1821</v>
      </c>
      <c r="D5167">
        <v>10021621689</v>
      </c>
      <c r="E5167" t="s">
        <v>47</v>
      </c>
      <c r="F5167" t="s">
        <v>91</v>
      </c>
      <c r="G5167" t="s">
        <v>92</v>
      </c>
      <c r="H5167" t="s">
        <v>2053</v>
      </c>
      <c r="I5167" t="s">
        <v>2054</v>
      </c>
      <c r="J5167" t="s">
        <v>52</v>
      </c>
      <c r="K5167" s="3">
        <v>10077995695</v>
      </c>
      <c r="L5167" s="10">
        <v>40315</v>
      </c>
      <c r="M5167">
        <v>12007.05</v>
      </c>
      <c r="N5167" s="11">
        <v>16</v>
      </c>
      <c r="O5167" s="12">
        <v>808.49</v>
      </c>
      <c r="P5167" s="12">
        <v>55.3</v>
      </c>
      <c r="Q5167" s="13">
        <v>2713.95</v>
      </c>
      <c r="R5167" s="36" t="s">
        <v>2171</v>
      </c>
      <c r="S5167" s="7">
        <f t="shared" si="438"/>
        <v>2</v>
      </c>
      <c r="T5167" s="15" t="str">
        <f>VLOOKUP(R5167,产品分类!$C$2:$D$1278,2,0)</f>
        <v>数码电子</v>
      </c>
    </row>
    <row r="5168" spans="1:20">
      <c r="A5168" s="8">
        <f t="shared" si="441"/>
        <v>40313</v>
      </c>
      <c r="B5168" s="8">
        <f t="shared" si="441"/>
        <v>40313</v>
      </c>
      <c r="C5168" s="9" t="s">
        <v>1821</v>
      </c>
      <c r="D5168">
        <v>10021286485</v>
      </c>
      <c r="E5168" t="s">
        <v>47</v>
      </c>
      <c r="F5168" t="s">
        <v>55</v>
      </c>
      <c r="G5168" t="s">
        <v>56</v>
      </c>
      <c r="H5168" t="s">
        <v>2425</v>
      </c>
      <c r="I5168" t="s">
        <v>2426</v>
      </c>
      <c r="J5168" t="s">
        <v>52</v>
      </c>
      <c r="K5168" s="3">
        <v>10048992273</v>
      </c>
      <c r="L5168" s="10">
        <v>40313</v>
      </c>
      <c r="M5168">
        <v>280.45</v>
      </c>
      <c r="N5168" s="11">
        <v>47</v>
      </c>
      <c r="O5168" s="12">
        <v>6.48</v>
      </c>
      <c r="P5168" s="12">
        <v>6.35</v>
      </c>
      <c r="Q5168" s="13">
        <v>-143.65</v>
      </c>
      <c r="R5168" s="36" t="s">
        <v>1175</v>
      </c>
      <c r="S5168" s="7">
        <f t="shared" si="438"/>
        <v>0</v>
      </c>
      <c r="T5168" s="15" t="str">
        <f>VLOOKUP(R5168,产品分类!$C$2:$D$1278,2,0)</f>
        <v>家具产品</v>
      </c>
    </row>
    <row r="5169" spans="1:20">
      <c r="A5169" s="8">
        <f>DATE(2012,12,31)-830</f>
        <v>40444</v>
      </c>
      <c r="B5169" s="8">
        <f>DATE(2012,12,31)-830</f>
        <v>40444</v>
      </c>
      <c r="C5169" s="9" t="s">
        <v>1819</v>
      </c>
      <c r="D5169">
        <v>10021532042</v>
      </c>
      <c r="E5169" t="s">
        <v>47</v>
      </c>
      <c r="F5169" t="s">
        <v>55</v>
      </c>
      <c r="G5169" t="s">
        <v>56</v>
      </c>
      <c r="H5169" t="s">
        <v>2425</v>
      </c>
      <c r="I5169" t="s">
        <v>2426</v>
      </c>
      <c r="J5169" t="s">
        <v>52</v>
      </c>
      <c r="K5169" s="3">
        <v>100731335555</v>
      </c>
      <c r="L5169" s="10">
        <v>40446</v>
      </c>
      <c r="M5169">
        <v>2048.78</v>
      </c>
      <c r="N5169" s="11">
        <v>24</v>
      </c>
      <c r="O5169" s="12">
        <v>83.98</v>
      </c>
      <c r="P5169" s="12">
        <v>5.01</v>
      </c>
      <c r="Q5169" s="13">
        <v>994.68</v>
      </c>
      <c r="R5169" s="36" t="s">
        <v>2226</v>
      </c>
      <c r="S5169" s="7">
        <f t="shared" si="438"/>
        <v>2</v>
      </c>
      <c r="T5169" s="15" t="str">
        <f>VLOOKUP(R5169,产品分类!$C$2:$D$1278,2,0)</f>
        <v>办公用品</v>
      </c>
    </row>
    <row r="5170" spans="1:20">
      <c r="A5170" s="8">
        <f>DATE(2012,12,31)-843</f>
        <v>40431</v>
      </c>
      <c r="B5170" s="8">
        <f>DATE(2012,12,31)-843</f>
        <v>40431</v>
      </c>
      <c r="C5170" s="9" t="s">
        <v>593</v>
      </c>
      <c r="D5170">
        <v>10021510079</v>
      </c>
      <c r="E5170" t="s">
        <v>47</v>
      </c>
      <c r="F5170" t="s">
        <v>91</v>
      </c>
      <c r="G5170" t="s">
        <v>92</v>
      </c>
      <c r="H5170" t="s">
        <v>2053</v>
      </c>
      <c r="I5170" t="s">
        <v>2054</v>
      </c>
      <c r="J5170" t="s">
        <v>52</v>
      </c>
      <c r="K5170" s="3">
        <v>100932667881</v>
      </c>
      <c r="L5170" s="10">
        <v>40432</v>
      </c>
      <c r="M5170">
        <v>58.44</v>
      </c>
      <c r="N5170" s="11">
        <v>4</v>
      </c>
      <c r="O5170" s="12">
        <v>10.89</v>
      </c>
      <c r="P5170" s="12">
        <v>4.5</v>
      </c>
      <c r="Q5170" s="13">
        <v>-7.04</v>
      </c>
      <c r="R5170" s="36" t="s">
        <v>269</v>
      </c>
      <c r="S5170" s="7">
        <f t="shared" si="438"/>
        <v>1</v>
      </c>
      <c r="T5170" s="15" t="str">
        <f>VLOOKUP(R5170,产品分类!$C$2:$D$1278,2,0)</f>
        <v>办公用品</v>
      </c>
    </row>
    <row r="5171" spans="1:20">
      <c r="A5171" s="8">
        <f t="shared" ref="A5171:B5173" si="442">DATE(2012,12,31)-149</f>
        <v>41125</v>
      </c>
      <c r="B5171" s="8">
        <f t="shared" si="442"/>
        <v>41125</v>
      </c>
      <c r="C5171" s="9" t="s">
        <v>1047</v>
      </c>
      <c r="D5171">
        <v>10021395736</v>
      </c>
      <c r="E5171" t="s">
        <v>47</v>
      </c>
      <c r="F5171" t="s">
        <v>91</v>
      </c>
      <c r="G5171" t="s">
        <v>92</v>
      </c>
      <c r="H5171" t="s">
        <v>2053</v>
      </c>
      <c r="I5171" t="s">
        <v>2054</v>
      </c>
      <c r="J5171" t="s">
        <v>52</v>
      </c>
      <c r="K5171" s="3">
        <v>100414493234</v>
      </c>
      <c r="L5171" s="10">
        <v>41127</v>
      </c>
      <c r="M5171">
        <v>121.65</v>
      </c>
      <c r="N5171" s="11">
        <v>42</v>
      </c>
      <c r="O5171" s="12">
        <v>2.88</v>
      </c>
      <c r="P5171" s="12">
        <v>0.99</v>
      </c>
      <c r="Q5171" s="13">
        <v>30.76</v>
      </c>
      <c r="R5171" s="36" t="s">
        <v>896</v>
      </c>
      <c r="S5171" s="7">
        <f t="shared" si="438"/>
        <v>2</v>
      </c>
      <c r="T5171" s="15" t="str">
        <f>VLOOKUP(R5171,产品分类!$C$2:$D$1278,2,0)</f>
        <v>办公用品</v>
      </c>
    </row>
    <row r="5172" spans="1:20">
      <c r="A5172" s="8">
        <f t="shared" si="442"/>
        <v>41125</v>
      </c>
      <c r="B5172" s="8">
        <f t="shared" si="442"/>
        <v>41125</v>
      </c>
      <c r="C5172" s="9" t="s">
        <v>1047</v>
      </c>
      <c r="D5172">
        <v>10021421709</v>
      </c>
      <c r="E5172" t="s">
        <v>47</v>
      </c>
      <c r="F5172" t="s">
        <v>91</v>
      </c>
      <c r="G5172" t="s">
        <v>92</v>
      </c>
      <c r="H5172" t="s">
        <v>2053</v>
      </c>
      <c r="I5172" t="s">
        <v>2054</v>
      </c>
      <c r="J5172" t="s">
        <v>52</v>
      </c>
      <c r="K5172" s="3">
        <v>100326204899</v>
      </c>
      <c r="L5172" s="10">
        <v>41127</v>
      </c>
      <c r="M5172">
        <v>19.02</v>
      </c>
      <c r="N5172" s="11">
        <v>2</v>
      </c>
      <c r="O5172" s="12">
        <v>2.08</v>
      </c>
      <c r="P5172" s="12">
        <v>5.33</v>
      </c>
      <c r="Q5172" s="13">
        <v>10.73</v>
      </c>
      <c r="R5172" s="36" t="s">
        <v>901</v>
      </c>
      <c r="S5172" s="7">
        <f t="shared" si="438"/>
        <v>2</v>
      </c>
      <c r="T5172" s="15" t="str">
        <f>VLOOKUP(R5172,产品分类!$C$2:$D$1278,2,0)</f>
        <v>家具产品</v>
      </c>
    </row>
    <row r="5173" spans="1:20">
      <c r="A5173" s="8">
        <f t="shared" si="442"/>
        <v>41125</v>
      </c>
      <c r="B5173" s="8">
        <f t="shared" si="442"/>
        <v>41125</v>
      </c>
      <c r="C5173" s="9" t="s">
        <v>1047</v>
      </c>
      <c r="D5173">
        <v>10021428583</v>
      </c>
      <c r="E5173" t="s">
        <v>47</v>
      </c>
      <c r="F5173" t="s">
        <v>91</v>
      </c>
      <c r="G5173" t="s">
        <v>92</v>
      </c>
      <c r="H5173" t="s">
        <v>2053</v>
      </c>
      <c r="I5173" t="s">
        <v>2054</v>
      </c>
      <c r="J5173" t="s">
        <v>52</v>
      </c>
      <c r="K5173" s="3">
        <v>100931071351</v>
      </c>
      <c r="L5173" s="10">
        <v>41127</v>
      </c>
      <c r="M5173">
        <v>103.105</v>
      </c>
      <c r="N5173" s="11">
        <v>2</v>
      </c>
      <c r="O5173" s="12">
        <v>65.99</v>
      </c>
      <c r="P5173" s="12">
        <v>2.5</v>
      </c>
      <c r="Q5173" s="13">
        <v>-316.316</v>
      </c>
      <c r="R5173" s="36" t="s">
        <v>2029</v>
      </c>
      <c r="S5173" s="7">
        <f t="shared" si="438"/>
        <v>2</v>
      </c>
      <c r="T5173" s="15" t="str">
        <f>VLOOKUP(R5173,产品分类!$C$2:$D$1278,2,0)</f>
        <v>数码电子</v>
      </c>
    </row>
    <row r="5174" spans="1:20">
      <c r="A5174" s="8">
        <f>DATE(2012,12,31)-748</f>
        <v>40526</v>
      </c>
      <c r="B5174" s="8">
        <f>DATE(2012,12,31)-748</f>
        <v>40526</v>
      </c>
      <c r="C5174" s="9" t="s">
        <v>497</v>
      </c>
      <c r="D5174">
        <v>10021263341</v>
      </c>
      <c r="E5174" t="s">
        <v>47</v>
      </c>
      <c r="F5174" t="s">
        <v>91</v>
      </c>
      <c r="G5174" t="s">
        <v>92</v>
      </c>
      <c r="H5174" t="s">
        <v>2053</v>
      </c>
      <c r="I5174" t="s">
        <v>2054</v>
      </c>
      <c r="J5174" t="s">
        <v>52</v>
      </c>
      <c r="K5174" s="3">
        <v>100930492921</v>
      </c>
      <c r="L5174" s="10">
        <v>40528</v>
      </c>
      <c r="M5174">
        <v>263.8</v>
      </c>
      <c r="N5174" s="11">
        <v>7</v>
      </c>
      <c r="O5174" s="12">
        <v>34.23</v>
      </c>
      <c r="P5174" s="12">
        <v>5.02</v>
      </c>
      <c r="Q5174" s="13">
        <v>165.33</v>
      </c>
      <c r="R5174" s="36" t="s">
        <v>1561</v>
      </c>
      <c r="S5174" s="7">
        <f t="shared" si="438"/>
        <v>2</v>
      </c>
      <c r="T5174" s="15" t="str">
        <f>VLOOKUP(R5174,产品分类!$C$2:$D$1278,2,0)</f>
        <v>数码电子</v>
      </c>
    </row>
    <row r="5175" spans="1:20">
      <c r="A5175" s="8">
        <f>DATE(2012,12,31)-748</f>
        <v>40526</v>
      </c>
      <c r="B5175" s="8">
        <f>DATE(2012,12,31)-748</f>
        <v>40526</v>
      </c>
      <c r="C5175" s="9" t="s">
        <v>497</v>
      </c>
      <c r="D5175">
        <v>10021645396</v>
      </c>
      <c r="E5175" t="s">
        <v>47</v>
      </c>
      <c r="F5175" t="s">
        <v>122</v>
      </c>
      <c r="G5175" t="s">
        <v>123</v>
      </c>
      <c r="H5175" t="s">
        <v>2159</v>
      </c>
      <c r="I5175" t="s">
        <v>2160</v>
      </c>
      <c r="J5175" t="s">
        <v>52</v>
      </c>
      <c r="K5175" s="3">
        <v>10097783501</v>
      </c>
      <c r="L5175" s="10">
        <v>40528</v>
      </c>
      <c r="M5175">
        <v>1546.3965</v>
      </c>
      <c r="N5175" s="11">
        <v>28</v>
      </c>
      <c r="O5175" s="12">
        <v>65.99</v>
      </c>
      <c r="P5175" s="12">
        <v>5.26</v>
      </c>
      <c r="Q5175" s="13">
        <v>226.719</v>
      </c>
      <c r="R5175" s="36" t="s">
        <v>468</v>
      </c>
      <c r="S5175" s="7">
        <f t="shared" si="438"/>
        <v>2</v>
      </c>
      <c r="T5175" s="15" t="str">
        <f>VLOOKUP(R5175,产品分类!$C$2:$D$1278,2,0)</f>
        <v>数码电子</v>
      </c>
    </row>
    <row r="5176" spans="1:20">
      <c r="A5176" s="8">
        <f>DATE(2012,12,31)-1386</f>
        <v>39888</v>
      </c>
      <c r="B5176" s="8">
        <f>DATE(2012,12,31)-1386</f>
        <v>39888</v>
      </c>
      <c r="C5176" s="9" t="s">
        <v>2275</v>
      </c>
      <c r="D5176">
        <v>10021420888</v>
      </c>
      <c r="E5176" t="s">
        <v>47</v>
      </c>
      <c r="F5176" t="s">
        <v>127</v>
      </c>
      <c r="G5176" t="s">
        <v>128</v>
      </c>
      <c r="H5176" t="s">
        <v>2408</v>
      </c>
      <c r="I5176" t="s">
        <v>2409</v>
      </c>
      <c r="J5176" t="s">
        <v>52</v>
      </c>
      <c r="K5176" s="3">
        <v>100125237056</v>
      </c>
      <c r="L5176" s="10">
        <v>39889</v>
      </c>
      <c r="M5176">
        <v>211.88</v>
      </c>
      <c r="N5176" s="11">
        <v>14</v>
      </c>
      <c r="O5176" s="12">
        <v>15.57</v>
      </c>
      <c r="P5176" s="12">
        <v>1.39</v>
      </c>
      <c r="Q5176" s="13">
        <v>78.45</v>
      </c>
      <c r="R5176" s="36" t="s">
        <v>843</v>
      </c>
      <c r="S5176" s="7">
        <f t="shared" si="438"/>
        <v>1</v>
      </c>
      <c r="T5176" s="15" t="str">
        <f>VLOOKUP(R5176,产品分类!$C$2:$D$1278,2,0)</f>
        <v>办公用品</v>
      </c>
    </row>
    <row r="5177" spans="1:20">
      <c r="A5177" s="8">
        <f>DATE(2012,12,31)-213</f>
        <v>41061</v>
      </c>
      <c r="B5177" s="8">
        <f>DATE(2012,12,31)-213</f>
        <v>41061</v>
      </c>
      <c r="C5177" s="9" t="s">
        <v>1846</v>
      </c>
      <c r="D5177">
        <v>10021524068</v>
      </c>
      <c r="E5177" t="s">
        <v>47</v>
      </c>
      <c r="F5177" t="s">
        <v>127</v>
      </c>
      <c r="G5177" t="s">
        <v>128</v>
      </c>
      <c r="H5177" t="s">
        <v>2408</v>
      </c>
      <c r="I5177" t="s">
        <v>2409</v>
      </c>
      <c r="J5177" t="s">
        <v>52</v>
      </c>
      <c r="K5177" s="3">
        <v>100915801961</v>
      </c>
      <c r="L5177" s="10">
        <v>41068</v>
      </c>
      <c r="M5177">
        <v>532.89</v>
      </c>
      <c r="N5177" s="11">
        <v>43</v>
      </c>
      <c r="O5177" s="12">
        <v>12.97</v>
      </c>
      <c r="P5177" s="12">
        <v>1.49</v>
      </c>
      <c r="Q5177" s="13">
        <v>210.528</v>
      </c>
      <c r="R5177" s="36" t="s">
        <v>917</v>
      </c>
      <c r="S5177" s="7">
        <f t="shared" si="438"/>
        <v>7</v>
      </c>
      <c r="T5177" s="15" t="str">
        <f>VLOOKUP(R5177,产品分类!$C$2:$D$1278,2,0)</f>
        <v>家具产品</v>
      </c>
    </row>
    <row r="5178" spans="1:20">
      <c r="A5178" s="8">
        <f>DATE(2012,12,31)-213</f>
        <v>41061</v>
      </c>
      <c r="B5178" s="8">
        <f>DATE(2012,12,31)-213</f>
        <v>41061</v>
      </c>
      <c r="C5178" s="9" t="s">
        <v>1846</v>
      </c>
      <c r="D5178">
        <v>10021548003</v>
      </c>
      <c r="E5178" t="s">
        <v>47</v>
      </c>
      <c r="F5178" t="s">
        <v>127</v>
      </c>
      <c r="G5178" t="s">
        <v>128</v>
      </c>
      <c r="H5178" t="s">
        <v>2408</v>
      </c>
      <c r="I5178" t="s">
        <v>2409</v>
      </c>
      <c r="J5178" t="s">
        <v>52</v>
      </c>
      <c r="K5178" s="3">
        <v>100132239597</v>
      </c>
      <c r="L5178" s="10">
        <v>41066</v>
      </c>
      <c r="M5178">
        <v>60.69</v>
      </c>
      <c r="N5178" s="11">
        <v>24</v>
      </c>
      <c r="O5178" s="12">
        <v>2.12</v>
      </c>
      <c r="P5178" s="12">
        <v>1.99</v>
      </c>
      <c r="Q5178" s="13">
        <v>-25.65</v>
      </c>
      <c r="R5178" s="36" t="s">
        <v>698</v>
      </c>
      <c r="S5178" s="7">
        <f t="shared" si="438"/>
        <v>5</v>
      </c>
      <c r="T5178" s="15" t="str">
        <f>VLOOKUP(R5178,产品分类!$C$2:$D$1278,2,0)</f>
        <v>办公用品</v>
      </c>
    </row>
    <row r="5179" spans="1:20">
      <c r="A5179" s="16">
        <f>DATE(2012,12,31)-173</f>
        <v>41101</v>
      </c>
      <c r="B5179" s="16">
        <f>DATE(2012,12,31)-173</f>
        <v>41101</v>
      </c>
      <c r="C5179" s="9" t="s">
        <v>504</v>
      </c>
      <c r="D5179">
        <v>10021427452</v>
      </c>
      <c r="E5179" t="s">
        <v>47</v>
      </c>
      <c r="F5179" t="s">
        <v>177</v>
      </c>
      <c r="G5179" t="s">
        <v>178</v>
      </c>
      <c r="H5179" t="s">
        <v>2339</v>
      </c>
      <c r="I5179" t="s">
        <v>2340</v>
      </c>
      <c r="J5179" t="s">
        <v>52</v>
      </c>
      <c r="K5179" s="3">
        <v>10043935073</v>
      </c>
      <c r="L5179" s="10">
        <v>41108</v>
      </c>
      <c r="M5179">
        <v>184.32</v>
      </c>
      <c r="N5179" s="17">
        <v>25</v>
      </c>
      <c r="O5179" s="5">
        <v>6.68</v>
      </c>
      <c r="P5179" s="5">
        <v>7.3</v>
      </c>
      <c r="Q5179" s="6">
        <v>-73.33</v>
      </c>
      <c r="R5179" s="37" t="s">
        <v>1972</v>
      </c>
      <c r="S5179" s="7">
        <f t="shared" si="438"/>
        <v>7</v>
      </c>
      <c r="T5179" s="15" t="str">
        <f>VLOOKUP(R5179,产品分类!$C$2:$D$1278,2,0)</f>
        <v>办公用品</v>
      </c>
    </row>
    <row r="5180" spans="1:20">
      <c r="A5180" s="8">
        <f>DATE(2012,12,31)-1103</f>
        <v>40171</v>
      </c>
      <c r="B5180" s="8">
        <f>DATE(2012,12,31)-1103</f>
        <v>40171</v>
      </c>
      <c r="C5180" s="9" t="s">
        <v>1066</v>
      </c>
      <c r="D5180">
        <v>10021342239</v>
      </c>
      <c r="E5180" t="s">
        <v>47</v>
      </c>
      <c r="F5180" t="s">
        <v>132</v>
      </c>
      <c r="G5180" t="s">
        <v>133</v>
      </c>
      <c r="H5180" t="s">
        <v>134</v>
      </c>
      <c r="I5180" t="s">
        <v>133</v>
      </c>
      <c r="J5180" t="s">
        <v>52</v>
      </c>
      <c r="K5180" s="3">
        <v>100327633919</v>
      </c>
      <c r="L5180" s="10">
        <v>40173</v>
      </c>
      <c r="M5180">
        <v>1935.1</v>
      </c>
      <c r="N5180" s="11">
        <v>11</v>
      </c>
      <c r="O5180" s="12">
        <v>170.98</v>
      </c>
      <c r="P5180" s="12">
        <v>35.89</v>
      </c>
      <c r="Q5180" s="13">
        <v>-42.96</v>
      </c>
      <c r="R5180" s="36" t="s">
        <v>1840</v>
      </c>
      <c r="S5180" s="7">
        <f t="shared" si="438"/>
        <v>2</v>
      </c>
      <c r="T5180" s="15" t="str">
        <f>VLOOKUP(R5180,产品分类!$C$2:$D$1278,2,0)</f>
        <v>家具产品</v>
      </c>
    </row>
    <row r="5181" spans="1:20">
      <c r="A5181" s="8">
        <f t="shared" ref="A5181:B5183" si="443">DATE(2012,12,31)-1168</f>
        <v>40106</v>
      </c>
      <c r="B5181" s="8">
        <f t="shared" si="443"/>
        <v>40106</v>
      </c>
      <c r="C5181" s="9" t="s">
        <v>1083</v>
      </c>
      <c r="D5181">
        <v>10021292773</v>
      </c>
      <c r="E5181" t="s">
        <v>47</v>
      </c>
      <c r="F5181" t="s">
        <v>97</v>
      </c>
      <c r="G5181" t="s">
        <v>98</v>
      </c>
      <c r="H5181" t="s">
        <v>99</v>
      </c>
      <c r="I5181" t="s">
        <v>98</v>
      </c>
      <c r="J5181" t="s">
        <v>52</v>
      </c>
      <c r="K5181" s="3">
        <v>10011611218</v>
      </c>
      <c r="L5181" s="10">
        <v>40108</v>
      </c>
      <c r="M5181">
        <v>12073.06</v>
      </c>
      <c r="N5181" s="11">
        <v>39</v>
      </c>
      <c r="O5181" s="12">
        <v>315.98</v>
      </c>
      <c r="P5181" s="12">
        <v>19.99</v>
      </c>
      <c r="Q5181" s="13">
        <v>5081.8695</v>
      </c>
      <c r="R5181" s="36" t="s">
        <v>539</v>
      </c>
      <c r="S5181" s="7">
        <f t="shared" si="438"/>
        <v>2</v>
      </c>
      <c r="T5181" s="15" t="str">
        <f>VLOOKUP(R5181,产品分类!$C$2:$D$1278,2,0)</f>
        <v>家具产品</v>
      </c>
    </row>
    <row r="5182" spans="1:20">
      <c r="A5182" s="8">
        <f t="shared" si="443"/>
        <v>40106</v>
      </c>
      <c r="B5182" s="8">
        <f t="shared" si="443"/>
        <v>40106</v>
      </c>
      <c r="C5182" s="9" t="s">
        <v>1083</v>
      </c>
      <c r="D5182">
        <v>10021451703</v>
      </c>
      <c r="E5182" t="s">
        <v>47</v>
      </c>
      <c r="F5182" t="s">
        <v>97</v>
      </c>
      <c r="G5182" t="s">
        <v>98</v>
      </c>
      <c r="H5182" t="s">
        <v>99</v>
      </c>
      <c r="I5182" t="s">
        <v>98</v>
      </c>
      <c r="J5182" t="s">
        <v>52</v>
      </c>
      <c r="K5182" s="3">
        <v>100915122451</v>
      </c>
      <c r="L5182" s="10">
        <v>40107</v>
      </c>
      <c r="M5182">
        <v>6685.05</v>
      </c>
      <c r="N5182" s="11">
        <v>25</v>
      </c>
      <c r="O5182" s="12">
        <v>276.2</v>
      </c>
      <c r="P5182" s="12">
        <v>24.49</v>
      </c>
      <c r="Q5182" s="13">
        <v>1653.6</v>
      </c>
      <c r="R5182" s="36" t="s">
        <v>559</v>
      </c>
      <c r="S5182" s="7">
        <f t="shared" si="438"/>
        <v>1</v>
      </c>
      <c r="T5182" s="15" t="str">
        <f>VLOOKUP(R5182,产品分类!$C$2:$D$1278,2,0)</f>
        <v>家具产品</v>
      </c>
    </row>
    <row r="5183" spans="1:20">
      <c r="A5183" s="8">
        <f t="shared" si="443"/>
        <v>40106</v>
      </c>
      <c r="B5183" s="8">
        <f t="shared" si="443"/>
        <v>40106</v>
      </c>
      <c r="C5183" s="9" t="s">
        <v>1083</v>
      </c>
      <c r="D5183">
        <v>10021254206</v>
      </c>
      <c r="E5183" t="s">
        <v>47</v>
      </c>
      <c r="F5183" t="s">
        <v>132</v>
      </c>
      <c r="G5183" t="s">
        <v>133</v>
      </c>
      <c r="H5183" t="s">
        <v>134</v>
      </c>
      <c r="I5183" t="s">
        <v>133</v>
      </c>
      <c r="J5183" t="s">
        <v>52</v>
      </c>
      <c r="K5183" s="3">
        <v>100418086133</v>
      </c>
      <c r="L5183" s="10">
        <v>40107</v>
      </c>
      <c r="M5183">
        <v>1175.53</v>
      </c>
      <c r="N5183" s="11">
        <v>18</v>
      </c>
      <c r="O5183" s="12">
        <v>63.94</v>
      </c>
      <c r="P5183" s="12">
        <v>14.48</v>
      </c>
      <c r="Q5183" s="13">
        <v>257.59</v>
      </c>
      <c r="R5183" s="36" t="s">
        <v>1889</v>
      </c>
      <c r="S5183" s="7">
        <f t="shared" si="438"/>
        <v>1</v>
      </c>
      <c r="T5183" s="15" t="str">
        <f>VLOOKUP(R5183,产品分类!$C$2:$D$1278,2,0)</f>
        <v>家具产品</v>
      </c>
    </row>
    <row r="5184" spans="1:20">
      <c r="A5184" s="8">
        <f>DATE(2012,12,31)-1039</f>
        <v>40235</v>
      </c>
      <c r="B5184" s="8">
        <f>DATE(2012,12,31)-1039</f>
        <v>40235</v>
      </c>
      <c r="C5184" s="9" t="s">
        <v>373</v>
      </c>
      <c r="D5184">
        <v>10021261656</v>
      </c>
      <c r="E5184" t="s">
        <v>47</v>
      </c>
      <c r="F5184" t="s">
        <v>132</v>
      </c>
      <c r="G5184" t="s">
        <v>133</v>
      </c>
      <c r="H5184" t="s">
        <v>134</v>
      </c>
      <c r="I5184" t="s">
        <v>133</v>
      </c>
      <c r="J5184" t="s">
        <v>52</v>
      </c>
      <c r="K5184" s="3">
        <v>100929574661</v>
      </c>
      <c r="L5184" s="10">
        <v>40238</v>
      </c>
      <c r="M5184">
        <v>16116.33</v>
      </c>
      <c r="N5184" s="11">
        <v>43</v>
      </c>
      <c r="O5184" s="12">
        <v>387.99</v>
      </c>
      <c r="P5184" s="12">
        <v>19.99</v>
      </c>
      <c r="Q5184" s="13">
        <v>6919.867</v>
      </c>
      <c r="R5184" s="36" t="s">
        <v>1742</v>
      </c>
      <c r="S5184" s="7">
        <f t="shared" si="438"/>
        <v>3</v>
      </c>
      <c r="T5184" s="15" t="str">
        <f>VLOOKUP(R5184,产品分类!$C$2:$D$1278,2,0)</f>
        <v>家具产品</v>
      </c>
    </row>
    <row r="5185" spans="1:20">
      <c r="A5185" s="8">
        <f>DATE(2012,12,31)-1363</f>
        <v>39911</v>
      </c>
      <c r="B5185" s="8">
        <f>DATE(2012,12,31)-1363</f>
        <v>39911</v>
      </c>
      <c r="C5185" s="9" t="s">
        <v>1404</v>
      </c>
      <c r="D5185">
        <v>10021370483</v>
      </c>
      <c r="E5185" t="s">
        <v>47</v>
      </c>
      <c r="F5185" t="s">
        <v>132</v>
      </c>
      <c r="G5185" t="s">
        <v>133</v>
      </c>
      <c r="H5185" t="s">
        <v>134</v>
      </c>
      <c r="I5185" t="s">
        <v>133</v>
      </c>
      <c r="J5185" t="s">
        <v>52</v>
      </c>
      <c r="K5185" s="3">
        <v>10079890725</v>
      </c>
      <c r="L5185" s="10">
        <v>39920</v>
      </c>
      <c r="M5185">
        <v>32.76</v>
      </c>
      <c r="N5185" s="11">
        <v>3</v>
      </c>
      <c r="O5185" s="12">
        <v>6.3</v>
      </c>
      <c r="P5185" s="12">
        <v>0.5</v>
      </c>
      <c r="Q5185" s="13">
        <v>11.29</v>
      </c>
      <c r="R5185" s="36" t="s">
        <v>961</v>
      </c>
      <c r="S5185" s="7">
        <f t="shared" si="438"/>
        <v>9</v>
      </c>
      <c r="T5185" s="15" t="str">
        <f>VLOOKUP(R5185,产品分类!$C$2:$D$1278,2,0)</f>
        <v>办公用品</v>
      </c>
    </row>
    <row r="5186" spans="1:20">
      <c r="A5186" s="8">
        <f>DATE(2012,12,31)-155</f>
        <v>41119</v>
      </c>
      <c r="B5186" s="8">
        <f>DATE(2012,12,31)-155</f>
        <v>41119</v>
      </c>
      <c r="C5186" s="9" t="s">
        <v>2427</v>
      </c>
      <c r="D5186">
        <v>10021629429</v>
      </c>
      <c r="E5186" t="s">
        <v>47</v>
      </c>
      <c r="F5186" t="s">
        <v>97</v>
      </c>
      <c r="G5186" t="s">
        <v>98</v>
      </c>
      <c r="H5186" t="s">
        <v>99</v>
      </c>
      <c r="I5186" t="s">
        <v>98</v>
      </c>
      <c r="J5186" t="s">
        <v>52</v>
      </c>
      <c r="K5186" s="3">
        <v>100331229319</v>
      </c>
      <c r="L5186" s="10">
        <v>41121</v>
      </c>
      <c r="M5186">
        <v>55.49</v>
      </c>
      <c r="N5186" s="11">
        <v>9</v>
      </c>
      <c r="O5186" s="12">
        <v>6.08</v>
      </c>
      <c r="P5186" s="12">
        <v>0.91</v>
      </c>
      <c r="Q5186" s="13">
        <v>7.23</v>
      </c>
      <c r="R5186" s="36" t="s">
        <v>1556</v>
      </c>
      <c r="S5186" s="7">
        <f t="shared" si="438"/>
        <v>2</v>
      </c>
      <c r="T5186" s="15" t="str">
        <f>VLOOKUP(R5186,产品分类!$C$2:$D$1278,2,0)</f>
        <v>家具产品</v>
      </c>
    </row>
    <row r="5187" spans="1:20">
      <c r="A5187" s="8">
        <f>DATE(2012,12,31)-1013</f>
        <v>40261</v>
      </c>
      <c r="B5187" s="8">
        <f>DATE(2012,12,31)-1013</f>
        <v>40261</v>
      </c>
      <c r="C5187" s="9" t="s">
        <v>1560</v>
      </c>
      <c r="D5187">
        <v>10021294319</v>
      </c>
      <c r="E5187" t="s">
        <v>47</v>
      </c>
      <c r="F5187" t="s">
        <v>132</v>
      </c>
      <c r="G5187" t="s">
        <v>133</v>
      </c>
      <c r="H5187" t="s">
        <v>134</v>
      </c>
      <c r="I5187" t="s">
        <v>133</v>
      </c>
      <c r="J5187" t="s">
        <v>52</v>
      </c>
      <c r="K5187" s="3">
        <v>100113469287</v>
      </c>
      <c r="L5187" s="10">
        <v>40263</v>
      </c>
      <c r="M5187">
        <v>6245.76</v>
      </c>
      <c r="N5187" s="11">
        <v>32</v>
      </c>
      <c r="O5187" s="12">
        <v>210.55</v>
      </c>
      <c r="P5187" s="12">
        <v>9.99</v>
      </c>
      <c r="Q5187" s="13">
        <v>1462.42</v>
      </c>
      <c r="R5187" s="36" t="s">
        <v>2428</v>
      </c>
      <c r="S5187" s="7">
        <f t="shared" ref="S5187:S5250" si="444">+L5187-B5187</f>
        <v>2</v>
      </c>
      <c r="T5187" s="15" t="str">
        <f>VLOOKUP(R5187,产品分类!$C$2:$D$1278,2,0)</f>
        <v>数码电子</v>
      </c>
    </row>
    <row r="5188" spans="1:20">
      <c r="A5188" s="8">
        <f>DATE(2012,12,31)-1213</f>
        <v>40061</v>
      </c>
      <c r="B5188" s="8">
        <f>DATE(2012,12,31)-1213</f>
        <v>40061</v>
      </c>
      <c r="C5188" s="9" t="s">
        <v>1445</v>
      </c>
      <c r="D5188">
        <v>10021583675</v>
      </c>
      <c r="E5188" t="s">
        <v>47</v>
      </c>
      <c r="F5188" t="s">
        <v>97</v>
      </c>
      <c r="G5188" t="s">
        <v>98</v>
      </c>
      <c r="H5188" t="s">
        <v>99</v>
      </c>
      <c r="I5188" t="s">
        <v>98</v>
      </c>
      <c r="J5188" t="s">
        <v>52</v>
      </c>
      <c r="K5188" s="3">
        <v>100126932288</v>
      </c>
      <c r="L5188" s="10">
        <v>40063</v>
      </c>
      <c r="M5188">
        <v>5482.18</v>
      </c>
      <c r="N5188" s="11">
        <v>21</v>
      </c>
      <c r="O5188" s="12">
        <v>276.2</v>
      </c>
      <c r="P5188" s="12">
        <v>24.49</v>
      </c>
      <c r="Q5188" s="13">
        <v>1167.38</v>
      </c>
      <c r="R5188" s="36" t="s">
        <v>559</v>
      </c>
      <c r="S5188" s="7">
        <f t="shared" si="444"/>
        <v>2</v>
      </c>
      <c r="T5188" s="15" t="str">
        <f>VLOOKUP(R5188,产品分类!$C$2:$D$1278,2,0)</f>
        <v>家具产品</v>
      </c>
    </row>
    <row r="5189" spans="1:20">
      <c r="A5189" s="8">
        <f>DATE(2012,12,31)-1213</f>
        <v>40061</v>
      </c>
      <c r="B5189" s="8">
        <f>DATE(2012,12,31)-1213</f>
        <v>40061</v>
      </c>
      <c r="C5189" s="9" t="s">
        <v>1445</v>
      </c>
      <c r="D5189">
        <v>10021251489</v>
      </c>
      <c r="E5189" t="s">
        <v>47</v>
      </c>
      <c r="F5189" t="s">
        <v>97</v>
      </c>
      <c r="G5189" t="s">
        <v>98</v>
      </c>
      <c r="H5189" t="s">
        <v>99</v>
      </c>
      <c r="I5189" t="s">
        <v>98</v>
      </c>
      <c r="J5189" t="s">
        <v>52</v>
      </c>
      <c r="K5189" s="3">
        <v>10099636241</v>
      </c>
      <c r="L5189" s="10">
        <v>40063</v>
      </c>
      <c r="M5189">
        <v>45.57</v>
      </c>
      <c r="N5189" s="11">
        <v>16</v>
      </c>
      <c r="O5189" s="12">
        <v>2.88</v>
      </c>
      <c r="P5189" s="12">
        <v>0.7</v>
      </c>
      <c r="Q5189" s="13">
        <v>2.81</v>
      </c>
      <c r="R5189" s="36" t="s">
        <v>1070</v>
      </c>
      <c r="S5189" s="7">
        <f t="shared" si="444"/>
        <v>2</v>
      </c>
      <c r="T5189" s="15" t="str">
        <f>VLOOKUP(R5189,产品分类!$C$2:$D$1278,2,0)</f>
        <v>办公用品</v>
      </c>
    </row>
    <row r="5190" spans="1:20">
      <c r="A5190" s="16">
        <f t="shared" ref="A5190:B5192" si="445">DATE(2012,12,31)-1154</f>
        <v>40120</v>
      </c>
      <c r="B5190" s="16">
        <f t="shared" si="445"/>
        <v>40120</v>
      </c>
      <c r="C5190" s="9" t="s">
        <v>1060</v>
      </c>
      <c r="D5190">
        <v>10021506217</v>
      </c>
      <c r="E5190" t="s">
        <v>47</v>
      </c>
      <c r="F5190" t="s">
        <v>304</v>
      </c>
      <c r="G5190" t="s">
        <v>305</v>
      </c>
      <c r="H5190" t="s">
        <v>2383</v>
      </c>
      <c r="I5190" t="s">
        <v>2384</v>
      </c>
      <c r="J5190" t="s">
        <v>52</v>
      </c>
      <c r="K5190" s="3">
        <v>100325232349</v>
      </c>
      <c r="L5190" s="10">
        <v>40122</v>
      </c>
      <c r="M5190">
        <v>34.01</v>
      </c>
      <c r="N5190" s="17">
        <v>12</v>
      </c>
      <c r="O5190" s="5">
        <v>2.61</v>
      </c>
      <c r="P5190" s="5">
        <v>0.5</v>
      </c>
      <c r="Q5190" s="6">
        <v>10.58</v>
      </c>
      <c r="R5190" s="37" t="s">
        <v>630</v>
      </c>
      <c r="S5190" s="7">
        <f t="shared" si="444"/>
        <v>2</v>
      </c>
      <c r="T5190" s="15" t="str">
        <f>VLOOKUP(R5190,产品分类!$C$2:$D$1278,2,0)</f>
        <v>数码电子</v>
      </c>
    </row>
    <row r="5191" spans="1:20">
      <c r="A5191" s="8">
        <f t="shared" si="445"/>
        <v>40120</v>
      </c>
      <c r="B5191" s="8">
        <f t="shared" si="445"/>
        <v>40120</v>
      </c>
      <c r="C5191" s="9" t="s">
        <v>1060</v>
      </c>
      <c r="D5191">
        <v>10021577768</v>
      </c>
      <c r="E5191" t="s">
        <v>47</v>
      </c>
      <c r="F5191" t="s">
        <v>137</v>
      </c>
      <c r="G5191" t="s">
        <v>138</v>
      </c>
      <c r="H5191" t="s">
        <v>139</v>
      </c>
      <c r="I5191" t="s">
        <v>140</v>
      </c>
      <c r="J5191" t="s">
        <v>52</v>
      </c>
      <c r="K5191" s="3">
        <v>100414881224</v>
      </c>
      <c r="L5191" s="10">
        <v>40123</v>
      </c>
      <c r="M5191">
        <v>1008.95</v>
      </c>
      <c r="N5191" s="11">
        <v>41</v>
      </c>
      <c r="O5191" s="12">
        <v>25.38</v>
      </c>
      <c r="P5191" s="12">
        <v>8.99</v>
      </c>
      <c r="Q5191" s="13">
        <v>69.31</v>
      </c>
      <c r="R5191" s="36" t="s">
        <v>992</v>
      </c>
      <c r="S5191" s="7">
        <f t="shared" si="444"/>
        <v>3</v>
      </c>
      <c r="T5191" s="15" t="str">
        <f>VLOOKUP(R5191,产品分类!$C$2:$D$1278,2,0)</f>
        <v>数码电子</v>
      </c>
    </row>
    <row r="5192" spans="1:20">
      <c r="A5192" s="16">
        <f t="shared" si="445"/>
        <v>40120</v>
      </c>
      <c r="B5192" s="16">
        <f t="shared" si="445"/>
        <v>40120</v>
      </c>
      <c r="C5192" s="9" t="s">
        <v>1060</v>
      </c>
      <c r="D5192">
        <v>10021501543</v>
      </c>
      <c r="E5192" t="s">
        <v>47</v>
      </c>
      <c r="F5192" t="s">
        <v>304</v>
      </c>
      <c r="G5192" t="s">
        <v>305</v>
      </c>
      <c r="H5192" t="s">
        <v>2383</v>
      </c>
      <c r="I5192" t="s">
        <v>2384</v>
      </c>
      <c r="J5192" t="s">
        <v>52</v>
      </c>
      <c r="K5192" s="3">
        <v>100127346846</v>
      </c>
      <c r="L5192" s="10">
        <v>40120</v>
      </c>
      <c r="M5192">
        <v>3508.33</v>
      </c>
      <c r="N5192" s="17">
        <v>21</v>
      </c>
      <c r="O5192" s="5">
        <v>167.27</v>
      </c>
      <c r="P5192" s="5">
        <v>35</v>
      </c>
      <c r="Q5192" s="6">
        <v>-546.98</v>
      </c>
      <c r="R5192" s="37" t="s">
        <v>1552</v>
      </c>
      <c r="S5192" s="7">
        <f t="shared" si="444"/>
        <v>0</v>
      </c>
      <c r="T5192" s="15" t="str">
        <f>VLOOKUP(R5192,产品分类!$C$2:$D$1278,2,0)</f>
        <v>数码电子</v>
      </c>
    </row>
    <row r="5193" spans="1:20">
      <c r="A5193" s="8">
        <f>DATE(2012,12,31)-109</f>
        <v>41165</v>
      </c>
      <c r="B5193" s="8">
        <f>DATE(2012,12,31)-109</f>
        <v>41165</v>
      </c>
      <c r="C5193" s="9" t="s">
        <v>2079</v>
      </c>
      <c r="D5193">
        <v>10021505918</v>
      </c>
      <c r="E5193" t="s">
        <v>47</v>
      </c>
      <c r="F5193" t="s">
        <v>137</v>
      </c>
      <c r="G5193" t="s">
        <v>138</v>
      </c>
      <c r="H5193" t="s">
        <v>139</v>
      </c>
      <c r="I5193" t="s">
        <v>601</v>
      </c>
      <c r="J5193" t="s">
        <v>52</v>
      </c>
      <c r="K5193" s="3">
        <v>100931149661</v>
      </c>
      <c r="L5193" s="10">
        <v>41166</v>
      </c>
      <c r="M5193">
        <v>201.09</v>
      </c>
      <c r="N5193" s="11">
        <v>30</v>
      </c>
      <c r="O5193" s="12">
        <v>6.68</v>
      </c>
      <c r="P5193" s="12">
        <v>5.66</v>
      </c>
      <c r="Q5193" s="13">
        <v>-56.22</v>
      </c>
      <c r="R5193" s="36" t="s">
        <v>662</v>
      </c>
      <c r="S5193" s="7">
        <f t="shared" si="444"/>
        <v>1</v>
      </c>
      <c r="T5193" s="15" t="str">
        <f>VLOOKUP(R5193,产品分类!$C$2:$D$1278,2,0)</f>
        <v>数码电子</v>
      </c>
    </row>
    <row r="5194" spans="1:20">
      <c r="A5194" s="8">
        <f>DATE(2012,12,31)-220</f>
        <v>41054</v>
      </c>
      <c r="B5194" s="8">
        <f>DATE(2012,12,31)-220</f>
        <v>41054</v>
      </c>
      <c r="C5194" s="9" t="s">
        <v>2045</v>
      </c>
      <c r="D5194">
        <v>10021395296</v>
      </c>
      <c r="E5194" t="s">
        <v>47</v>
      </c>
      <c r="F5194" t="s">
        <v>208</v>
      </c>
      <c r="G5194" t="s">
        <v>209</v>
      </c>
      <c r="H5194" t="s">
        <v>2300</v>
      </c>
      <c r="I5194" t="s">
        <v>2301</v>
      </c>
      <c r="J5194" t="s">
        <v>52</v>
      </c>
      <c r="K5194" s="3">
        <v>10089467112</v>
      </c>
      <c r="L5194" s="10">
        <v>41054</v>
      </c>
      <c r="M5194">
        <v>3638.27</v>
      </c>
      <c r="N5194" s="11">
        <v>45</v>
      </c>
      <c r="O5194" s="12">
        <v>80.98</v>
      </c>
      <c r="P5194" s="12">
        <v>4.5</v>
      </c>
      <c r="Q5194" s="13">
        <v>1123.79</v>
      </c>
      <c r="R5194" s="36" t="s">
        <v>324</v>
      </c>
      <c r="S5194" s="7">
        <f t="shared" si="444"/>
        <v>0</v>
      </c>
      <c r="T5194" s="15" t="str">
        <f>VLOOKUP(R5194,产品分类!$C$2:$D$1278,2,0)</f>
        <v>办公用品</v>
      </c>
    </row>
    <row r="5195" spans="1:20">
      <c r="A5195" s="8">
        <f>DATE(2012,12,31)-220</f>
        <v>41054</v>
      </c>
      <c r="B5195" s="8">
        <f>DATE(2012,12,31)-220</f>
        <v>41054</v>
      </c>
      <c r="C5195" s="9" t="s">
        <v>2045</v>
      </c>
      <c r="D5195">
        <v>10021577511</v>
      </c>
      <c r="E5195" t="s">
        <v>47</v>
      </c>
      <c r="F5195" t="s">
        <v>102</v>
      </c>
      <c r="G5195" t="s">
        <v>103</v>
      </c>
      <c r="H5195" t="s">
        <v>2400</v>
      </c>
      <c r="I5195" t="s">
        <v>2401</v>
      </c>
      <c r="J5195" t="s">
        <v>52</v>
      </c>
      <c r="K5195" s="3">
        <v>100111053668</v>
      </c>
      <c r="L5195" s="10">
        <v>41058</v>
      </c>
      <c r="M5195">
        <v>1326.69</v>
      </c>
      <c r="N5195" s="11">
        <v>37</v>
      </c>
      <c r="O5195" s="12">
        <v>33.29</v>
      </c>
      <c r="P5195" s="12">
        <v>8.74</v>
      </c>
      <c r="Q5195" s="13">
        <v>185.37</v>
      </c>
      <c r="R5195" s="36" t="s">
        <v>1996</v>
      </c>
      <c r="S5195" s="7">
        <f t="shared" si="444"/>
        <v>4</v>
      </c>
      <c r="T5195" s="15" t="str">
        <f>VLOOKUP(R5195,产品分类!$C$2:$D$1278,2,0)</f>
        <v>办公用品</v>
      </c>
    </row>
    <row r="5196" spans="1:20">
      <c r="A5196" s="8">
        <f>DATE(2012,12,31)-460</f>
        <v>40814</v>
      </c>
      <c r="B5196" s="8">
        <f>DATE(2012,12,31)-460</f>
        <v>40814</v>
      </c>
      <c r="C5196" s="9" t="s">
        <v>1983</v>
      </c>
      <c r="D5196">
        <v>10021668836</v>
      </c>
      <c r="E5196" t="s">
        <v>47</v>
      </c>
      <c r="F5196" t="s">
        <v>208</v>
      </c>
      <c r="G5196" t="s">
        <v>209</v>
      </c>
      <c r="H5196" t="s">
        <v>2300</v>
      </c>
      <c r="I5196" t="s">
        <v>2301</v>
      </c>
      <c r="J5196" t="s">
        <v>52</v>
      </c>
      <c r="K5196" s="3">
        <v>100829487622</v>
      </c>
      <c r="L5196" s="10">
        <v>40816</v>
      </c>
      <c r="M5196">
        <v>2632.4755</v>
      </c>
      <c r="N5196" s="11">
        <v>34</v>
      </c>
      <c r="O5196" s="12">
        <v>85.99</v>
      </c>
      <c r="P5196" s="12">
        <v>3.3</v>
      </c>
      <c r="Q5196" s="13">
        <v>1325.817</v>
      </c>
      <c r="R5196" s="36" t="s">
        <v>459</v>
      </c>
      <c r="S5196" s="7">
        <f t="shared" si="444"/>
        <v>2</v>
      </c>
      <c r="T5196" s="15" t="str">
        <f>VLOOKUP(R5196,产品分类!$C$2:$D$1278,2,0)</f>
        <v>办公用品</v>
      </c>
    </row>
    <row r="5197" spans="1:20">
      <c r="A5197" s="8">
        <f>DATE(2012,12,31)-712</f>
        <v>40562</v>
      </c>
      <c r="B5197" s="8">
        <f>DATE(2012,12,31)-712</f>
        <v>40562</v>
      </c>
      <c r="C5197" s="9" t="s">
        <v>1110</v>
      </c>
      <c r="D5197">
        <v>10021336517</v>
      </c>
      <c r="E5197" t="s">
        <v>47</v>
      </c>
      <c r="F5197" t="s">
        <v>137</v>
      </c>
      <c r="G5197" t="s">
        <v>138</v>
      </c>
      <c r="H5197" t="s">
        <v>139</v>
      </c>
      <c r="I5197" t="s">
        <v>140</v>
      </c>
      <c r="J5197" t="s">
        <v>52</v>
      </c>
      <c r="K5197" s="3">
        <v>100819052382</v>
      </c>
      <c r="L5197" s="10">
        <v>40562</v>
      </c>
      <c r="M5197">
        <v>180.56</v>
      </c>
      <c r="N5197" s="11">
        <v>46</v>
      </c>
      <c r="O5197" s="12">
        <v>4.28</v>
      </c>
      <c r="P5197" s="12">
        <v>1.6</v>
      </c>
      <c r="Q5197" s="13">
        <v>-15.79</v>
      </c>
      <c r="R5197" s="36" t="s">
        <v>1403</v>
      </c>
      <c r="S5197" s="7">
        <f t="shared" si="444"/>
        <v>0</v>
      </c>
      <c r="T5197" s="15" t="str">
        <f>VLOOKUP(R5197,产品分类!$C$2:$D$1278,2,0)</f>
        <v>办公用品</v>
      </c>
    </row>
    <row r="5198" spans="1:20">
      <c r="A5198" s="8">
        <f>DATE(2012,12,31)-1273</f>
        <v>40001</v>
      </c>
      <c r="B5198" s="8">
        <f>DATE(2012,12,31)-1273</f>
        <v>40001</v>
      </c>
      <c r="C5198" s="9" t="s">
        <v>719</v>
      </c>
      <c r="D5198">
        <v>10021365158</v>
      </c>
      <c r="E5198" t="s">
        <v>47</v>
      </c>
      <c r="F5198" t="s">
        <v>171</v>
      </c>
      <c r="G5198" t="s">
        <v>172</v>
      </c>
      <c r="H5198" t="s">
        <v>2352</v>
      </c>
      <c r="I5198" t="s">
        <v>2353</v>
      </c>
      <c r="J5198" t="s">
        <v>52</v>
      </c>
      <c r="K5198" s="3">
        <v>100120784108</v>
      </c>
      <c r="L5198" s="10">
        <v>40006</v>
      </c>
      <c r="M5198">
        <v>668.8</v>
      </c>
      <c r="N5198" s="11">
        <v>20</v>
      </c>
      <c r="O5198" s="12">
        <v>33.89</v>
      </c>
      <c r="P5198" s="12">
        <v>5.1</v>
      </c>
      <c r="Q5198" s="13">
        <v>92.34</v>
      </c>
      <c r="R5198" s="36" t="s">
        <v>2048</v>
      </c>
      <c r="S5198" s="7">
        <f t="shared" si="444"/>
        <v>5</v>
      </c>
      <c r="T5198" s="15" t="str">
        <f>VLOOKUP(R5198,产品分类!$C$2:$D$1278,2,0)</f>
        <v>数码电子</v>
      </c>
    </row>
    <row r="5199" spans="1:20">
      <c r="A5199" s="8">
        <f>DATE(2012,12,31)-538</f>
        <v>40736</v>
      </c>
      <c r="B5199" s="8">
        <f>DATE(2012,12,31)-538</f>
        <v>40736</v>
      </c>
      <c r="C5199" s="9" t="s">
        <v>623</v>
      </c>
      <c r="D5199">
        <v>10021595712</v>
      </c>
      <c r="E5199" t="s">
        <v>47</v>
      </c>
      <c r="F5199" t="s">
        <v>171</v>
      </c>
      <c r="G5199" t="s">
        <v>172</v>
      </c>
      <c r="H5199" t="s">
        <v>2352</v>
      </c>
      <c r="I5199" t="s">
        <v>2353</v>
      </c>
      <c r="J5199" t="s">
        <v>52</v>
      </c>
      <c r="K5199" s="3">
        <v>100832814462</v>
      </c>
      <c r="L5199" s="10">
        <v>40737</v>
      </c>
      <c r="M5199">
        <v>115.81</v>
      </c>
      <c r="N5199" s="11">
        <v>32</v>
      </c>
      <c r="O5199" s="12">
        <v>3.69</v>
      </c>
      <c r="P5199" s="12">
        <v>0.5</v>
      </c>
      <c r="Q5199" s="13">
        <v>47.56</v>
      </c>
      <c r="R5199" s="36" t="s">
        <v>241</v>
      </c>
      <c r="S5199" s="7">
        <f t="shared" si="444"/>
        <v>1</v>
      </c>
      <c r="T5199" s="15" t="str">
        <f>VLOOKUP(R5199,产品分类!$C$2:$D$1278,2,0)</f>
        <v>数码电子</v>
      </c>
    </row>
    <row r="5200" spans="1:20">
      <c r="A5200" s="8">
        <f t="shared" ref="A5200:B5202" si="446">DATE(2012,12,31)-1105</f>
        <v>40169</v>
      </c>
      <c r="B5200" s="8">
        <f t="shared" si="446"/>
        <v>40169</v>
      </c>
      <c r="C5200" s="9" t="s">
        <v>1251</v>
      </c>
      <c r="D5200">
        <v>10021577038</v>
      </c>
      <c r="E5200" t="s">
        <v>47</v>
      </c>
      <c r="F5200" t="s">
        <v>171</v>
      </c>
      <c r="G5200" t="s">
        <v>172</v>
      </c>
      <c r="H5200" t="s">
        <v>2352</v>
      </c>
      <c r="I5200" t="s">
        <v>2353</v>
      </c>
      <c r="J5200" t="s">
        <v>52</v>
      </c>
      <c r="K5200" s="3">
        <v>10014612557</v>
      </c>
      <c r="L5200" s="10">
        <v>40171</v>
      </c>
      <c r="M5200">
        <v>1120.86</v>
      </c>
      <c r="N5200" s="11">
        <v>7</v>
      </c>
      <c r="O5200" s="12">
        <v>150.98</v>
      </c>
      <c r="P5200" s="12">
        <v>13.99</v>
      </c>
      <c r="Q5200" s="13">
        <v>17.4</v>
      </c>
      <c r="R5200" s="36" t="s">
        <v>126</v>
      </c>
      <c r="S5200" s="7">
        <f t="shared" si="444"/>
        <v>2</v>
      </c>
      <c r="T5200" s="15" t="str">
        <f>VLOOKUP(R5200,产品分类!$C$2:$D$1278,2,0)</f>
        <v>家具产品</v>
      </c>
    </row>
    <row r="5201" spans="1:20">
      <c r="A5201" s="8">
        <f t="shared" si="446"/>
        <v>40169</v>
      </c>
      <c r="B5201" s="8">
        <f t="shared" si="446"/>
        <v>40169</v>
      </c>
      <c r="C5201" s="9" t="s">
        <v>1251</v>
      </c>
      <c r="D5201">
        <v>10021413843</v>
      </c>
      <c r="E5201" t="s">
        <v>47</v>
      </c>
      <c r="F5201" t="s">
        <v>171</v>
      </c>
      <c r="G5201" t="s">
        <v>172</v>
      </c>
      <c r="H5201" t="s">
        <v>2352</v>
      </c>
      <c r="I5201" t="s">
        <v>2353</v>
      </c>
      <c r="J5201" t="s">
        <v>52</v>
      </c>
      <c r="K5201" s="3">
        <v>10092784171</v>
      </c>
      <c r="L5201" s="10">
        <v>40171</v>
      </c>
      <c r="M5201">
        <v>11.51</v>
      </c>
      <c r="N5201" s="11">
        <v>2</v>
      </c>
      <c r="O5201" s="12">
        <v>5.43</v>
      </c>
      <c r="P5201" s="12">
        <v>0.95</v>
      </c>
      <c r="Q5201" s="13">
        <v>-5.16</v>
      </c>
      <c r="R5201" s="36" t="s">
        <v>1308</v>
      </c>
      <c r="S5201" s="7">
        <f t="shared" si="444"/>
        <v>2</v>
      </c>
      <c r="T5201" s="15" t="str">
        <f>VLOOKUP(R5201,产品分类!$C$2:$D$1278,2,0)</f>
        <v>办公用品</v>
      </c>
    </row>
    <row r="5202" spans="1:20">
      <c r="A5202" s="8">
        <f t="shared" si="446"/>
        <v>40169</v>
      </c>
      <c r="B5202" s="8">
        <f t="shared" si="446"/>
        <v>40169</v>
      </c>
      <c r="C5202" s="9" t="s">
        <v>1251</v>
      </c>
      <c r="D5202">
        <v>10021363472</v>
      </c>
      <c r="E5202" t="s">
        <v>47</v>
      </c>
      <c r="F5202" t="s">
        <v>527</v>
      </c>
      <c r="G5202" t="s">
        <v>528</v>
      </c>
      <c r="H5202" t="s">
        <v>2385</v>
      </c>
      <c r="I5202" t="s">
        <v>2386</v>
      </c>
      <c r="J5202" t="s">
        <v>52</v>
      </c>
      <c r="K5202" s="3">
        <v>10031378489</v>
      </c>
      <c r="L5202" s="10">
        <v>40170</v>
      </c>
      <c r="M5202">
        <v>6668.856</v>
      </c>
      <c r="N5202" s="11">
        <v>45</v>
      </c>
      <c r="O5202" s="12">
        <v>179.29</v>
      </c>
      <c r="P5202" s="12">
        <v>29.21</v>
      </c>
      <c r="Q5202" s="13">
        <v>871.97</v>
      </c>
      <c r="R5202" s="36" t="s">
        <v>629</v>
      </c>
      <c r="S5202" s="7">
        <f t="shared" si="444"/>
        <v>1</v>
      </c>
      <c r="T5202" s="15" t="str">
        <f>VLOOKUP(R5202,产品分类!$C$2:$D$1278,2,0)</f>
        <v>办公用品</v>
      </c>
    </row>
    <row r="5203" spans="1:20">
      <c r="A5203" s="16">
        <f>DATE(2012,12,31)-1120</f>
        <v>40154</v>
      </c>
      <c r="B5203" s="16">
        <f>DATE(2012,12,31)-1120</f>
        <v>40154</v>
      </c>
      <c r="C5203" s="9" t="s">
        <v>526</v>
      </c>
      <c r="D5203">
        <v>10021579348</v>
      </c>
      <c r="E5203" t="s">
        <v>47</v>
      </c>
      <c r="F5203" t="s">
        <v>177</v>
      </c>
      <c r="G5203" t="s">
        <v>178</v>
      </c>
      <c r="H5203" t="s">
        <v>2339</v>
      </c>
      <c r="I5203" t="s">
        <v>2340</v>
      </c>
      <c r="J5203" t="s">
        <v>52</v>
      </c>
      <c r="K5203" s="3">
        <v>100419595803</v>
      </c>
      <c r="L5203" s="10">
        <v>40156</v>
      </c>
      <c r="M5203">
        <v>459.08</v>
      </c>
      <c r="N5203" s="17">
        <v>34</v>
      </c>
      <c r="O5203" s="5">
        <v>12.98</v>
      </c>
      <c r="P5203" s="5">
        <v>3.14</v>
      </c>
      <c r="Q5203" s="6">
        <v>61.57</v>
      </c>
      <c r="R5203" s="37" t="s">
        <v>161</v>
      </c>
      <c r="S5203" s="7">
        <f t="shared" si="444"/>
        <v>2</v>
      </c>
      <c r="T5203" s="15" t="str">
        <f>VLOOKUP(R5203,产品分类!$C$2:$D$1278,2,0)</f>
        <v>办公用品</v>
      </c>
    </row>
    <row r="5204" spans="1:20">
      <c r="A5204" s="8">
        <f>DATE(2012,12,31)-563</f>
        <v>40711</v>
      </c>
      <c r="B5204" s="8">
        <f>DATE(2012,12,31)-563</f>
        <v>40711</v>
      </c>
      <c r="C5204" s="9" t="s">
        <v>1198</v>
      </c>
      <c r="D5204">
        <v>10021256104</v>
      </c>
      <c r="E5204" t="s">
        <v>47</v>
      </c>
      <c r="F5204" t="s">
        <v>171</v>
      </c>
      <c r="G5204" t="s">
        <v>172</v>
      </c>
      <c r="H5204" t="s">
        <v>2352</v>
      </c>
      <c r="I5204" t="s">
        <v>2353</v>
      </c>
      <c r="J5204" t="s">
        <v>52</v>
      </c>
      <c r="K5204" s="3">
        <v>100124934477</v>
      </c>
      <c r="L5204" s="10">
        <v>40711</v>
      </c>
      <c r="M5204">
        <v>5264.48</v>
      </c>
      <c r="N5204" s="11">
        <v>40</v>
      </c>
      <c r="O5204" s="12">
        <v>130.98</v>
      </c>
      <c r="P5204" s="12">
        <v>30</v>
      </c>
      <c r="Q5204" s="13">
        <v>-284.06</v>
      </c>
      <c r="R5204" s="36" t="s">
        <v>1025</v>
      </c>
      <c r="S5204" s="7">
        <f t="shared" si="444"/>
        <v>0</v>
      </c>
      <c r="T5204" s="15" t="str">
        <f>VLOOKUP(R5204,产品分类!$C$2:$D$1278,2,0)</f>
        <v>办公用品</v>
      </c>
    </row>
    <row r="5205" spans="1:20">
      <c r="A5205" s="8">
        <f>DATE(2012,12,31)-757</f>
        <v>40517</v>
      </c>
      <c r="B5205" s="8">
        <f>DATE(2012,12,31)-757</f>
        <v>40517</v>
      </c>
      <c r="C5205" s="9" t="s">
        <v>770</v>
      </c>
      <c r="D5205">
        <v>10021580004</v>
      </c>
      <c r="E5205" t="s">
        <v>47</v>
      </c>
      <c r="F5205" t="s">
        <v>171</v>
      </c>
      <c r="G5205" t="s">
        <v>172</v>
      </c>
      <c r="H5205" t="s">
        <v>2352</v>
      </c>
      <c r="I5205" t="s">
        <v>2353</v>
      </c>
      <c r="J5205" t="s">
        <v>52</v>
      </c>
      <c r="K5205" s="3">
        <v>100721934605</v>
      </c>
      <c r="L5205" s="10">
        <v>40518</v>
      </c>
      <c r="M5205">
        <v>104.33</v>
      </c>
      <c r="N5205" s="11">
        <v>39</v>
      </c>
      <c r="O5205" s="12">
        <v>2.61</v>
      </c>
      <c r="P5205" s="12">
        <v>0.5</v>
      </c>
      <c r="Q5205" s="13">
        <v>39.91</v>
      </c>
      <c r="R5205" s="36" t="s">
        <v>630</v>
      </c>
      <c r="S5205" s="7">
        <f t="shared" si="444"/>
        <v>1</v>
      </c>
      <c r="T5205" s="15" t="str">
        <f>VLOOKUP(R5205,产品分类!$C$2:$D$1278,2,0)</f>
        <v>数码电子</v>
      </c>
    </row>
    <row r="5206" spans="1:20">
      <c r="A5206" s="8">
        <f t="shared" ref="A5206:B5208" si="447">DATE(2012,12,31)-93</f>
        <v>41181</v>
      </c>
      <c r="B5206" s="8">
        <f t="shared" si="447"/>
        <v>41181</v>
      </c>
      <c r="C5206" s="9" t="s">
        <v>1094</v>
      </c>
      <c r="D5206">
        <v>10021261133</v>
      </c>
      <c r="E5206" t="s">
        <v>47</v>
      </c>
      <c r="F5206" t="s">
        <v>171</v>
      </c>
      <c r="G5206" t="s">
        <v>172</v>
      </c>
      <c r="H5206" t="s">
        <v>2352</v>
      </c>
      <c r="I5206" t="s">
        <v>2353</v>
      </c>
      <c r="J5206" t="s">
        <v>52</v>
      </c>
      <c r="K5206" s="3">
        <v>100911034921</v>
      </c>
      <c r="L5206" s="10">
        <v>41186</v>
      </c>
      <c r="M5206">
        <v>481.23</v>
      </c>
      <c r="N5206" s="11">
        <v>50</v>
      </c>
      <c r="O5206" s="12">
        <v>9.98</v>
      </c>
      <c r="P5206" s="12">
        <v>12.52</v>
      </c>
      <c r="Q5206" s="13">
        <v>-409.24</v>
      </c>
      <c r="R5206" s="36" t="s">
        <v>2129</v>
      </c>
      <c r="S5206" s="7">
        <f t="shared" si="444"/>
        <v>5</v>
      </c>
      <c r="T5206" s="15" t="str">
        <f>VLOOKUP(R5206,产品分类!$C$2:$D$1278,2,0)</f>
        <v>家具产品</v>
      </c>
    </row>
    <row r="5207" spans="1:20">
      <c r="A5207" s="8">
        <f t="shared" si="447"/>
        <v>41181</v>
      </c>
      <c r="B5207" s="8">
        <f t="shared" si="447"/>
        <v>41181</v>
      </c>
      <c r="C5207" s="9" t="s">
        <v>1094</v>
      </c>
      <c r="D5207">
        <v>10021495771</v>
      </c>
      <c r="E5207" t="s">
        <v>47</v>
      </c>
      <c r="F5207" t="s">
        <v>177</v>
      </c>
      <c r="G5207" t="s">
        <v>178</v>
      </c>
      <c r="H5207" t="s">
        <v>2339</v>
      </c>
      <c r="I5207" t="s">
        <v>2340</v>
      </c>
      <c r="J5207" t="s">
        <v>52</v>
      </c>
      <c r="K5207" s="3">
        <v>100910904231</v>
      </c>
      <c r="L5207" s="10">
        <v>41188</v>
      </c>
      <c r="M5207">
        <v>265.39</v>
      </c>
      <c r="N5207" s="11">
        <v>41</v>
      </c>
      <c r="O5207" s="12">
        <v>6.48</v>
      </c>
      <c r="P5207" s="12">
        <v>9.54</v>
      </c>
      <c r="Q5207" s="13">
        <v>-237.01</v>
      </c>
      <c r="R5207" s="36" t="s">
        <v>722</v>
      </c>
      <c r="S5207" s="7">
        <f t="shared" si="444"/>
        <v>7</v>
      </c>
      <c r="T5207" s="15" t="str">
        <f>VLOOKUP(R5207,产品分类!$C$2:$D$1278,2,0)</f>
        <v>办公用品</v>
      </c>
    </row>
    <row r="5208" spans="1:20">
      <c r="A5208" s="8">
        <f t="shared" si="447"/>
        <v>41181</v>
      </c>
      <c r="B5208" s="8">
        <f t="shared" si="447"/>
        <v>41181</v>
      </c>
      <c r="C5208" s="9" t="s">
        <v>1094</v>
      </c>
      <c r="D5208">
        <v>10021476820</v>
      </c>
      <c r="E5208" t="s">
        <v>47</v>
      </c>
      <c r="F5208" t="s">
        <v>177</v>
      </c>
      <c r="G5208" t="s">
        <v>178</v>
      </c>
      <c r="H5208" t="s">
        <v>2339</v>
      </c>
      <c r="I5208" t="s">
        <v>2340</v>
      </c>
      <c r="J5208" t="s">
        <v>52</v>
      </c>
      <c r="K5208" s="3">
        <v>100824686112</v>
      </c>
      <c r="L5208" s="10">
        <v>41183</v>
      </c>
      <c r="M5208">
        <v>56.5</v>
      </c>
      <c r="N5208" s="11">
        <v>8</v>
      </c>
      <c r="O5208" s="12">
        <v>6.48</v>
      </c>
      <c r="P5208" s="12">
        <v>5.19</v>
      </c>
      <c r="Q5208" s="13">
        <v>-17.16</v>
      </c>
      <c r="R5208" s="36" t="s">
        <v>2199</v>
      </c>
      <c r="S5208" s="7">
        <f t="shared" si="444"/>
        <v>2</v>
      </c>
      <c r="T5208" s="15" t="str">
        <f>VLOOKUP(R5208,产品分类!$C$2:$D$1278,2,0)</f>
        <v>办公用品</v>
      </c>
    </row>
    <row r="5209" spans="1:20">
      <c r="A5209" s="8">
        <f>DATE(2012,12,31)-1115</f>
        <v>40159</v>
      </c>
      <c r="B5209" s="8">
        <f>DATE(2012,12,31)-1115</f>
        <v>40159</v>
      </c>
      <c r="C5209" s="9" t="s">
        <v>1941</v>
      </c>
      <c r="D5209">
        <v>10021596184</v>
      </c>
      <c r="E5209" t="s">
        <v>47</v>
      </c>
      <c r="F5209" t="s">
        <v>342</v>
      </c>
      <c r="G5209" t="s">
        <v>343</v>
      </c>
      <c r="H5209" t="s">
        <v>2395</v>
      </c>
      <c r="I5209" t="s">
        <v>2396</v>
      </c>
      <c r="J5209" t="s">
        <v>52</v>
      </c>
      <c r="K5209" s="3">
        <v>100332831779</v>
      </c>
      <c r="L5209" s="10">
        <v>40160</v>
      </c>
      <c r="M5209">
        <v>14475.74</v>
      </c>
      <c r="N5209" s="11">
        <v>28</v>
      </c>
      <c r="O5209" s="12">
        <v>549.99</v>
      </c>
      <c r="P5209" s="12">
        <v>49</v>
      </c>
      <c r="Q5209" s="13">
        <v>4963.89</v>
      </c>
      <c r="R5209" s="36" t="s">
        <v>746</v>
      </c>
      <c r="S5209" s="7">
        <f t="shared" si="444"/>
        <v>1</v>
      </c>
      <c r="T5209" s="15" t="str">
        <f>VLOOKUP(R5209,产品分类!$C$2:$D$1278,2,0)</f>
        <v>数码电子</v>
      </c>
    </row>
    <row r="5210" spans="1:20">
      <c r="A5210" s="8">
        <f>DATE(2012,12,31)-1115</f>
        <v>40159</v>
      </c>
      <c r="B5210" s="8">
        <f>DATE(2012,12,31)-1115</f>
        <v>40159</v>
      </c>
      <c r="C5210" s="9" t="s">
        <v>1941</v>
      </c>
      <c r="D5210">
        <v>10021368319</v>
      </c>
      <c r="E5210" t="s">
        <v>47</v>
      </c>
      <c r="F5210" t="s">
        <v>183</v>
      </c>
      <c r="G5210" t="s">
        <v>184</v>
      </c>
      <c r="H5210" t="s">
        <v>2387</v>
      </c>
      <c r="I5210" t="s">
        <v>2388</v>
      </c>
      <c r="J5210" t="s">
        <v>52</v>
      </c>
      <c r="K5210" s="3">
        <v>100828952392</v>
      </c>
      <c r="L5210" s="10">
        <v>40160</v>
      </c>
      <c r="M5210">
        <v>306.6205</v>
      </c>
      <c r="N5210" s="11">
        <v>3</v>
      </c>
      <c r="O5210" s="12">
        <v>115.99</v>
      </c>
      <c r="P5210" s="12">
        <v>5.99</v>
      </c>
      <c r="Q5210" s="13">
        <v>-479.083</v>
      </c>
      <c r="R5210" s="36" t="s">
        <v>1082</v>
      </c>
      <c r="S5210" s="7">
        <f t="shared" si="444"/>
        <v>1</v>
      </c>
      <c r="T5210" s="15" t="str">
        <f>VLOOKUP(R5210,产品分类!$C$2:$D$1278,2,0)</f>
        <v>家具产品</v>
      </c>
    </row>
    <row r="5211" spans="1:20">
      <c r="A5211" s="8">
        <f>DATE(2012,12,31)-1147</f>
        <v>40127</v>
      </c>
      <c r="B5211" s="8">
        <f>DATE(2012,12,31)-1147</f>
        <v>40127</v>
      </c>
      <c r="C5211" s="9" t="s">
        <v>1866</v>
      </c>
      <c r="D5211">
        <v>10021508204</v>
      </c>
      <c r="E5211" t="s">
        <v>47</v>
      </c>
      <c r="F5211" t="s">
        <v>177</v>
      </c>
      <c r="G5211" t="s">
        <v>178</v>
      </c>
      <c r="H5211" t="s">
        <v>2339</v>
      </c>
      <c r="I5211" t="s">
        <v>2340</v>
      </c>
      <c r="J5211" t="s">
        <v>52</v>
      </c>
      <c r="K5211" s="3">
        <v>100414134683</v>
      </c>
      <c r="L5211" s="10">
        <v>40128</v>
      </c>
      <c r="M5211">
        <v>641.89</v>
      </c>
      <c r="N5211" s="11">
        <v>37</v>
      </c>
      <c r="O5211" s="12">
        <v>17.48</v>
      </c>
      <c r="P5211" s="12">
        <v>1.99</v>
      </c>
      <c r="Q5211" s="13">
        <v>207.3</v>
      </c>
      <c r="R5211" s="36" t="s">
        <v>1327</v>
      </c>
      <c r="S5211" s="7">
        <f t="shared" si="444"/>
        <v>1</v>
      </c>
      <c r="T5211" s="15" t="str">
        <f>VLOOKUP(R5211,产品分类!$C$2:$D$1278,2,0)</f>
        <v>数码电子</v>
      </c>
    </row>
    <row r="5212" spans="1:20">
      <c r="A5212" s="8">
        <f>DATE(2012,12,31)-22</f>
        <v>41252</v>
      </c>
      <c r="B5212" s="8">
        <f>DATE(2012,12,31)-22</f>
        <v>41252</v>
      </c>
      <c r="C5212" s="9" t="s">
        <v>567</v>
      </c>
      <c r="D5212">
        <v>10021430409</v>
      </c>
      <c r="E5212" t="s">
        <v>47</v>
      </c>
      <c r="F5212" t="s">
        <v>342</v>
      </c>
      <c r="G5212" t="s">
        <v>343</v>
      </c>
      <c r="H5212" t="s">
        <v>2395</v>
      </c>
      <c r="I5212" t="s">
        <v>2396</v>
      </c>
      <c r="J5212" t="s">
        <v>52</v>
      </c>
      <c r="K5212" s="3">
        <v>100131930068</v>
      </c>
      <c r="L5212" s="10">
        <v>41253</v>
      </c>
      <c r="M5212">
        <v>919</v>
      </c>
      <c r="N5212" s="11">
        <v>50</v>
      </c>
      <c r="O5212" s="12">
        <v>17.67</v>
      </c>
      <c r="P5212" s="12">
        <v>8.99</v>
      </c>
      <c r="Q5212" s="13">
        <v>89.6</v>
      </c>
      <c r="R5212" s="36" t="s">
        <v>491</v>
      </c>
      <c r="S5212" s="7">
        <f t="shared" si="444"/>
        <v>1</v>
      </c>
      <c r="T5212" s="15" t="str">
        <f>VLOOKUP(R5212,产品分类!$C$2:$D$1278,2,0)</f>
        <v>办公用品</v>
      </c>
    </row>
    <row r="5213" spans="1:20">
      <c r="A5213" s="8">
        <f>DATE(2012,12,31)-1392</f>
        <v>39882</v>
      </c>
      <c r="B5213" s="8">
        <f>DATE(2012,12,31)-1392</f>
        <v>39882</v>
      </c>
      <c r="C5213" s="9" t="s">
        <v>571</v>
      </c>
      <c r="D5213">
        <v>10021422657</v>
      </c>
      <c r="E5213" t="s">
        <v>47</v>
      </c>
      <c r="F5213" t="s">
        <v>342</v>
      </c>
      <c r="G5213" t="s">
        <v>343</v>
      </c>
      <c r="H5213" t="s">
        <v>2429</v>
      </c>
      <c r="I5213" t="s">
        <v>2430</v>
      </c>
      <c r="J5213" t="s">
        <v>52</v>
      </c>
      <c r="K5213" s="3">
        <v>100927163381</v>
      </c>
      <c r="L5213" s="10">
        <v>39886</v>
      </c>
      <c r="M5213">
        <v>18888</v>
      </c>
      <c r="N5213" s="11">
        <v>3</v>
      </c>
      <c r="O5213" s="12">
        <v>6783.02</v>
      </c>
      <c r="P5213" s="12">
        <v>24.49</v>
      </c>
      <c r="Q5213" s="13">
        <v>-14140.7016</v>
      </c>
      <c r="R5213" s="36" t="s">
        <v>790</v>
      </c>
      <c r="S5213" s="7">
        <f t="shared" si="444"/>
        <v>4</v>
      </c>
      <c r="T5213" s="15" t="str">
        <f>VLOOKUP(R5213,产品分类!$C$2:$D$1278,2,0)</f>
        <v>数码电子</v>
      </c>
    </row>
    <row r="5214" spans="1:20">
      <c r="A5214" s="8">
        <f>DATE(2012,12,31)-657</f>
        <v>40617</v>
      </c>
      <c r="B5214" s="8">
        <f>DATE(2012,12,31)-657</f>
        <v>40617</v>
      </c>
      <c r="C5214" s="9" t="s">
        <v>1678</v>
      </c>
      <c r="D5214">
        <v>10021419684</v>
      </c>
      <c r="E5214" t="s">
        <v>47</v>
      </c>
      <c r="F5214" t="s">
        <v>183</v>
      </c>
      <c r="G5214" t="s">
        <v>184</v>
      </c>
      <c r="H5214" t="s">
        <v>2387</v>
      </c>
      <c r="I5214" t="s">
        <v>2388</v>
      </c>
      <c r="J5214" t="s">
        <v>52</v>
      </c>
      <c r="K5214" s="3">
        <v>100424003623</v>
      </c>
      <c r="L5214" s="10">
        <v>40618</v>
      </c>
      <c r="M5214">
        <v>9499.3</v>
      </c>
      <c r="N5214" s="11">
        <v>44</v>
      </c>
      <c r="O5214" s="12">
        <v>216.6</v>
      </c>
      <c r="P5214" s="12">
        <v>64.2</v>
      </c>
      <c r="Q5214" s="13">
        <v>618.36</v>
      </c>
      <c r="R5214" s="36" t="s">
        <v>898</v>
      </c>
      <c r="S5214" s="7">
        <f t="shared" si="444"/>
        <v>1</v>
      </c>
      <c r="T5214" s="15" t="str">
        <f>VLOOKUP(R5214,产品分类!$C$2:$D$1278,2,0)</f>
        <v>数码电子</v>
      </c>
    </row>
    <row r="5215" spans="1:20">
      <c r="A5215" s="8">
        <f>DATE(2012,12,31)-317</f>
        <v>40957</v>
      </c>
      <c r="B5215" s="8">
        <f>DATE(2012,12,31)-317</f>
        <v>40957</v>
      </c>
      <c r="C5215" s="9" t="s">
        <v>518</v>
      </c>
      <c r="D5215">
        <v>10021292981</v>
      </c>
      <c r="E5215" t="s">
        <v>47</v>
      </c>
      <c r="F5215" t="s">
        <v>183</v>
      </c>
      <c r="G5215" t="s">
        <v>184</v>
      </c>
      <c r="H5215" t="s">
        <v>2387</v>
      </c>
      <c r="I5215" t="s">
        <v>2388</v>
      </c>
      <c r="J5215" t="s">
        <v>52</v>
      </c>
      <c r="K5215" s="3">
        <v>10013614178</v>
      </c>
      <c r="L5215" s="10">
        <v>40958</v>
      </c>
      <c r="M5215">
        <v>794.58</v>
      </c>
      <c r="N5215" s="11">
        <v>50</v>
      </c>
      <c r="O5215" s="12">
        <v>15.23</v>
      </c>
      <c r="P5215" s="12">
        <v>27.75</v>
      </c>
      <c r="Q5215" s="13">
        <v>11.65095</v>
      </c>
      <c r="R5215" s="36" t="s">
        <v>1728</v>
      </c>
      <c r="S5215" s="7">
        <f t="shared" si="444"/>
        <v>1</v>
      </c>
      <c r="T5215" s="15" t="str">
        <f>VLOOKUP(R5215,产品分类!$C$2:$D$1278,2,0)</f>
        <v>家具产品</v>
      </c>
    </row>
    <row r="5216" spans="1:20">
      <c r="A5216" s="8">
        <f>DATE(2012,12,31)-276</f>
        <v>40998</v>
      </c>
      <c r="B5216" s="8">
        <f>DATE(2012,12,31)-276</f>
        <v>40998</v>
      </c>
      <c r="C5216" s="9" t="s">
        <v>2404</v>
      </c>
      <c r="D5216">
        <v>10021506856</v>
      </c>
      <c r="E5216" t="s">
        <v>47</v>
      </c>
      <c r="F5216" t="s">
        <v>177</v>
      </c>
      <c r="G5216" t="s">
        <v>178</v>
      </c>
      <c r="H5216" t="s">
        <v>2339</v>
      </c>
      <c r="I5216" t="s">
        <v>2340</v>
      </c>
      <c r="J5216" t="s">
        <v>52</v>
      </c>
      <c r="K5216" s="3">
        <v>100931711241</v>
      </c>
      <c r="L5216" s="10">
        <v>41000</v>
      </c>
      <c r="M5216">
        <v>21205.5</v>
      </c>
      <c r="N5216" s="11">
        <v>33</v>
      </c>
      <c r="O5216" s="12">
        <v>699.99</v>
      </c>
      <c r="P5216" s="12">
        <v>24.49</v>
      </c>
      <c r="Q5216" s="13">
        <v>241.3</v>
      </c>
      <c r="R5216" s="36" t="s">
        <v>493</v>
      </c>
      <c r="S5216" s="7">
        <f t="shared" si="444"/>
        <v>2</v>
      </c>
      <c r="T5216" s="15" t="str">
        <f>VLOOKUP(R5216,产品分类!$C$2:$D$1278,2,0)</f>
        <v>办公用品</v>
      </c>
    </row>
    <row r="5217" spans="1:20">
      <c r="A5217" s="8">
        <f>DATE(2012,12,31)-1082</f>
        <v>40192</v>
      </c>
      <c r="B5217" s="8">
        <f>DATE(2012,12,31)-1082</f>
        <v>40192</v>
      </c>
      <c r="C5217" s="9" t="s">
        <v>370</v>
      </c>
      <c r="D5217">
        <v>10021661906</v>
      </c>
      <c r="E5217" t="s">
        <v>47</v>
      </c>
      <c r="F5217" t="s">
        <v>61</v>
      </c>
      <c r="G5217" t="s">
        <v>62</v>
      </c>
      <c r="H5217" t="s">
        <v>2356</v>
      </c>
      <c r="I5217" t="s">
        <v>2357</v>
      </c>
      <c r="J5217" t="s">
        <v>52</v>
      </c>
      <c r="K5217" s="3">
        <v>100120760807</v>
      </c>
      <c r="L5217" s="10">
        <v>40193</v>
      </c>
      <c r="M5217">
        <v>72.18</v>
      </c>
      <c r="N5217" s="11">
        <v>46</v>
      </c>
      <c r="O5217" s="12">
        <v>1.48</v>
      </c>
      <c r="P5217" s="12">
        <v>0.7</v>
      </c>
      <c r="Q5217" s="13">
        <v>11.83</v>
      </c>
      <c r="R5217" s="36" t="s">
        <v>1220</v>
      </c>
      <c r="S5217" s="7">
        <f t="shared" si="444"/>
        <v>1</v>
      </c>
      <c r="T5217" s="15" t="str">
        <f>VLOOKUP(R5217,产品分类!$C$2:$D$1278,2,0)</f>
        <v>家具产品</v>
      </c>
    </row>
    <row r="5218" spans="1:20">
      <c r="A5218" s="8">
        <f>DATE(2012,12,31)-821</f>
        <v>40453</v>
      </c>
      <c r="B5218" s="8">
        <f>DATE(2012,12,31)-821</f>
        <v>40453</v>
      </c>
      <c r="C5218" s="9" t="s">
        <v>703</v>
      </c>
      <c r="D5218">
        <v>10021675380</v>
      </c>
      <c r="E5218" t="s">
        <v>47</v>
      </c>
      <c r="F5218" t="s">
        <v>61</v>
      </c>
      <c r="G5218" t="s">
        <v>62</v>
      </c>
      <c r="H5218" t="s">
        <v>2356</v>
      </c>
      <c r="I5218" t="s">
        <v>2357</v>
      </c>
      <c r="J5218" t="s">
        <v>52</v>
      </c>
      <c r="K5218" s="3">
        <v>100332487079</v>
      </c>
      <c r="L5218" s="10">
        <v>40454</v>
      </c>
      <c r="M5218">
        <v>178.44</v>
      </c>
      <c r="N5218" s="11">
        <v>19</v>
      </c>
      <c r="O5218" s="12">
        <v>9.11</v>
      </c>
      <c r="P5218" s="12">
        <v>2.15</v>
      </c>
      <c r="Q5218" s="13">
        <v>50.13</v>
      </c>
      <c r="R5218" s="36" t="s">
        <v>1449</v>
      </c>
      <c r="S5218" s="7">
        <f t="shared" si="444"/>
        <v>1</v>
      </c>
      <c r="T5218" s="15" t="str">
        <f>VLOOKUP(R5218,产品分类!$C$2:$D$1278,2,0)</f>
        <v>家具产品</v>
      </c>
    </row>
    <row r="5219" spans="1:20">
      <c r="A5219" s="8">
        <f>DATE(2012,12,31)-589</f>
        <v>40685</v>
      </c>
      <c r="B5219" s="8">
        <f>DATE(2012,12,31)-589</f>
        <v>40685</v>
      </c>
      <c r="C5219" s="9" t="s">
        <v>326</v>
      </c>
      <c r="D5219">
        <v>10021336010</v>
      </c>
      <c r="E5219" t="s">
        <v>47</v>
      </c>
      <c r="F5219" t="s">
        <v>61</v>
      </c>
      <c r="G5219" t="s">
        <v>62</v>
      </c>
      <c r="H5219" t="s">
        <v>2356</v>
      </c>
      <c r="I5219" t="s">
        <v>2357</v>
      </c>
      <c r="J5219" t="s">
        <v>52</v>
      </c>
      <c r="K5219" s="3">
        <v>10034949149</v>
      </c>
      <c r="L5219" s="10">
        <v>40687</v>
      </c>
      <c r="M5219">
        <v>4647.69</v>
      </c>
      <c r="N5219" s="11">
        <v>39</v>
      </c>
      <c r="O5219" s="12">
        <v>113.98</v>
      </c>
      <c r="P5219" s="12">
        <v>30</v>
      </c>
      <c r="Q5219" s="13">
        <v>182.53</v>
      </c>
      <c r="R5219" s="36" t="s">
        <v>556</v>
      </c>
      <c r="S5219" s="7">
        <f t="shared" si="444"/>
        <v>2</v>
      </c>
      <c r="T5219" s="15" t="str">
        <f>VLOOKUP(R5219,产品分类!$C$2:$D$1278,2,0)</f>
        <v>办公用品</v>
      </c>
    </row>
    <row r="5220" spans="1:20">
      <c r="A5220" s="8">
        <f>DATE(2012,12,31)-589</f>
        <v>40685</v>
      </c>
      <c r="B5220" s="8">
        <f>DATE(2012,12,31)-589</f>
        <v>40685</v>
      </c>
      <c r="C5220" s="9" t="s">
        <v>326</v>
      </c>
      <c r="D5220">
        <v>10021281494</v>
      </c>
      <c r="E5220" t="s">
        <v>47</v>
      </c>
      <c r="F5220" t="s">
        <v>83</v>
      </c>
      <c r="G5220" t="s">
        <v>84</v>
      </c>
      <c r="H5220" t="s">
        <v>2349</v>
      </c>
      <c r="I5220" t="s">
        <v>2350</v>
      </c>
      <c r="J5220" t="s">
        <v>52</v>
      </c>
      <c r="K5220" s="3">
        <v>100418113024</v>
      </c>
      <c r="L5220" s="10">
        <v>40687</v>
      </c>
      <c r="M5220">
        <v>2503.3265</v>
      </c>
      <c r="N5220" s="11">
        <v>45</v>
      </c>
      <c r="O5220" s="12">
        <v>65.99</v>
      </c>
      <c r="P5220" s="12">
        <v>8.8</v>
      </c>
      <c r="Q5220" s="13">
        <v>447.12</v>
      </c>
      <c r="R5220" s="36" t="s">
        <v>2179</v>
      </c>
      <c r="S5220" s="7">
        <f t="shared" si="444"/>
        <v>2</v>
      </c>
      <c r="T5220" s="15" t="str">
        <f>VLOOKUP(R5220,产品分类!$C$2:$D$1278,2,0)</f>
        <v>家具产品</v>
      </c>
    </row>
    <row r="5221" spans="1:20">
      <c r="A5221" s="16">
        <f>DATE(2012,12,31)-1045</f>
        <v>40229</v>
      </c>
      <c r="B5221" s="16">
        <f>DATE(2012,12,31)-1045</f>
        <v>40229</v>
      </c>
      <c r="C5221" s="9" t="s">
        <v>1221</v>
      </c>
      <c r="D5221">
        <v>10021255803</v>
      </c>
      <c r="E5221" t="s">
        <v>47</v>
      </c>
      <c r="F5221" t="s">
        <v>342</v>
      </c>
      <c r="G5221" t="s">
        <v>343</v>
      </c>
      <c r="H5221" t="s">
        <v>2429</v>
      </c>
      <c r="I5221" t="s">
        <v>2430</v>
      </c>
      <c r="J5221" t="s">
        <v>52</v>
      </c>
      <c r="K5221" s="3">
        <v>100424426624</v>
      </c>
      <c r="L5221" s="10">
        <v>40231</v>
      </c>
      <c r="M5221">
        <v>213</v>
      </c>
      <c r="N5221" s="17">
        <v>39</v>
      </c>
      <c r="O5221" s="5">
        <v>5.28</v>
      </c>
      <c r="P5221" s="5">
        <v>5.06</v>
      </c>
      <c r="Q5221" s="6">
        <v>-71.09</v>
      </c>
      <c r="R5221" s="37" t="s">
        <v>1897</v>
      </c>
      <c r="S5221" s="7">
        <f t="shared" si="444"/>
        <v>2</v>
      </c>
      <c r="T5221" s="15" t="str">
        <f>VLOOKUP(R5221,产品分类!$C$2:$D$1278,2,0)</f>
        <v>家具产品</v>
      </c>
    </row>
    <row r="5222" spans="1:20">
      <c r="A5222" s="8">
        <f>DATE(2012,12,31)-100</f>
        <v>41174</v>
      </c>
      <c r="B5222" s="8">
        <f>DATE(2012,12,31)-100</f>
        <v>41174</v>
      </c>
      <c r="C5222" s="9" t="s">
        <v>377</v>
      </c>
      <c r="D5222">
        <v>10021335232</v>
      </c>
      <c r="E5222" t="s">
        <v>47</v>
      </c>
      <c r="F5222" t="s">
        <v>342</v>
      </c>
      <c r="G5222" t="s">
        <v>343</v>
      </c>
      <c r="H5222" t="s">
        <v>2429</v>
      </c>
      <c r="I5222" t="s">
        <v>2430</v>
      </c>
      <c r="J5222" t="s">
        <v>52</v>
      </c>
      <c r="K5222" s="3">
        <v>10048632344</v>
      </c>
      <c r="L5222" s="10">
        <v>41179</v>
      </c>
      <c r="M5222">
        <v>172.04</v>
      </c>
      <c r="N5222" s="11">
        <v>25</v>
      </c>
      <c r="O5222" s="12">
        <v>6.48</v>
      </c>
      <c r="P5222" s="12">
        <v>7.37</v>
      </c>
      <c r="Q5222" s="13">
        <v>-85.11</v>
      </c>
      <c r="R5222" s="36" t="s">
        <v>1045</v>
      </c>
      <c r="S5222" s="7">
        <f t="shared" si="444"/>
        <v>5</v>
      </c>
      <c r="T5222" s="15" t="str">
        <f>VLOOKUP(R5222,产品分类!$C$2:$D$1278,2,0)</f>
        <v>数码电子</v>
      </c>
    </row>
    <row r="5223" spans="1:20">
      <c r="A5223" s="16">
        <f>DATE(2012,12,31)-61</f>
        <v>41213</v>
      </c>
      <c r="B5223" s="16">
        <f>DATE(2012,12,31)-61</f>
        <v>41213</v>
      </c>
      <c r="C5223" s="9" t="s">
        <v>430</v>
      </c>
      <c r="D5223">
        <v>10021523278</v>
      </c>
      <c r="E5223" t="s">
        <v>47</v>
      </c>
      <c r="F5223" t="s">
        <v>61</v>
      </c>
      <c r="G5223" t="s">
        <v>62</v>
      </c>
      <c r="H5223" t="s">
        <v>2356</v>
      </c>
      <c r="I5223" t="s">
        <v>2357</v>
      </c>
      <c r="J5223" t="s">
        <v>52</v>
      </c>
      <c r="K5223" s="3">
        <v>10086794932</v>
      </c>
      <c r="L5223" s="10">
        <v>41214</v>
      </c>
      <c r="M5223">
        <v>23.19</v>
      </c>
      <c r="N5223" s="17">
        <v>8</v>
      </c>
      <c r="O5223" s="5">
        <v>2.6</v>
      </c>
      <c r="P5223" s="5">
        <v>2.4</v>
      </c>
      <c r="Q5223" s="6">
        <v>-13.27</v>
      </c>
      <c r="R5223" s="37" t="s">
        <v>1884</v>
      </c>
      <c r="S5223" s="7">
        <f t="shared" si="444"/>
        <v>1</v>
      </c>
      <c r="T5223" s="15" t="str">
        <f>VLOOKUP(R5223,产品分类!$C$2:$D$1278,2,0)</f>
        <v>数码电子</v>
      </c>
    </row>
    <row r="5224" spans="1:20">
      <c r="A5224" s="8">
        <f>DATE(2012,12,31)-302</f>
        <v>40972</v>
      </c>
      <c r="B5224" s="8">
        <f>DATE(2012,12,31)-302</f>
        <v>40972</v>
      </c>
      <c r="C5224" s="9" t="s">
        <v>2066</v>
      </c>
      <c r="D5224">
        <v>10021426916</v>
      </c>
      <c r="E5224" t="s">
        <v>47</v>
      </c>
      <c r="F5224" t="s">
        <v>253</v>
      </c>
      <c r="G5224" t="s">
        <v>254</v>
      </c>
      <c r="H5224" t="s">
        <v>2344</v>
      </c>
      <c r="I5224" t="s">
        <v>2345</v>
      </c>
      <c r="J5224" t="s">
        <v>52</v>
      </c>
      <c r="K5224" s="3">
        <v>100830298882</v>
      </c>
      <c r="L5224" s="10">
        <v>40973</v>
      </c>
      <c r="M5224">
        <v>132.02</v>
      </c>
      <c r="N5224" s="11">
        <v>24</v>
      </c>
      <c r="O5224" s="12">
        <v>4.98</v>
      </c>
      <c r="P5224" s="12">
        <v>8.33</v>
      </c>
      <c r="Q5224" s="13">
        <v>-123.28</v>
      </c>
      <c r="R5224" s="36" t="s">
        <v>316</v>
      </c>
      <c r="S5224" s="7">
        <f t="shared" si="444"/>
        <v>1</v>
      </c>
      <c r="T5224" s="15" t="str">
        <f>VLOOKUP(R5224,产品分类!$C$2:$D$1278,2,0)</f>
        <v>家具产品</v>
      </c>
    </row>
    <row r="5225" spans="1:20">
      <c r="A5225" s="8">
        <f>DATE(2012,12,31)-762</f>
        <v>40512</v>
      </c>
      <c r="B5225" s="8">
        <f>DATE(2012,12,31)-762</f>
        <v>40512</v>
      </c>
      <c r="C5225" s="9" t="s">
        <v>2416</v>
      </c>
      <c r="D5225">
        <v>10021262144</v>
      </c>
      <c r="E5225" t="s">
        <v>47</v>
      </c>
      <c r="F5225" t="s">
        <v>61</v>
      </c>
      <c r="G5225" t="s">
        <v>62</v>
      </c>
      <c r="H5225" t="s">
        <v>2356</v>
      </c>
      <c r="I5225" t="s">
        <v>2357</v>
      </c>
      <c r="J5225" t="s">
        <v>52</v>
      </c>
      <c r="K5225" s="3">
        <v>100912683911</v>
      </c>
      <c r="L5225" s="10">
        <v>40513</v>
      </c>
      <c r="M5225">
        <v>527.25</v>
      </c>
      <c r="N5225" s="11">
        <v>24</v>
      </c>
      <c r="O5225" s="12">
        <v>20.98</v>
      </c>
      <c r="P5225" s="12">
        <v>8.83</v>
      </c>
      <c r="Q5225" s="13">
        <v>74.0095</v>
      </c>
      <c r="R5225" s="36" t="s">
        <v>2003</v>
      </c>
      <c r="S5225" s="7">
        <f t="shared" si="444"/>
        <v>1</v>
      </c>
      <c r="T5225" s="15" t="str">
        <f>VLOOKUP(R5225,产品分类!$C$2:$D$1278,2,0)</f>
        <v>家具产品</v>
      </c>
    </row>
    <row r="5226" spans="1:20">
      <c r="A5226" s="8">
        <f>DATE(2012,12,31)-743</f>
        <v>40531</v>
      </c>
      <c r="B5226" s="8">
        <f>DATE(2012,12,31)-743</f>
        <v>40531</v>
      </c>
      <c r="C5226" s="9" t="s">
        <v>481</v>
      </c>
      <c r="D5226">
        <v>10021332835</v>
      </c>
      <c r="E5226" t="s">
        <v>47</v>
      </c>
      <c r="F5226" t="s">
        <v>61</v>
      </c>
      <c r="G5226" t="s">
        <v>62</v>
      </c>
      <c r="H5226" t="s">
        <v>2356</v>
      </c>
      <c r="I5226" t="s">
        <v>2357</v>
      </c>
      <c r="J5226" t="s">
        <v>52</v>
      </c>
      <c r="K5226" s="3">
        <v>100112917037</v>
      </c>
      <c r="L5226" s="10">
        <v>40533</v>
      </c>
      <c r="M5226">
        <v>1768.13</v>
      </c>
      <c r="N5226" s="11">
        <v>29</v>
      </c>
      <c r="O5226" s="12">
        <v>60.97</v>
      </c>
      <c r="P5226" s="12">
        <v>4.5</v>
      </c>
      <c r="Q5226" s="13">
        <v>525.54</v>
      </c>
      <c r="R5226" s="36" t="s">
        <v>608</v>
      </c>
      <c r="S5226" s="7">
        <f t="shared" si="444"/>
        <v>2</v>
      </c>
      <c r="T5226" s="15" t="str">
        <f>VLOOKUP(R5226,产品分类!$C$2:$D$1278,2,0)</f>
        <v>家具产品</v>
      </c>
    </row>
    <row r="5227" spans="1:20">
      <c r="A5227" s="8">
        <f>DATE(2012,12,31)-743</f>
        <v>40531</v>
      </c>
      <c r="B5227" s="8">
        <f>DATE(2012,12,31)-743</f>
        <v>40531</v>
      </c>
      <c r="C5227" s="9" t="s">
        <v>481</v>
      </c>
      <c r="D5227">
        <v>10021574501</v>
      </c>
      <c r="E5227" t="s">
        <v>47</v>
      </c>
      <c r="F5227" t="s">
        <v>61</v>
      </c>
      <c r="G5227" t="s">
        <v>62</v>
      </c>
      <c r="H5227" t="s">
        <v>2356</v>
      </c>
      <c r="I5227" t="s">
        <v>2357</v>
      </c>
      <c r="J5227" t="s">
        <v>52</v>
      </c>
      <c r="K5227" s="3">
        <v>10043209493</v>
      </c>
      <c r="L5227" s="10">
        <v>40532</v>
      </c>
      <c r="M5227">
        <v>147.05</v>
      </c>
      <c r="N5227" s="11">
        <v>23</v>
      </c>
      <c r="O5227" s="12">
        <v>6.48</v>
      </c>
      <c r="P5227" s="12">
        <v>5.82</v>
      </c>
      <c r="Q5227" s="13">
        <v>-54.91</v>
      </c>
      <c r="R5227" s="36" t="s">
        <v>2415</v>
      </c>
      <c r="S5227" s="7">
        <f t="shared" si="444"/>
        <v>1</v>
      </c>
      <c r="T5227" s="15" t="str">
        <f>VLOOKUP(R5227,产品分类!$C$2:$D$1278,2,0)</f>
        <v>办公用品</v>
      </c>
    </row>
    <row r="5228" spans="1:20">
      <c r="A5228" s="8">
        <f t="shared" ref="A5228:B5230" si="448">DATE(2012,12,31)-417</f>
        <v>40857</v>
      </c>
      <c r="B5228" s="8">
        <f t="shared" si="448"/>
        <v>40857</v>
      </c>
      <c r="C5228" s="9" t="s">
        <v>2324</v>
      </c>
      <c r="D5228">
        <v>10021592502</v>
      </c>
      <c r="E5228" t="s">
        <v>47</v>
      </c>
      <c r="F5228" t="s">
        <v>61</v>
      </c>
      <c r="G5228" t="s">
        <v>62</v>
      </c>
      <c r="H5228" t="s">
        <v>2356</v>
      </c>
      <c r="I5228" t="s">
        <v>2357</v>
      </c>
      <c r="J5228" t="s">
        <v>52</v>
      </c>
      <c r="K5228" s="3">
        <v>100432118753</v>
      </c>
      <c r="L5228" s="10">
        <v>40861</v>
      </c>
      <c r="M5228">
        <v>2731.73</v>
      </c>
      <c r="N5228" s="11">
        <v>21</v>
      </c>
      <c r="O5228" s="12">
        <v>155.99</v>
      </c>
      <c r="P5228" s="12">
        <v>8.99</v>
      </c>
      <c r="Q5228" s="13">
        <v>310.59</v>
      </c>
      <c r="R5228" s="36" t="s">
        <v>469</v>
      </c>
      <c r="S5228" s="7">
        <f t="shared" si="444"/>
        <v>4</v>
      </c>
      <c r="T5228" s="15" t="str">
        <f>VLOOKUP(R5228,产品分类!$C$2:$D$1278,2,0)</f>
        <v>办公用品</v>
      </c>
    </row>
    <row r="5229" spans="1:20">
      <c r="A5229" s="8">
        <f t="shared" si="448"/>
        <v>40857</v>
      </c>
      <c r="B5229" s="8">
        <f t="shared" si="448"/>
        <v>40857</v>
      </c>
      <c r="C5229" s="9" t="s">
        <v>2324</v>
      </c>
      <c r="D5229">
        <v>10021253274</v>
      </c>
      <c r="E5229" t="s">
        <v>47</v>
      </c>
      <c r="F5229" t="s">
        <v>61</v>
      </c>
      <c r="G5229" t="s">
        <v>62</v>
      </c>
      <c r="H5229" t="s">
        <v>2356</v>
      </c>
      <c r="I5229" t="s">
        <v>2357</v>
      </c>
      <c r="J5229" t="s">
        <v>52</v>
      </c>
      <c r="K5229" s="3">
        <v>100418244353</v>
      </c>
      <c r="L5229" s="10">
        <v>40864</v>
      </c>
      <c r="M5229">
        <v>679.52</v>
      </c>
      <c r="N5229" s="11">
        <v>40</v>
      </c>
      <c r="O5229" s="12">
        <v>17.7</v>
      </c>
      <c r="P5229" s="12">
        <v>9.47</v>
      </c>
      <c r="Q5229" s="13">
        <v>-152.4</v>
      </c>
      <c r="R5229" s="36" t="s">
        <v>290</v>
      </c>
      <c r="S5229" s="7">
        <f t="shared" si="444"/>
        <v>7</v>
      </c>
      <c r="T5229" s="15" t="str">
        <f>VLOOKUP(R5229,产品分类!$C$2:$D$1278,2,0)</f>
        <v>办公用品</v>
      </c>
    </row>
    <row r="5230" spans="1:20">
      <c r="A5230" s="8">
        <f t="shared" si="448"/>
        <v>40857</v>
      </c>
      <c r="B5230" s="8">
        <f t="shared" si="448"/>
        <v>40857</v>
      </c>
      <c r="C5230" s="9" t="s">
        <v>2324</v>
      </c>
      <c r="D5230">
        <v>10021252683</v>
      </c>
      <c r="E5230" t="s">
        <v>47</v>
      </c>
      <c r="F5230" t="s">
        <v>61</v>
      </c>
      <c r="G5230" t="s">
        <v>62</v>
      </c>
      <c r="H5230" t="s">
        <v>2356</v>
      </c>
      <c r="I5230" t="s">
        <v>2357</v>
      </c>
      <c r="J5230" t="s">
        <v>52</v>
      </c>
      <c r="K5230" s="3">
        <v>100912653581</v>
      </c>
      <c r="L5230" s="10">
        <v>40862</v>
      </c>
      <c r="M5230">
        <v>5176.27</v>
      </c>
      <c r="N5230" s="11">
        <v>38</v>
      </c>
      <c r="O5230" s="12">
        <v>135.31</v>
      </c>
      <c r="P5230" s="12">
        <v>35</v>
      </c>
      <c r="Q5230" s="13">
        <v>-743.45</v>
      </c>
      <c r="R5230" s="36" t="s">
        <v>2365</v>
      </c>
      <c r="S5230" s="7">
        <f t="shared" si="444"/>
        <v>5</v>
      </c>
      <c r="T5230" s="15" t="str">
        <f>VLOOKUP(R5230,产品分类!$C$2:$D$1278,2,0)</f>
        <v>办公用品</v>
      </c>
    </row>
    <row r="5231" spans="1:20">
      <c r="A5231" s="8">
        <f>DATE(2012,12,31)-1082</f>
        <v>40192</v>
      </c>
      <c r="B5231" s="8">
        <f>DATE(2012,12,31)-1082</f>
        <v>40192</v>
      </c>
      <c r="C5231" s="9" t="s">
        <v>506</v>
      </c>
      <c r="D5231">
        <v>10021417277</v>
      </c>
      <c r="E5231" t="s">
        <v>47</v>
      </c>
      <c r="F5231" t="s">
        <v>61</v>
      </c>
      <c r="G5231" t="s">
        <v>62</v>
      </c>
      <c r="H5231" t="s">
        <v>2431</v>
      </c>
      <c r="I5231" t="s">
        <v>2432</v>
      </c>
      <c r="J5231" t="s">
        <v>52</v>
      </c>
      <c r="K5231" s="3">
        <v>100116402098</v>
      </c>
      <c r="L5231" s="10">
        <v>40193</v>
      </c>
      <c r="M5231">
        <v>473.46</v>
      </c>
      <c r="N5231" s="11">
        <v>13</v>
      </c>
      <c r="O5231" s="12">
        <v>35.94</v>
      </c>
      <c r="P5231" s="12">
        <v>6.66</v>
      </c>
      <c r="Q5231" s="13">
        <v>128.11</v>
      </c>
      <c r="R5231" s="36" t="s">
        <v>1954</v>
      </c>
      <c r="S5231" s="7">
        <f t="shared" si="444"/>
        <v>1</v>
      </c>
      <c r="T5231" s="15" t="str">
        <f>VLOOKUP(R5231,产品分类!$C$2:$D$1278,2,0)</f>
        <v>家具产品</v>
      </c>
    </row>
    <row r="5232" spans="1:20">
      <c r="A5232" s="8">
        <f t="shared" ref="A5232:B5235" si="449">DATE(2012,12,31)-408</f>
        <v>40866</v>
      </c>
      <c r="B5232" s="8">
        <f t="shared" si="449"/>
        <v>40866</v>
      </c>
      <c r="C5232" s="9" t="s">
        <v>1290</v>
      </c>
      <c r="D5232">
        <v>10021585068</v>
      </c>
      <c r="E5232" t="s">
        <v>47</v>
      </c>
      <c r="F5232" t="s">
        <v>61</v>
      </c>
      <c r="G5232" t="s">
        <v>62</v>
      </c>
      <c r="H5232" t="s">
        <v>2431</v>
      </c>
      <c r="I5232" t="s">
        <v>2432</v>
      </c>
      <c r="J5232" t="s">
        <v>52</v>
      </c>
      <c r="K5232" s="3">
        <v>100415499994</v>
      </c>
      <c r="L5232" s="10">
        <v>40868</v>
      </c>
      <c r="M5232">
        <v>1503.49</v>
      </c>
      <c r="N5232" s="11">
        <v>21</v>
      </c>
      <c r="O5232" s="12">
        <v>70.97</v>
      </c>
      <c r="P5232" s="12">
        <v>3.5</v>
      </c>
      <c r="Q5232" s="13">
        <v>408.73</v>
      </c>
      <c r="R5232" s="36" t="s">
        <v>365</v>
      </c>
      <c r="S5232" s="7">
        <f t="shared" si="444"/>
        <v>2</v>
      </c>
      <c r="T5232" s="15" t="str">
        <f>VLOOKUP(R5232,产品分类!$C$2:$D$1278,2,0)</f>
        <v>数码电子</v>
      </c>
    </row>
    <row r="5233" spans="1:20">
      <c r="A5233" s="8">
        <f t="shared" si="449"/>
        <v>40866</v>
      </c>
      <c r="B5233" s="8">
        <f t="shared" si="449"/>
        <v>40866</v>
      </c>
      <c r="C5233" s="9" t="s">
        <v>1290</v>
      </c>
      <c r="D5233">
        <v>10021574361</v>
      </c>
      <c r="E5233" t="s">
        <v>47</v>
      </c>
      <c r="F5233" t="s">
        <v>61</v>
      </c>
      <c r="G5233" t="s">
        <v>62</v>
      </c>
      <c r="H5233" t="s">
        <v>2431</v>
      </c>
      <c r="I5233" t="s">
        <v>2432</v>
      </c>
      <c r="J5233" t="s">
        <v>52</v>
      </c>
      <c r="K5233" s="3">
        <v>10012309448</v>
      </c>
      <c r="L5233" s="10">
        <v>40870</v>
      </c>
      <c r="M5233">
        <v>10.62</v>
      </c>
      <c r="N5233" s="11">
        <v>1</v>
      </c>
      <c r="O5233" s="12">
        <v>8.32</v>
      </c>
      <c r="P5233" s="12">
        <v>2.38</v>
      </c>
      <c r="Q5233" s="13">
        <v>-31.2</v>
      </c>
      <c r="R5233" s="36" t="s">
        <v>920</v>
      </c>
      <c r="S5233" s="7">
        <f t="shared" si="444"/>
        <v>4</v>
      </c>
      <c r="T5233" s="15" t="str">
        <f>VLOOKUP(R5233,产品分类!$C$2:$D$1278,2,0)</f>
        <v>家具产品</v>
      </c>
    </row>
    <row r="5234" spans="1:20">
      <c r="A5234" s="8">
        <f t="shared" si="449"/>
        <v>40866</v>
      </c>
      <c r="B5234" s="8">
        <f t="shared" si="449"/>
        <v>40866</v>
      </c>
      <c r="C5234" s="9" t="s">
        <v>1290</v>
      </c>
      <c r="D5234">
        <v>10021593558</v>
      </c>
      <c r="E5234" t="s">
        <v>47</v>
      </c>
      <c r="F5234" t="s">
        <v>61</v>
      </c>
      <c r="G5234" t="s">
        <v>62</v>
      </c>
      <c r="H5234" t="s">
        <v>2431</v>
      </c>
      <c r="I5234" t="s">
        <v>2432</v>
      </c>
      <c r="J5234" t="s">
        <v>52</v>
      </c>
      <c r="K5234" s="3">
        <v>100432430774</v>
      </c>
      <c r="L5234" s="10">
        <v>40868</v>
      </c>
      <c r="M5234">
        <v>2337.03</v>
      </c>
      <c r="N5234" s="11">
        <v>50</v>
      </c>
      <c r="O5234" s="12">
        <v>49.99</v>
      </c>
      <c r="P5234" s="12">
        <v>19.99</v>
      </c>
      <c r="Q5234" s="13">
        <v>-37.19</v>
      </c>
      <c r="R5234" s="36" t="s">
        <v>1328</v>
      </c>
      <c r="S5234" s="7">
        <f t="shared" si="444"/>
        <v>2</v>
      </c>
      <c r="T5234" s="15" t="str">
        <f>VLOOKUP(R5234,产品分类!$C$2:$D$1278,2,0)</f>
        <v>家具产品</v>
      </c>
    </row>
    <row r="5235" spans="1:20">
      <c r="A5235" s="8">
        <f t="shared" si="449"/>
        <v>40866</v>
      </c>
      <c r="B5235" s="8">
        <f t="shared" si="449"/>
        <v>40866</v>
      </c>
      <c r="C5235" s="9" t="s">
        <v>1290</v>
      </c>
      <c r="D5235">
        <v>10021421375</v>
      </c>
      <c r="E5235" t="s">
        <v>47</v>
      </c>
      <c r="F5235" t="s">
        <v>61</v>
      </c>
      <c r="G5235" t="s">
        <v>62</v>
      </c>
      <c r="H5235" t="s">
        <v>2431</v>
      </c>
      <c r="I5235" t="s">
        <v>2432</v>
      </c>
      <c r="J5235" t="s">
        <v>52</v>
      </c>
      <c r="K5235" s="3">
        <v>100425786903</v>
      </c>
      <c r="L5235" s="10">
        <v>40871</v>
      </c>
      <c r="M5235">
        <v>29345.27</v>
      </c>
      <c r="N5235" s="11">
        <v>34</v>
      </c>
      <c r="O5235" s="12">
        <v>880.98</v>
      </c>
      <c r="P5235" s="12">
        <v>44.55</v>
      </c>
      <c r="Q5235" s="13">
        <v>7497.55</v>
      </c>
      <c r="R5235" s="36" t="s">
        <v>706</v>
      </c>
      <c r="S5235" s="7">
        <f t="shared" si="444"/>
        <v>5</v>
      </c>
      <c r="T5235" s="15" t="str">
        <f>VLOOKUP(R5235,产品分类!$C$2:$D$1278,2,0)</f>
        <v>办公用品</v>
      </c>
    </row>
    <row r="5236" spans="1:20">
      <c r="A5236" s="8">
        <f>DATE(2012,12,31)-121</f>
        <v>41153</v>
      </c>
      <c r="B5236" s="8">
        <f>DATE(2012,12,31)-121</f>
        <v>41153</v>
      </c>
      <c r="C5236" s="9" t="s">
        <v>46</v>
      </c>
      <c r="D5236">
        <v>10021312888</v>
      </c>
      <c r="E5236" t="s">
        <v>47</v>
      </c>
      <c r="F5236" t="s">
        <v>61</v>
      </c>
      <c r="G5236" t="s">
        <v>62</v>
      </c>
      <c r="H5236" t="s">
        <v>2431</v>
      </c>
      <c r="I5236" t="s">
        <v>2432</v>
      </c>
      <c r="J5236" t="s">
        <v>52</v>
      </c>
      <c r="K5236" s="3">
        <v>100732431115</v>
      </c>
      <c r="L5236" s="10">
        <v>41153</v>
      </c>
      <c r="M5236">
        <v>1184.32</v>
      </c>
      <c r="N5236" s="11">
        <v>46</v>
      </c>
      <c r="O5236" s="12">
        <v>26.31</v>
      </c>
      <c r="P5236" s="12">
        <v>5.89</v>
      </c>
      <c r="Q5236" s="13">
        <v>-99.55</v>
      </c>
      <c r="R5236" s="36" t="s">
        <v>1352</v>
      </c>
      <c r="S5236" s="7">
        <f t="shared" si="444"/>
        <v>0</v>
      </c>
      <c r="T5236" s="15" t="str">
        <f>VLOOKUP(R5236,产品分类!$C$2:$D$1278,2,0)</f>
        <v>数码电子</v>
      </c>
    </row>
    <row r="5237" spans="1:20">
      <c r="A5237" s="8">
        <f>DATE(2012,12,31)-1200</f>
        <v>40074</v>
      </c>
      <c r="B5237" s="8">
        <f>DATE(2012,12,31)-1200</f>
        <v>40074</v>
      </c>
      <c r="C5237" s="9" t="s">
        <v>2135</v>
      </c>
      <c r="D5237">
        <v>10021494685</v>
      </c>
      <c r="E5237" t="s">
        <v>47</v>
      </c>
      <c r="F5237" t="s">
        <v>61</v>
      </c>
      <c r="G5237" t="s">
        <v>62</v>
      </c>
      <c r="H5237" t="s">
        <v>2431</v>
      </c>
      <c r="I5237" t="s">
        <v>2432</v>
      </c>
      <c r="J5237" t="s">
        <v>52</v>
      </c>
      <c r="K5237" s="3">
        <v>10019862447</v>
      </c>
      <c r="L5237" s="10">
        <v>40075</v>
      </c>
      <c r="M5237">
        <v>739.94</v>
      </c>
      <c r="N5237" s="11">
        <v>28</v>
      </c>
      <c r="O5237" s="12">
        <v>26.17</v>
      </c>
      <c r="P5237" s="12">
        <v>1.39</v>
      </c>
      <c r="Q5237" s="13">
        <v>370.23</v>
      </c>
      <c r="R5237" s="36" t="s">
        <v>2433</v>
      </c>
      <c r="S5237" s="7">
        <f t="shared" si="444"/>
        <v>1</v>
      </c>
      <c r="T5237" s="15" t="str">
        <f>VLOOKUP(R5237,产品分类!$C$2:$D$1278,2,0)</f>
        <v>数码电子</v>
      </c>
    </row>
    <row r="5238" spans="1:20">
      <c r="A5238" s="8">
        <f>DATE(2012,12,31)-1221</f>
        <v>40053</v>
      </c>
      <c r="B5238" s="8">
        <f>DATE(2012,12,31)-1221</f>
        <v>40053</v>
      </c>
      <c r="C5238" s="9" t="s">
        <v>861</v>
      </c>
      <c r="D5238">
        <v>10021295569</v>
      </c>
      <c r="E5238" t="s">
        <v>47</v>
      </c>
      <c r="F5238" t="s">
        <v>61</v>
      </c>
      <c r="G5238" t="s">
        <v>62</v>
      </c>
      <c r="H5238" t="s">
        <v>2431</v>
      </c>
      <c r="I5238" t="s">
        <v>2432</v>
      </c>
      <c r="J5238" t="s">
        <v>52</v>
      </c>
      <c r="K5238" s="3">
        <v>100117600466</v>
      </c>
      <c r="L5238" s="10">
        <v>40054</v>
      </c>
      <c r="M5238">
        <v>453.2455</v>
      </c>
      <c r="N5238" s="11">
        <v>25</v>
      </c>
      <c r="O5238" s="12">
        <v>20.99</v>
      </c>
      <c r="P5238" s="12">
        <v>4.81</v>
      </c>
      <c r="Q5238" s="13">
        <v>3.312</v>
      </c>
      <c r="R5238" s="36" t="s">
        <v>692</v>
      </c>
      <c r="S5238" s="7">
        <f t="shared" si="444"/>
        <v>1</v>
      </c>
      <c r="T5238" s="15" t="str">
        <f>VLOOKUP(R5238,产品分类!$C$2:$D$1278,2,0)</f>
        <v>办公用品</v>
      </c>
    </row>
    <row r="5239" spans="1:20">
      <c r="A5239" s="8">
        <f t="shared" ref="A5239:B5241" si="450">DATE(2012,12,31)-60</f>
        <v>41214</v>
      </c>
      <c r="B5239" s="8">
        <f t="shared" si="450"/>
        <v>41214</v>
      </c>
      <c r="C5239" s="9" t="s">
        <v>158</v>
      </c>
      <c r="D5239">
        <v>10021301057</v>
      </c>
      <c r="E5239" t="s">
        <v>47</v>
      </c>
      <c r="F5239" t="s">
        <v>253</v>
      </c>
      <c r="G5239" t="s">
        <v>254</v>
      </c>
      <c r="H5239" t="s">
        <v>2344</v>
      </c>
      <c r="I5239" t="s">
        <v>2345</v>
      </c>
      <c r="J5239" t="s">
        <v>52</v>
      </c>
      <c r="K5239" s="3">
        <v>100829919622</v>
      </c>
      <c r="L5239" s="10">
        <v>41218</v>
      </c>
      <c r="M5239">
        <v>122.41</v>
      </c>
      <c r="N5239" s="11">
        <v>18</v>
      </c>
      <c r="O5239" s="12">
        <v>6.64</v>
      </c>
      <c r="P5239" s="12">
        <v>4.95</v>
      </c>
      <c r="Q5239" s="13">
        <v>2.37</v>
      </c>
      <c r="R5239" s="36" t="s">
        <v>281</v>
      </c>
      <c r="S5239" s="7">
        <f t="shared" si="444"/>
        <v>4</v>
      </c>
      <c r="T5239" s="15" t="str">
        <f>VLOOKUP(R5239,产品分类!$C$2:$D$1278,2,0)</f>
        <v>数码电子</v>
      </c>
    </row>
    <row r="5240" spans="1:20">
      <c r="A5240" s="8">
        <f t="shared" si="450"/>
        <v>41214</v>
      </c>
      <c r="B5240" s="8">
        <f t="shared" si="450"/>
        <v>41214</v>
      </c>
      <c r="C5240" s="9" t="s">
        <v>158</v>
      </c>
      <c r="D5240">
        <v>10021333041</v>
      </c>
      <c r="E5240" t="s">
        <v>47</v>
      </c>
      <c r="F5240" t="s">
        <v>61</v>
      </c>
      <c r="G5240" t="s">
        <v>62</v>
      </c>
      <c r="H5240" t="s">
        <v>2431</v>
      </c>
      <c r="I5240" t="s">
        <v>2432</v>
      </c>
      <c r="J5240" t="s">
        <v>52</v>
      </c>
      <c r="K5240" s="3">
        <v>10015551978</v>
      </c>
      <c r="L5240" s="10">
        <v>41218</v>
      </c>
      <c r="M5240">
        <v>2052.2655</v>
      </c>
      <c r="N5240" s="11">
        <v>22</v>
      </c>
      <c r="O5240" s="12">
        <v>110.99</v>
      </c>
      <c r="P5240" s="12">
        <v>2.5</v>
      </c>
      <c r="Q5240" s="13">
        <v>371.403</v>
      </c>
      <c r="R5240" s="36" t="s">
        <v>1056</v>
      </c>
      <c r="S5240" s="7">
        <f t="shared" si="444"/>
        <v>4</v>
      </c>
      <c r="T5240" s="15" t="str">
        <f>VLOOKUP(R5240,产品分类!$C$2:$D$1278,2,0)</f>
        <v>家具产品</v>
      </c>
    </row>
    <row r="5241" spans="1:20">
      <c r="A5241" s="16">
        <f t="shared" si="450"/>
        <v>41214</v>
      </c>
      <c r="B5241" s="16">
        <f t="shared" si="450"/>
        <v>41214</v>
      </c>
      <c r="C5241" s="9" t="s">
        <v>158</v>
      </c>
      <c r="D5241">
        <v>10021416581</v>
      </c>
      <c r="E5241" t="s">
        <v>47</v>
      </c>
      <c r="F5241" t="s">
        <v>61</v>
      </c>
      <c r="G5241" t="s">
        <v>62</v>
      </c>
      <c r="H5241" t="s">
        <v>2431</v>
      </c>
      <c r="I5241" t="s">
        <v>2432</v>
      </c>
      <c r="J5241" t="s">
        <v>52</v>
      </c>
      <c r="K5241" s="3">
        <v>10098741821</v>
      </c>
      <c r="L5241" s="10">
        <v>41219</v>
      </c>
      <c r="M5241">
        <v>130.25</v>
      </c>
      <c r="N5241" s="17">
        <v>45</v>
      </c>
      <c r="O5241" s="5">
        <v>2.98</v>
      </c>
      <c r="P5241" s="5">
        <v>1.58</v>
      </c>
      <c r="Q5241" s="6">
        <v>0.89</v>
      </c>
      <c r="R5241" s="37" t="s">
        <v>1923</v>
      </c>
      <c r="S5241" s="7">
        <f t="shared" si="444"/>
        <v>5</v>
      </c>
      <c r="T5241" s="15" t="str">
        <f>VLOOKUP(R5241,产品分类!$C$2:$D$1278,2,0)</f>
        <v>数码电子</v>
      </c>
    </row>
    <row r="5242" spans="1:20">
      <c r="A5242" s="8">
        <f>DATE(2012,12,31)-182</f>
        <v>41092</v>
      </c>
      <c r="B5242" s="8">
        <f>DATE(2012,12,31)-182</f>
        <v>41092</v>
      </c>
      <c r="C5242" s="9" t="s">
        <v>523</v>
      </c>
      <c r="D5242">
        <v>10021265440</v>
      </c>
      <c r="E5242" t="s">
        <v>47</v>
      </c>
      <c r="F5242" t="s">
        <v>61</v>
      </c>
      <c r="G5242" t="s">
        <v>62</v>
      </c>
      <c r="H5242" t="s">
        <v>2431</v>
      </c>
      <c r="I5242" t="s">
        <v>2432</v>
      </c>
      <c r="J5242" t="s">
        <v>52</v>
      </c>
      <c r="K5242" s="3">
        <v>100931501641</v>
      </c>
      <c r="L5242" s="10">
        <v>41093</v>
      </c>
      <c r="M5242">
        <v>3304.38</v>
      </c>
      <c r="N5242" s="11">
        <v>44</v>
      </c>
      <c r="O5242" s="12">
        <v>70.71</v>
      </c>
      <c r="P5242" s="12">
        <v>37.58</v>
      </c>
      <c r="Q5242" s="13">
        <v>-634.49</v>
      </c>
      <c r="R5242" s="36" t="s">
        <v>1212</v>
      </c>
      <c r="S5242" s="7">
        <f t="shared" si="444"/>
        <v>1</v>
      </c>
      <c r="T5242" s="15" t="str">
        <f>VLOOKUP(R5242,产品分类!$C$2:$D$1278,2,0)</f>
        <v>办公用品</v>
      </c>
    </row>
    <row r="5243" spans="1:20">
      <c r="A5243" s="8">
        <f>DATE(2012,12,31)-182</f>
        <v>41092</v>
      </c>
      <c r="B5243" s="8">
        <f>DATE(2012,12,31)-182</f>
        <v>41092</v>
      </c>
      <c r="C5243" s="9" t="s">
        <v>523</v>
      </c>
      <c r="D5243">
        <v>10021621554</v>
      </c>
      <c r="E5243" t="s">
        <v>47</v>
      </c>
      <c r="F5243" t="s">
        <v>61</v>
      </c>
      <c r="G5243" t="s">
        <v>62</v>
      </c>
      <c r="H5243" t="s">
        <v>2431</v>
      </c>
      <c r="I5243" t="s">
        <v>2432</v>
      </c>
      <c r="J5243" t="s">
        <v>52</v>
      </c>
      <c r="K5243" s="3">
        <v>100414788633</v>
      </c>
      <c r="L5243" s="10">
        <v>41094</v>
      </c>
      <c r="M5243">
        <v>908.412</v>
      </c>
      <c r="N5243" s="11">
        <v>17</v>
      </c>
      <c r="O5243" s="12">
        <v>65.99</v>
      </c>
      <c r="P5243" s="12">
        <v>8.99</v>
      </c>
      <c r="Q5243" s="13">
        <v>-71.192</v>
      </c>
      <c r="R5243" s="36" t="s">
        <v>1486</v>
      </c>
      <c r="S5243" s="7">
        <f t="shared" si="444"/>
        <v>2</v>
      </c>
      <c r="T5243" s="15" t="str">
        <f>VLOOKUP(R5243,产品分类!$C$2:$D$1278,2,0)</f>
        <v>办公用品</v>
      </c>
    </row>
    <row r="5244" spans="1:20">
      <c r="A5244" s="8">
        <f>DATE(2012,12,31)-607</f>
        <v>40667</v>
      </c>
      <c r="B5244" s="8">
        <f>DATE(2012,12,31)-607</f>
        <v>40667</v>
      </c>
      <c r="C5244" s="9" t="s">
        <v>2355</v>
      </c>
      <c r="D5244">
        <v>10021266236</v>
      </c>
      <c r="E5244" t="s">
        <v>47</v>
      </c>
      <c r="F5244" t="s">
        <v>61</v>
      </c>
      <c r="G5244" t="s">
        <v>62</v>
      </c>
      <c r="H5244" t="s">
        <v>2431</v>
      </c>
      <c r="I5244" t="s">
        <v>2432</v>
      </c>
      <c r="J5244" t="s">
        <v>52</v>
      </c>
      <c r="K5244" s="3">
        <v>100831763172</v>
      </c>
      <c r="L5244" s="10">
        <v>40668</v>
      </c>
      <c r="M5244">
        <v>210.86</v>
      </c>
      <c r="N5244" s="11">
        <v>21</v>
      </c>
      <c r="O5244" s="12">
        <v>9.77</v>
      </c>
      <c r="P5244" s="12">
        <v>6.02</v>
      </c>
      <c r="Q5244" s="13">
        <v>5.5</v>
      </c>
      <c r="R5244" s="36" t="s">
        <v>1227</v>
      </c>
      <c r="S5244" s="7">
        <f t="shared" si="444"/>
        <v>1</v>
      </c>
      <c r="T5244" s="15" t="str">
        <f>VLOOKUP(R5244,产品分类!$C$2:$D$1278,2,0)</f>
        <v>办公用品</v>
      </c>
    </row>
    <row r="5245" spans="1:20">
      <c r="A5245" s="8">
        <f>DATE(2012,12,31)-209</f>
        <v>41065</v>
      </c>
      <c r="B5245" s="8">
        <f>DATE(2012,12,31)-209</f>
        <v>41065</v>
      </c>
      <c r="C5245" s="9" t="s">
        <v>2077</v>
      </c>
      <c r="D5245">
        <v>10021662012</v>
      </c>
      <c r="E5245" t="s">
        <v>47</v>
      </c>
      <c r="F5245" t="s">
        <v>61</v>
      </c>
      <c r="G5245" t="s">
        <v>62</v>
      </c>
      <c r="H5245" t="s">
        <v>2431</v>
      </c>
      <c r="I5245" t="s">
        <v>2432</v>
      </c>
      <c r="J5245" t="s">
        <v>52</v>
      </c>
      <c r="K5245" s="3">
        <v>100420910053</v>
      </c>
      <c r="L5245" s="10">
        <v>41072</v>
      </c>
      <c r="M5245">
        <v>170.81</v>
      </c>
      <c r="N5245" s="11">
        <v>43</v>
      </c>
      <c r="O5245" s="12">
        <v>4.28</v>
      </c>
      <c r="P5245" s="12">
        <v>5.17</v>
      </c>
      <c r="Q5245" s="13">
        <v>-133.68</v>
      </c>
      <c r="R5245" s="36" t="s">
        <v>1993</v>
      </c>
      <c r="S5245" s="7">
        <f t="shared" si="444"/>
        <v>7</v>
      </c>
      <c r="T5245" s="15" t="str">
        <f>VLOOKUP(R5245,产品分类!$C$2:$D$1278,2,0)</f>
        <v>家具产品</v>
      </c>
    </row>
    <row r="5246" spans="1:20">
      <c r="A5246" s="8">
        <f>DATE(2012,12,31)-209</f>
        <v>41065</v>
      </c>
      <c r="B5246" s="8">
        <f>DATE(2012,12,31)-209</f>
        <v>41065</v>
      </c>
      <c r="C5246" s="9" t="s">
        <v>2077</v>
      </c>
      <c r="D5246">
        <v>10021370388</v>
      </c>
      <c r="E5246" t="s">
        <v>47</v>
      </c>
      <c r="F5246" t="s">
        <v>253</v>
      </c>
      <c r="G5246" t="s">
        <v>254</v>
      </c>
      <c r="H5246" t="s">
        <v>2344</v>
      </c>
      <c r="I5246" t="s">
        <v>2345</v>
      </c>
      <c r="J5246" t="s">
        <v>52</v>
      </c>
      <c r="K5246" s="3">
        <v>100931285741</v>
      </c>
      <c r="L5246" s="10">
        <v>41072</v>
      </c>
      <c r="M5246">
        <v>4726.595</v>
      </c>
      <c r="N5246" s="11">
        <v>31</v>
      </c>
      <c r="O5246" s="12">
        <v>175.99</v>
      </c>
      <c r="P5246" s="12">
        <v>4.99</v>
      </c>
      <c r="Q5246" s="13">
        <v>1176.48</v>
      </c>
      <c r="R5246" s="36" t="s">
        <v>485</v>
      </c>
      <c r="S5246" s="7">
        <f t="shared" si="444"/>
        <v>7</v>
      </c>
      <c r="T5246" s="15" t="str">
        <f>VLOOKUP(R5246,产品分类!$C$2:$D$1278,2,0)</f>
        <v>数码电子</v>
      </c>
    </row>
    <row r="5247" spans="1:20">
      <c r="A5247" s="8">
        <f>DATE(2012,12,31)-991</f>
        <v>40283</v>
      </c>
      <c r="B5247" s="8">
        <f>DATE(2012,12,31)-991</f>
        <v>40283</v>
      </c>
      <c r="C5247" s="9" t="s">
        <v>1159</v>
      </c>
      <c r="D5247">
        <v>10021414295</v>
      </c>
      <c r="E5247" t="s">
        <v>47</v>
      </c>
      <c r="F5247" t="s">
        <v>61</v>
      </c>
      <c r="G5247" t="s">
        <v>62</v>
      </c>
      <c r="H5247" t="s">
        <v>2431</v>
      </c>
      <c r="I5247" t="s">
        <v>2432</v>
      </c>
      <c r="J5247" t="s">
        <v>52</v>
      </c>
      <c r="K5247" s="3">
        <v>10089361092</v>
      </c>
      <c r="L5247" s="10">
        <v>40285</v>
      </c>
      <c r="M5247">
        <v>1031.23</v>
      </c>
      <c r="N5247" s="11">
        <v>32</v>
      </c>
      <c r="O5247" s="12">
        <v>33.98</v>
      </c>
      <c r="P5247" s="12">
        <v>19.99</v>
      </c>
      <c r="Q5247" s="13">
        <v>-138.54</v>
      </c>
      <c r="R5247" s="36" t="s">
        <v>1302</v>
      </c>
      <c r="S5247" s="7">
        <f t="shared" si="444"/>
        <v>2</v>
      </c>
      <c r="T5247" s="15" t="str">
        <f>VLOOKUP(R5247,产品分类!$C$2:$D$1278,2,0)</f>
        <v>数码电子</v>
      </c>
    </row>
    <row r="5248" spans="1:20">
      <c r="A5248" s="8">
        <f>DATE(2012,12,31)-1245</f>
        <v>40029</v>
      </c>
      <c r="B5248" s="8">
        <f>DATE(2012,12,31)-1245</f>
        <v>40029</v>
      </c>
      <c r="C5248" s="9" t="s">
        <v>2203</v>
      </c>
      <c r="D5248">
        <v>10021569213</v>
      </c>
      <c r="E5248" t="s">
        <v>47</v>
      </c>
      <c r="F5248" t="s">
        <v>72</v>
      </c>
      <c r="G5248" t="s">
        <v>73</v>
      </c>
      <c r="H5248" t="s">
        <v>2417</v>
      </c>
      <c r="I5248" t="s">
        <v>2418</v>
      </c>
      <c r="J5248" t="s">
        <v>52</v>
      </c>
      <c r="K5248" s="3">
        <v>100432806524</v>
      </c>
      <c r="L5248" s="10">
        <v>40031</v>
      </c>
      <c r="M5248">
        <v>388.9</v>
      </c>
      <c r="N5248" s="11">
        <v>37</v>
      </c>
      <c r="O5248" s="12">
        <v>10.89</v>
      </c>
      <c r="P5248" s="12">
        <v>4.5</v>
      </c>
      <c r="Q5248" s="13">
        <v>-37.11</v>
      </c>
      <c r="R5248" s="36" t="s">
        <v>269</v>
      </c>
      <c r="S5248" s="7">
        <f t="shared" si="444"/>
        <v>2</v>
      </c>
      <c r="T5248" s="15" t="str">
        <f>VLOOKUP(R5248,产品分类!$C$2:$D$1278,2,0)</f>
        <v>办公用品</v>
      </c>
    </row>
    <row r="5249" spans="1:20">
      <c r="A5249" s="16">
        <f>DATE(2012,12,31)-1297</f>
        <v>39977</v>
      </c>
      <c r="B5249" s="16">
        <f>DATE(2012,12,31)-1297</f>
        <v>39977</v>
      </c>
      <c r="C5249" s="9" t="s">
        <v>660</v>
      </c>
      <c r="D5249">
        <v>10021564220</v>
      </c>
      <c r="E5249" t="s">
        <v>47</v>
      </c>
      <c r="F5249" t="s">
        <v>171</v>
      </c>
      <c r="G5249" t="s">
        <v>172</v>
      </c>
      <c r="H5249" t="s">
        <v>2352</v>
      </c>
      <c r="I5249" t="s">
        <v>2353</v>
      </c>
      <c r="J5249" t="s">
        <v>52</v>
      </c>
      <c r="K5249" s="3">
        <v>100133114837</v>
      </c>
      <c r="L5249" s="10">
        <v>39980</v>
      </c>
      <c r="M5249">
        <v>551.67</v>
      </c>
      <c r="N5249" s="17">
        <v>33</v>
      </c>
      <c r="O5249" s="5">
        <v>17.15</v>
      </c>
      <c r="P5249" s="5">
        <v>4.96</v>
      </c>
      <c r="Q5249" s="6">
        <v>25.44</v>
      </c>
      <c r="R5249" s="37" t="s">
        <v>495</v>
      </c>
      <c r="S5249" s="7">
        <f t="shared" si="444"/>
        <v>3</v>
      </c>
      <c r="T5249" s="15" t="str">
        <f>VLOOKUP(R5249,产品分类!$C$2:$D$1278,2,0)</f>
        <v>办公用品</v>
      </c>
    </row>
    <row r="5250" spans="1:20">
      <c r="A5250" s="8">
        <f>DATE(2012,12,31)-1050</f>
        <v>40224</v>
      </c>
      <c r="B5250" s="8">
        <f>DATE(2012,12,31)-1050</f>
        <v>40224</v>
      </c>
      <c r="C5250" s="9" t="s">
        <v>1389</v>
      </c>
      <c r="D5250">
        <v>10021429329</v>
      </c>
      <c r="E5250" t="s">
        <v>47</v>
      </c>
      <c r="F5250" t="s">
        <v>66</v>
      </c>
      <c r="G5250" t="s">
        <v>67</v>
      </c>
      <c r="H5250" t="s">
        <v>2413</v>
      </c>
      <c r="I5250" t="s">
        <v>2414</v>
      </c>
      <c r="J5250" t="s">
        <v>52</v>
      </c>
      <c r="K5250" s="3">
        <v>100131415817</v>
      </c>
      <c r="L5250" s="10">
        <v>40226</v>
      </c>
      <c r="M5250">
        <v>631.73</v>
      </c>
      <c r="N5250" s="11">
        <v>8</v>
      </c>
      <c r="O5250" s="12">
        <v>78.69</v>
      </c>
      <c r="P5250" s="12">
        <v>19.99</v>
      </c>
      <c r="Q5250" s="13">
        <v>122.43</v>
      </c>
      <c r="R5250" s="36" t="s">
        <v>2041</v>
      </c>
      <c r="S5250" s="7">
        <f t="shared" si="444"/>
        <v>2</v>
      </c>
      <c r="T5250" s="15" t="str">
        <f>VLOOKUP(R5250,产品分类!$C$2:$D$1278,2,0)</f>
        <v>办公用品</v>
      </c>
    </row>
    <row r="5251" spans="1:20">
      <c r="A5251" s="8">
        <f>DATE(2012,12,31)-225</f>
        <v>41049</v>
      </c>
      <c r="B5251" s="8">
        <f>DATE(2012,12,31)-225</f>
        <v>41049</v>
      </c>
      <c r="C5251" s="9" t="s">
        <v>984</v>
      </c>
      <c r="D5251">
        <v>10021270362</v>
      </c>
      <c r="E5251" t="s">
        <v>47</v>
      </c>
      <c r="F5251" t="s">
        <v>78</v>
      </c>
      <c r="G5251" t="s">
        <v>79</v>
      </c>
      <c r="H5251" t="s">
        <v>2420</v>
      </c>
      <c r="I5251" t="s">
        <v>2421</v>
      </c>
      <c r="J5251" t="s">
        <v>52</v>
      </c>
      <c r="K5251" s="3">
        <v>100332476819</v>
      </c>
      <c r="L5251" s="10">
        <v>41050</v>
      </c>
      <c r="M5251">
        <v>163.14</v>
      </c>
      <c r="N5251" s="11">
        <v>7</v>
      </c>
      <c r="O5251" s="12">
        <v>22.99</v>
      </c>
      <c r="P5251" s="12">
        <v>8.99</v>
      </c>
      <c r="Q5251" s="13">
        <v>-37.5</v>
      </c>
      <c r="R5251" s="36" t="s">
        <v>1582</v>
      </c>
      <c r="S5251" s="7">
        <f t="shared" ref="S5251:S5314" si="451">+L5251-B5251</f>
        <v>1</v>
      </c>
      <c r="T5251" s="15" t="str">
        <f>VLOOKUP(R5251,产品分类!$C$2:$D$1278,2,0)</f>
        <v>数码电子</v>
      </c>
    </row>
    <row r="5252" spans="1:20">
      <c r="A5252" s="8">
        <f t="shared" ref="A5252:B5254" si="452">DATE(2012,12,31)-640</f>
        <v>40634</v>
      </c>
      <c r="B5252" s="8">
        <f t="shared" si="452"/>
        <v>40634</v>
      </c>
      <c r="C5252" s="9" t="s">
        <v>669</v>
      </c>
      <c r="D5252">
        <v>10021270088</v>
      </c>
      <c r="E5252" t="s">
        <v>47</v>
      </c>
      <c r="F5252" t="s">
        <v>55</v>
      </c>
      <c r="G5252" t="s">
        <v>56</v>
      </c>
      <c r="H5252" t="s">
        <v>2425</v>
      </c>
      <c r="I5252" t="s">
        <v>2426</v>
      </c>
      <c r="J5252" t="s">
        <v>52</v>
      </c>
      <c r="K5252" s="3">
        <v>100432474613</v>
      </c>
      <c r="L5252" s="10">
        <v>40635</v>
      </c>
      <c r="M5252">
        <v>737.38</v>
      </c>
      <c r="N5252" s="11">
        <v>29</v>
      </c>
      <c r="O5252" s="12">
        <v>26.64</v>
      </c>
      <c r="P5252" s="12">
        <v>5.3</v>
      </c>
      <c r="Q5252" s="13">
        <v>90.04</v>
      </c>
      <c r="R5252" s="36" t="s">
        <v>2289</v>
      </c>
      <c r="S5252" s="7">
        <f t="shared" si="451"/>
        <v>1</v>
      </c>
      <c r="T5252" s="15" t="str">
        <f>VLOOKUP(R5252,产品分类!$C$2:$D$1278,2,0)</f>
        <v>家具产品</v>
      </c>
    </row>
    <row r="5253" spans="1:20">
      <c r="A5253" s="8">
        <f t="shared" si="452"/>
        <v>40634</v>
      </c>
      <c r="B5253" s="8">
        <f t="shared" si="452"/>
        <v>40634</v>
      </c>
      <c r="C5253" s="9" t="s">
        <v>669</v>
      </c>
      <c r="D5253">
        <v>10021511089</v>
      </c>
      <c r="E5253" t="s">
        <v>47</v>
      </c>
      <c r="F5253" t="s">
        <v>132</v>
      </c>
      <c r="G5253" t="s">
        <v>133</v>
      </c>
      <c r="H5253" t="s">
        <v>134</v>
      </c>
      <c r="I5253" t="s">
        <v>133</v>
      </c>
      <c r="J5253" t="s">
        <v>52</v>
      </c>
      <c r="K5253" s="3">
        <v>100732712825</v>
      </c>
      <c r="L5253" s="10">
        <v>40635</v>
      </c>
      <c r="M5253">
        <v>507.18</v>
      </c>
      <c r="N5253" s="11">
        <v>47</v>
      </c>
      <c r="O5253" s="12">
        <v>9.99</v>
      </c>
      <c r="P5253" s="12">
        <v>4.78</v>
      </c>
      <c r="Q5253" s="13">
        <v>74.73</v>
      </c>
      <c r="R5253" s="36" t="s">
        <v>2274</v>
      </c>
      <c r="S5253" s="7">
        <f t="shared" si="451"/>
        <v>1</v>
      </c>
      <c r="T5253" s="15" t="str">
        <f>VLOOKUP(R5253,产品分类!$C$2:$D$1278,2,0)</f>
        <v>办公用品</v>
      </c>
    </row>
    <row r="5254" spans="1:20">
      <c r="A5254" s="8">
        <f t="shared" si="452"/>
        <v>40634</v>
      </c>
      <c r="B5254" s="8">
        <f t="shared" si="452"/>
        <v>40634</v>
      </c>
      <c r="C5254" s="9" t="s">
        <v>669</v>
      </c>
      <c r="D5254">
        <v>10021506999</v>
      </c>
      <c r="E5254" t="s">
        <v>47</v>
      </c>
      <c r="F5254" t="s">
        <v>342</v>
      </c>
      <c r="G5254" t="s">
        <v>343</v>
      </c>
      <c r="H5254" t="s">
        <v>2429</v>
      </c>
      <c r="I5254" t="s">
        <v>2430</v>
      </c>
      <c r="J5254" t="s">
        <v>52</v>
      </c>
      <c r="K5254" s="3">
        <v>100431739863</v>
      </c>
      <c r="L5254" s="10">
        <v>40635</v>
      </c>
      <c r="M5254">
        <v>151.19</v>
      </c>
      <c r="N5254" s="11">
        <v>42</v>
      </c>
      <c r="O5254" s="12">
        <v>3.55</v>
      </c>
      <c r="P5254" s="12">
        <v>1.43</v>
      </c>
      <c r="Q5254" s="13">
        <v>27.37</v>
      </c>
      <c r="R5254" s="36" t="s">
        <v>2434</v>
      </c>
      <c r="S5254" s="7">
        <f t="shared" si="451"/>
        <v>1</v>
      </c>
      <c r="T5254" s="15" t="str">
        <f>VLOOKUP(R5254,产品分类!$C$2:$D$1278,2,0)</f>
        <v>数码电子</v>
      </c>
    </row>
    <row r="5255" spans="1:20">
      <c r="A5255" s="8">
        <f>DATE(2012,12,31)-811</f>
        <v>40463</v>
      </c>
      <c r="B5255" s="8">
        <f>DATE(2012,12,31)-811</f>
        <v>40463</v>
      </c>
      <c r="C5255" s="9" t="s">
        <v>1258</v>
      </c>
      <c r="D5255">
        <v>10021506903</v>
      </c>
      <c r="E5255" t="s">
        <v>47</v>
      </c>
      <c r="F5255" t="s">
        <v>61</v>
      </c>
      <c r="G5255" t="s">
        <v>62</v>
      </c>
      <c r="H5255" t="s">
        <v>2431</v>
      </c>
      <c r="I5255" t="s">
        <v>2432</v>
      </c>
      <c r="J5255" t="s">
        <v>52</v>
      </c>
      <c r="K5255" s="3">
        <v>100431720403</v>
      </c>
      <c r="L5255" s="10">
        <v>40465</v>
      </c>
      <c r="M5255">
        <v>18775.76</v>
      </c>
      <c r="N5255" s="11">
        <v>45</v>
      </c>
      <c r="O5255" s="12">
        <v>400.97</v>
      </c>
      <c r="P5255" s="12">
        <v>48.26</v>
      </c>
      <c r="Q5255" s="13">
        <v>8504.47</v>
      </c>
      <c r="R5255" s="36" t="s">
        <v>2058</v>
      </c>
      <c r="S5255" s="7">
        <f t="shared" si="451"/>
        <v>2</v>
      </c>
      <c r="T5255" s="15" t="str">
        <f>VLOOKUP(R5255,产品分类!$C$2:$D$1278,2,0)</f>
        <v>数码电子</v>
      </c>
    </row>
    <row r="5256" spans="1:20">
      <c r="A5256" s="8">
        <f>DATE(2012,12,31)-150</f>
        <v>41124</v>
      </c>
      <c r="B5256" s="8">
        <f>DATE(2012,12,31)-150</f>
        <v>41124</v>
      </c>
      <c r="C5256" s="9" t="s">
        <v>838</v>
      </c>
      <c r="D5256">
        <v>10021568968</v>
      </c>
      <c r="E5256" t="s">
        <v>47</v>
      </c>
      <c r="F5256" t="s">
        <v>66</v>
      </c>
      <c r="G5256" t="s">
        <v>67</v>
      </c>
      <c r="H5256" t="s">
        <v>2413</v>
      </c>
      <c r="I5256" t="s">
        <v>2414</v>
      </c>
      <c r="J5256" t="s">
        <v>52</v>
      </c>
      <c r="K5256" s="3">
        <v>100133148696</v>
      </c>
      <c r="L5256" s="10">
        <v>41126</v>
      </c>
      <c r="M5256">
        <v>191.67</v>
      </c>
      <c r="N5256" s="11">
        <v>17</v>
      </c>
      <c r="O5256" s="12">
        <v>10.98</v>
      </c>
      <c r="P5256" s="12">
        <v>3.37</v>
      </c>
      <c r="Q5256" s="13">
        <v>6.02</v>
      </c>
      <c r="R5256" s="36" t="s">
        <v>1792</v>
      </c>
      <c r="S5256" s="7">
        <f t="shared" si="451"/>
        <v>2</v>
      </c>
      <c r="T5256" s="15" t="str">
        <f>VLOOKUP(R5256,产品分类!$C$2:$D$1278,2,0)</f>
        <v>办公用品</v>
      </c>
    </row>
    <row r="5257" spans="1:20">
      <c r="A5257" s="8">
        <f>DATE(2012,12,31)-479</f>
        <v>40795</v>
      </c>
      <c r="B5257" s="8">
        <f>DATE(2012,12,31)-479</f>
        <v>40795</v>
      </c>
      <c r="C5257" s="9" t="s">
        <v>1034</v>
      </c>
      <c r="D5257">
        <v>10021313211</v>
      </c>
      <c r="E5257" t="s">
        <v>47</v>
      </c>
      <c r="F5257" t="s">
        <v>48</v>
      </c>
      <c r="G5257" t="s">
        <v>49</v>
      </c>
      <c r="H5257" t="s">
        <v>2183</v>
      </c>
      <c r="I5257" t="s">
        <v>2184</v>
      </c>
      <c r="J5257" t="s">
        <v>52</v>
      </c>
      <c r="K5257" s="3">
        <v>100732638305</v>
      </c>
      <c r="L5257" s="10">
        <v>40797</v>
      </c>
      <c r="M5257">
        <v>20596.58</v>
      </c>
      <c r="N5257" s="11">
        <v>39</v>
      </c>
      <c r="O5257" s="12">
        <v>550.98</v>
      </c>
      <c r="P5257" s="12">
        <v>64.59</v>
      </c>
      <c r="Q5257" s="13">
        <v>-1331.553366</v>
      </c>
      <c r="R5257" s="36" t="s">
        <v>1642</v>
      </c>
      <c r="S5257" s="7">
        <f t="shared" si="451"/>
        <v>2</v>
      </c>
      <c r="T5257" s="15" t="str">
        <f>VLOOKUP(R5257,产品分类!$C$2:$D$1278,2,0)</f>
        <v>家具产品</v>
      </c>
    </row>
    <row r="5258" spans="1:20">
      <c r="A5258" s="8">
        <f>DATE(2012,12,31)-922</f>
        <v>40352</v>
      </c>
      <c r="B5258" s="8">
        <f>DATE(2012,12,31)-922</f>
        <v>40352</v>
      </c>
      <c r="C5258" s="9" t="s">
        <v>525</v>
      </c>
      <c r="D5258">
        <v>10021553115</v>
      </c>
      <c r="E5258" t="s">
        <v>47</v>
      </c>
      <c r="F5258" t="s">
        <v>152</v>
      </c>
      <c r="G5258" t="s">
        <v>153</v>
      </c>
      <c r="H5258" t="s">
        <v>2302</v>
      </c>
      <c r="I5258" t="s">
        <v>2303</v>
      </c>
      <c r="J5258" t="s">
        <v>52</v>
      </c>
      <c r="K5258" s="3">
        <v>100921509121</v>
      </c>
      <c r="L5258" s="10">
        <v>40354</v>
      </c>
      <c r="M5258">
        <v>295.45</v>
      </c>
      <c r="N5258" s="11">
        <v>31</v>
      </c>
      <c r="O5258" s="12">
        <v>9.38</v>
      </c>
      <c r="P5258" s="12">
        <v>4.93</v>
      </c>
      <c r="Q5258" s="13">
        <v>-4.36</v>
      </c>
      <c r="R5258" s="36" t="s">
        <v>627</v>
      </c>
      <c r="S5258" s="7">
        <f t="shared" si="451"/>
        <v>2</v>
      </c>
      <c r="T5258" s="15" t="str">
        <f>VLOOKUP(R5258,产品分类!$C$2:$D$1278,2,0)</f>
        <v>家具产品</v>
      </c>
    </row>
    <row r="5259" spans="1:20">
      <c r="A5259" s="8">
        <f>DATE(2012,12,31)-922</f>
        <v>40352</v>
      </c>
      <c r="B5259" s="8">
        <f>DATE(2012,12,31)-922</f>
        <v>40352</v>
      </c>
      <c r="C5259" s="9" t="s">
        <v>525</v>
      </c>
      <c r="D5259">
        <v>10021290520</v>
      </c>
      <c r="E5259" t="s">
        <v>47</v>
      </c>
      <c r="F5259" t="s">
        <v>152</v>
      </c>
      <c r="G5259" t="s">
        <v>153</v>
      </c>
      <c r="H5259" t="s">
        <v>2302</v>
      </c>
      <c r="I5259" t="s">
        <v>2303</v>
      </c>
      <c r="J5259" t="s">
        <v>52</v>
      </c>
      <c r="K5259" s="3">
        <v>100710975585</v>
      </c>
      <c r="L5259" s="10">
        <v>40353</v>
      </c>
      <c r="M5259">
        <v>8407.08</v>
      </c>
      <c r="N5259" s="11">
        <v>39</v>
      </c>
      <c r="O5259" s="12">
        <v>208.16</v>
      </c>
      <c r="P5259" s="12">
        <v>68.02</v>
      </c>
      <c r="Q5259" s="13">
        <v>629.4</v>
      </c>
      <c r="R5259" s="36" t="s">
        <v>205</v>
      </c>
      <c r="S5259" s="7">
        <f t="shared" si="451"/>
        <v>1</v>
      </c>
      <c r="T5259" s="15" t="str">
        <f>VLOOKUP(R5259,产品分类!$C$2:$D$1278,2,0)</f>
        <v>家具产品</v>
      </c>
    </row>
    <row r="5260" spans="1:20">
      <c r="A5260" s="8">
        <f>DATE(2012,12,31)-1406</f>
        <v>39868</v>
      </c>
      <c r="B5260" s="8">
        <f>DATE(2012,12,31)-1406</f>
        <v>39868</v>
      </c>
      <c r="C5260" s="9" t="s">
        <v>1273</v>
      </c>
      <c r="D5260">
        <v>10021488697</v>
      </c>
      <c r="E5260" t="s">
        <v>47</v>
      </c>
      <c r="F5260" t="s">
        <v>72</v>
      </c>
      <c r="G5260" t="s">
        <v>73</v>
      </c>
      <c r="H5260" t="s">
        <v>2417</v>
      </c>
      <c r="I5260" t="s">
        <v>2418</v>
      </c>
      <c r="J5260" t="s">
        <v>52</v>
      </c>
      <c r="K5260" s="3">
        <v>100832474442</v>
      </c>
      <c r="L5260" s="10">
        <v>39869</v>
      </c>
      <c r="M5260">
        <v>14740.51</v>
      </c>
      <c r="N5260" s="11">
        <v>46</v>
      </c>
      <c r="O5260" s="12">
        <v>300.98</v>
      </c>
      <c r="P5260" s="12">
        <v>164.73</v>
      </c>
      <c r="Q5260" s="13">
        <v>3407.73</v>
      </c>
      <c r="R5260" s="36" t="s">
        <v>1063</v>
      </c>
      <c r="S5260" s="7">
        <f t="shared" si="451"/>
        <v>1</v>
      </c>
      <c r="T5260" s="15" t="str">
        <f>VLOOKUP(R5260,产品分类!$C$2:$D$1278,2,0)</f>
        <v>办公用品</v>
      </c>
    </row>
    <row r="5261" spans="1:20">
      <c r="A5261" s="8">
        <f>DATE(2012,12,31)-1406</f>
        <v>39868</v>
      </c>
      <c r="B5261" s="8">
        <f>DATE(2012,12,31)-1406</f>
        <v>39868</v>
      </c>
      <c r="C5261" s="9" t="s">
        <v>1273</v>
      </c>
      <c r="D5261">
        <v>10021291672</v>
      </c>
      <c r="E5261" t="s">
        <v>47</v>
      </c>
      <c r="F5261" t="s">
        <v>434</v>
      </c>
      <c r="G5261" t="s">
        <v>435</v>
      </c>
      <c r="H5261" t="s">
        <v>436</v>
      </c>
      <c r="I5261" t="s">
        <v>437</v>
      </c>
      <c r="J5261" t="s">
        <v>52</v>
      </c>
      <c r="K5261" s="3">
        <v>100728849135</v>
      </c>
      <c r="L5261" s="10">
        <v>39870</v>
      </c>
      <c r="M5261">
        <v>3.77</v>
      </c>
      <c r="N5261" s="11">
        <v>1</v>
      </c>
      <c r="O5261" s="12">
        <v>2.94</v>
      </c>
      <c r="P5261" s="12">
        <v>0.96</v>
      </c>
      <c r="Q5261" s="13">
        <v>-1.84</v>
      </c>
      <c r="R5261" s="36" t="s">
        <v>872</v>
      </c>
      <c r="S5261" s="7">
        <f t="shared" si="451"/>
        <v>2</v>
      </c>
      <c r="T5261" s="15" t="str">
        <f>VLOOKUP(R5261,产品分类!$C$2:$D$1278,2,0)</f>
        <v>数码电子</v>
      </c>
    </row>
    <row r="5262" spans="1:20">
      <c r="A5262" s="8">
        <f>DATE(2012,12,31)-991</f>
        <v>40283</v>
      </c>
      <c r="B5262" s="8">
        <f>DATE(2012,12,31)-991</f>
        <v>40283</v>
      </c>
      <c r="C5262" s="9" t="s">
        <v>1323</v>
      </c>
      <c r="D5262">
        <v>10021409428</v>
      </c>
      <c r="E5262" t="s">
        <v>47</v>
      </c>
      <c r="F5262" t="s">
        <v>114</v>
      </c>
      <c r="G5262" t="s">
        <v>115</v>
      </c>
      <c r="H5262" t="s">
        <v>2374</v>
      </c>
      <c r="I5262" t="s">
        <v>2375</v>
      </c>
      <c r="J5262" t="s">
        <v>52</v>
      </c>
      <c r="K5262" s="3">
        <v>100731617525</v>
      </c>
      <c r="L5262" s="10">
        <v>40283</v>
      </c>
      <c r="M5262">
        <v>2869.44</v>
      </c>
      <c r="N5262" s="11">
        <v>50</v>
      </c>
      <c r="O5262" s="12">
        <v>59.98</v>
      </c>
      <c r="P5262" s="12">
        <v>3.99</v>
      </c>
      <c r="Q5262" s="13">
        <v>840.55</v>
      </c>
      <c r="R5262" s="36" t="s">
        <v>378</v>
      </c>
      <c r="S5262" s="7">
        <f t="shared" si="451"/>
        <v>0</v>
      </c>
      <c r="T5262" s="15" t="str">
        <f>VLOOKUP(R5262,产品分类!$C$2:$D$1278,2,0)</f>
        <v>数码电子</v>
      </c>
    </row>
    <row r="5263" spans="1:20">
      <c r="A5263" s="8">
        <f>DATE(2012,12,31)-991</f>
        <v>40283</v>
      </c>
      <c r="B5263" s="8">
        <f>DATE(2012,12,31)-991</f>
        <v>40283</v>
      </c>
      <c r="C5263" s="9" t="s">
        <v>1323</v>
      </c>
      <c r="D5263">
        <v>10021362670</v>
      </c>
      <c r="E5263" t="s">
        <v>47</v>
      </c>
      <c r="F5263" t="s">
        <v>91</v>
      </c>
      <c r="G5263" t="s">
        <v>92</v>
      </c>
      <c r="H5263" t="s">
        <v>2053</v>
      </c>
      <c r="I5263" t="s">
        <v>2054</v>
      </c>
      <c r="J5263" t="s">
        <v>52</v>
      </c>
      <c r="K5263" s="3">
        <v>100919872031</v>
      </c>
      <c r="L5263" s="10">
        <v>40285</v>
      </c>
      <c r="M5263">
        <v>2172.702</v>
      </c>
      <c r="N5263" s="11">
        <v>21</v>
      </c>
      <c r="O5263" s="12">
        <v>115.99</v>
      </c>
      <c r="P5263" s="12">
        <v>2.5</v>
      </c>
      <c r="Q5263" s="13">
        <v>481.743</v>
      </c>
      <c r="R5263" s="36" t="s">
        <v>914</v>
      </c>
      <c r="S5263" s="7">
        <f t="shared" si="451"/>
        <v>2</v>
      </c>
      <c r="T5263" s="15" t="str">
        <f>VLOOKUP(R5263,产品分类!$C$2:$D$1278,2,0)</f>
        <v>家具产品</v>
      </c>
    </row>
    <row r="5264" spans="1:20">
      <c r="A5264" s="8">
        <f>DATE(2012,12,31)-317</f>
        <v>40957</v>
      </c>
      <c r="B5264" s="8">
        <f>DATE(2012,12,31)-317</f>
        <v>40957</v>
      </c>
      <c r="C5264" s="9" t="s">
        <v>377</v>
      </c>
      <c r="D5264">
        <v>10021317688</v>
      </c>
      <c r="E5264" t="s">
        <v>47</v>
      </c>
      <c r="F5264" t="s">
        <v>91</v>
      </c>
      <c r="G5264" t="s">
        <v>92</v>
      </c>
      <c r="H5264" t="s">
        <v>2053</v>
      </c>
      <c r="I5264" t="s">
        <v>2054</v>
      </c>
      <c r="J5264" t="s">
        <v>52</v>
      </c>
      <c r="K5264" s="3">
        <v>100113980856</v>
      </c>
      <c r="L5264" s="10">
        <v>40958</v>
      </c>
      <c r="M5264">
        <v>2180.23</v>
      </c>
      <c r="N5264" s="11">
        <v>37</v>
      </c>
      <c r="O5264" s="12">
        <v>60.22</v>
      </c>
      <c r="P5264" s="12">
        <v>3.5</v>
      </c>
      <c r="Q5264" s="13">
        <v>660.25</v>
      </c>
      <c r="R5264" s="36" t="s">
        <v>1907</v>
      </c>
      <c r="S5264" s="7">
        <f t="shared" si="451"/>
        <v>1</v>
      </c>
      <c r="T5264" s="15" t="str">
        <f>VLOOKUP(R5264,产品分类!$C$2:$D$1278,2,0)</f>
        <v>办公用品</v>
      </c>
    </row>
    <row r="5265" spans="1:20">
      <c r="A5265" s="8">
        <f>DATE(2012,12,31)-1272</f>
        <v>40002</v>
      </c>
      <c r="B5265" s="8">
        <f>DATE(2012,12,31)-1272</f>
        <v>40002</v>
      </c>
      <c r="C5265" s="9" t="s">
        <v>492</v>
      </c>
      <c r="D5265">
        <v>10021571815</v>
      </c>
      <c r="E5265" t="s">
        <v>47</v>
      </c>
      <c r="F5265" t="s">
        <v>127</v>
      </c>
      <c r="G5265" t="s">
        <v>128</v>
      </c>
      <c r="H5265" t="s">
        <v>2408</v>
      </c>
      <c r="I5265" t="s">
        <v>2409</v>
      </c>
      <c r="J5265" t="s">
        <v>52</v>
      </c>
      <c r="K5265" s="3">
        <v>100910491961</v>
      </c>
      <c r="L5265" s="10">
        <v>40006</v>
      </c>
      <c r="M5265">
        <v>139.45</v>
      </c>
      <c r="N5265" s="11">
        <v>23</v>
      </c>
      <c r="O5265" s="12">
        <v>5.81</v>
      </c>
      <c r="P5265" s="12">
        <v>8.49</v>
      </c>
      <c r="Q5265" s="13">
        <v>-137.494</v>
      </c>
      <c r="R5265" s="36" t="s">
        <v>1248</v>
      </c>
      <c r="S5265" s="7">
        <f t="shared" si="451"/>
        <v>4</v>
      </c>
      <c r="T5265" s="15" t="str">
        <f>VLOOKUP(R5265,产品分类!$C$2:$D$1278,2,0)</f>
        <v>数码电子</v>
      </c>
    </row>
    <row r="5266" spans="1:20">
      <c r="A5266" s="8">
        <f>DATE(2012,12,31)-1187</f>
        <v>40087</v>
      </c>
      <c r="B5266" s="8">
        <f>DATE(2012,12,31)-1187</f>
        <v>40087</v>
      </c>
      <c r="C5266" s="9" t="s">
        <v>868</v>
      </c>
      <c r="D5266">
        <v>10021315883</v>
      </c>
      <c r="E5266" t="s">
        <v>47</v>
      </c>
      <c r="F5266" t="s">
        <v>102</v>
      </c>
      <c r="G5266" t="s">
        <v>103</v>
      </c>
      <c r="H5266" t="s">
        <v>2400</v>
      </c>
      <c r="I5266" t="s">
        <v>2401</v>
      </c>
      <c r="J5266" t="s">
        <v>52</v>
      </c>
      <c r="K5266" s="3">
        <v>100115501378</v>
      </c>
      <c r="L5266" s="10">
        <v>40091</v>
      </c>
      <c r="M5266">
        <v>88.23</v>
      </c>
      <c r="N5266" s="11">
        <v>42</v>
      </c>
      <c r="O5266" s="12">
        <v>2.18</v>
      </c>
      <c r="P5266" s="12">
        <v>5</v>
      </c>
      <c r="Q5266" s="13">
        <v>-195.93</v>
      </c>
      <c r="R5266" s="36" t="s">
        <v>711</v>
      </c>
      <c r="S5266" s="7">
        <f t="shared" si="451"/>
        <v>4</v>
      </c>
      <c r="T5266" s="15" t="str">
        <f>VLOOKUP(R5266,产品分类!$C$2:$D$1278,2,0)</f>
        <v>数码电子</v>
      </c>
    </row>
    <row r="5267" spans="1:20">
      <c r="A5267" s="8">
        <f>DATE(2012,12,31)-1187</f>
        <v>40087</v>
      </c>
      <c r="B5267" s="8">
        <f>DATE(2012,12,31)-1187</f>
        <v>40087</v>
      </c>
      <c r="C5267" s="9" t="s">
        <v>868</v>
      </c>
      <c r="D5267">
        <v>10021313644</v>
      </c>
      <c r="E5267" t="s">
        <v>47</v>
      </c>
      <c r="F5267" t="s">
        <v>527</v>
      </c>
      <c r="G5267" t="s">
        <v>528</v>
      </c>
      <c r="H5267" t="s">
        <v>2385</v>
      </c>
      <c r="I5267" t="s">
        <v>2386</v>
      </c>
      <c r="J5267" t="s">
        <v>52</v>
      </c>
      <c r="K5267" s="3">
        <v>10081840962</v>
      </c>
      <c r="L5267" s="10">
        <v>40087</v>
      </c>
      <c r="M5267">
        <v>43.72</v>
      </c>
      <c r="N5267" s="11">
        <v>8</v>
      </c>
      <c r="O5267" s="12">
        <v>5.18</v>
      </c>
      <c r="P5267" s="12">
        <v>2.04</v>
      </c>
      <c r="Q5267" s="13">
        <v>2.12</v>
      </c>
      <c r="R5267" s="36" t="s">
        <v>1522</v>
      </c>
      <c r="S5267" s="7">
        <f t="shared" si="451"/>
        <v>0</v>
      </c>
      <c r="T5267" s="15" t="str">
        <f>VLOOKUP(R5267,产品分类!$C$2:$D$1278,2,0)</f>
        <v>办公用品</v>
      </c>
    </row>
    <row r="5268" spans="1:20">
      <c r="A5268" s="8">
        <f t="shared" ref="A5268:B5270" si="453">DATE(2012,12,31)-577</f>
        <v>40697</v>
      </c>
      <c r="B5268" s="8">
        <f t="shared" si="453"/>
        <v>40697</v>
      </c>
      <c r="C5268" s="9" t="s">
        <v>825</v>
      </c>
      <c r="D5268">
        <v>10021482696</v>
      </c>
      <c r="E5268" t="s">
        <v>47</v>
      </c>
      <c r="F5268" t="s">
        <v>127</v>
      </c>
      <c r="G5268" t="s">
        <v>128</v>
      </c>
      <c r="H5268" t="s">
        <v>2408</v>
      </c>
      <c r="I5268" t="s">
        <v>2409</v>
      </c>
      <c r="J5268" t="s">
        <v>52</v>
      </c>
      <c r="K5268" s="3">
        <v>100129447257</v>
      </c>
      <c r="L5268" s="10">
        <v>40699</v>
      </c>
      <c r="M5268">
        <v>29.19</v>
      </c>
      <c r="N5268" s="11">
        <v>1</v>
      </c>
      <c r="O5268" s="12">
        <v>16.98</v>
      </c>
      <c r="P5268" s="12">
        <v>12.39</v>
      </c>
      <c r="Q5268" s="13">
        <v>-23.1</v>
      </c>
      <c r="R5268" s="36" t="s">
        <v>1307</v>
      </c>
      <c r="S5268" s="7">
        <f t="shared" si="451"/>
        <v>2</v>
      </c>
      <c r="T5268" s="15" t="str">
        <f>VLOOKUP(R5268,产品分类!$C$2:$D$1278,2,0)</f>
        <v>办公用品</v>
      </c>
    </row>
    <row r="5269" spans="1:20">
      <c r="A5269" s="8">
        <f t="shared" si="453"/>
        <v>40697</v>
      </c>
      <c r="B5269" s="8">
        <f t="shared" si="453"/>
        <v>40697</v>
      </c>
      <c r="C5269" s="9" t="s">
        <v>825</v>
      </c>
      <c r="D5269">
        <v>10021603719</v>
      </c>
      <c r="E5269" t="s">
        <v>47</v>
      </c>
      <c r="F5269" t="s">
        <v>61</v>
      </c>
      <c r="G5269" t="s">
        <v>62</v>
      </c>
      <c r="H5269" t="s">
        <v>2431</v>
      </c>
      <c r="I5269" t="s">
        <v>2432</v>
      </c>
      <c r="J5269" t="s">
        <v>52</v>
      </c>
      <c r="K5269" s="3">
        <v>100920729091</v>
      </c>
      <c r="L5269" s="10">
        <v>40699</v>
      </c>
      <c r="M5269">
        <v>2007.24</v>
      </c>
      <c r="N5269" s="11">
        <v>9</v>
      </c>
      <c r="O5269" s="12">
        <v>225.04</v>
      </c>
      <c r="P5269" s="12">
        <v>11.79</v>
      </c>
      <c r="Q5269" s="13">
        <v>600.4</v>
      </c>
      <c r="R5269" s="36" t="s">
        <v>2215</v>
      </c>
      <c r="S5269" s="7">
        <f t="shared" si="451"/>
        <v>2</v>
      </c>
      <c r="T5269" s="15" t="str">
        <f>VLOOKUP(R5269,产品分类!$C$2:$D$1278,2,0)</f>
        <v>家具产品</v>
      </c>
    </row>
    <row r="5270" spans="1:20">
      <c r="A5270" s="8">
        <f t="shared" si="453"/>
        <v>40697</v>
      </c>
      <c r="B5270" s="8">
        <f t="shared" si="453"/>
        <v>40697</v>
      </c>
      <c r="C5270" s="9" t="s">
        <v>825</v>
      </c>
      <c r="D5270">
        <v>10021651872</v>
      </c>
      <c r="E5270" t="s">
        <v>47</v>
      </c>
      <c r="F5270" t="s">
        <v>253</v>
      </c>
      <c r="G5270" t="s">
        <v>254</v>
      </c>
      <c r="H5270" t="s">
        <v>2344</v>
      </c>
      <c r="I5270" t="s">
        <v>2345</v>
      </c>
      <c r="J5270" t="s">
        <v>52</v>
      </c>
      <c r="K5270" s="3">
        <v>100925734081</v>
      </c>
      <c r="L5270" s="10">
        <v>40702</v>
      </c>
      <c r="M5270">
        <v>384.41</v>
      </c>
      <c r="N5270" s="11">
        <v>42</v>
      </c>
      <c r="O5270" s="12">
        <v>9.49</v>
      </c>
      <c r="P5270" s="12">
        <v>5.76</v>
      </c>
      <c r="Q5270" s="13">
        <v>-44.3004</v>
      </c>
      <c r="R5270" s="36" t="s">
        <v>2107</v>
      </c>
      <c r="S5270" s="7">
        <f t="shared" si="451"/>
        <v>5</v>
      </c>
      <c r="T5270" s="15" t="str">
        <f>VLOOKUP(R5270,产品分类!$C$2:$D$1278,2,0)</f>
        <v>办公用品</v>
      </c>
    </row>
    <row r="5271" spans="1:20">
      <c r="A5271" s="16">
        <f>DATE(2012,12,31)-1394</f>
        <v>39880</v>
      </c>
      <c r="B5271" s="16">
        <f>DATE(2012,12,31)-1394</f>
        <v>39880</v>
      </c>
      <c r="C5271" s="9" t="s">
        <v>2312</v>
      </c>
      <c r="D5271">
        <v>10021554351</v>
      </c>
      <c r="E5271" t="s">
        <v>47</v>
      </c>
      <c r="F5271" t="s">
        <v>61</v>
      </c>
      <c r="G5271" t="s">
        <v>62</v>
      </c>
      <c r="H5271" t="s">
        <v>2431</v>
      </c>
      <c r="I5271" t="s">
        <v>2432</v>
      </c>
      <c r="J5271" t="s">
        <v>52</v>
      </c>
      <c r="K5271" s="3">
        <v>100410731873</v>
      </c>
      <c r="L5271" s="10">
        <v>39880</v>
      </c>
      <c r="M5271">
        <v>2466.02</v>
      </c>
      <c r="N5271" s="17">
        <v>15</v>
      </c>
      <c r="O5271" s="5">
        <v>161.55</v>
      </c>
      <c r="P5271" s="5">
        <v>19.99</v>
      </c>
      <c r="Q5271" s="6">
        <v>243.73</v>
      </c>
      <c r="R5271" s="37" t="s">
        <v>1896</v>
      </c>
      <c r="S5271" s="7">
        <f t="shared" si="451"/>
        <v>0</v>
      </c>
      <c r="T5271" s="15" t="str">
        <f>VLOOKUP(R5271,产品分类!$C$2:$D$1278,2,0)</f>
        <v>办公用品</v>
      </c>
    </row>
    <row r="5272" spans="1:20">
      <c r="A5272" s="8">
        <f t="shared" ref="A5272:B5274" si="454">DATE(2012,12,31)-1459</f>
        <v>39815</v>
      </c>
      <c r="B5272" s="8">
        <f t="shared" si="454"/>
        <v>39815</v>
      </c>
      <c r="C5272" s="9" t="s">
        <v>776</v>
      </c>
      <c r="D5272">
        <v>10021454566</v>
      </c>
      <c r="E5272" t="s">
        <v>47</v>
      </c>
      <c r="F5272" t="s">
        <v>61</v>
      </c>
      <c r="G5272" t="s">
        <v>62</v>
      </c>
      <c r="H5272" t="s">
        <v>2431</v>
      </c>
      <c r="I5272" t="s">
        <v>2432</v>
      </c>
      <c r="J5272" t="s">
        <v>52</v>
      </c>
      <c r="K5272" s="3">
        <v>10019417306</v>
      </c>
      <c r="L5272" s="10">
        <v>39815</v>
      </c>
      <c r="M5272">
        <v>1239.06</v>
      </c>
      <c r="N5272" s="11">
        <v>4</v>
      </c>
      <c r="O5272" s="12">
        <v>291.73</v>
      </c>
      <c r="P5272" s="12">
        <v>48.8</v>
      </c>
      <c r="Q5272" s="13">
        <v>-193.08</v>
      </c>
      <c r="R5272" s="36" t="s">
        <v>791</v>
      </c>
      <c r="S5272" s="7">
        <f t="shared" si="451"/>
        <v>0</v>
      </c>
      <c r="T5272" s="15" t="str">
        <f>VLOOKUP(R5272,产品分类!$C$2:$D$1278,2,0)</f>
        <v>数码电子</v>
      </c>
    </row>
    <row r="5273" spans="1:20">
      <c r="A5273" s="8">
        <f t="shared" si="454"/>
        <v>39815</v>
      </c>
      <c r="B5273" s="8">
        <f t="shared" si="454"/>
        <v>39815</v>
      </c>
      <c r="C5273" s="9" t="s">
        <v>776</v>
      </c>
      <c r="D5273">
        <v>10021489166</v>
      </c>
      <c r="E5273" t="s">
        <v>47</v>
      </c>
      <c r="F5273" t="s">
        <v>61</v>
      </c>
      <c r="G5273" t="s">
        <v>62</v>
      </c>
      <c r="H5273" t="s">
        <v>2431</v>
      </c>
      <c r="I5273" t="s">
        <v>2432</v>
      </c>
      <c r="J5273" t="s">
        <v>52</v>
      </c>
      <c r="K5273" s="3">
        <v>10098885831</v>
      </c>
      <c r="L5273" s="10">
        <v>39817</v>
      </c>
      <c r="M5273">
        <v>4083.19</v>
      </c>
      <c r="N5273" s="11">
        <v>43</v>
      </c>
      <c r="O5273" s="12">
        <v>100.98</v>
      </c>
      <c r="P5273" s="12">
        <v>45</v>
      </c>
      <c r="Q5273" s="13">
        <v>-1049.85</v>
      </c>
      <c r="R5273" s="36" t="s">
        <v>2412</v>
      </c>
      <c r="S5273" s="7">
        <f t="shared" si="451"/>
        <v>2</v>
      </c>
      <c r="T5273" s="15" t="str">
        <f>VLOOKUP(R5273,产品分类!$C$2:$D$1278,2,0)</f>
        <v>家具产品</v>
      </c>
    </row>
    <row r="5274" spans="1:20">
      <c r="A5274" s="8">
        <f t="shared" si="454"/>
        <v>39815</v>
      </c>
      <c r="B5274" s="8">
        <f t="shared" si="454"/>
        <v>39815</v>
      </c>
      <c r="C5274" s="9" t="s">
        <v>776</v>
      </c>
      <c r="D5274">
        <v>10021570163</v>
      </c>
      <c r="E5274" t="s">
        <v>47</v>
      </c>
      <c r="F5274" t="s">
        <v>72</v>
      </c>
      <c r="G5274" t="s">
        <v>73</v>
      </c>
      <c r="H5274" t="s">
        <v>2417</v>
      </c>
      <c r="I5274" t="s">
        <v>2418</v>
      </c>
      <c r="J5274" t="s">
        <v>52</v>
      </c>
      <c r="K5274" s="3">
        <v>100132972737</v>
      </c>
      <c r="L5274" s="10">
        <v>39822</v>
      </c>
      <c r="M5274">
        <v>4902.38</v>
      </c>
      <c r="N5274" s="11">
        <v>32</v>
      </c>
      <c r="O5274" s="12">
        <v>155.06</v>
      </c>
      <c r="P5274" s="12">
        <v>7.07</v>
      </c>
      <c r="Q5274" s="13">
        <v>1438.49</v>
      </c>
      <c r="R5274" s="36" t="s">
        <v>1160</v>
      </c>
      <c r="S5274" s="7">
        <f t="shared" si="451"/>
        <v>7</v>
      </c>
      <c r="T5274" s="15" t="str">
        <f>VLOOKUP(R5274,产品分类!$C$2:$D$1278,2,0)</f>
        <v>数码电子</v>
      </c>
    </row>
    <row r="5275" spans="1:20">
      <c r="A5275" s="8">
        <f t="shared" ref="A5275:B5277" si="455">DATE(2012,12,31)-1039</f>
        <v>40235</v>
      </c>
      <c r="B5275" s="8">
        <f t="shared" si="455"/>
        <v>40235</v>
      </c>
      <c r="C5275" s="9" t="s">
        <v>384</v>
      </c>
      <c r="D5275">
        <v>10021603885</v>
      </c>
      <c r="E5275" t="s">
        <v>47</v>
      </c>
      <c r="F5275" t="s">
        <v>72</v>
      </c>
      <c r="G5275" t="s">
        <v>73</v>
      </c>
      <c r="H5275" t="s">
        <v>2417</v>
      </c>
      <c r="I5275" t="s">
        <v>2418</v>
      </c>
      <c r="J5275" t="s">
        <v>52</v>
      </c>
      <c r="K5275" s="3">
        <v>100921271421</v>
      </c>
      <c r="L5275" s="10">
        <v>40237</v>
      </c>
      <c r="M5275">
        <v>71.94</v>
      </c>
      <c r="N5275" s="11">
        <v>3</v>
      </c>
      <c r="O5275" s="12">
        <v>20.95</v>
      </c>
      <c r="P5275" s="12">
        <v>5.99</v>
      </c>
      <c r="Q5275" s="13">
        <v>-70.68</v>
      </c>
      <c r="R5275" s="36" t="s">
        <v>1324</v>
      </c>
      <c r="S5275" s="7">
        <f t="shared" si="451"/>
        <v>2</v>
      </c>
      <c r="T5275" s="15" t="str">
        <f>VLOOKUP(R5275,产品分类!$C$2:$D$1278,2,0)</f>
        <v>家具产品</v>
      </c>
    </row>
    <row r="5276" spans="1:20">
      <c r="A5276" s="8">
        <f t="shared" si="455"/>
        <v>40235</v>
      </c>
      <c r="B5276" s="8">
        <f t="shared" si="455"/>
        <v>40235</v>
      </c>
      <c r="C5276" s="9" t="s">
        <v>384</v>
      </c>
      <c r="D5276">
        <v>10021392097</v>
      </c>
      <c r="E5276" t="s">
        <v>47</v>
      </c>
      <c r="F5276" t="s">
        <v>83</v>
      </c>
      <c r="G5276" t="s">
        <v>84</v>
      </c>
      <c r="H5276" t="s">
        <v>2349</v>
      </c>
      <c r="I5276" t="s">
        <v>2350</v>
      </c>
      <c r="J5276" t="s">
        <v>52</v>
      </c>
      <c r="K5276" s="3">
        <v>10039166549</v>
      </c>
      <c r="L5276" s="10">
        <v>40236</v>
      </c>
      <c r="M5276">
        <v>550.61</v>
      </c>
      <c r="N5276" s="11">
        <v>10</v>
      </c>
      <c r="O5276" s="12">
        <v>55.98</v>
      </c>
      <c r="P5276" s="12">
        <v>13.88</v>
      </c>
      <c r="Q5276" s="13">
        <v>98.32</v>
      </c>
      <c r="R5276" s="36" t="s">
        <v>1180</v>
      </c>
      <c r="S5276" s="7">
        <f t="shared" si="451"/>
        <v>1</v>
      </c>
      <c r="T5276" s="15" t="str">
        <f>VLOOKUP(R5276,产品分类!$C$2:$D$1278,2,0)</f>
        <v>办公用品</v>
      </c>
    </row>
    <row r="5277" spans="1:20">
      <c r="A5277" s="8">
        <f t="shared" si="455"/>
        <v>40235</v>
      </c>
      <c r="B5277" s="8">
        <f t="shared" si="455"/>
        <v>40235</v>
      </c>
      <c r="C5277" s="9" t="s">
        <v>384</v>
      </c>
      <c r="D5277">
        <v>10021636176</v>
      </c>
      <c r="E5277" t="s">
        <v>47</v>
      </c>
      <c r="F5277" t="s">
        <v>91</v>
      </c>
      <c r="G5277" t="s">
        <v>92</v>
      </c>
      <c r="H5277" t="s">
        <v>2053</v>
      </c>
      <c r="I5277" t="s">
        <v>2054</v>
      </c>
      <c r="J5277" t="s">
        <v>52</v>
      </c>
      <c r="K5277" s="3">
        <v>100416936654</v>
      </c>
      <c r="L5277" s="10">
        <v>40237</v>
      </c>
      <c r="M5277">
        <v>1373.11</v>
      </c>
      <c r="N5277" s="11">
        <v>18</v>
      </c>
      <c r="O5277" s="12">
        <v>80.98</v>
      </c>
      <c r="P5277" s="12">
        <v>35</v>
      </c>
      <c r="Q5277" s="13">
        <v>-599.54</v>
      </c>
      <c r="R5277" s="36" t="s">
        <v>1459</v>
      </c>
      <c r="S5277" s="7">
        <f t="shared" si="451"/>
        <v>2</v>
      </c>
      <c r="T5277" s="15" t="str">
        <f>VLOOKUP(R5277,产品分类!$C$2:$D$1278,2,0)</f>
        <v>办公用品</v>
      </c>
    </row>
    <row r="5278" spans="1:20">
      <c r="A5278" s="8">
        <f>DATE(2012,12,31)-1260</f>
        <v>40014</v>
      </c>
      <c r="B5278" s="8">
        <f>DATE(2012,12,31)-1260</f>
        <v>40014</v>
      </c>
      <c r="C5278" s="9" t="s">
        <v>1206</v>
      </c>
      <c r="D5278">
        <v>10021325025</v>
      </c>
      <c r="E5278" t="s">
        <v>47</v>
      </c>
      <c r="F5278" t="s">
        <v>91</v>
      </c>
      <c r="G5278" t="s">
        <v>92</v>
      </c>
      <c r="H5278" t="s">
        <v>2053</v>
      </c>
      <c r="I5278" t="s">
        <v>2054</v>
      </c>
      <c r="J5278" t="s">
        <v>52</v>
      </c>
      <c r="K5278" s="3">
        <v>100910763121</v>
      </c>
      <c r="L5278" s="10">
        <v>40016</v>
      </c>
      <c r="M5278">
        <v>2546.5235</v>
      </c>
      <c r="N5278" s="11">
        <v>26</v>
      </c>
      <c r="O5278" s="12">
        <v>125.99</v>
      </c>
      <c r="P5278" s="12">
        <v>7.69</v>
      </c>
      <c r="Q5278" s="13">
        <v>209.997</v>
      </c>
      <c r="R5278" s="36" t="s">
        <v>999</v>
      </c>
      <c r="S5278" s="7">
        <f t="shared" si="451"/>
        <v>2</v>
      </c>
      <c r="T5278" s="15" t="str">
        <f>VLOOKUP(R5278,产品分类!$C$2:$D$1278,2,0)</f>
        <v>办公用品</v>
      </c>
    </row>
    <row r="5279" spans="1:20">
      <c r="A5279" s="8">
        <f>DATE(2012,12,31)-366</f>
        <v>40908</v>
      </c>
      <c r="B5279" s="8">
        <f>DATE(2012,12,31)-366</f>
        <v>40908</v>
      </c>
      <c r="C5279" s="9" t="s">
        <v>421</v>
      </c>
      <c r="D5279">
        <v>10021602759</v>
      </c>
      <c r="E5279" t="s">
        <v>47</v>
      </c>
      <c r="F5279" t="s">
        <v>171</v>
      </c>
      <c r="G5279" t="s">
        <v>172</v>
      </c>
      <c r="H5279" t="s">
        <v>2352</v>
      </c>
      <c r="I5279" t="s">
        <v>2353</v>
      </c>
      <c r="J5279" t="s">
        <v>52</v>
      </c>
      <c r="K5279" s="3">
        <v>10012544267</v>
      </c>
      <c r="L5279" s="10">
        <v>40909</v>
      </c>
      <c r="M5279">
        <v>241.85</v>
      </c>
      <c r="N5279" s="11">
        <v>6</v>
      </c>
      <c r="O5279" s="12">
        <v>36.55</v>
      </c>
      <c r="P5279" s="12">
        <v>13.89</v>
      </c>
      <c r="Q5279" s="13">
        <v>-4.5</v>
      </c>
      <c r="R5279" s="36" t="s">
        <v>159</v>
      </c>
      <c r="S5279" s="7">
        <f t="shared" si="451"/>
        <v>1</v>
      </c>
      <c r="T5279" s="15" t="str">
        <f>VLOOKUP(R5279,产品分类!$C$2:$D$1278,2,0)</f>
        <v>数码电子</v>
      </c>
    </row>
    <row r="5280" spans="1:20">
      <c r="A5280" s="16">
        <f>DATE(2012,12,31)-881</f>
        <v>40393</v>
      </c>
      <c r="B5280" s="16">
        <f>DATE(2012,12,31)-881</f>
        <v>40393</v>
      </c>
      <c r="C5280" s="9" t="s">
        <v>394</v>
      </c>
      <c r="D5280">
        <v>10021553407</v>
      </c>
      <c r="E5280" t="s">
        <v>47</v>
      </c>
      <c r="F5280" t="s">
        <v>61</v>
      </c>
      <c r="G5280" t="s">
        <v>62</v>
      </c>
      <c r="H5280" t="s">
        <v>2431</v>
      </c>
      <c r="I5280" t="s">
        <v>2432</v>
      </c>
      <c r="J5280" t="s">
        <v>52</v>
      </c>
      <c r="K5280" s="3">
        <v>100432474523</v>
      </c>
      <c r="L5280" s="10">
        <v>40395</v>
      </c>
      <c r="M5280">
        <v>123.95</v>
      </c>
      <c r="N5280" s="17">
        <v>22</v>
      </c>
      <c r="O5280" s="5">
        <v>5.34</v>
      </c>
      <c r="P5280" s="5">
        <v>2.99</v>
      </c>
      <c r="Q5280" s="6">
        <v>2.4225</v>
      </c>
      <c r="R5280" s="37" t="s">
        <v>415</v>
      </c>
      <c r="S5280" s="7">
        <f t="shared" si="451"/>
        <v>2</v>
      </c>
      <c r="T5280" s="15" t="str">
        <f>VLOOKUP(R5280,产品分类!$C$2:$D$1278,2,0)</f>
        <v>办公用品</v>
      </c>
    </row>
    <row r="5281" spans="1:20">
      <c r="A5281" s="8">
        <f>DATE(2012,12,31)-768</f>
        <v>40506</v>
      </c>
      <c r="B5281" s="8">
        <f>DATE(2012,12,31)-768</f>
        <v>40506</v>
      </c>
      <c r="C5281" s="9" t="s">
        <v>977</v>
      </c>
      <c r="D5281">
        <v>10021326405</v>
      </c>
      <c r="E5281" t="s">
        <v>47</v>
      </c>
      <c r="F5281" t="s">
        <v>61</v>
      </c>
      <c r="G5281" t="s">
        <v>62</v>
      </c>
      <c r="H5281" t="s">
        <v>2431</v>
      </c>
      <c r="I5281" t="s">
        <v>2432</v>
      </c>
      <c r="J5281" t="s">
        <v>52</v>
      </c>
      <c r="K5281" s="3">
        <v>10075300345</v>
      </c>
      <c r="L5281" s="10">
        <v>40508</v>
      </c>
      <c r="M5281">
        <v>2440.26</v>
      </c>
      <c r="N5281" s="11">
        <v>50</v>
      </c>
      <c r="O5281" s="12">
        <v>45.19</v>
      </c>
      <c r="P5281" s="12">
        <v>1.99</v>
      </c>
      <c r="Q5281" s="13">
        <v>917.28</v>
      </c>
      <c r="R5281" s="36" t="s">
        <v>921</v>
      </c>
      <c r="S5281" s="7">
        <f t="shared" si="451"/>
        <v>2</v>
      </c>
      <c r="T5281" s="15" t="str">
        <f>VLOOKUP(R5281,产品分类!$C$2:$D$1278,2,0)</f>
        <v>家具产品</v>
      </c>
    </row>
    <row r="5282" spans="1:20">
      <c r="A5282" s="8">
        <f>DATE(2012,12,31)-768</f>
        <v>40506</v>
      </c>
      <c r="B5282" s="8">
        <f>DATE(2012,12,31)-768</f>
        <v>40506</v>
      </c>
      <c r="C5282" s="9" t="s">
        <v>977</v>
      </c>
      <c r="D5282">
        <v>10021291716</v>
      </c>
      <c r="E5282" t="s">
        <v>47</v>
      </c>
      <c r="F5282" t="s">
        <v>83</v>
      </c>
      <c r="G5282" t="s">
        <v>84</v>
      </c>
      <c r="H5282" t="s">
        <v>2349</v>
      </c>
      <c r="I5282" t="s">
        <v>2350</v>
      </c>
      <c r="J5282" t="s">
        <v>52</v>
      </c>
      <c r="K5282" s="3">
        <v>100420688574</v>
      </c>
      <c r="L5282" s="10">
        <v>40508</v>
      </c>
      <c r="M5282">
        <v>1008.19</v>
      </c>
      <c r="N5282" s="11">
        <v>23</v>
      </c>
      <c r="O5282" s="12">
        <v>45.19</v>
      </c>
      <c r="P5282" s="12">
        <v>1.99</v>
      </c>
      <c r="Q5282" s="13">
        <v>210.01</v>
      </c>
      <c r="R5282" s="36" t="s">
        <v>921</v>
      </c>
      <c r="S5282" s="7">
        <f t="shared" si="451"/>
        <v>2</v>
      </c>
      <c r="T5282" s="15" t="str">
        <f>VLOOKUP(R5282,产品分类!$C$2:$D$1278,2,0)</f>
        <v>家具产品</v>
      </c>
    </row>
    <row r="5283" spans="1:20">
      <c r="A5283" s="8">
        <f t="shared" ref="A5283:B5285" si="456">DATE(2012,12,31)-1043</f>
        <v>40231</v>
      </c>
      <c r="B5283" s="8">
        <f t="shared" si="456"/>
        <v>40231</v>
      </c>
      <c r="C5283" s="9" t="s">
        <v>1672</v>
      </c>
      <c r="D5283">
        <v>10021295208</v>
      </c>
      <c r="E5283" t="s">
        <v>47</v>
      </c>
      <c r="F5283" t="s">
        <v>97</v>
      </c>
      <c r="G5283" t="s">
        <v>98</v>
      </c>
      <c r="H5283" t="s">
        <v>99</v>
      </c>
      <c r="I5283" t="s">
        <v>98</v>
      </c>
      <c r="J5283" t="s">
        <v>52</v>
      </c>
      <c r="K5283" s="3">
        <v>100415428523</v>
      </c>
      <c r="L5283" s="10">
        <v>40232</v>
      </c>
      <c r="M5283">
        <v>19.96</v>
      </c>
      <c r="N5283" s="11">
        <v>1</v>
      </c>
      <c r="O5283" s="12">
        <v>4.98</v>
      </c>
      <c r="P5283" s="12">
        <v>4.86</v>
      </c>
      <c r="Q5283" s="13">
        <v>3.25</v>
      </c>
      <c r="R5283" s="36" t="s">
        <v>251</v>
      </c>
      <c r="S5283" s="7">
        <f t="shared" si="451"/>
        <v>1</v>
      </c>
      <c r="T5283" s="15" t="str">
        <f>VLOOKUP(R5283,产品分类!$C$2:$D$1278,2,0)</f>
        <v>办公用品</v>
      </c>
    </row>
    <row r="5284" spans="1:20">
      <c r="A5284" s="8">
        <f t="shared" si="456"/>
        <v>40231</v>
      </c>
      <c r="B5284" s="8">
        <f t="shared" si="456"/>
        <v>40231</v>
      </c>
      <c r="C5284" s="9" t="s">
        <v>1672</v>
      </c>
      <c r="D5284">
        <v>10021657759</v>
      </c>
      <c r="E5284" t="s">
        <v>47</v>
      </c>
      <c r="F5284" t="s">
        <v>48</v>
      </c>
      <c r="G5284" t="s">
        <v>49</v>
      </c>
      <c r="H5284" t="s">
        <v>2183</v>
      </c>
      <c r="I5284" t="s">
        <v>2184</v>
      </c>
      <c r="J5284" t="s">
        <v>52</v>
      </c>
      <c r="K5284" s="3">
        <v>10079943285</v>
      </c>
      <c r="L5284" s="10">
        <v>40233</v>
      </c>
      <c r="M5284">
        <v>148.99</v>
      </c>
      <c r="N5284" s="11">
        <v>41</v>
      </c>
      <c r="O5284" s="12">
        <v>3.57</v>
      </c>
      <c r="P5284" s="12">
        <v>4.17</v>
      </c>
      <c r="Q5284" s="13">
        <v>-115.48</v>
      </c>
      <c r="R5284" s="36" t="s">
        <v>641</v>
      </c>
      <c r="S5284" s="7">
        <f t="shared" si="451"/>
        <v>2</v>
      </c>
      <c r="T5284" s="15" t="str">
        <f>VLOOKUP(R5284,产品分类!$C$2:$D$1278,2,0)</f>
        <v>办公用品</v>
      </c>
    </row>
    <row r="5285" spans="1:20">
      <c r="A5285" s="8">
        <f t="shared" si="456"/>
        <v>40231</v>
      </c>
      <c r="B5285" s="8">
        <f t="shared" si="456"/>
        <v>40231</v>
      </c>
      <c r="C5285" s="9" t="s">
        <v>1672</v>
      </c>
      <c r="D5285">
        <v>10021509458</v>
      </c>
      <c r="E5285" t="s">
        <v>47</v>
      </c>
      <c r="F5285" t="s">
        <v>152</v>
      </c>
      <c r="G5285" t="s">
        <v>153</v>
      </c>
      <c r="H5285" t="s">
        <v>2302</v>
      </c>
      <c r="I5285" t="s">
        <v>2303</v>
      </c>
      <c r="J5285" t="s">
        <v>52</v>
      </c>
      <c r="K5285" s="3">
        <v>100332368549</v>
      </c>
      <c r="L5285" s="10">
        <v>40233</v>
      </c>
      <c r="M5285">
        <v>70.66</v>
      </c>
      <c r="N5285" s="11">
        <v>21</v>
      </c>
      <c r="O5285" s="12">
        <v>3.28</v>
      </c>
      <c r="P5285" s="12">
        <v>3.97</v>
      </c>
      <c r="Q5285" s="13">
        <v>-57.84</v>
      </c>
      <c r="R5285" s="36" t="s">
        <v>1756</v>
      </c>
      <c r="S5285" s="7">
        <f t="shared" si="451"/>
        <v>2</v>
      </c>
      <c r="T5285" s="15" t="str">
        <f>VLOOKUP(R5285,产品分类!$C$2:$D$1278,2,0)</f>
        <v>办公用品</v>
      </c>
    </row>
    <row r="5286" spans="1:20">
      <c r="A5286" s="8">
        <f>DATE(2012,12,31)-224</f>
        <v>41050</v>
      </c>
      <c r="B5286" s="8">
        <f>DATE(2012,12,31)-224</f>
        <v>41050</v>
      </c>
      <c r="C5286" s="9" t="s">
        <v>1682</v>
      </c>
      <c r="D5286">
        <v>10021547155</v>
      </c>
      <c r="E5286" t="s">
        <v>47</v>
      </c>
      <c r="F5286" t="s">
        <v>152</v>
      </c>
      <c r="G5286" t="s">
        <v>153</v>
      </c>
      <c r="H5286" t="s">
        <v>2302</v>
      </c>
      <c r="I5286" t="s">
        <v>2303</v>
      </c>
      <c r="J5286" t="s">
        <v>52</v>
      </c>
      <c r="K5286" s="3">
        <v>100122273356</v>
      </c>
      <c r="L5286" s="10">
        <v>41051</v>
      </c>
      <c r="M5286">
        <v>368.18</v>
      </c>
      <c r="N5286" s="11">
        <v>32</v>
      </c>
      <c r="O5286" s="12">
        <v>12.21</v>
      </c>
      <c r="P5286" s="12">
        <v>4.81</v>
      </c>
      <c r="Q5286" s="13">
        <v>-36.78</v>
      </c>
      <c r="R5286" s="36" t="s">
        <v>1767</v>
      </c>
      <c r="S5286" s="7">
        <f t="shared" si="451"/>
        <v>1</v>
      </c>
      <c r="T5286" s="15" t="str">
        <f>VLOOKUP(R5286,产品分类!$C$2:$D$1278,2,0)</f>
        <v>数码电子</v>
      </c>
    </row>
    <row r="5287" spans="1:20">
      <c r="A5287" s="8">
        <f>DATE(2012,12,31)-1440</f>
        <v>39834</v>
      </c>
      <c r="B5287" s="8">
        <f>DATE(2012,12,31)-1440</f>
        <v>39834</v>
      </c>
      <c r="C5287" s="9" t="s">
        <v>431</v>
      </c>
      <c r="D5287">
        <v>10021334955</v>
      </c>
      <c r="E5287" t="s">
        <v>47</v>
      </c>
      <c r="F5287" t="s">
        <v>152</v>
      </c>
      <c r="G5287" t="s">
        <v>153</v>
      </c>
      <c r="H5287" t="s">
        <v>2302</v>
      </c>
      <c r="I5287" t="s">
        <v>2303</v>
      </c>
      <c r="J5287" t="s">
        <v>52</v>
      </c>
      <c r="K5287" s="3">
        <v>100317053879</v>
      </c>
      <c r="L5287" s="10">
        <v>39836</v>
      </c>
      <c r="M5287">
        <v>139.98</v>
      </c>
      <c r="N5287" s="11">
        <v>33</v>
      </c>
      <c r="O5287" s="12">
        <v>4.13</v>
      </c>
      <c r="P5287" s="12">
        <v>6.89</v>
      </c>
      <c r="Q5287" s="13">
        <v>-140.54</v>
      </c>
      <c r="R5287" s="36" t="s">
        <v>1335</v>
      </c>
      <c r="S5287" s="7">
        <f t="shared" si="451"/>
        <v>2</v>
      </c>
      <c r="T5287" s="15" t="str">
        <f>VLOOKUP(R5287,产品分类!$C$2:$D$1278,2,0)</f>
        <v>数码电子</v>
      </c>
    </row>
    <row r="5288" spans="1:20">
      <c r="A5288" s="8">
        <f>DATE(2012,12,31)-395</f>
        <v>40879</v>
      </c>
      <c r="B5288" s="8">
        <f>DATE(2012,12,31)-395</f>
        <v>40879</v>
      </c>
      <c r="C5288" s="9" t="s">
        <v>176</v>
      </c>
      <c r="D5288">
        <v>10021386413</v>
      </c>
      <c r="E5288" t="s">
        <v>47</v>
      </c>
      <c r="F5288" t="s">
        <v>66</v>
      </c>
      <c r="G5288" t="s">
        <v>67</v>
      </c>
      <c r="H5288" t="s">
        <v>2413</v>
      </c>
      <c r="I5288" t="s">
        <v>2414</v>
      </c>
      <c r="J5288" t="s">
        <v>52</v>
      </c>
      <c r="K5288" s="3">
        <v>10089609402</v>
      </c>
      <c r="L5288" s="10">
        <v>40880</v>
      </c>
      <c r="M5288">
        <v>472.35</v>
      </c>
      <c r="N5288" s="11">
        <v>31</v>
      </c>
      <c r="O5288" s="12">
        <v>14.48</v>
      </c>
      <c r="P5288" s="12">
        <v>6.46</v>
      </c>
      <c r="Q5288" s="13">
        <v>61.676</v>
      </c>
      <c r="R5288" s="36" t="s">
        <v>684</v>
      </c>
      <c r="S5288" s="7">
        <f t="shared" si="451"/>
        <v>1</v>
      </c>
      <c r="T5288" s="15" t="str">
        <f>VLOOKUP(R5288,产品分类!$C$2:$D$1278,2,0)</f>
        <v>办公用品</v>
      </c>
    </row>
    <row r="5289" spans="1:20">
      <c r="A5289" s="8">
        <f>DATE(2012,12,31)-1088</f>
        <v>40186</v>
      </c>
      <c r="B5289" s="8">
        <f>DATE(2012,12,31)-1088</f>
        <v>40186</v>
      </c>
      <c r="C5289" s="9" t="s">
        <v>987</v>
      </c>
      <c r="D5289">
        <v>10021268846</v>
      </c>
      <c r="E5289" t="s">
        <v>47</v>
      </c>
      <c r="F5289" t="s">
        <v>66</v>
      </c>
      <c r="G5289" t="s">
        <v>67</v>
      </c>
      <c r="H5289" t="s">
        <v>2413</v>
      </c>
      <c r="I5289" t="s">
        <v>2414</v>
      </c>
      <c r="J5289" t="s">
        <v>52</v>
      </c>
      <c r="K5289" s="3">
        <v>100432417003</v>
      </c>
      <c r="L5289" s="10">
        <v>40186</v>
      </c>
      <c r="M5289">
        <v>478.27</v>
      </c>
      <c r="N5289" s="11">
        <v>33</v>
      </c>
      <c r="O5289" s="12">
        <v>13.99</v>
      </c>
      <c r="P5289" s="12">
        <v>7.51</v>
      </c>
      <c r="Q5289" s="13">
        <v>-4.8459</v>
      </c>
      <c r="R5289" s="36" t="s">
        <v>397</v>
      </c>
      <c r="S5289" s="7">
        <f t="shared" si="451"/>
        <v>0</v>
      </c>
      <c r="T5289" s="15" t="str">
        <f>VLOOKUP(R5289,产品分类!$C$2:$D$1278,2,0)</f>
        <v>办公用品</v>
      </c>
    </row>
    <row r="5290" spans="1:20">
      <c r="A5290" s="16">
        <f t="shared" ref="A5290:B5292" si="457">DATE(2012,12,31)-794</f>
        <v>40480</v>
      </c>
      <c r="B5290" s="16">
        <f t="shared" si="457"/>
        <v>40480</v>
      </c>
      <c r="C5290" s="9" t="s">
        <v>586</v>
      </c>
      <c r="D5290">
        <v>10021370512</v>
      </c>
      <c r="E5290" t="s">
        <v>47</v>
      </c>
      <c r="F5290" t="s">
        <v>152</v>
      </c>
      <c r="G5290" t="s">
        <v>153</v>
      </c>
      <c r="H5290" t="s">
        <v>2302</v>
      </c>
      <c r="I5290" t="s">
        <v>2303</v>
      </c>
      <c r="J5290" t="s">
        <v>52</v>
      </c>
      <c r="K5290" s="3">
        <v>100114203938</v>
      </c>
      <c r="L5290" s="10">
        <v>40482</v>
      </c>
      <c r="M5290">
        <v>9081.98</v>
      </c>
      <c r="N5290" s="17">
        <v>39</v>
      </c>
      <c r="O5290" s="5">
        <v>232.58</v>
      </c>
      <c r="P5290" s="5">
        <v>19.99</v>
      </c>
      <c r="Q5290" s="6">
        <v>2485.54</v>
      </c>
      <c r="R5290" s="37" t="s">
        <v>2435</v>
      </c>
      <c r="S5290" s="7">
        <f t="shared" si="451"/>
        <v>2</v>
      </c>
      <c r="T5290" s="15" t="str">
        <f>VLOOKUP(R5290,产品分类!$C$2:$D$1278,2,0)</f>
        <v>办公用品</v>
      </c>
    </row>
    <row r="5291" spans="1:20">
      <c r="A5291" s="16">
        <f t="shared" si="457"/>
        <v>40480</v>
      </c>
      <c r="B5291" s="16">
        <f t="shared" si="457"/>
        <v>40480</v>
      </c>
      <c r="C5291" s="9" t="s">
        <v>586</v>
      </c>
      <c r="D5291">
        <v>10021339067</v>
      </c>
      <c r="E5291" t="s">
        <v>47</v>
      </c>
      <c r="F5291" t="s">
        <v>78</v>
      </c>
      <c r="G5291" t="s">
        <v>79</v>
      </c>
      <c r="H5291" t="s">
        <v>2420</v>
      </c>
      <c r="I5291" t="s">
        <v>2421</v>
      </c>
      <c r="J5291" t="s">
        <v>52</v>
      </c>
      <c r="K5291" s="3">
        <v>100415771883</v>
      </c>
      <c r="L5291" s="10">
        <v>40482</v>
      </c>
      <c r="M5291">
        <v>806.08</v>
      </c>
      <c r="N5291" s="17">
        <v>31</v>
      </c>
      <c r="O5291" s="5">
        <v>26.17</v>
      </c>
      <c r="P5291" s="5">
        <v>1.39</v>
      </c>
      <c r="Q5291" s="6">
        <v>402.37</v>
      </c>
      <c r="R5291" s="37" t="s">
        <v>2433</v>
      </c>
      <c r="S5291" s="7">
        <f t="shared" si="451"/>
        <v>2</v>
      </c>
      <c r="T5291" s="15" t="str">
        <f>VLOOKUP(R5291,产品分类!$C$2:$D$1278,2,0)</f>
        <v>数码电子</v>
      </c>
    </row>
    <row r="5292" spans="1:20">
      <c r="A5292" s="16">
        <f t="shared" si="457"/>
        <v>40480</v>
      </c>
      <c r="B5292" s="16">
        <f t="shared" si="457"/>
        <v>40480</v>
      </c>
      <c r="C5292" s="9" t="s">
        <v>586</v>
      </c>
      <c r="D5292">
        <v>10021453329</v>
      </c>
      <c r="E5292" t="s">
        <v>47</v>
      </c>
      <c r="F5292" t="s">
        <v>72</v>
      </c>
      <c r="G5292" t="s">
        <v>73</v>
      </c>
      <c r="H5292" t="s">
        <v>2417</v>
      </c>
      <c r="I5292" t="s">
        <v>2418</v>
      </c>
      <c r="J5292" t="s">
        <v>52</v>
      </c>
      <c r="K5292" s="3">
        <v>100431995283</v>
      </c>
      <c r="L5292" s="10">
        <v>40483</v>
      </c>
      <c r="M5292">
        <v>70.02</v>
      </c>
      <c r="N5292" s="17">
        <v>4</v>
      </c>
      <c r="O5292" s="5">
        <v>15.31</v>
      </c>
      <c r="P5292" s="5">
        <v>8.78</v>
      </c>
      <c r="Q5292" s="6">
        <v>-30.63</v>
      </c>
      <c r="R5292" s="37" t="s">
        <v>1131</v>
      </c>
      <c r="S5292" s="7">
        <f t="shared" si="451"/>
        <v>3</v>
      </c>
      <c r="T5292" s="15" t="str">
        <f>VLOOKUP(R5292,产品分类!$C$2:$D$1278,2,0)</f>
        <v>数码电子</v>
      </c>
    </row>
    <row r="5293" spans="1:20">
      <c r="A5293" s="8">
        <f>DATE(2012,12,31)-1271</f>
        <v>40003</v>
      </c>
      <c r="B5293" s="8">
        <f>DATE(2012,12,31)-1271</f>
        <v>40003</v>
      </c>
      <c r="C5293" s="9" t="s">
        <v>268</v>
      </c>
      <c r="D5293">
        <v>10021527434</v>
      </c>
      <c r="E5293" t="s">
        <v>47</v>
      </c>
      <c r="F5293" t="s">
        <v>72</v>
      </c>
      <c r="G5293" t="s">
        <v>73</v>
      </c>
      <c r="H5293" t="s">
        <v>2417</v>
      </c>
      <c r="I5293" t="s">
        <v>2418</v>
      </c>
      <c r="J5293" t="s">
        <v>52</v>
      </c>
      <c r="K5293" s="3">
        <v>100126401836</v>
      </c>
      <c r="L5293" s="10">
        <v>40005</v>
      </c>
      <c r="M5293">
        <v>24.09</v>
      </c>
      <c r="N5293" s="11">
        <v>5</v>
      </c>
      <c r="O5293" s="12">
        <v>3.81</v>
      </c>
      <c r="P5293" s="12">
        <v>5.44</v>
      </c>
      <c r="Q5293" s="13">
        <v>-20.2285</v>
      </c>
      <c r="R5293" s="36" t="s">
        <v>878</v>
      </c>
      <c r="S5293" s="7">
        <f t="shared" si="451"/>
        <v>2</v>
      </c>
      <c r="T5293" s="15" t="str">
        <f>VLOOKUP(R5293,产品分类!$C$2:$D$1278,2,0)</f>
        <v>数码电子</v>
      </c>
    </row>
    <row r="5294" spans="1:20">
      <c r="A5294" s="8">
        <f>DATE(2012,12,31)-1271</f>
        <v>40003</v>
      </c>
      <c r="B5294" s="8">
        <f>DATE(2012,12,31)-1271</f>
        <v>40003</v>
      </c>
      <c r="C5294" s="9" t="s">
        <v>268</v>
      </c>
      <c r="D5294">
        <v>10021504178</v>
      </c>
      <c r="E5294" t="s">
        <v>47</v>
      </c>
      <c r="F5294" t="s">
        <v>72</v>
      </c>
      <c r="G5294" t="s">
        <v>73</v>
      </c>
      <c r="H5294" t="s">
        <v>2417</v>
      </c>
      <c r="I5294" t="s">
        <v>2418</v>
      </c>
      <c r="J5294" t="s">
        <v>52</v>
      </c>
      <c r="K5294" s="3">
        <v>10017457728</v>
      </c>
      <c r="L5294" s="10">
        <v>40003</v>
      </c>
      <c r="M5294">
        <v>173.27</v>
      </c>
      <c r="N5294" s="11">
        <v>41</v>
      </c>
      <c r="O5294" s="12">
        <v>4</v>
      </c>
      <c r="P5294" s="12">
        <v>1.3</v>
      </c>
      <c r="Q5294" s="13">
        <v>51.29</v>
      </c>
      <c r="R5294" s="36" t="s">
        <v>1003</v>
      </c>
      <c r="S5294" s="7">
        <f t="shared" si="451"/>
        <v>0</v>
      </c>
      <c r="T5294" s="15" t="str">
        <f>VLOOKUP(R5294,产品分类!$C$2:$D$1278,2,0)</f>
        <v>数码电子</v>
      </c>
    </row>
    <row r="5295" spans="1:20">
      <c r="A5295" s="8">
        <f>DATE(2012,12,31)-1119</f>
        <v>40155</v>
      </c>
      <c r="B5295" s="8">
        <f>DATE(2012,12,31)-1119</f>
        <v>40155</v>
      </c>
      <c r="C5295" s="9" t="s">
        <v>2285</v>
      </c>
      <c r="D5295">
        <v>10021591357</v>
      </c>
      <c r="E5295" t="s">
        <v>47</v>
      </c>
      <c r="F5295" t="s">
        <v>72</v>
      </c>
      <c r="G5295" t="s">
        <v>73</v>
      </c>
      <c r="H5295" t="s">
        <v>2417</v>
      </c>
      <c r="I5295" t="s">
        <v>2418</v>
      </c>
      <c r="J5295" t="s">
        <v>52</v>
      </c>
      <c r="K5295" s="3">
        <v>100331781569</v>
      </c>
      <c r="L5295" s="10">
        <v>40158</v>
      </c>
      <c r="M5295">
        <v>3390.51</v>
      </c>
      <c r="N5295" s="11">
        <v>27</v>
      </c>
      <c r="O5295" s="12">
        <v>122.99</v>
      </c>
      <c r="P5295" s="12">
        <v>19.99</v>
      </c>
      <c r="Q5295" s="13">
        <v>1169.7105</v>
      </c>
      <c r="R5295" s="36" t="s">
        <v>389</v>
      </c>
      <c r="S5295" s="7">
        <f t="shared" si="451"/>
        <v>3</v>
      </c>
      <c r="T5295" s="15" t="str">
        <f>VLOOKUP(R5295,产品分类!$C$2:$D$1278,2,0)</f>
        <v>家具产品</v>
      </c>
    </row>
    <row r="5296" spans="1:20">
      <c r="A5296" s="8">
        <f>DATE(2012,12,31)-570</f>
        <v>40704</v>
      </c>
      <c r="B5296" s="8">
        <f>DATE(2012,12,31)-570</f>
        <v>40704</v>
      </c>
      <c r="C5296" s="9" t="s">
        <v>515</v>
      </c>
      <c r="D5296">
        <v>10021496007</v>
      </c>
      <c r="E5296" t="s">
        <v>47</v>
      </c>
      <c r="F5296" t="s">
        <v>78</v>
      </c>
      <c r="G5296" t="s">
        <v>79</v>
      </c>
      <c r="H5296" t="s">
        <v>2420</v>
      </c>
      <c r="I5296" t="s">
        <v>2421</v>
      </c>
      <c r="J5296" t="s">
        <v>52</v>
      </c>
      <c r="K5296" s="3">
        <v>100114713347</v>
      </c>
      <c r="L5296" s="10">
        <v>40706</v>
      </c>
      <c r="M5296">
        <v>601.78</v>
      </c>
      <c r="N5296" s="11">
        <v>44</v>
      </c>
      <c r="O5296" s="12">
        <v>13.48</v>
      </c>
      <c r="P5296" s="12">
        <v>4.51</v>
      </c>
      <c r="Q5296" s="13">
        <v>26.44</v>
      </c>
      <c r="R5296" s="36" t="s">
        <v>550</v>
      </c>
      <c r="S5296" s="7">
        <f t="shared" si="451"/>
        <v>2</v>
      </c>
      <c r="T5296" s="15" t="str">
        <f>VLOOKUP(R5296,产品分类!$C$2:$D$1278,2,0)</f>
        <v>办公用品</v>
      </c>
    </row>
    <row r="5297" spans="1:20">
      <c r="A5297" s="8">
        <f>DATE(2012,12,31)-1446</f>
        <v>39828</v>
      </c>
      <c r="B5297" s="8">
        <f>DATE(2012,12,31)-1446</f>
        <v>39828</v>
      </c>
      <c r="C5297" s="9" t="s">
        <v>213</v>
      </c>
      <c r="D5297">
        <v>10021620684</v>
      </c>
      <c r="E5297" t="s">
        <v>47</v>
      </c>
      <c r="F5297" t="s">
        <v>230</v>
      </c>
      <c r="G5297" t="s">
        <v>231</v>
      </c>
      <c r="H5297" t="s">
        <v>2372</v>
      </c>
      <c r="I5297" t="s">
        <v>2373</v>
      </c>
      <c r="J5297" t="s">
        <v>52</v>
      </c>
      <c r="K5297" s="3">
        <v>10076763675</v>
      </c>
      <c r="L5297" s="10">
        <v>39828</v>
      </c>
      <c r="M5297">
        <v>447.89</v>
      </c>
      <c r="N5297" s="11">
        <v>48</v>
      </c>
      <c r="O5297" s="12">
        <v>8.6</v>
      </c>
      <c r="P5297" s="12">
        <v>6.19</v>
      </c>
      <c r="Q5297" s="13">
        <v>-26.7835</v>
      </c>
      <c r="R5297" s="36" t="s">
        <v>443</v>
      </c>
      <c r="S5297" s="7">
        <f t="shared" si="451"/>
        <v>0</v>
      </c>
      <c r="T5297" s="15" t="str">
        <f>VLOOKUP(R5297,产品分类!$C$2:$D$1278,2,0)</f>
        <v>办公用品</v>
      </c>
    </row>
    <row r="5298" spans="1:20">
      <c r="A5298" s="8">
        <f>DATE(2012,12,31)-1153</f>
        <v>40121</v>
      </c>
      <c r="B5298" s="8">
        <f>DATE(2012,12,31)-1153</f>
        <v>40121</v>
      </c>
      <c r="C5298" s="9" t="s">
        <v>1804</v>
      </c>
      <c r="D5298">
        <v>10021668926</v>
      </c>
      <c r="E5298" t="s">
        <v>47</v>
      </c>
      <c r="F5298" t="s">
        <v>230</v>
      </c>
      <c r="G5298" t="s">
        <v>231</v>
      </c>
      <c r="H5298" t="s">
        <v>2372</v>
      </c>
      <c r="I5298" t="s">
        <v>2373</v>
      </c>
      <c r="J5298" t="s">
        <v>52</v>
      </c>
      <c r="K5298" s="3">
        <v>100929510301</v>
      </c>
      <c r="L5298" s="10">
        <v>40121</v>
      </c>
      <c r="M5298">
        <v>752.63</v>
      </c>
      <c r="N5298" s="11">
        <v>24</v>
      </c>
      <c r="O5298" s="12">
        <v>30.98</v>
      </c>
      <c r="P5298" s="12">
        <v>9.18</v>
      </c>
      <c r="Q5298" s="13">
        <v>172.94</v>
      </c>
      <c r="R5298" s="36" t="s">
        <v>2019</v>
      </c>
      <c r="S5298" s="7">
        <f t="shared" si="451"/>
        <v>0</v>
      </c>
      <c r="T5298" s="15" t="str">
        <f>VLOOKUP(R5298,产品分类!$C$2:$D$1278,2,0)</f>
        <v>办公用品</v>
      </c>
    </row>
    <row r="5299" spans="1:20">
      <c r="A5299" s="16">
        <f>DATE(2012,12,31)-1153</f>
        <v>40121</v>
      </c>
      <c r="B5299" s="16">
        <f>DATE(2012,12,31)-1153</f>
        <v>40121</v>
      </c>
      <c r="C5299" s="9" t="s">
        <v>1804</v>
      </c>
      <c r="D5299">
        <v>10021443755</v>
      </c>
      <c r="E5299" t="s">
        <v>47</v>
      </c>
      <c r="F5299" t="s">
        <v>78</v>
      </c>
      <c r="G5299" t="s">
        <v>79</v>
      </c>
      <c r="H5299" t="s">
        <v>2420</v>
      </c>
      <c r="I5299" t="s">
        <v>2421</v>
      </c>
      <c r="J5299" t="s">
        <v>52</v>
      </c>
      <c r="K5299" s="3">
        <v>10041667343</v>
      </c>
      <c r="L5299" s="10">
        <v>40123</v>
      </c>
      <c r="M5299">
        <v>88.37</v>
      </c>
      <c r="N5299" s="17">
        <v>25</v>
      </c>
      <c r="O5299" s="5">
        <v>3.75</v>
      </c>
      <c r="P5299" s="5">
        <v>0.5</v>
      </c>
      <c r="Q5299" s="6">
        <v>33.68</v>
      </c>
      <c r="R5299" s="37" t="s">
        <v>1759</v>
      </c>
      <c r="S5299" s="7">
        <f t="shared" si="451"/>
        <v>2</v>
      </c>
      <c r="T5299" s="15" t="str">
        <f>VLOOKUP(R5299,产品分类!$C$2:$D$1278,2,0)</f>
        <v>家具产品</v>
      </c>
    </row>
    <row r="5300" spans="1:20">
      <c r="A5300" s="8">
        <f>DATE(2012,12,31)-1101</f>
        <v>40173</v>
      </c>
      <c r="B5300" s="8">
        <f>DATE(2012,12,31)-1101</f>
        <v>40173</v>
      </c>
      <c r="C5300" s="9" t="s">
        <v>1196</v>
      </c>
      <c r="D5300">
        <v>10021422121</v>
      </c>
      <c r="E5300" t="s">
        <v>47</v>
      </c>
      <c r="F5300" t="s">
        <v>114</v>
      </c>
      <c r="G5300" t="s">
        <v>115</v>
      </c>
      <c r="H5300" t="s">
        <v>2374</v>
      </c>
      <c r="I5300" t="s">
        <v>2375</v>
      </c>
      <c r="J5300" t="s">
        <v>52</v>
      </c>
      <c r="K5300" s="3">
        <v>100326815279</v>
      </c>
      <c r="L5300" s="10">
        <v>40174</v>
      </c>
      <c r="M5300">
        <v>1393.39</v>
      </c>
      <c r="N5300" s="11">
        <v>15</v>
      </c>
      <c r="O5300" s="12">
        <v>100.97</v>
      </c>
      <c r="P5300" s="12">
        <v>7.18</v>
      </c>
      <c r="Q5300" s="13">
        <v>84.15</v>
      </c>
      <c r="R5300" s="36" t="s">
        <v>2187</v>
      </c>
      <c r="S5300" s="7">
        <f t="shared" si="451"/>
        <v>1</v>
      </c>
      <c r="T5300" s="15" t="str">
        <f>VLOOKUP(R5300,产品分类!$C$2:$D$1278,2,0)</f>
        <v>家具产品</v>
      </c>
    </row>
    <row r="5301" spans="1:20">
      <c r="A5301" s="8">
        <f>DATE(2012,12,31)-1101</f>
        <v>40173</v>
      </c>
      <c r="B5301" s="8">
        <f>DATE(2012,12,31)-1101</f>
        <v>40173</v>
      </c>
      <c r="C5301" s="9" t="s">
        <v>1196</v>
      </c>
      <c r="D5301">
        <v>10021467463</v>
      </c>
      <c r="E5301" t="s">
        <v>47</v>
      </c>
      <c r="F5301" t="s">
        <v>91</v>
      </c>
      <c r="G5301" t="s">
        <v>92</v>
      </c>
      <c r="H5301" t="s">
        <v>2053</v>
      </c>
      <c r="I5301" t="s">
        <v>2054</v>
      </c>
      <c r="J5301" t="s">
        <v>52</v>
      </c>
      <c r="K5301" s="3">
        <v>100916531581</v>
      </c>
      <c r="L5301" s="10">
        <v>40174</v>
      </c>
      <c r="M5301">
        <v>601.52</v>
      </c>
      <c r="N5301" s="11">
        <v>42</v>
      </c>
      <c r="O5301" s="12">
        <v>13.4</v>
      </c>
      <c r="P5301" s="12">
        <v>4.95</v>
      </c>
      <c r="Q5301" s="13">
        <v>171.98</v>
      </c>
      <c r="R5301" s="36" t="s">
        <v>2000</v>
      </c>
      <c r="S5301" s="7">
        <f t="shared" si="451"/>
        <v>1</v>
      </c>
      <c r="T5301" s="15" t="str">
        <f>VLOOKUP(R5301,产品分类!$C$2:$D$1278,2,0)</f>
        <v>办公用品</v>
      </c>
    </row>
    <row r="5302" spans="1:20">
      <c r="A5302" s="8">
        <f>DATE(2012,12,31)-1235</f>
        <v>40039</v>
      </c>
      <c r="B5302" s="8">
        <f>DATE(2012,12,31)-1235</f>
        <v>40039</v>
      </c>
      <c r="C5302" s="9" t="s">
        <v>500</v>
      </c>
      <c r="D5302">
        <v>10021494912</v>
      </c>
      <c r="E5302" t="s">
        <v>47</v>
      </c>
      <c r="F5302" t="s">
        <v>91</v>
      </c>
      <c r="G5302" t="s">
        <v>92</v>
      </c>
      <c r="H5302" t="s">
        <v>2053</v>
      </c>
      <c r="I5302" t="s">
        <v>2054</v>
      </c>
      <c r="J5302" t="s">
        <v>52</v>
      </c>
      <c r="K5302" s="3">
        <v>100113162377</v>
      </c>
      <c r="L5302" s="10">
        <v>40040</v>
      </c>
      <c r="M5302">
        <v>157.85</v>
      </c>
      <c r="N5302" s="11">
        <v>18</v>
      </c>
      <c r="O5302" s="12">
        <v>8.33</v>
      </c>
      <c r="P5302" s="12">
        <v>1.99</v>
      </c>
      <c r="Q5302" s="13">
        <v>10.74</v>
      </c>
      <c r="R5302" s="36" t="s">
        <v>1011</v>
      </c>
      <c r="S5302" s="7">
        <f t="shared" si="451"/>
        <v>1</v>
      </c>
      <c r="T5302" s="15" t="str">
        <f>VLOOKUP(R5302,产品分类!$C$2:$D$1278,2,0)</f>
        <v>家具产品</v>
      </c>
    </row>
    <row r="5303" spans="1:20">
      <c r="A5303" s="8">
        <f>DATE(2012,12,31)-1235</f>
        <v>40039</v>
      </c>
      <c r="B5303" s="8">
        <f>DATE(2012,12,31)-1235</f>
        <v>40039</v>
      </c>
      <c r="C5303" s="9" t="s">
        <v>500</v>
      </c>
      <c r="D5303">
        <v>10021666331</v>
      </c>
      <c r="E5303" t="s">
        <v>47</v>
      </c>
      <c r="F5303" t="s">
        <v>122</v>
      </c>
      <c r="G5303" t="s">
        <v>123</v>
      </c>
      <c r="H5303" t="s">
        <v>2159</v>
      </c>
      <c r="I5303" t="s">
        <v>2160</v>
      </c>
      <c r="J5303" t="s">
        <v>52</v>
      </c>
      <c r="K5303" s="3">
        <v>100912956341</v>
      </c>
      <c r="L5303" s="10">
        <v>40041</v>
      </c>
      <c r="M5303">
        <v>2773.0315</v>
      </c>
      <c r="N5303" s="11">
        <v>38</v>
      </c>
      <c r="O5303" s="12">
        <v>85.99</v>
      </c>
      <c r="P5303" s="12">
        <v>0.99</v>
      </c>
      <c r="Q5303" s="13">
        <v>897.867</v>
      </c>
      <c r="R5303" s="36" t="s">
        <v>1684</v>
      </c>
      <c r="S5303" s="7">
        <f t="shared" si="451"/>
        <v>2</v>
      </c>
      <c r="T5303" s="15" t="str">
        <f>VLOOKUP(R5303,产品分类!$C$2:$D$1278,2,0)</f>
        <v>办公用品</v>
      </c>
    </row>
    <row r="5304" spans="1:20">
      <c r="A5304" s="16">
        <f>DATE(2012,12,31)-208</f>
        <v>41066</v>
      </c>
      <c r="B5304" s="16">
        <f>DATE(2012,12,31)-208</f>
        <v>41066</v>
      </c>
      <c r="C5304" s="9" t="s">
        <v>1906</v>
      </c>
      <c r="D5304">
        <v>10021248366</v>
      </c>
      <c r="E5304" t="s">
        <v>47</v>
      </c>
      <c r="F5304" t="s">
        <v>91</v>
      </c>
      <c r="G5304" t="s">
        <v>92</v>
      </c>
      <c r="H5304" t="s">
        <v>2053</v>
      </c>
      <c r="I5304" t="s">
        <v>2054</v>
      </c>
      <c r="J5304" t="s">
        <v>52</v>
      </c>
      <c r="K5304" s="3">
        <v>10081644762</v>
      </c>
      <c r="L5304" s="10">
        <v>41067</v>
      </c>
      <c r="M5304">
        <v>135.02</v>
      </c>
      <c r="N5304" s="17">
        <v>20</v>
      </c>
      <c r="O5304" s="5">
        <v>6.48</v>
      </c>
      <c r="P5304" s="5">
        <v>6.74</v>
      </c>
      <c r="Q5304" s="6">
        <v>-60.69</v>
      </c>
      <c r="R5304" s="37" t="s">
        <v>959</v>
      </c>
      <c r="S5304" s="7">
        <f t="shared" si="451"/>
        <v>1</v>
      </c>
      <c r="T5304" s="15" t="str">
        <f>VLOOKUP(R5304,产品分类!$C$2:$D$1278,2,0)</f>
        <v>家具产品</v>
      </c>
    </row>
    <row r="5305" spans="1:20">
      <c r="A5305" s="8">
        <f>DATE(2012,12,31)-327</f>
        <v>40947</v>
      </c>
      <c r="B5305" s="8">
        <f>DATE(2012,12,31)-327</f>
        <v>40947</v>
      </c>
      <c r="C5305" s="9" t="s">
        <v>815</v>
      </c>
      <c r="D5305">
        <v>10021266906</v>
      </c>
      <c r="E5305" t="s">
        <v>47</v>
      </c>
      <c r="F5305" t="s">
        <v>91</v>
      </c>
      <c r="G5305" t="s">
        <v>92</v>
      </c>
      <c r="H5305" t="s">
        <v>2053</v>
      </c>
      <c r="I5305" t="s">
        <v>2054</v>
      </c>
      <c r="J5305" t="s">
        <v>52</v>
      </c>
      <c r="K5305" s="3">
        <v>100432062584</v>
      </c>
      <c r="L5305" s="10">
        <v>40948</v>
      </c>
      <c r="M5305">
        <v>169.61</v>
      </c>
      <c r="N5305" s="11">
        <v>29</v>
      </c>
      <c r="O5305" s="12">
        <v>5.94</v>
      </c>
      <c r="P5305" s="12">
        <v>9.92</v>
      </c>
      <c r="Q5305" s="13">
        <v>-211.0595</v>
      </c>
      <c r="R5305" s="36" t="s">
        <v>2014</v>
      </c>
      <c r="S5305" s="7">
        <f t="shared" si="451"/>
        <v>1</v>
      </c>
      <c r="T5305" s="15" t="str">
        <f>VLOOKUP(R5305,产品分类!$C$2:$D$1278,2,0)</f>
        <v>办公用品</v>
      </c>
    </row>
    <row r="5306" spans="1:20">
      <c r="A5306" s="8">
        <f>DATE(2012,12,31)-327</f>
        <v>40947</v>
      </c>
      <c r="B5306" s="8">
        <f>DATE(2012,12,31)-327</f>
        <v>40947</v>
      </c>
      <c r="C5306" s="9" t="s">
        <v>815</v>
      </c>
      <c r="D5306">
        <v>10021386489</v>
      </c>
      <c r="E5306" t="s">
        <v>47</v>
      </c>
      <c r="F5306" t="s">
        <v>55</v>
      </c>
      <c r="G5306" t="s">
        <v>56</v>
      </c>
      <c r="H5306" t="s">
        <v>2425</v>
      </c>
      <c r="I5306" t="s">
        <v>2426</v>
      </c>
      <c r="J5306" t="s">
        <v>52</v>
      </c>
      <c r="K5306" s="3">
        <v>100710343775</v>
      </c>
      <c r="L5306" s="10">
        <v>40948</v>
      </c>
      <c r="M5306">
        <v>1247.9275</v>
      </c>
      <c r="N5306" s="11">
        <v>24</v>
      </c>
      <c r="O5306" s="12">
        <v>65.99</v>
      </c>
      <c r="P5306" s="12">
        <v>2.5</v>
      </c>
      <c r="Q5306" s="13">
        <v>186.417</v>
      </c>
      <c r="R5306" s="36" t="s">
        <v>293</v>
      </c>
      <c r="S5306" s="7">
        <f t="shared" si="451"/>
        <v>1</v>
      </c>
      <c r="T5306" s="15" t="str">
        <f>VLOOKUP(R5306,产品分类!$C$2:$D$1278,2,0)</f>
        <v>办公用品</v>
      </c>
    </row>
    <row r="5307" spans="1:20">
      <c r="A5307" s="8">
        <f t="shared" ref="A5307:B5309" si="458">DATE(2012,12,31)-37</f>
        <v>41237</v>
      </c>
      <c r="B5307" s="8">
        <f t="shared" si="458"/>
        <v>41237</v>
      </c>
      <c r="C5307" s="9" t="s">
        <v>2131</v>
      </c>
      <c r="D5307">
        <v>10021420041</v>
      </c>
      <c r="E5307" t="s">
        <v>47</v>
      </c>
      <c r="F5307" t="s">
        <v>122</v>
      </c>
      <c r="G5307" t="s">
        <v>123</v>
      </c>
      <c r="H5307" t="s">
        <v>2159</v>
      </c>
      <c r="I5307" t="s">
        <v>2160</v>
      </c>
      <c r="J5307" t="s">
        <v>52</v>
      </c>
      <c r="K5307" s="3">
        <v>100924587671</v>
      </c>
      <c r="L5307" s="10">
        <v>41242</v>
      </c>
      <c r="M5307">
        <v>42.66</v>
      </c>
      <c r="N5307" s="11">
        <v>7</v>
      </c>
      <c r="O5307" s="12">
        <v>4.06</v>
      </c>
      <c r="P5307" s="12">
        <v>6.89</v>
      </c>
      <c r="Q5307" s="13">
        <v>-30.74</v>
      </c>
      <c r="R5307" s="36" t="s">
        <v>1285</v>
      </c>
      <c r="S5307" s="7">
        <f t="shared" si="451"/>
        <v>5</v>
      </c>
      <c r="T5307" s="15" t="str">
        <f>VLOOKUP(R5307,产品分类!$C$2:$D$1278,2,0)</f>
        <v>办公用品</v>
      </c>
    </row>
    <row r="5308" spans="1:20">
      <c r="A5308" s="8">
        <f t="shared" si="458"/>
        <v>41237</v>
      </c>
      <c r="B5308" s="8">
        <f t="shared" si="458"/>
        <v>41237</v>
      </c>
      <c r="C5308" s="9" t="s">
        <v>2131</v>
      </c>
      <c r="D5308">
        <v>10021339338</v>
      </c>
      <c r="E5308" t="s">
        <v>47</v>
      </c>
      <c r="F5308" t="s">
        <v>91</v>
      </c>
      <c r="G5308" t="s">
        <v>92</v>
      </c>
      <c r="H5308" t="s">
        <v>2053</v>
      </c>
      <c r="I5308" t="s">
        <v>2054</v>
      </c>
      <c r="J5308" t="s">
        <v>52</v>
      </c>
      <c r="K5308" s="3">
        <v>100125035078</v>
      </c>
      <c r="L5308" s="10">
        <v>41241</v>
      </c>
      <c r="M5308">
        <v>655.58</v>
      </c>
      <c r="N5308" s="11">
        <v>18</v>
      </c>
      <c r="O5308" s="12">
        <v>35.44</v>
      </c>
      <c r="P5308" s="12">
        <v>5.09</v>
      </c>
      <c r="Q5308" s="13">
        <v>250.67</v>
      </c>
      <c r="R5308" s="36" t="s">
        <v>1365</v>
      </c>
      <c r="S5308" s="7">
        <f t="shared" si="451"/>
        <v>4</v>
      </c>
      <c r="T5308" s="15" t="str">
        <f>VLOOKUP(R5308,产品分类!$C$2:$D$1278,2,0)</f>
        <v>办公用品</v>
      </c>
    </row>
    <row r="5309" spans="1:20">
      <c r="A5309" s="8">
        <f t="shared" si="458"/>
        <v>41237</v>
      </c>
      <c r="B5309" s="8">
        <f t="shared" si="458"/>
        <v>41237</v>
      </c>
      <c r="C5309" s="9" t="s">
        <v>2131</v>
      </c>
      <c r="D5309">
        <v>10021434175</v>
      </c>
      <c r="E5309" t="s">
        <v>47</v>
      </c>
      <c r="F5309" t="s">
        <v>91</v>
      </c>
      <c r="G5309" t="s">
        <v>92</v>
      </c>
      <c r="H5309" t="s">
        <v>2053</v>
      </c>
      <c r="I5309" t="s">
        <v>2054</v>
      </c>
      <c r="J5309" t="s">
        <v>52</v>
      </c>
      <c r="K5309" s="3">
        <v>100132653047</v>
      </c>
      <c r="L5309" s="10">
        <v>41242</v>
      </c>
      <c r="M5309">
        <v>1465.33</v>
      </c>
      <c r="N5309" s="11">
        <v>12</v>
      </c>
      <c r="O5309" s="12">
        <v>113.98</v>
      </c>
      <c r="P5309" s="12">
        <v>30</v>
      </c>
      <c r="Q5309" s="13">
        <v>-66.38</v>
      </c>
      <c r="R5309" s="36" t="s">
        <v>556</v>
      </c>
      <c r="S5309" s="7">
        <f t="shared" si="451"/>
        <v>5</v>
      </c>
      <c r="T5309" s="15" t="str">
        <f>VLOOKUP(R5309,产品分类!$C$2:$D$1278,2,0)</f>
        <v>办公用品</v>
      </c>
    </row>
    <row r="5310" spans="1:20">
      <c r="A5310" s="16">
        <f>DATE(2012,12,31)-368</f>
        <v>40906</v>
      </c>
      <c r="B5310" s="16">
        <f>DATE(2012,12,31)-368</f>
        <v>40906</v>
      </c>
      <c r="C5310" s="9" t="s">
        <v>2238</v>
      </c>
      <c r="D5310">
        <v>10021588896</v>
      </c>
      <c r="E5310" t="s">
        <v>47</v>
      </c>
      <c r="F5310" t="s">
        <v>122</v>
      </c>
      <c r="G5310" t="s">
        <v>123</v>
      </c>
      <c r="H5310" t="s">
        <v>2159</v>
      </c>
      <c r="I5310" t="s">
        <v>2160</v>
      </c>
      <c r="J5310" t="s">
        <v>52</v>
      </c>
      <c r="K5310" s="3">
        <v>100130830817</v>
      </c>
      <c r="L5310" s="10">
        <v>40907</v>
      </c>
      <c r="M5310">
        <v>36.74</v>
      </c>
      <c r="N5310" s="17">
        <v>14</v>
      </c>
      <c r="O5310" s="5">
        <v>2.78</v>
      </c>
      <c r="P5310" s="5">
        <v>0.97</v>
      </c>
      <c r="Q5310" s="6">
        <v>-5.36</v>
      </c>
      <c r="R5310" s="37" t="s">
        <v>1509</v>
      </c>
      <c r="S5310" s="7">
        <f t="shared" si="451"/>
        <v>1</v>
      </c>
      <c r="T5310" s="15" t="str">
        <f>VLOOKUP(R5310,产品分类!$C$2:$D$1278,2,0)</f>
        <v>家具产品</v>
      </c>
    </row>
    <row r="5311" spans="1:20">
      <c r="A5311" s="8">
        <f>DATE(2012,12,31)-368</f>
        <v>40906</v>
      </c>
      <c r="B5311" s="8">
        <f>DATE(2012,12,31)-368</f>
        <v>40906</v>
      </c>
      <c r="C5311" s="9" t="s">
        <v>2238</v>
      </c>
      <c r="D5311">
        <v>10021523363</v>
      </c>
      <c r="E5311" t="s">
        <v>47</v>
      </c>
      <c r="F5311" t="s">
        <v>122</v>
      </c>
      <c r="G5311" t="s">
        <v>123</v>
      </c>
      <c r="H5311" t="s">
        <v>2159</v>
      </c>
      <c r="I5311" t="s">
        <v>2160</v>
      </c>
      <c r="J5311" t="s">
        <v>52</v>
      </c>
      <c r="K5311" s="3">
        <v>10047397644</v>
      </c>
      <c r="L5311" s="10">
        <v>40908</v>
      </c>
      <c r="M5311">
        <v>183.08</v>
      </c>
      <c r="N5311" s="11">
        <v>49</v>
      </c>
      <c r="O5311" s="12">
        <v>3.69</v>
      </c>
      <c r="P5311" s="12">
        <v>0.5</v>
      </c>
      <c r="Q5311" s="13">
        <v>82.49</v>
      </c>
      <c r="R5311" s="36" t="s">
        <v>241</v>
      </c>
      <c r="S5311" s="7">
        <f t="shared" si="451"/>
        <v>2</v>
      </c>
      <c r="T5311" s="15" t="str">
        <f>VLOOKUP(R5311,产品分类!$C$2:$D$1278,2,0)</f>
        <v>数码电子</v>
      </c>
    </row>
    <row r="5312" spans="1:20">
      <c r="A5312" s="8">
        <f>DATE(2012,12,31)-1149</f>
        <v>40125</v>
      </c>
      <c r="B5312" s="8">
        <f>DATE(2012,12,31)-1149</f>
        <v>40125</v>
      </c>
      <c r="C5312" s="9" t="s">
        <v>940</v>
      </c>
      <c r="D5312">
        <v>10021590307</v>
      </c>
      <c r="E5312" t="s">
        <v>47</v>
      </c>
      <c r="F5312" t="s">
        <v>91</v>
      </c>
      <c r="G5312" t="s">
        <v>92</v>
      </c>
      <c r="H5312" t="s">
        <v>2053</v>
      </c>
      <c r="I5312" t="s">
        <v>2054</v>
      </c>
      <c r="J5312" t="s">
        <v>52</v>
      </c>
      <c r="K5312" s="3">
        <v>100431262033</v>
      </c>
      <c r="L5312" s="10">
        <v>40126</v>
      </c>
      <c r="M5312">
        <v>224.47</v>
      </c>
      <c r="N5312" s="11">
        <v>16</v>
      </c>
      <c r="O5312" s="12">
        <v>13.9</v>
      </c>
      <c r="P5312" s="12">
        <v>7.59</v>
      </c>
      <c r="Q5312" s="13">
        <v>-49.31</v>
      </c>
      <c r="R5312" s="36" t="s">
        <v>1021</v>
      </c>
      <c r="S5312" s="7">
        <f t="shared" si="451"/>
        <v>1</v>
      </c>
      <c r="T5312" s="15" t="str">
        <f>VLOOKUP(R5312,产品分类!$C$2:$D$1278,2,0)</f>
        <v>办公用品</v>
      </c>
    </row>
    <row r="5313" spans="1:20">
      <c r="A5313" s="8">
        <f>DATE(2012,12,31)-1378</f>
        <v>39896</v>
      </c>
      <c r="B5313" s="8">
        <f>DATE(2012,12,31)-1378</f>
        <v>39896</v>
      </c>
      <c r="C5313" s="9" t="s">
        <v>1773</v>
      </c>
      <c r="D5313">
        <v>10021263938</v>
      </c>
      <c r="E5313" t="s">
        <v>47</v>
      </c>
      <c r="F5313" t="s">
        <v>122</v>
      </c>
      <c r="G5313" t="s">
        <v>123</v>
      </c>
      <c r="H5313" t="s">
        <v>2159</v>
      </c>
      <c r="I5313" t="s">
        <v>2160</v>
      </c>
      <c r="J5313" t="s">
        <v>52</v>
      </c>
      <c r="K5313" s="3">
        <v>100130863208</v>
      </c>
      <c r="L5313" s="10">
        <v>39898</v>
      </c>
      <c r="M5313">
        <v>60.67</v>
      </c>
      <c r="N5313" s="11">
        <v>6</v>
      </c>
      <c r="O5313" s="12">
        <v>9.48</v>
      </c>
      <c r="P5313" s="12">
        <v>7.29</v>
      </c>
      <c r="Q5313" s="13">
        <v>10.29</v>
      </c>
      <c r="R5313" s="36" t="s">
        <v>839</v>
      </c>
      <c r="S5313" s="7">
        <f t="shared" si="451"/>
        <v>2</v>
      </c>
      <c r="T5313" s="15" t="str">
        <f>VLOOKUP(R5313,产品分类!$C$2:$D$1278,2,0)</f>
        <v>办公用品</v>
      </c>
    </row>
    <row r="5314" spans="1:20">
      <c r="A5314" s="8">
        <f>DATE(2012,12,31)-1378</f>
        <v>39896</v>
      </c>
      <c r="B5314" s="8">
        <f>DATE(2012,12,31)-1378</f>
        <v>39896</v>
      </c>
      <c r="C5314" s="9" t="s">
        <v>1773</v>
      </c>
      <c r="D5314">
        <v>10021252673</v>
      </c>
      <c r="E5314" t="s">
        <v>47</v>
      </c>
      <c r="F5314" t="s">
        <v>122</v>
      </c>
      <c r="G5314" t="s">
        <v>123</v>
      </c>
      <c r="H5314" t="s">
        <v>2159</v>
      </c>
      <c r="I5314" t="s">
        <v>2160</v>
      </c>
      <c r="J5314" t="s">
        <v>52</v>
      </c>
      <c r="K5314" s="3">
        <v>100112643167</v>
      </c>
      <c r="L5314" s="10">
        <v>39900</v>
      </c>
      <c r="M5314">
        <v>6195.87</v>
      </c>
      <c r="N5314" s="11">
        <v>32</v>
      </c>
      <c r="O5314" s="12">
        <v>193.17</v>
      </c>
      <c r="P5314" s="12">
        <v>19.99</v>
      </c>
      <c r="Q5314" s="13">
        <v>781.03</v>
      </c>
      <c r="R5314" s="36" t="s">
        <v>212</v>
      </c>
      <c r="S5314" s="7">
        <f t="shared" si="451"/>
        <v>4</v>
      </c>
      <c r="T5314" s="15" t="str">
        <f>VLOOKUP(R5314,产品分类!$C$2:$D$1278,2,0)</f>
        <v>家具产品</v>
      </c>
    </row>
    <row r="5315" spans="1:20">
      <c r="A5315" s="8">
        <f>DATE(2012,12,31)-57</f>
        <v>41217</v>
      </c>
      <c r="B5315" s="8">
        <f>DATE(2012,12,31)-57</f>
        <v>41217</v>
      </c>
      <c r="C5315" s="9" t="s">
        <v>1881</v>
      </c>
      <c r="D5315">
        <v>10021595021</v>
      </c>
      <c r="E5315" t="s">
        <v>47</v>
      </c>
      <c r="F5315" t="s">
        <v>91</v>
      </c>
      <c r="G5315" t="s">
        <v>92</v>
      </c>
      <c r="H5315" t="s">
        <v>2053</v>
      </c>
      <c r="I5315" t="s">
        <v>2054</v>
      </c>
      <c r="J5315" t="s">
        <v>52</v>
      </c>
      <c r="K5315" s="3">
        <v>10075187135</v>
      </c>
      <c r="L5315" s="10">
        <v>41217</v>
      </c>
      <c r="M5315">
        <v>6276.83</v>
      </c>
      <c r="N5315" s="11">
        <v>23</v>
      </c>
      <c r="O5315" s="12">
        <v>291.73</v>
      </c>
      <c r="P5315" s="12">
        <v>48.8</v>
      </c>
      <c r="Q5315" s="13">
        <v>813.49</v>
      </c>
      <c r="R5315" s="36" t="s">
        <v>791</v>
      </c>
      <c r="S5315" s="7">
        <f t="shared" ref="S5315:S5378" si="459">+L5315-B5315</f>
        <v>0</v>
      </c>
      <c r="T5315" s="15" t="str">
        <f>VLOOKUP(R5315,产品分类!$C$2:$D$1278,2,0)</f>
        <v>数码电子</v>
      </c>
    </row>
    <row r="5316" spans="1:20">
      <c r="A5316" s="8">
        <f>DATE(2012,12,31)-1258</f>
        <v>40016</v>
      </c>
      <c r="B5316" s="8">
        <f>DATE(2012,12,31)-1258</f>
        <v>40016</v>
      </c>
      <c r="C5316" s="9" t="s">
        <v>805</v>
      </c>
      <c r="D5316">
        <v>10021418546</v>
      </c>
      <c r="E5316" t="s">
        <v>47</v>
      </c>
      <c r="F5316" t="s">
        <v>253</v>
      </c>
      <c r="G5316" t="s">
        <v>254</v>
      </c>
      <c r="H5316" t="s">
        <v>2344</v>
      </c>
      <c r="I5316" t="s">
        <v>2345</v>
      </c>
      <c r="J5316" t="s">
        <v>52</v>
      </c>
      <c r="K5316" s="3">
        <v>100120934868</v>
      </c>
      <c r="L5316" s="10">
        <v>40018</v>
      </c>
      <c r="M5316">
        <v>505.01</v>
      </c>
      <c r="N5316" s="11">
        <v>44</v>
      </c>
      <c r="O5316" s="12">
        <v>11.97</v>
      </c>
      <c r="P5316" s="12">
        <v>4.98</v>
      </c>
      <c r="Q5316" s="13">
        <v>-43.52</v>
      </c>
      <c r="R5316" s="36" t="s">
        <v>1833</v>
      </c>
      <c r="S5316" s="7">
        <f t="shared" si="459"/>
        <v>2</v>
      </c>
      <c r="T5316" s="15" t="str">
        <f>VLOOKUP(R5316,产品分类!$C$2:$D$1278,2,0)</f>
        <v>办公用品</v>
      </c>
    </row>
    <row r="5317" spans="1:20">
      <c r="A5317" s="8">
        <f>DATE(2012,12,31)-1258</f>
        <v>40016</v>
      </c>
      <c r="B5317" s="8">
        <f>DATE(2012,12,31)-1258</f>
        <v>40016</v>
      </c>
      <c r="C5317" s="9" t="s">
        <v>805</v>
      </c>
      <c r="D5317">
        <v>10021424987</v>
      </c>
      <c r="E5317" t="s">
        <v>47</v>
      </c>
      <c r="F5317" t="s">
        <v>97</v>
      </c>
      <c r="G5317" t="s">
        <v>98</v>
      </c>
      <c r="H5317" t="s">
        <v>99</v>
      </c>
      <c r="I5317" t="s">
        <v>98</v>
      </c>
      <c r="J5317" t="s">
        <v>52</v>
      </c>
      <c r="K5317" s="3">
        <v>100129247466</v>
      </c>
      <c r="L5317" s="10">
        <v>40023</v>
      </c>
      <c r="M5317">
        <v>286.75</v>
      </c>
      <c r="N5317" s="11">
        <v>41</v>
      </c>
      <c r="O5317" s="12">
        <v>6.98</v>
      </c>
      <c r="P5317" s="12">
        <v>1.6</v>
      </c>
      <c r="Q5317" s="13">
        <v>98.44</v>
      </c>
      <c r="R5317" s="36" t="s">
        <v>1417</v>
      </c>
      <c r="S5317" s="7">
        <f t="shared" si="459"/>
        <v>7</v>
      </c>
      <c r="T5317" s="15" t="str">
        <f>VLOOKUP(R5317,产品分类!$C$2:$D$1278,2,0)</f>
        <v>数码电子</v>
      </c>
    </row>
    <row r="5318" spans="1:20">
      <c r="A5318" s="8">
        <f>DATE(2012,12,31)-618</f>
        <v>40656</v>
      </c>
      <c r="B5318" s="8">
        <f>DATE(2012,12,31)-618</f>
        <v>40656</v>
      </c>
      <c r="C5318" s="9" t="s">
        <v>1347</v>
      </c>
      <c r="D5318">
        <v>10021577541</v>
      </c>
      <c r="E5318" t="s">
        <v>47</v>
      </c>
      <c r="F5318" t="s">
        <v>132</v>
      </c>
      <c r="G5318" t="s">
        <v>133</v>
      </c>
      <c r="H5318" t="s">
        <v>134</v>
      </c>
      <c r="I5318" t="s">
        <v>133</v>
      </c>
      <c r="J5318" t="s">
        <v>52</v>
      </c>
      <c r="K5318" s="3">
        <v>100111086257</v>
      </c>
      <c r="L5318" s="10">
        <v>40658</v>
      </c>
      <c r="M5318">
        <v>325.8</v>
      </c>
      <c r="N5318" s="11">
        <v>45</v>
      </c>
      <c r="O5318" s="12">
        <v>6.78</v>
      </c>
      <c r="P5318" s="12">
        <v>6.18</v>
      </c>
      <c r="Q5318" s="13">
        <v>-84.85</v>
      </c>
      <c r="R5318" s="36" t="s">
        <v>535</v>
      </c>
      <c r="S5318" s="7">
        <f t="shared" si="459"/>
        <v>2</v>
      </c>
      <c r="T5318" s="15" t="str">
        <f>VLOOKUP(R5318,产品分类!$C$2:$D$1278,2,0)</f>
        <v>办公用品</v>
      </c>
    </row>
    <row r="5319" spans="1:20">
      <c r="A5319" s="8">
        <f>DATE(2012,12,31)-621</f>
        <v>40653</v>
      </c>
      <c r="B5319" s="8">
        <f>DATE(2012,12,31)-621</f>
        <v>40653</v>
      </c>
      <c r="C5319" s="9" t="s">
        <v>2163</v>
      </c>
      <c r="D5319">
        <v>10021509006</v>
      </c>
      <c r="E5319" t="s">
        <v>47</v>
      </c>
      <c r="F5319" t="s">
        <v>132</v>
      </c>
      <c r="G5319" t="s">
        <v>133</v>
      </c>
      <c r="H5319" t="s">
        <v>134</v>
      </c>
      <c r="I5319" t="s">
        <v>133</v>
      </c>
      <c r="J5319" t="s">
        <v>52</v>
      </c>
      <c r="K5319" s="3">
        <v>100432334744</v>
      </c>
      <c r="L5319" s="10">
        <v>40658</v>
      </c>
      <c r="M5319">
        <v>490.17</v>
      </c>
      <c r="N5319" s="11">
        <v>23</v>
      </c>
      <c r="O5319" s="12">
        <v>20.97</v>
      </c>
      <c r="P5319" s="12">
        <v>4</v>
      </c>
      <c r="Q5319" s="13">
        <v>-57.09</v>
      </c>
      <c r="R5319" s="36" t="s">
        <v>420</v>
      </c>
      <c r="S5319" s="7">
        <f t="shared" si="459"/>
        <v>5</v>
      </c>
      <c r="T5319" s="15" t="str">
        <f>VLOOKUP(R5319,产品分类!$C$2:$D$1278,2,0)</f>
        <v>数码电子</v>
      </c>
    </row>
    <row r="5320" spans="1:20">
      <c r="A5320" s="8">
        <f>DATE(2012,12,31)-621</f>
        <v>40653</v>
      </c>
      <c r="B5320" s="8">
        <f>DATE(2012,12,31)-621</f>
        <v>40653</v>
      </c>
      <c r="C5320" s="9" t="s">
        <v>2163</v>
      </c>
      <c r="D5320">
        <v>10021394916</v>
      </c>
      <c r="E5320" t="s">
        <v>47</v>
      </c>
      <c r="F5320" t="s">
        <v>97</v>
      </c>
      <c r="G5320" t="s">
        <v>98</v>
      </c>
      <c r="H5320" t="s">
        <v>99</v>
      </c>
      <c r="I5320" t="s">
        <v>98</v>
      </c>
      <c r="J5320" t="s">
        <v>52</v>
      </c>
      <c r="K5320" s="3">
        <v>10093137501</v>
      </c>
      <c r="L5320" s="10">
        <v>40655</v>
      </c>
      <c r="M5320">
        <v>206.2</v>
      </c>
      <c r="N5320" s="11">
        <v>42</v>
      </c>
      <c r="O5320" s="12">
        <v>4.91</v>
      </c>
      <c r="P5320" s="12">
        <v>0.5</v>
      </c>
      <c r="Q5320" s="13">
        <v>101.14</v>
      </c>
      <c r="R5320" s="36" t="s">
        <v>827</v>
      </c>
      <c r="S5320" s="7">
        <f t="shared" si="459"/>
        <v>2</v>
      </c>
      <c r="T5320" s="15" t="str">
        <f>VLOOKUP(R5320,产品分类!$C$2:$D$1278,2,0)</f>
        <v>家具产品</v>
      </c>
    </row>
    <row r="5321" spans="1:20">
      <c r="A5321" s="8">
        <f>DATE(2012,12,31)-824</f>
        <v>40450</v>
      </c>
      <c r="B5321" s="8">
        <f>DATE(2012,12,31)-824</f>
        <v>40450</v>
      </c>
      <c r="C5321" s="9" t="s">
        <v>2238</v>
      </c>
      <c r="D5321">
        <v>10021257854</v>
      </c>
      <c r="E5321" t="s">
        <v>47</v>
      </c>
      <c r="F5321" t="s">
        <v>132</v>
      </c>
      <c r="G5321" t="s">
        <v>133</v>
      </c>
      <c r="H5321" t="s">
        <v>134</v>
      </c>
      <c r="I5321" t="s">
        <v>133</v>
      </c>
      <c r="J5321" t="s">
        <v>52</v>
      </c>
      <c r="K5321" s="3">
        <v>100426717863</v>
      </c>
      <c r="L5321" s="10">
        <v>40452</v>
      </c>
      <c r="M5321">
        <v>257.9</v>
      </c>
      <c r="N5321" s="11">
        <v>28</v>
      </c>
      <c r="O5321" s="12">
        <v>8.74</v>
      </c>
      <c r="P5321" s="12">
        <v>8.29</v>
      </c>
      <c r="Q5321" s="13">
        <v>-84.69</v>
      </c>
      <c r="R5321" s="36" t="s">
        <v>618</v>
      </c>
      <c r="S5321" s="7">
        <f t="shared" si="459"/>
        <v>2</v>
      </c>
      <c r="T5321" s="15" t="str">
        <f>VLOOKUP(R5321,产品分类!$C$2:$D$1278,2,0)</f>
        <v>办公用品</v>
      </c>
    </row>
    <row r="5322" spans="1:20">
      <c r="A5322" s="8">
        <f>DATE(2012,12,31)-1233</f>
        <v>40041</v>
      </c>
      <c r="B5322" s="8">
        <f>DATE(2012,12,31)-1233</f>
        <v>40041</v>
      </c>
      <c r="C5322" s="9" t="s">
        <v>976</v>
      </c>
      <c r="D5322">
        <v>10021589868</v>
      </c>
      <c r="E5322" t="s">
        <v>47</v>
      </c>
      <c r="F5322" t="s">
        <v>102</v>
      </c>
      <c r="G5322" t="s">
        <v>103</v>
      </c>
      <c r="H5322" t="s">
        <v>2400</v>
      </c>
      <c r="I5322" t="s">
        <v>2401</v>
      </c>
      <c r="J5322" t="s">
        <v>52</v>
      </c>
      <c r="K5322" s="3">
        <v>100731222055</v>
      </c>
      <c r="L5322" s="10">
        <v>40043</v>
      </c>
      <c r="M5322">
        <v>977.92</v>
      </c>
      <c r="N5322" s="11">
        <v>39</v>
      </c>
      <c r="O5322" s="12">
        <v>25.99</v>
      </c>
      <c r="P5322" s="12">
        <v>5.37</v>
      </c>
      <c r="Q5322" s="13">
        <v>148.89</v>
      </c>
      <c r="R5322" s="36" t="s">
        <v>1963</v>
      </c>
      <c r="S5322" s="7">
        <f t="shared" si="459"/>
        <v>2</v>
      </c>
      <c r="T5322" s="15" t="str">
        <f>VLOOKUP(R5322,产品分类!$C$2:$D$1278,2,0)</f>
        <v>数码电子</v>
      </c>
    </row>
    <row r="5323" spans="1:20">
      <c r="A5323" s="8">
        <f>DATE(2012,12,31)-158</f>
        <v>41116</v>
      </c>
      <c r="B5323" s="8">
        <f>DATE(2012,12,31)-158</f>
        <v>41116</v>
      </c>
      <c r="C5323" s="9" t="s">
        <v>1437</v>
      </c>
      <c r="D5323">
        <v>10021575121</v>
      </c>
      <c r="E5323" t="s">
        <v>47</v>
      </c>
      <c r="F5323" t="s">
        <v>137</v>
      </c>
      <c r="G5323" t="s">
        <v>138</v>
      </c>
      <c r="H5323" t="s">
        <v>139</v>
      </c>
      <c r="I5323" t="s">
        <v>601</v>
      </c>
      <c r="J5323" t="s">
        <v>52</v>
      </c>
      <c r="K5323" s="3">
        <v>10044028493</v>
      </c>
      <c r="L5323" s="10">
        <v>41118</v>
      </c>
      <c r="M5323">
        <v>453.87</v>
      </c>
      <c r="N5323" s="11">
        <v>30</v>
      </c>
      <c r="O5323" s="12">
        <v>15.98</v>
      </c>
      <c r="P5323" s="12">
        <v>4</v>
      </c>
      <c r="Q5323" s="13">
        <v>76.59</v>
      </c>
      <c r="R5323" s="36" t="s">
        <v>371</v>
      </c>
      <c r="S5323" s="7">
        <f t="shared" si="459"/>
        <v>2</v>
      </c>
      <c r="T5323" s="15" t="str">
        <f>VLOOKUP(R5323,产品分类!$C$2:$D$1278,2,0)</f>
        <v>办公用品</v>
      </c>
    </row>
    <row r="5324" spans="1:20">
      <c r="A5324" s="8">
        <f>DATE(2012,12,31)-1372</f>
        <v>39902</v>
      </c>
      <c r="B5324" s="8">
        <f>DATE(2012,12,31)-1372</f>
        <v>39902</v>
      </c>
      <c r="C5324" s="9" t="s">
        <v>564</v>
      </c>
      <c r="D5324">
        <v>10021319132</v>
      </c>
      <c r="E5324" t="s">
        <v>47</v>
      </c>
      <c r="F5324" t="s">
        <v>102</v>
      </c>
      <c r="G5324" t="s">
        <v>103</v>
      </c>
      <c r="H5324" t="s">
        <v>2400</v>
      </c>
      <c r="I5324" t="s">
        <v>2401</v>
      </c>
      <c r="J5324" t="s">
        <v>52</v>
      </c>
      <c r="K5324" s="3">
        <v>10098213151</v>
      </c>
      <c r="L5324" s="10">
        <v>39904</v>
      </c>
      <c r="M5324">
        <v>29.03</v>
      </c>
      <c r="N5324" s="11">
        <v>2</v>
      </c>
      <c r="O5324" s="12">
        <v>11.34</v>
      </c>
      <c r="P5324" s="12">
        <v>5.01</v>
      </c>
      <c r="Q5324" s="13">
        <v>-11.83</v>
      </c>
      <c r="R5324" s="36" t="s">
        <v>1504</v>
      </c>
      <c r="S5324" s="7">
        <f t="shared" si="459"/>
        <v>2</v>
      </c>
      <c r="T5324" s="15" t="str">
        <f>VLOOKUP(R5324,产品分类!$C$2:$D$1278,2,0)</f>
        <v>家具产品</v>
      </c>
    </row>
    <row r="5325" spans="1:20">
      <c r="A5325" s="8">
        <f>DATE(2012,12,31)-857</f>
        <v>40417</v>
      </c>
      <c r="B5325" s="8">
        <f>DATE(2012,12,31)-857</f>
        <v>40417</v>
      </c>
      <c r="C5325" s="9" t="s">
        <v>2223</v>
      </c>
      <c r="D5325">
        <v>10021540901</v>
      </c>
      <c r="E5325" t="s">
        <v>47</v>
      </c>
      <c r="F5325" t="s">
        <v>102</v>
      </c>
      <c r="G5325" t="s">
        <v>103</v>
      </c>
      <c r="H5325" t="s">
        <v>2400</v>
      </c>
      <c r="I5325" t="s">
        <v>2401</v>
      </c>
      <c r="J5325" t="s">
        <v>52</v>
      </c>
      <c r="K5325" s="3">
        <v>100120729217</v>
      </c>
      <c r="L5325" s="10">
        <v>40419</v>
      </c>
      <c r="M5325">
        <v>104.85</v>
      </c>
      <c r="N5325" s="11">
        <v>1</v>
      </c>
      <c r="O5325" s="12">
        <v>55.5</v>
      </c>
      <c r="P5325" s="12">
        <v>52.2</v>
      </c>
      <c r="Q5325" s="13">
        <v>-98.31</v>
      </c>
      <c r="R5325" s="36" t="s">
        <v>1995</v>
      </c>
      <c r="S5325" s="7">
        <f t="shared" si="459"/>
        <v>2</v>
      </c>
      <c r="T5325" s="15" t="str">
        <f>VLOOKUP(R5325,产品分类!$C$2:$D$1278,2,0)</f>
        <v>家具产品</v>
      </c>
    </row>
    <row r="5326" spans="1:20">
      <c r="A5326" s="8">
        <f>DATE(2012,12,31)-369</f>
        <v>40905</v>
      </c>
      <c r="B5326" s="8">
        <f>DATE(2012,12,31)-369</f>
        <v>40905</v>
      </c>
      <c r="C5326" s="9" t="s">
        <v>712</v>
      </c>
      <c r="D5326">
        <v>10021673761</v>
      </c>
      <c r="E5326" t="s">
        <v>47</v>
      </c>
      <c r="F5326" t="s">
        <v>208</v>
      </c>
      <c r="G5326" t="s">
        <v>209</v>
      </c>
      <c r="H5326" t="s">
        <v>2300</v>
      </c>
      <c r="I5326" t="s">
        <v>2301</v>
      </c>
      <c r="J5326" t="s">
        <v>52</v>
      </c>
      <c r="K5326" s="3">
        <v>100131875628</v>
      </c>
      <c r="L5326" s="10">
        <v>40907</v>
      </c>
      <c r="M5326">
        <v>980.07</v>
      </c>
      <c r="N5326" s="11">
        <v>32</v>
      </c>
      <c r="O5326" s="12">
        <v>30.98</v>
      </c>
      <c r="P5326" s="12">
        <v>5.76</v>
      </c>
      <c r="Q5326" s="13">
        <v>337.25</v>
      </c>
      <c r="R5326" s="36" t="s">
        <v>751</v>
      </c>
      <c r="S5326" s="7">
        <f t="shared" si="459"/>
        <v>2</v>
      </c>
      <c r="T5326" s="15" t="str">
        <f>VLOOKUP(R5326,产品分类!$C$2:$D$1278,2,0)</f>
        <v>办公用品</v>
      </c>
    </row>
    <row r="5327" spans="1:20">
      <c r="A5327" s="8">
        <f>DATE(2012,12,31)-1449</f>
        <v>39825</v>
      </c>
      <c r="B5327" s="8">
        <f>DATE(2012,12,31)-1449</f>
        <v>39825</v>
      </c>
      <c r="C5327" s="9" t="s">
        <v>1152</v>
      </c>
      <c r="D5327">
        <v>10021269069</v>
      </c>
      <c r="E5327" t="s">
        <v>47</v>
      </c>
      <c r="F5327" t="s">
        <v>208</v>
      </c>
      <c r="G5327" t="s">
        <v>209</v>
      </c>
      <c r="H5327" t="s">
        <v>2300</v>
      </c>
      <c r="I5327" t="s">
        <v>2301</v>
      </c>
      <c r="J5327" t="s">
        <v>52</v>
      </c>
      <c r="K5327" s="3">
        <v>100932428371</v>
      </c>
      <c r="L5327" s="10">
        <v>39828</v>
      </c>
      <c r="M5327">
        <v>1603.27</v>
      </c>
      <c r="N5327" s="11">
        <v>27</v>
      </c>
      <c r="O5327" s="12">
        <v>59.98</v>
      </c>
      <c r="P5327" s="12">
        <v>3.99</v>
      </c>
      <c r="Q5327" s="13">
        <v>452.49</v>
      </c>
      <c r="R5327" s="36" t="s">
        <v>378</v>
      </c>
      <c r="S5327" s="7">
        <f t="shared" si="459"/>
        <v>3</v>
      </c>
      <c r="T5327" s="15" t="str">
        <f>VLOOKUP(R5327,产品分类!$C$2:$D$1278,2,0)</f>
        <v>数码电子</v>
      </c>
    </row>
    <row r="5328" spans="1:20">
      <c r="A5328" s="8">
        <f>DATE(2012,12,31)-676</f>
        <v>40598</v>
      </c>
      <c r="B5328" s="8">
        <f>DATE(2012,12,31)-676</f>
        <v>40598</v>
      </c>
      <c r="C5328" s="9" t="s">
        <v>1609</v>
      </c>
      <c r="D5328">
        <v>10021667434</v>
      </c>
      <c r="E5328" t="s">
        <v>47</v>
      </c>
      <c r="F5328" t="s">
        <v>304</v>
      </c>
      <c r="G5328" t="s">
        <v>305</v>
      </c>
      <c r="H5328" t="s">
        <v>2383</v>
      </c>
      <c r="I5328" t="s">
        <v>2384</v>
      </c>
      <c r="J5328" t="s">
        <v>52</v>
      </c>
      <c r="K5328" s="3">
        <v>100928163721</v>
      </c>
      <c r="L5328" s="10">
        <v>40600</v>
      </c>
      <c r="M5328">
        <v>305.05</v>
      </c>
      <c r="N5328" s="11">
        <v>27</v>
      </c>
      <c r="O5328" s="12">
        <v>10.98</v>
      </c>
      <c r="P5328" s="12">
        <v>3.37</v>
      </c>
      <c r="Q5328" s="13">
        <v>23.12</v>
      </c>
      <c r="R5328" s="36" t="s">
        <v>1792</v>
      </c>
      <c r="S5328" s="7">
        <f t="shared" si="459"/>
        <v>2</v>
      </c>
      <c r="T5328" s="15" t="str">
        <f>VLOOKUP(R5328,产品分类!$C$2:$D$1278,2,0)</f>
        <v>办公用品</v>
      </c>
    </row>
    <row r="5329" spans="1:20">
      <c r="A5329" s="16">
        <f>DATE(2012,12,31)-1105</f>
        <v>40169</v>
      </c>
      <c r="B5329" s="16">
        <f>DATE(2012,12,31)-1105</f>
        <v>40169</v>
      </c>
      <c r="C5329" s="9" t="s">
        <v>1666</v>
      </c>
      <c r="D5329">
        <v>10021629596</v>
      </c>
      <c r="E5329" t="s">
        <v>47</v>
      </c>
      <c r="F5329" t="s">
        <v>137</v>
      </c>
      <c r="G5329" t="s">
        <v>138</v>
      </c>
      <c r="H5329" t="s">
        <v>139</v>
      </c>
      <c r="I5329" t="s">
        <v>140</v>
      </c>
      <c r="J5329" t="s">
        <v>52</v>
      </c>
      <c r="K5329" s="3">
        <v>10095311461</v>
      </c>
      <c r="L5329" s="10">
        <v>40171</v>
      </c>
      <c r="M5329">
        <v>639.19</v>
      </c>
      <c r="N5329" s="17">
        <v>31</v>
      </c>
      <c r="O5329" s="5">
        <v>20.98</v>
      </c>
      <c r="P5329" s="5">
        <v>1.49</v>
      </c>
      <c r="Q5329" s="6">
        <v>274.8985</v>
      </c>
      <c r="R5329" s="37" t="s">
        <v>1155</v>
      </c>
      <c r="S5329" s="7">
        <f t="shared" si="459"/>
        <v>2</v>
      </c>
      <c r="T5329" s="15" t="str">
        <f>VLOOKUP(R5329,产品分类!$C$2:$D$1278,2,0)</f>
        <v>家具产品</v>
      </c>
    </row>
    <row r="5330" spans="1:20">
      <c r="A5330" s="16">
        <f t="shared" ref="A5330:B5333" si="460">DATE(2012,12,31)-438</f>
        <v>40836</v>
      </c>
      <c r="B5330" s="16">
        <f t="shared" si="460"/>
        <v>40836</v>
      </c>
      <c r="C5330" s="9" t="s">
        <v>1487</v>
      </c>
      <c r="D5330">
        <v>10021547432</v>
      </c>
      <c r="E5330" t="s">
        <v>47</v>
      </c>
      <c r="F5330" t="s">
        <v>102</v>
      </c>
      <c r="G5330" t="s">
        <v>103</v>
      </c>
      <c r="H5330" t="s">
        <v>2400</v>
      </c>
      <c r="I5330" t="s">
        <v>2401</v>
      </c>
      <c r="J5330" t="s">
        <v>52</v>
      </c>
      <c r="K5330" s="3">
        <v>100931711601</v>
      </c>
      <c r="L5330" s="10">
        <v>40838</v>
      </c>
      <c r="M5330">
        <v>163.36</v>
      </c>
      <c r="N5330" s="17">
        <v>24</v>
      </c>
      <c r="O5330" s="5">
        <v>6.48</v>
      </c>
      <c r="P5330" s="5">
        <v>6.6</v>
      </c>
      <c r="Q5330" s="6">
        <v>-65.54</v>
      </c>
      <c r="R5330" s="37" t="s">
        <v>784</v>
      </c>
      <c r="S5330" s="7">
        <f t="shared" si="459"/>
        <v>2</v>
      </c>
      <c r="T5330" s="15" t="str">
        <f>VLOOKUP(R5330,产品分类!$C$2:$D$1278,2,0)</f>
        <v>数码电子</v>
      </c>
    </row>
    <row r="5331" spans="1:20">
      <c r="A5331" s="16">
        <f t="shared" si="460"/>
        <v>40836</v>
      </c>
      <c r="B5331" s="16">
        <f t="shared" si="460"/>
        <v>40836</v>
      </c>
      <c r="C5331" s="9" t="s">
        <v>1487</v>
      </c>
      <c r="D5331">
        <v>10021431683</v>
      </c>
      <c r="E5331" t="s">
        <v>47</v>
      </c>
      <c r="F5331" t="s">
        <v>102</v>
      </c>
      <c r="G5331" t="s">
        <v>103</v>
      </c>
      <c r="H5331" t="s">
        <v>2400</v>
      </c>
      <c r="I5331" t="s">
        <v>2401</v>
      </c>
      <c r="J5331" t="s">
        <v>52</v>
      </c>
      <c r="K5331" s="3">
        <v>100332251999</v>
      </c>
      <c r="L5331" s="10">
        <v>40838</v>
      </c>
      <c r="M5331">
        <v>44.08</v>
      </c>
      <c r="N5331" s="17">
        <v>21</v>
      </c>
      <c r="O5331" s="5">
        <v>1.98</v>
      </c>
      <c r="P5331" s="5">
        <v>0.7</v>
      </c>
      <c r="Q5331" s="6">
        <v>-9.09</v>
      </c>
      <c r="R5331" s="37" t="s">
        <v>1320</v>
      </c>
      <c r="S5331" s="7">
        <f t="shared" si="459"/>
        <v>2</v>
      </c>
      <c r="T5331" s="15" t="str">
        <f>VLOOKUP(R5331,产品分类!$C$2:$D$1278,2,0)</f>
        <v>办公用品</v>
      </c>
    </row>
    <row r="5332" spans="1:20">
      <c r="A5332" s="8">
        <f t="shared" si="460"/>
        <v>40836</v>
      </c>
      <c r="B5332" s="8">
        <f t="shared" si="460"/>
        <v>40836</v>
      </c>
      <c r="C5332" s="9" t="s">
        <v>1487</v>
      </c>
      <c r="D5332">
        <v>10021656792</v>
      </c>
      <c r="E5332" t="s">
        <v>47</v>
      </c>
      <c r="F5332" t="s">
        <v>527</v>
      </c>
      <c r="G5332" t="s">
        <v>528</v>
      </c>
      <c r="H5332" t="s">
        <v>2385</v>
      </c>
      <c r="I5332" t="s">
        <v>2386</v>
      </c>
      <c r="J5332" t="s">
        <v>52</v>
      </c>
      <c r="K5332" s="3">
        <v>10043556344</v>
      </c>
      <c r="L5332" s="10">
        <v>40836</v>
      </c>
      <c r="M5332">
        <v>1135.64</v>
      </c>
      <c r="N5332" s="11">
        <v>4</v>
      </c>
      <c r="O5332" s="12">
        <v>259.71</v>
      </c>
      <c r="P5332" s="12">
        <v>66.67</v>
      </c>
      <c r="Q5332" s="13">
        <v>-627.641157</v>
      </c>
      <c r="R5332" s="36" t="s">
        <v>1360</v>
      </c>
      <c r="S5332" s="7">
        <f t="shared" si="459"/>
        <v>0</v>
      </c>
      <c r="T5332" s="15" t="str">
        <f>VLOOKUP(R5332,产品分类!$C$2:$D$1278,2,0)</f>
        <v>办公用品</v>
      </c>
    </row>
    <row r="5333" spans="1:20">
      <c r="A5333" s="8">
        <f t="shared" si="460"/>
        <v>40836</v>
      </c>
      <c r="B5333" s="8">
        <f t="shared" si="460"/>
        <v>40836</v>
      </c>
      <c r="C5333" s="9" t="s">
        <v>1487</v>
      </c>
      <c r="D5333">
        <v>10021345770</v>
      </c>
      <c r="E5333" t="s">
        <v>47</v>
      </c>
      <c r="F5333" t="s">
        <v>171</v>
      </c>
      <c r="G5333" t="s">
        <v>172</v>
      </c>
      <c r="H5333" t="s">
        <v>2352</v>
      </c>
      <c r="I5333" t="s">
        <v>2353</v>
      </c>
      <c r="J5333" t="s">
        <v>52</v>
      </c>
      <c r="K5333" s="3">
        <v>100430219924</v>
      </c>
      <c r="L5333" s="10">
        <v>40838</v>
      </c>
      <c r="M5333">
        <v>5154.009</v>
      </c>
      <c r="N5333" s="11">
        <v>33</v>
      </c>
      <c r="O5333" s="12">
        <v>179.99</v>
      </c>
      <c r="P5333" s="12">
        <v>13.99</v>
      </c>
      <c r="Q5333" s="13">
        <v>1184.679</v>
      </c>
      <c r="R5333" s="36" t="s">
        <v>220</v>
      </c>
      <c r="S5333" s="7">
        <f t="shared" si="459"/>
        <v>2</v>
      </c>
      <c r="T5333" s="15" t="str">
        <f>VLOOKUP(R5333,产品分类!$C$2:$D$1278,2,0)</f>
        <v>办公用品</v>
      </c>
    </row>
    <row r="5334" spans="1:20">
      <c r="A5334" s="8">
        <f>DATE(2012,12,31)-403</f>
        <v>40871</v>
      </c>
      <c r="B5334" s="8">
        <f>DATE(2012,12,31)-403</f>
        <v>40871</v>
      </c>
      <c r="C5334" s="9" t="s">
        <v>162</v>
      </c>
      <c r="D5334">
        <v>10021434446</v>
      </c>
      <c r="E5334" t="s">
        <v>47</v>
      </c>
      <c r="F5334" t="s">
        <v>527</v>
      </c>
      <c r="G5334" t="s">
        <v>528</v>
      </c>
      <c r="H5334" t="s">
        <v>2385</v>
      </c>
      <c r="I5334" t="s">
        <v>2386</v>
      </c>
      <c r="J5334" t="s">
        <v>52</v>
      </c>
      <c r="K5334" s="3">
        <v>1009834041</v>
      </c>
      <c r="L5334" s="10">
        <v>40872</v>
      </c>
      <c r="M5334">
        <v>436.78</v>
      </c>
      <c r="N5334" s="11">
        <v>14</v>
      </c>
      <c r="O5334" s="12">
        <v>29.99</v>
      </c>
      <c r="P5334" s="12">
        <v>5.5</v>
      </c>
      <c r="Q5334" s="13">
        <v>25.69</v>
      </c>
      <c r="R5334" s="36" t="s">
        <v>939</v>
      </c>
      <c r="S5334" s="7">
        <f t="shared" si="459"/>
        <v>1</v>
      </c>
      <c r="T5334" s="15" t="str">
        <f>VLOOKUP(R5334,产品分类!$C$2:$D$1278,2,0)</f>
        <v>办公用品</v>
      </c>
    </row>
    <row r="5335" spans="1:20">
      <c r="A5335" s="8">
        <f>DATE(2012,12,31)-276</f>
        <v>40998</v>
      </c>
      <c r="B5335" s="8">
        <f>DATE(2012,12,31)-276</f>
        <v>40998</v>
      </c>
      <c r="C5335" s="9" t="s">
        <v>500</v>
      </c>
      <c r="D5335">
        <v>10021424354</v>
      </c>
      <c r="E5335" t="s">
        <v>47</v>
      </c>
      <c r="F5335" t="s">
        <v>171</v>
      </c>
      <c r="G5335" t="s">
        <v>172</v>
      </c>
      <c r="H5335" t="s">
        <v>2352</v>
      </c>
      <c r="I5335" t="s">
        <v>2353</v>
      </c>
      <c r="J5335" t="s">
        <v>52</v>
      </c>
      <c r="K5335" s="3">
        <v>100428814494</v>
      </c>
      <c r="L5335" s="10">
        <v>41001</v>
      </c>
      <c r="M5335">
        <v>304.65</v>
      </c>
      <c r="N5335" s="11">
        <v>14</v>
      </c>
      <c r="O5335" s="12">
        <v>21.98</v>
      </c>
      <c r="P5335" s="12">
        <v>8.32</v>
      </c>
      <c r="Q5335" s="13">
        <v>24.2</v>
      </c>
      <c r="R5335" s="36" t="s">
        <v>2114</v>
      </c>
      <c r="S5335" s="7">
        <f t="shared" si="459"/>
        <v>3</v>
      </c>
      <c r="T5335" s="15" t="str">
        <f>VLOOKUP(R5335,产品分类!$C$2:$D$1278,2,0)</f>
        <v>办公用品</v>
      </c>
    </row>
    <row r="5336" spans="1:20">
      <c r="A5336" s="8">
        <f>DATE(2012,12,31)-901</f>
        <v>40373</v>
      </c>
      <c r="B5336" s="8">
        <f>DATE(2012,12,31)-901</f>
        <v>40373</v>
      </c>
      <c r="C5336" s="9" t="s">
        <v>619</v>
      </c>
      <c r="D5336">
        <v>10021346892</v>
      </c>
      <c r="E5336" t="s">
        <v>47</v>
      </c>
      <c r="F5336" t="s">
        <v>171</v>
      </c>
      <c r="G5336" t="s">
        <v>172</v>
      </c>
      <c r="H5336" t="s">
        <v>2352</v>
      </c>
      <c r="I5336" t="s">
        <v>2353</v>
      </c>
      <c r="J5336" t="s">
        <v>52</v>
      </c>
      <c r="K5336" s="3">
        <v>100130956566</v>
      </c>
      <c r="L5336" s="10">
        <v>40375</v>
      </c>
      <c r="M5336">
        <v>414.42</v>
      </c>
      <c r="N5336" s="11">
        <v>48</v>
      </c>
      <c r="O5336" s="12">
        <v>8.46</v>
      </c>
      <c r="P5336" s="12">
        <v>8.99</v>
      </c>
      <c r="Q5336" s="13">
        <v>-380.2</v>
      </c>
      <c r="R5336" s="36" t="s">
        <v>76</v>
      </c>
      <c r="S5336" s="7">
        <f t="shared" si="459"/>
        <v>2</v>
      </c>
      <c r="T5336" s="15" t="str">
        <f>VLOOKUP(R5336,产品分类!$C$2:$D$1278,2,0)</f>
        <v>数码电子</v>
      </c>
    </row>
    <row r="5337" spans="1:20">
      <c r="A5337" s="8">
        <f>DATE(2012,12,31)-1010</f>
        <v>40264</v>
      </c>
      <c r="B5337" s="8">
        <f>DATE(2012,12,31)-1010</f>
        <v>40264</v>
      </c>
      <c r="C5337" s="9" t="s">
        <v>2325</v>
      </c>
      <c r="D5337">
        <v>10021388794</v>
      </c>
      <c r="E5337" t="s">
        <v>47</v>
      </c>
      <c r="F5337" t="s">
        <v>171</v>
      </c>
      <c r="G5337" t="s">
        <v>172</v>
      </c>
      <c r="H5337" t="s">
        <v>2352</v>
      </c>
      <c r="I5337" t="s">
        <v>2353</v>
      </c>
      <c r="J5337" t="s">
        <v>52</v>
      </c>
      <c r="K5337" s="3">
        <v>100130181386</v>
      </c>
      <c r="L5337" s="10">
        <v>40265</v>
      </c>
      <c r="M5337">
        <v>198.43</v>
      </c>
      <c r="N5337" s="11">
        <v>29</v>
      </c>
      <c r="O5337" s="12">
        <v>6.48</v>
      </c>
      <c r="P5337" s="12">
        <v>6.81</v>
      </c>
      <c r="Q5337" s="13">
        <v>-79.67</v>
      </c>
      <c r="R5337" s="36" t="s">
        <v>772</v>
      </c>
      <c r="S5337" s="7">
        <f t="shared" si="459"/>
        <v>1</v>
      </c>
      <c r="T5337" s="15" t="str">
        <f>VLOOKUP(R5337,产品分类!$C$2:$D$1278,2,0)</f>
        <v>数码电子</v>
      </c>
    </row>
    <row r="5338" spans="1:20">
      <c r="A5338" s="8">
        <f>DATE(2012,12,31)-1128</f>
        <v>40146</v>
      </c>
      <c r="B5338" s="8">
        <f>DATE(2012,12,31)-1128</f>
        <v>40146</v>
      </c>
      <c r="C5338" s="9" t="s">
        <v>1768</v>
      </c>
      <c r="D5338">
        <v>10021678917</v>
      </c>
      <c r="E5338" t="s">
        <v>47</v>
      </c>
      <c r="F5338" t="s">
        <v>527</v>
      </c>
      <c r="G5338" t="s">
        <v>528</v>
      </c>
      <c r="H5338" t="s">
        <v>2385</v>
      </c>
      <c r="I5338" t="s">
        <v>2386</v>
      </c>
      <c r="J5338" t="s">
        <v>52</v>
      </c>
      <c r="K5338" s="3">
        <v>100932957401</v>
      </c>
      <c r="L5338" s="10">
        <v>40146</v>
      </c>
      <c r="M5338">
        <v>8094.55</v>
      </c>
      <c r="N5338" s="11">
        <v>49</v>
      </c>
      <c r="O5338" s="12">
        <v>165.2</v>
      </c>
      <c r="P5338" s="12">
        <v>19.99</v>
      </c>
      <c r="Q5338" s="13">
        <v>2008.71</v>
      </c>
      <c r="R5338" s="36" t="s">
        <v>812</v>
      </c>
      <c r="S5338" s="7">
        <f t="shared" si="459"/>
        <v>0</v>
      </c>
      <c r="T5338" s="15" t="str">
        <f>VLOOKUP(R5338,产品分类!$C$2:$D$1278,2,0)</f>
        <v>家具产品</v>
      </c>
    </row>
    <row r="5339" spans="1:20">
      <c r="A5339" s="16">
        <f>DATE(2012,12,31)-1128</f>
        <v>40146</v>
      </c>
      <c r="B5339" s="16">
        <f>DATE(2012,12,31)-1128</f>
        <v>40146</v>
      </c>
      <c r="C5339" s="9" t="s">
        <v>1768</v>
      </c>
      <c r="D5339">
        <v>10021293468</v>
      </c>
      <c r="E5339" t="s">
        <v>47</v>
      </c>
      <c r="F5339" t="s">
        <v>177</v>
      </c>
      <c r="G5339" t="s">
        <v>178</v>
      </c>
      <c r="H5339" t="s">
        <v>2339</v>
      </c>
      <c r="I5339" t="s">
        <v>2340</v>
      </c>
      <c r="J5339" t="s">
        <v>52</v>
      </c>
      <c r="K5339" s="3">
        <v>10049641604</v>
      </c>
      <c r="L5339" s="10">
        <v>40146</v>
      </c>
      <c r="M5339">
        <v>352.44</v>
      </c>
      <c r="N5339" s="17">
        <v>21</v>
      </c>
      <c r="O5339" s="5">
        <v>17.99</v>
      </c>
      <c r="P5339" s="5">
        <v>8.65</v>
      </c>
      <c r="Q5339" s="6">
        <v>-80.53</v>
      </c>
      <c r="R5339" s="37" t="s">
        <v>2338</v>
      </c>
      <c r="S5339" s="7">
        <f t="shared" si="459"/>
        <v>0</v>
      </c>
      <c r="T5339" s="15" t="str">
        <f>VLOOKUP(R5339,产品分类!$C$2:$D$1278,2,0)</f>
        <v>家具产品</v>
      </c>
    </row>
    <row r="5340" spans="1:20">
      <c r="A5340" s="8">
        <f>DATE(2012,12,31)-827</f>
        <v>40447</v>
      </c>
      <c r="B5340" s="8">
        <f>DATE(2012,12,31)-827</f>
        <v>40447</v>
      </c>
      <c r="C5340" s="9" t="s">
        <v>2077</v>
      </c>
      <c r="D5340">
        <v>10021431302</v>
      </c>
      <c r="E5340" t="s">
        <v>47</v>
      </c>
      <c r="F5340" t="s">
        <v>171</v>
      </c>
      <c r="G5340" t="s">
        <v>172</v>
      </c>
      <c r="H5340" t="s">
        <v>2352</v>
      </c>
      <c r="I5340" t="s">
        <v>2353</v>
      </c>
      <c r="J5340" t="s">
        <v>52</v>
      </c>
      <c r="K5340" s="3">
        <v>100432225574</v>
      </c>
      <c r="L5340" s="10">
        <v>40448</v>
      </c>
      <c r="M5340">
        <v>3780.16</v>
      </c>
      <c r="N5340" s="11">
        <v>46</v>
      </c>
      <c r="O5340" s="12">
        <v>90.97</v>
      </c>
      <c r="P5340" s="12">
        <v>14</v>
      </c>
      <c r="Q5340" s="13">
        <v>1265.82</v>
      </c>
      <c r="R5340" s="36" t="s">
        <v>886</v>
      </c>
      <c r="S5340" s="7">
        <f t="shared" si="459"/>
        <v>1</v>
      </c>
      <c r="T5340" s="15" t="str">
        <f>VLOOKUP(R5340,产品分类!$C$2:$D$1278,2,0)</f>
        <v>办公用品</v>
      </c>
    </row>
    <row r="5341" spans="1:20">
      <c r="A5341" s="8">
        <f>DATE(2012,12,31)-827</f>
        <v>40447</v>
      </c>
      <c r="B5341" s="8">
        <f>DATE(2012,12,31)-827</f>
        <v>40447</v>
      </c>
      <c r="C5341" s="9" t="s">
        <v>2077</v>
      </c>
      <c r="D5341">
        <v>10021451794</v>
      </c>
      <c r="E5341" t="s">
        <v>47</v>
      </c>
      <c r="F5341" t="s">
        <v>171</v>
      </c>
      <c r="G5341" t="s">
        <v>172</v>
      </c>
      <c r="H5341" t="s">
        <v>2352</v>
      </c>
      <c r="I5341" t="s">
        <v>2353</v>
      </c>
      <c r="J5341" t="s">
        <v>52</v>
      </c>
      <c r="K5341" s="3">
        <v>100125977497</v>
      </c>
      <c r="L5341" s="10">
        <v>40448</v>
      </c>
      <c r="M5341">
        <v>1784.048</v>
      </c>
      <c r="N5341" s="11">
        <v>31</v>
      </c>
      <c r="O5341" s="12">
        <v>65.99</v>
      </c>
      <c r="P5341" s="12">
        <v>3.99</v>
      </c>
      <c r="Q5341" s="13">
        <v>394.452</v>
      </c>
      <c r="R5341" s="36" t="s">
        <v>727</v>
      </c>
      <c r="S5341" s="7">
        <f t="shared" si="459"/>
        <v>1</v>
      </c>
      <c r="T5341" s="15" t="str">
        <f>VLOOKUP(R5341,产品分类!$C$2:$D$1278,2,0)</f>
        <v>家具产品</v>
      </c>
    </row>
    <row r="5342" spans="1:20">
      <c r="A5342" s="8">
        <f>DATE(2012,12,31)-1210</f>
        <v>40064</v>
      </c>
      <c r="B5342" s="8">
        <f>DATE(2012,12,31)-1210</f>
        <v>40064</v>
      </c>
      <c r="C5342" s="9" t="s">
        <v>1122</v>
      </c>
      <c r="D5342">
        <v>10021508057</v>
      </c>
      <c r="E5342" t="s">
        <v>47</v>
      </c>
      <c r="F5342" t="s">
        <v>171</v>
      </c>
      <c r="G5342" t="s">
        <v>172</v>
      </c>
      <c r="H5342" t="s">
        <v>2352</v>
      </c>
      <c r="I5342" t="s">
        <v>2353</v>
      </c>
      <c r="J5342" t="s">
        <v>52</v>
      </c>
      <c r="K5342" s="3">
        <v>100332038419</v>
      </c>
      <c r="L5342" s="10">
        <v>40066</v>
      </c>
      <c r="M5342">
        <v>353.25</v>
      </c>
      <c r="N5342" s="11">
        <v>31</v>
      </c>
      <c r="O5342" s="12">
        <v>11.55</v>
      </c>
      <c r="P5342" s="12">
        <v>2.36</v>
      </c>
      <c r="Q5342" s="13">
        <v>60.06</v>
      </c>
      <c r="R5342" s="36" t="s">
        <v>1043</v>
      </c>
      <c r="S5342" s="7">
        <f t="shared" si="459"/>
        <v>2</v>
      </c>
      <c r="T5342" s="15" t="str">
        <f>VLOOKUP(R5342,产品分类!$C$2:$D$1278,2,0)</f>
        <v>家具产品</v>
      </c>
    </row>
    <row r="5343" spans="1:20">
      <c r="A5343" s="8">
        <f>DATE(2012,12,31)-787</f>
        <v>40487</v>
      </c>
      <c r="B5343" s="8">
        <f>DATE(2012,12,31)-787</f>
        <v>40487</v>
      </c>
      <c r="C5343" s="9" t="s">
        <v>1846</v>
      </c>
      <c r="D5343">
        <v>10021297322</v>
      </c>
      <c r="E5343" t="s">
        <v>47</v>
      </c>
      <c r="F5343" t="s">
        <v>183</v>
      </c>
      <c r="G5343" t="s">
        <v>184</v>
      </c>
      <c r="H5343" t="s">
        <v>2436</v>
      </c>
      <c r="I5343" t="s">
        <v>2277</v>
      </c>
      <c r="J5343" t="s">
        <v>52</v>
      </c>
      <c r="K5343" s="3">
        <v>100724375955</v>
      </c>
      <c r="L5343" s="10">
        <v>40488</v>
      </c>
      <c r="M5343">
        <v>229.26</v>
      </c>
      <c r="N5343" s="11">
        <v>31</v>
      </c>
      <c r="O5343" s="12">
        <v>6.81</v>
      </c>
      <c r="P5343" s="12">
        <v>5.48</v>
      </c>
      <c r="Q5343" s="13">
        <v>-37.2025</v>
      </c>
      <c r="R5343" s="36" t="s">
        <v>1617</v>
      </c>
      <c r="S5343" s="7">
        <f t="shared" si="459"/>
        <v>1</v>
      </c>
      <c r="T5343" s="15" t="str">
        <f>VLOOKUP(R5343,产品分类!$C$2:$D$1278,2,0)</f>
        <v>办公用品</v>
      </c>
    </row>
    <row r="5344" spans="1:20">
      <c r="A5344" s="8">
        <f>DATE(2012,12,31)-1277</f>
        <v>39997</v>
      </c>
      <c r="B5344" s="8">
        <f>DATE(2012,12,31)-1277</f>
        <v>39997</v>
      </c>
      <c r="C5344" s="9" t="s">
        <v>687</v>
      </c>
      <c r="D5344">
        <v>10021262773</v>
      </c>
      <c r="E5344" t="s">
        <v>47</v>
      </c>
      <c r="F5344" t="s">
        <v>177</v>
      </c>
      <c r="G5344" t="s">
        <v>178</v>
      </c>
      <c r="H5344" t="s">
        <v>2339</v>
      </c>
      <c r="I5344" t="s">
        <v>2340</v>
      </c>
      <c r="J5344" t="s">
        <v>52</v>
      </c>
      <c r="K5344" s="3">
        <v>100930174681</v>
      </c>
      <c r="L5344" s="10">
        <v>39998</v>
      </c>
      <c r="M5344">
        <v>299.07</v>
      </c>
      <c r="N5344" s="11">
        <v>26</v>
      </c>
      <c r="O5344" s="12">
        <v>12.53</v>
      </c>
      <c r="P5344" s="12">
        <v>0.49</v>
      </c>
      <c r="Q5344" s="13">
        <v>137.47</v>
      </c>
      <c r="R5344" s="36" t="s">
        <v>1521</v>
      </c>
      <c r="S5344" s="7">
        <f t="shared" si="459"/>
        <v>1</v>
      </c>
      <c r="T5344" s="15" t="str">
        <f>VLOOKUP(R5344,产品分类!$C$2:$D$1278,2,0)</f>
        <v>数码电子</v>
      </c>
    </row>
    <row r="5345" spans="1:20">
      <c r="A5345" s="8">
        <f>DATE(2012,12,31)-1277</f>
        <v>39997</v>
      </c>
      <c r="B5345" s="8">
        <f>DATE(2012,12,31)-1277</f>
        <v>39997</v>
      </c>
      <c r="C5345" s="9" t="s">
        <v>687</v>
      </c>
      <c r="D5345">
        <v>10021503345</v>
      </c>
      <c r="E5345" t="s">
        <v>47</v>
      </c>
      <c r="F5345" t="s">
        <v>177</v>
      </c>
      <c r="G5345" t="s">
        <v>178</v>
      </c>
      <c r="H5345" t="s">
        <v>2339</v>
      </c>
      <c r="I5345" t="s">
        <v>2340</v>
      </c>
      <c r="J5345" t="s">
        <v>52</v>
      </c>
      <c r="K5345" s="3">
        <v>100729407855</v>
      </c>
      <c r="L5345" s="10">
        <v>39998</v>
      </c>
      <c r="M5345">
        <v>708.87</v>
      </c>
      <c r="N5345" s="11">
        <v>5</v>
      </c>
      <c r="O5345" s="12">
        <v>146.34</v>
      </c>
      <c r="P5345" s="12">
        <v>43.75</v>
      </c>
      <c r="Q5345" s="13">
        <v>-270.85</v>
      </c>
      <c r="R5345" s="36" t="s">
        <v>998</v>
      </c>
      <c r="S5345" s="7">
        <f t="shared" si="459"/>
        <v>1</v>
      </c>
      <c r="T5345" s="15" t="str">
        <f>VLOOKUP(R5345,产品分类!$C$2:$D$1278,2,0)</f>
        <v>办公用品</v>
      </c>
    </row>
    <row r="5346" spans="1:20">
      <c r="A5346" s="8">
        <f>DATE(2012,12,31)-636</f>
        <v>40638</v>
      </c>
      <c r="B5346" s="8">
        <f>DATE(2012,12,31)-636</f>
        <v>40638</v>
      </c>
      <c r="C5346" s="9" t="s">
        <v>1088</v>
      </c>
      <c r="D5346">
        <v>10021332876</v>
      </c>
      <c r="E5346" t="s">
        <v>47</v>
      </c>
      <c r="F5346" t="s">
        <v>127</v>
      </c>
      <c r="G5346" t="s">
        <v>128</v>
      </c>
      <c r="H5346" t="s">
        <v>2408</v>
      </c>
      <c r="I5346" t="s">
        <v>2409</v>
      </c>
      <c r="J5346" t="s">
        <v>52</v>
      </c>
      <c r="K5346" s="3">
        <v>100912946711</v>
      </c>
      <c r="L5346" s="10">
        <v>40638</v>
      </c>
      <c r="M5346">
        <v>189.19</v>
      </c>
      <c r="N5346" s="11">
        <v>12</v>
      </c>
      <c r="O5346" s="12">
        <v>16.06</v>
      </c>
      <c r="P5346" s="12">
        <v>8.34</v>
      </c>
      <c r="Q5346" s="13">
        <v>-56.71</v>
      </c>
      <c r="R5346" s="36" t="s">
        <v>1769</v>
      </c>
      <c r="S5346" s="7">
        <f t="shared" si="459"/>
        <v>0</v>
      </c>
      <c r="T5346" s="15" t="str">
        <f>VLOOKUP(R5346,产品分类!$C$2:$D$1278,2,0)</f>
        <v>数码电子</v>
      </c>
    </row>
    <row r="5347" spans="1:20">
      <c r="A5347" s="8">
        <f>DATE(2012,12,31)-895</f>
        <v>40379</v>
      </c>
      <c r="B5347" s="8">
        <f>DATE(2012,12,31)-895</f>
        <v>40379</v>
      </c>
      <c r="C5347" s="9" t="s">
        <v>2075</v>
      </c>
      <c r="D5347">
        <v>10021505356</v>
      </c>
      <c r="E5347" t="s">
        <v>47</v>
      </c>
      <c r="F5347" t="s">
        <v>183</v>
      </c>
      <c r="G5347" t="s">
        <v>184</v>
      </c>
      <c r="H5347" t="s">
        <v>2436</v>
      </c>
      <c r="I5347" t="s">
        <v>2277</v>
      </c>
      <c r="J5347" t="s">
        <v>52</v>
      </c>
      <c r="K5347" s="3">
        <v>100130798698</v>
      </c>
      <c r="L5347" s="10">
        <v>40383</v>
      </c>
      <c r="M5347">
        <v>122.51</v>
      </c>
      <c r="N5347" s="11">
        <v>26</v>
      </c>
      <c r="O5347" s="12">
        <v>4.98</v>
      </c>
      <c r="P5347" s="12">
        <v>0.8</v>
      </c>
      <c r="Q5347" s="13">
        <v>45.14</v>
      </c>
      <c r="R5347" s="36" t="s">
        <v>521</v>
      </c>
      <c r="S5347" s="7">
        <f t="shared" si="459"/>
        <v>4</v>
      </c>
      <c r="T5347" s="15" t="str">
        <f>VLOOKUP(R5347,产品分类!$C$2:$D$1278,2,0)</f>
        <v>家具产品</v>
      </c>
    </row>
    <row r="5348" spans="1:20">
      <c r="A5348" s="8">
        <f>DATE(2012,12,31)-895</f>
        <v>40379</v>
      </c>
      <c r="B5348" s="8">
        <f>DATE(2012,12,31)-895</f>
        <v>40379</v>
      </c>
      <c r="C5348" s="9" t="s">
        <v>2075</v>
      </c>
      <c r="D5348">
        <v>10021336889</v>
      </c>
      <c r="E5348" t="s">
        <v>47</v>
      </c>
      <c r="F5348" t="s">
        <v>183</v>
      </c>
      <c r="G5348" t="s">
        <v>184</v>
      </c>
      <c r="H5348" t="s">
        <v>2436</v>
      </c>
      <c r="I5348" t="s">
        <v>2277</v>
      </c>
      <c r="J5348" t="s">
        <v>52</v>
      </c>
      <c r="K5348" s="3">
        <v>100320842879</v>
      </c>
      <c r="L5348" s="10">
        <v>40386</v>
      </c>
      <c r="M5348">
        <v>2846.361</v>
      </c>
      <c r="N5348" s="11">
        <v>27</v>
      </c>
      <c r="O5348" s="12">
        <v>125.99</v>
      </c>
      <c r="P5348" s="12">
        <v>7.69</v>
      </c>
      <c r="Q5348" s="13">
        <v>453.654</v>
      </c>
      <c r="R5348" s="36" t="s">
        <v>999</v>
      </c>
      <c r="S5348" s="7">
        <f t="shared" si="459"/>
        <v>7</v>
      </c>
      <c r="T5348" s="15" t="str">
        <f>VLOOKUP(R5348,产品分类!$C$2:$D$1278,2,0)</f>
        <v>办公用品</v>
      </c>
    </row>
    <row r="5349" spans="1:20">
      <c r="A5349" s="16">
        <f t="shared" ref="A5349:B5351" si="461">DATE(2012,12,31)-1440</f>
        <v>39834</v>
      </c>
      <c r="B5349" s="16">
        <f t="shared" si="461"/>
        <v>39834</v>
      </c>
      <c r="C5349" s="9" t="s">
        <v>657</v>
      </c>
      <c r="D5349">
        <v>10021669275</v>
      </c>
      <c r="E5349" t="s">
        <v>47</v>
      </c>
      <c r="F5349" t="s">
        <v>61</v>
      </c>
      <c r="G5349" t="s">
        <v>62</v>
      </c>
      <c r="H5349" t="s">
        <v>2431</v>
      </c>
      <c r="I5349" t="s">
        <v>2432</v>
      </c>
      <c r="J5349" t="s">
        <v>52</v>
      </c>
      <c r="K5349" s="3">
        <v>10082669502</v>
      </c>
      <c r="L5349" s="10">
        <v>39835</v>
      </c>
      <c r="M5349">
        <v>4407.03</v>
      </c>
      <c r="N5349" s="17">
        <v>16</v>
      </c>
      <c r="O5349" s="5">
        <v>279.81</v>
      </c>
      <c r="P5349" s="5">
        <v>23.19</v>
      </c>
      <c r="Q5349" s="6">
        <v>834.96</v>
      </c>
      <c r="R5349" s="37" t="s">
        <v>720</v>
      </c>
      <c r="S5349" s="7">
        <f t="shared" si="459"/>
        <v>1</v>
      </c>
      <c r="T5349" s="15" t="str">
        <f>VLOOKUP(R5349,产品分类!$C$2:$D$1278,2,0)</f>
        <v>办公用品</v>
      </c>
    </row>
    <row r="5350" spans="1:20">
      <c r="A5350" s="16">
        <f t="shared" si="461"/>
        <v>39834</v>
      </c>
      <c r="B5350" s="16">
        <f t="shared" si="461"/>
        <v>39834</v>
      </c>
      <c r="C5350" s="9" t="s">
        <v>657</v>
      </c>
      <c r="D5350">
        <v>10021673919</v>
      </c>
      <c r="E5350" t="s">
        <v>47</v>
      </c>
      <c r="F5350" t="s">
        <v>61</v>
      </c>
      <c r="G5350" t="s">
        <v>62</v>
      </c>
      <c r="H5350" t="s">
        <v>2431</v>
      </c>
      <c r="I5350" t="s">
        <v>2432</v>
      </c>
      <c r="J5350" t="s">
        <v>52</v>
      </c>
      <c r="K5350" s="3">
        <v>100131892296</v>
      </c>
      <c r="L5350" s="10">
        <v>39835</v>
      </c>
      <c r="M5350">
        <v>173.22</v>
      </c>
      <c r="N5350" s="17">
        <v>36</v>
      </c>
      <c r="O5350" s="5">
        <v>4.91</v>
      </c>
      <c r="P5350" s="5">
        <v>0.5</v>
      </c>
      <c r="Q5350" s="6">
        <v>81.77</v>
      </c>
      <c r="R5350" s="37" t="s">
        <v>827</v>
      </c>
      <c r="S5350" s="7">
        <f t="shared" si="459"/>
        <v>1</v>
      </c>
      <c r="T5350" s="15" t="str">
        <f>VLOOKUP(R5350,产品分类!$C$2:$D$1278,2,0)</f>
        <v>家具产品</v>
      </c>
    </row>
    <row r="5351" spans="1:20">
      <c r="A5351" s="8">
        <f t="shared" si="461"/>
        <v>39834</v>
      </c>
      <c r="B5351" s="8">
        <f t="shared" si="461"/>
        <v>39834</v>
      </c>
      <c r="C5351" s="9" t="s">
        <v>657</v>
      </c>
      <c r="D5351">
        <v>10021645667</v>
      </c>
      <c r="E5351" t="s">
        <v>47</v>
      </c>
      <c r="F5351" t="s">
        <v>61</v>
      </c>
      <c r="G5351" t="s">
        <v>62</v>
      </c>
      <c r="H5351" t="s">
        <v>2431</v>
      </c>
      <c r="I5351" t="s">
        <v>2432</v>
      </c>
      <c r="J5351" t="s">
        <v>52</v>
      </c>
      <c r="K5351" s="3">
        <v>10098160051</v>
      </c>
      <c r="L5351" s="10">
        <v>39836</v>
      </c>
      <c r="M5351">
        <v>1482.01</v>
      </c>
      <c r="N5351" s="11">
        <v>46</v>
      </c>
      <c r="O5351" s="12">
        <v>30.44</v>
      </c>
      <c r="P5351" s="12">
        <v>1.49</v>
      </c>
      <c r="Q5351" s="13">
        <v>709.325</v>
      </c>
      <c r="R5351" s="36" t="s">
        <v>1960</v>
      </c>
      <c r="S5351" s="7">
        <f t="shared" si="459"/>
        <v>2</v>
      </c>
      <c r="T5351" s="15" t="str">
        <f>VLOOKUP(R5351,产品分类!$C$2:$D$1278,2,0)</f>
        <v>数码电子</v>
      </c>
    </row>
    <row r="5352" spans="1:20">
      <c r="A5352" s="8">
        <f>DATE(2012,12,31)-1072</f>
        <v>40202</v>
      </c>
      <c r="B5352" s="8">
        <f>DATE(2012,12,31)-1072</f>
        <v>40202</v>
      </c>
      <c r="C5352" s="9" t="s">
        <v>2437</v>
      </c>
      <c r="D5352">
        <v>10021494969</v>
      </c>
      <c r="E5352" t="s">
        <v>47</v>
      </c>
      <c r="F5352" t="s">
        <v>61</v>
      </c>
      <c r="G5352" t="s">
        <v>62</v>
      </c>
      <c r="H5352" t="s">
        <v>2431</v>
      </c>
      <c r="I5352" t="s">
        <v>2432</v>
      </c>
      <c r="J5352" t="s">
        <v>52</v>
      </c>
      <c r="K5352" s="3">
        <v>100113328346</v>
      </c>
      <c r="L5352" s="10">
        <v>40202</v>
      </c>
      <c r="M5352">
        <v>2252.262</v>
      </c>
      <c r="N5352" s="11">
        <v>42</v>
      </c>
      <c r="O5352" s="12">
        <v>65.99</v>
      </c>
      <c r="P5352" s="12">
        <v>5.63</v>
      </c>
      <c r="Q5352" s="13">
        <v>478.107</v>
      </c>
      <c r="R5352" s="36" t="s">
        <v>733</v>
      </c>
      <c r="S5352" s="7">
        <f t="shared" si="459"/>
        <v>0</v>
      </c>
      <c r="T5352" s="15" t="str">
        <f>VLOOKUP(R5352,产品分类!$C$2:$D$1278,2,0)</f>
        <v>家具产品</v>
      </c>
    </row>
    <row r="5353" spans="1:20">
      <c r="A5353" s="8">
        <f>DATE(2012,12,31)-1072</f>
        <v>40202</v>
      </c>
      <c r="B5353" s="8">
        <f>DATE(2012,12,31)-1072</f>
        <v>40202</v>
      </c>
      <c r="C5353" s="9" t="s">
        <v>2437</v>
      </c>
      <c r="D5353">
        <v>10021522834</v>
      </c>
      <c r="E5353" t="s">
        <v>47</v>
      </c>
      <c r="F5353" t="s">
        <v>61</v>
      </c>
      <c r="G5353" t="s">
        <v>62</v>
      </c>
      <c r="H5353" t="s">
        <v>2431</v>
      </c>
      <c r="I5353" t="s">
        <v>2432</v>
      </c>
      <c r="J5353" t="s">
        <v>52</v>
      </c>
      <c r="K5353" s="3">
        <v>100910906311</v>
      </c>
      <c r="L5353" s="10">
        <v>40203</v>
      </c>
      <c r="M5353">
        <v>279.01</v>
      </c>
      <c r="N5353" s="11">
        <v>47</v>
      </c>
      <c r="O5353" s="12">
        <v>5.77</v>
      </c>
      <c r="P5353" s="12">
        <v>5.92</v>
      </c>
      <c r="Q5353" s="13">
        <v>-136.84</v>
      </c>
      <c r="R5353" s="36" t="s">
        <v>1128</v>
      </c>
      <c r="S5353" s="7">
        <f t="shared" si="459"/>
        <v>1</v>
      </c>
      <c r="T5353" s="15" t="str">
        <f>VLOOKUP(R5353,产品分类!$C$2:$D$1278,2,0)</f>
        <v>办公用品</v>
      </c>
    </row>
    <row r="5354" spans="1:20">
      <c r="A5354" s="8">
        <f t="shared" ref="A5354:B5356" si="462">DATE(2012,12,31)-797</f>
        <v>40477</v>
      </c>
      <c r="B5354" s="8">
        <f t="shared" si="462"/>
        <v>40477</v>
      </c>
      <c r="C5354" s="9" t="s">
        <v>754</v>
      </c>
      <c r="D5354">
        <v>10021578556</v>
      </c>
      <c r="E5354" t="s">
        <v>47</v>
      </c>
      <c r="F5354" t="s">
        <v>253</v>
      </c>
      <c r="G5354" t="s">
        <v>254</v>
      </c>
      <c r="H5354" t="s">
        <v>2344</v>
      </c>
      <c r="I5354" t="s">
        <v>2345</v>
      </c>
      <c r="J5354" t="s">
        <v>52</v>
      </c>
      <c r="K5354" s="3">
        <v>100812724752</v>
      </c>
      <c r="L5354" s="10">
        <v>40478</v>
      </c>
      <c r="M5354">
        <v>187.18</v>
      </c>
      <c r="N5354" s="11">
        <v>31</v>
      </c>
      <c r="O5354" s="12">
        <v>5.98</v>
      </c>
      <c r="P5354" s="12">
        <v>1.67</v>
      </c>
      <c r="Q5354" s="13">
        <v>28.91</v>
      </c>
      <c r="R5354" s="36" t="s">
        <v>2317</v>
      </c>
      <c r="S5354" s="7">
        <f t="shared" si="459"/>
        <v>1</v>
      </c>
      <c r="T5354" s="15" t="str">
        <f>VLOOKUP(R5354,产品分类!$C$2:$D$1278,2,0)</f>
        <v>家具产品</v>
      </c>
    </row>
    <row r="5355" spans="1:20">
      <c r="A5355" s="8">
        <f t="shared" si="462"/>
        <v>40477</v>
      </c>
      <c r="B5355" s="8">
        <f t="shared" si="462"/>
        <v>40477</v>
      </c>
      <c r="C5355" s="9" t="s">
        <v>754</v>
      </c>
      <c r="D5355">
        <v>10021338954</v>
      </c>
      <c r="E5355" t="s">
        <v>47</v>
      </c>
      <c r="F5355" t="s">
        <v>61</v>
      </c>
      <c r="G5355" t="s">
        <v>62</v>
      </c>
      <c r="H5355" t="s">
        <v>2431</v>
      </c>
      <c r="I5355" t="s">
        <v>2432</v>
      </c>
      <c r="J5355" t="s">
        <v>52</v>
      </c>
      <c r="K5355" s="3">
        <v>100924571281</v>
      </c>
      <c r="L5355" s="10">
        <v>40479</v>
      </c>
      <c r="M5355">
        <v>104.21</v>
      </c>
      <c r="N5355" s="11">
        <v>36</v>
      </c>
      <c r="O5355" s="12">
        <v>2.88</v>
      </c>
      <c r="P5355" s="12">
        <v>0.7</v>
      </c>
      <c r="Q5355" s="13">
        <v>15.19</v>
      </c>
      <c r="R5355" s="36" t="s">
        <v>100</v>
      </c>
      <c r="S5355" s="7">
        <f t="shared" si="459"/>
        <v>2</v>
      </c>
      <c r="T5355" s="15" t="str">
        <f>VLOOKUP(R5355,产品分类!$C$2:$D$1278,2,0)</f>
        <v>数码电子</v>
      </c>
    </row>
    <row r="5356" spans="1:20">
      <c r="A5356" s="8">
        <f t="shared" si="462"/>
        <v>40477</v>
      </c>
      <c r="B5356" s="8">
        <f t="shared" si="462"/>
        <v>40477</v>
      </c>
      <c r="C5356" s="9" t="s">
        <v>754</v>
      </c>
      <c r="D5356">
        <v>10021279573</v>
      </c>
      <c r="E5356" t="s">
        <v>47</v>
      </c>
      <c r="F5356" t="s">
        <v>61</v>
      </c>
      <c r="G5356" t="s">
        <v>62</v>
      </c>
      <c r="H5356" t="s">
        <v>2431</v>
      </c>
      <c r="I5356" t="s">
        <v>2432</v>
      </c>
      <c r="J5356" t="s">
        <v>52</v>
      </c>
      <c r="K5356" s="3">
        <v>10093229771</v>
      </c>
      <c r="L5356" s="10">
        <v>40479</v>
      </c>
      <c r="M5356">
        <v>1331.224</v>
      </c>
      <c r="N5356" s="11">
        <v>14</v>
      </c>
      <c r="O5356" s="12">
        <v>111.96</v>
      </c>
      <c r="P5356" s="12">
        <v>69</v>
      </c>
      <c r="Q5356" s="13">
        <v>-401.42</v>
      </c>
      <c r="R5356" s="36" t="s">
        <v>1834</v>
      </c>
      <c r="S5356" s="7">
        <f t="shared" si="459"/>
        <v>2</v>
      </c>
      <c r="T5356" s="15" t="str">
        <f>VLOOKUP(R5356,产品分类!$C$2:$D$1278,2,0)</f>
        <v>家具产品</v>
      </c>
    </row>
    <row r="5357" spans="1:20">
      <c r="A5357" s="8">
        <f>DATE(2012,12,31)-320</f>
        <v>40954</v>
      </c>
      <c r="B5357" s="8">
        <f>DATE(2012,12,31)-320</f>
        <v>40954</v>
      </c>
      <c r="C5357" s="9" t="s">
        <v>1269</v>
      </c>
      <c r="D5357">
        <v>10021495128</v>
      </c>
      <c r="E5357" t="s">
        <v>47</v>
      </c>
      <c r="F5357" t="s">
        <v>61</v>
      </c>
      <c r="G5357" t="s">
        <v>62</v>
      </c>
      <c r="H5357" t="s">
        <v>2431</v>
      </c>
      <c r="I5357" t="s">
        <v>2432</v>
      </c>
      <c r="J5357" t="s">
        <v>52</v>
      </c>
      <c r="K5357" s="3">
        <v>100814044142</v>
      </c>
      <c r="L5357" s="10">
        <v>40954</v>
      </c>
      <c r="M5357">
        <v>542.6</v>
      </c>
      <c r="N5357" s="11">
        <v>13</v>
      </c>
      <c r="O5357" s="12">
        <v>40.98</v>
      </c>
      <c r="P5357" s="12">
        <v>1.99</v>
      </c>
      <c r="Q5357" s="13">
        <v>118.4</v>
      </c>
      <c r="R5357" s="36" t="s">
        <v>541</v>
      </c>
      <c r="S5357" s="7">
        <f t="shared" si="459"/>
        <v>0</v>
      </c>
      <c r="T5357" s="15" t="str">
        <f>VLOOKUP(R5357,产品分类!$C$2:$D$1278,2,0)</f>
        <v>办公用品</v>
      </c>
    </row>
    <row r="5358" spans="1:20">
      <c r="A5358" s="8">
        <f>DATE(2012,12,31)-1204</f>
        <v>40070</v>
      </c>
      <c r="B5358" s="8">
        <f>DATE(2012,12,31)-1204</f>
        <v>40070</v>
      </c>
      <c r="C5358" s="9" t="s">
        <v>1795</v>
      </c>
      <c r="D5358">
        <v>10021658418</v>
      </c>
      <c r="E5358" t="s">
        <v>47</v>
      </c>
      <c r="F5358" t="s">
        <v>61</v>
      </c>
      <c r="G5358" t="s">
        <v>62</v>
      </c>
      <c r="H5358" t="s">
        <v>2431</v>
      </c>
      <c r="I5358" t="s">
        <v>2432</v>
      </c>
      <c r="J5358" t="s">
        <v>52</v>
      </c>
      <c r="K5358" s="3">
        <v>10096503051</v>
      </c>
      <c r="L5358" s="10">
        <v>40071</v>
      </c>
      <c r="M5358">
        <v>125.01</v>
      </c>
      <c r="N5358" s="11">
        <v>26</v>
      </c>
      <c r="O5358" s="12">
        <v>4.98</v>
      </c>
      <c r="P5358" s="12">
        <v>4.7</v>
      </c>
      <c r="Q5358" s="13">
        <v>-56.35</v>
      </c>
      <c r="R5358" s="36" t="s">
        <v>1648</v>
      </c>
      <c r="S5358" s="7">
        <f t="shared" si="459"/>
        <v>1</v>
      </c>
      <c r="T5358" s="15" t="str">
        <f>VLOOKUP(R5358,产品分类!$C$2:$D$1278,2,0)</f>
        <v>办公用品</v>
      </c>
    </row>
    <row r="5359" spans="1:20">
      <c r="A5359" s="8">
        <f>DATE(2012,12,31)-1382</f>
        <v>39892</v>
      </c>
      <c r="B5359" s="8">
        <f>DATE(2012,12,31)-1382</f>
        <v>39892</v>
      </c>
      <c r="C5359" s="9" t="s">
        <v>2324</v>
      </c>
      <c r="D5359">
        <v>10021281200</v>
      </c>
      <c r="E5359" t="s">
        <v>47</v>
      </c>
      <c r="F5359" t="s">
        <v>253</v>
      </c>
      <c r="G5359" t="s">
        <v>254</v>
      </c>
      <c r="H5359" t="s">
        <v>2438</v>
      </c>
      <c r="I5359" t="s">
        <v>2439</v>
      </c>
      <c r="J5359" t="s">
        <v>52</v>
      </c>
      <c r="K5359" s="3">
        <v>100120700876</v>
      </c>
      <c r="L5359" s="10">
        <v>39894</v>
      </c>
      <c r="M5359">
        <v>100.36</v>
      </c>
      <c r="N5359" s="11">
        <v>11</v>
      </c>
      <c r="O5359" s="12">
        <v>9.11</v>
      </c>
      <c r="P5359" s="12">
        <v>2.15</v>
      </c>
      <c r="Q5359" s="13">
        <v>18.41</v>
      </c>
      <c r="R5359" s="36" t="s">
        <v>1449</v>
      </c>
      <c r="S5359" s="7">
        <f t="shared" si="459"/>
        <v>2</v>
      </c>
      <c r="T5359" s="15" t="str">
        <f>VLOOKUP(R5359,产品分类!$C$2:$D$1278,2,0)</f>
        <v>家具产品</v>
      </c>
    </row>
    <row r="5360" spans="1:20">
      <c r="A5360" s="8">
        <f>DATE(2012,12,31)-1382</f>
        <v>39892</v>
      </c>
      <c r="B5360" s="8">
        <f>DATE(2012,12,31)-1382</f>
        <v>39892</v>
      </c>
      <c r="C5360" s="9" t="s">
        <v>2324</v>
      </c>
      <c r="D5360">
        <v>10021343823</v>
      </c>
      <c r="E5360" t="s">
        <v>47</v>
      </c>
      <c r="F5360" t="s">
        <v>61</v>
      </c>
      <c r="G5360" t="s">
        <v>62</v>
      </c>
      <c r="H5360" t="s">
        <v>2431</v>
      </c>
      <c r="I5360" t="s">
        <v>2432</v>
      </c>
      <c r="J5360" t="s">
        <v>52</v>
      </c>
      <c r="K5360" s="3">
        <v>100929177771</v>
      </c>
      <c r="L5360" s="10">
        <v>39894</v>
      </c>
      <c r="M5360">
        <v>404.91</v>
      </c>
      <c r="N5360" s="11">
        <v>33</v>
      </c>
      <c r="O5360" s="12">
        <v>12.64</v>
      </c>
      <c r="P5360" s="12">
        <v>4.98</v>
      </c>
      <c r="Q5360" s="13">
        <v>65.63</v>
      </c>
      <c r="R5360" s="36" t="s">
        <v>181</v>
      </c>
      <c r="S5360" s="7">
        <f t="shared" si="459"/>
        <v>2</v>
      </c>
      <c r="T5360" s="15" t="str">
        <f>VLOOKUP(R5360,产品分类!$C$2:$D$1278,2,0)</f>
        <v>数码电子</v>
      </c>
    </row>
    <row r="5361" spans="1:20">
      <c r="A5361" s="8">
        <f>DATE(2012,12,31)-1409</f>
        <v>39865</v>
      </c>
      <c r="B5361" s="8">
        <f>DATE(2012,12,31)-1409</f>
        <v>39865</v>
      </c>
      <c r="C5361" s="9" t="s">
        <v>879</v>
      </c>
      <c r="D5361">
        <v>10021262133</v>
      </c>
      <c r="E5361" t="s">
        <v>47</v>
      </c>
      <c r="F5361" t="s">
        <v>61</v>
      </c>
      <c r="G5361" t="s">
        <v>62</v>
      </c>
      <c r="H5361" t="s">
        <v>2431</v>
      </c>
      <c r="I5361" t="s">
        <v>2432</v>
      </c>
      <c r="J5361" t="s">
        <v>52</v>
      </c>
      <c r="K5361" s="3">
        <v>10039134779</v>
      </c>
      <c r="L5361" s="10">
        <v>39865</v>
      </c>
      <c r="M5361">
        <v>901.81</v>
      </c>
      <c r="N5361" s="11">
        <v>18</v>
      </c>
      <c r="O5361" s="12">
        <v>49.99</v>
      </c>
      <c r="P5361" s="12">
        <v>19.99</v>
      </c>
      <c r="Q5361" s="13">
        <v>-76.89</v>
      </c>
      <c r="R5361" s="36" t="s">
        <v>1650</v>
      </c>
      <c r="S5361" s="7">
        <f t="shared" si="459"/>
        <v>0</v>
      </c>
      <c r="T5361" s="15" t="str">
        <f>VLOOKUP(R5361,产品分类!$C$2:$D$1278,2,0)</f>
        <v>办公用品</v>
      </c>
    </row>
    <row r="5362" spans="1:20">
      <c r="A5362" s="16">
        <f>DATE(2012,12,31)-986</f>
        <v>40288</v>
      </c>
      <c r="B5362" s="16">
        <f>DATE(2012,12,31)-986</f>
        <v>40288</v>
      </c>
      <c r="C5362" s="9" t="s">
        <v>1549</v>
      </c>
      <c r="D5362">
        <v>10021577543</v>
      </c>
      <c r="E5362" t="s">
        <v>47</v>
      </c>
      <c r="F5362" t="s">
        <v>253</v>
      </c>
      <c r="G5362" t="s">
        <v>254</v>
      </c>
      <c r="H5362" t="s">
        <v>2438</v>
      </c>
      <c r="I5362" t="s">
        <v>2439</v>
      </c>
      <c r="J5362" t="s">
        <v>52</v>
      </c>
      <c r="K5362" s="3">
        <v>100711087805</v>
      </c>
      <c r="L5362" s="10">
        <v>40293</v>
      </c>
      <c r="M5362">
        <v>481.27</v>
      </c>
      <c r="N5362" s="17">
        <v>28</v>
      </c>
      <c r="O5362" s="5">
        <v>15.7</v>
      </c>
      <c r="P5362" s="5">
        <v>11.25</v>
      </c>
      <c r="Q5362" s="6">
        <v>-128.89</v>
      </c>
      <c r="R5362" s="37" t="s">
        <v>261</v>
      </c>
      <c r="S5362" s="7">
        <f t="shared" si="459"/>
        <v>5</v>
      </c>
      <c r="T5362" s="15" t="str">
        <f>VLOOKUP(R5362,产品分类!$C$2:$D$1278,2,0)</f>
        <v>家具产品</v>
      </c>
    </row>
    <row r="5363" spans="1:20">
      <c r="A5363" s="8">
        <f>DATE(2012,12,31)-623</f>
        <v>40651</v>
      </c>
      <c r="B5363" s="8">
        <f>DATE(2012,12,31)-623</f>
        <v>40651</v>
      </c>
      <c r="C5363" s="9" t="s">
        <v>632</v>
      </c>
      <c r="D5363">
        <v>10021279746</v>
      </c>
      <c r="E5363" t="s">
        <v>47</v>
      </c>
      <c r="F5363" t="s">
        <v>61</v>
      </c>
      <c r="G5363" t="s">
        <v>62</v>
      </c>
      <c r="H5363" t="s">
        <v>2431</v>
      </c>
      <c r="I5363" t="s">
        <v>2432</v>
      </c>
      <c r="J5363" t="s">
        <v>52</v>
      </c>
      <c r="K5363" s="3">
        <v>10076084615</v>
      </c>
      <c r="L5363" s="10">
        <v>40653</v>
      </c>
      <c r="M5363">
        <v>138.91</v>
      </c>
      <c r="N5363" s="11">
        <v>7</v>
      </c>
      <c r="O5363" s="12">
        <v>19.98</v>
      </c>
      <c r="P5363" s="12">
        <v>4</v>
      </c>
      <c r="Q5363" s="13">
        <v>-64.11</v>
      </c>
      <c r="R5363" s="36" t="s">
        <v>846</v>
      </c>
      <c r="S5363" s="7">
        <f t="shared" si="459"/>
        <v>2</v>
      </c>
      <c r="T5363" s="15" t="str">
        <f>VLOOKUP(R5363,产品分类!$C$2:$D$1278,2,0)</f>
        <v>数码电子</v>
      </c>
    </row>
    <row r="5364" spans="1:20">
      <c r="A5364" s="8">
        <f>DATE(2012,12,31)-1206</f>
        <v>40068</v>
      </c>
      <c r="B5364" s="8">
        <f>DATE(2012,12,31)-1206</f>
        <v>40068</v>
      </c>
      <c r="C5364" s="9" t="s">
        <v>2045</v>
      </c>
      <c r="D5364">
        <v>10021263004</v>
      </c>
      <c r="E5364" t="s">
        <v>47</v>
      </c>
      <c r="F5364" t="s">
        <v>253</v>
      </c>
      <c r="G5364" t="s">
        <v>254</v>
      </c>
      <c r="H5364" t="s">
        <v>2438</v>
      </c>
      <c r="I5364" t="s">
        <v>2439</v>
      </c>
      <c r="J5364" t="s">
        <v>52</v>
      </c>
      <c r="K5364" s="3">
        <v>100130449046</v>
      </c>
      <c r="L5364" s="10">
        <v>40070</v>
      </c>
      <c r="M5364">
        <v>60.92</v>
      </c>
      <c r="N5364" s="11">
        <v>33</v>
      </c>
      <c r="O5364" s="12">
        <v>1.88</v>
      </c>
      <c r="P5364" s="12">
        <v>1.49</v>
      </c>
      <c r="Q5364" s="13">
        <v>-17.204</v>
      </c>
      <c r="R5364" s="36" t="s">
        <v>1426</v>
      </c>
      <c r="S5364" s="7">
        <f t="shared" si="459"/>
        <v>2</v>
      </c>
      <c r="T5364" s="15" t="str">
        <f>VLOOKUP(R5364,产品分类!$C$2:$D$1278,2,0)</f>
        <v>办公用品</v>
      </c>
    </row>
    <row r="5365" spans="1:20">
      <c r="A5365" s="8">
        <f>DATE(2012,12,31)-1206</f>
        <v>40068</v>
      </c>
      <c r="B5365" s="8">
        <f>DATE(2012,12,31)-1206</f>
        <v>40068</v>
      </c>
      <c r="C5365" s="9" t="s">
        <v>2045</v>
      </c>
      <c r="D5365">
        <v>10021672276</v>
      </c>
      <c r="E5365" t="s">
        <v>47</v>
      </c>
      <c r="F5365" t="s">
        <v>61</v>
      </c>
      <c r="G5365" t="s">
        <v>62</v>
      </c>
      <c r="H5365" t="s">
        <v>2431</v>
      </c>
      <c r="I5365" t="s">
        <v>2432</v>
      </c>
      <c r="J5365" t="s">
        <v>52</v>
      </c>
      <c r="K5365" s="3">
        <v>10013596827</v>
      </c>
      <c r="L5365" s="10">
        <v>40069</v>
      </c>
      <c r="M5365">
        <v>387.17</v>
      </c>
      <c r="N5365" s="11">
        <v>8</v>
      </c>
      <c r="O5365" s="12">
        <v>45.98</v>
      </c>
      <c r="P5365" s="12">
        <v>4.8</v>
      </c>
      <c r="Q5365" s="13">
        <v>190.6</v>
      </c>
      <c r="R5365" s="36" t="s">
        <v>1364</v>
      </c>
      <c r="S5365" s="7">
        <f t="shared" si="459"/>
        <v>1</v>
      </c>
      <c r="T5365" s="15" t="str">
        <f>VLOOKUP(R5365,产品分类!$C$2:$D$1278,2,0)</f>
        <v>数码电子</v>
      </c>
    </row>
    <row r="5366" spans="1:20">
      <c r="A5366" s="8">
        <f>DATE(2012,12,31)-390</f>
        <v>40884</v>
      </c>
      <c r="B5366" s="8">
        <f>DATE(2012,12,31)-390</f>
        <v>40884</v>
      </c>
      <c r="C5366" s="9" t="s">
        <v>1363</v>
      </c>
      <c r="D5366">
        <v>10021417018</v>
      </c>
      <c r="E5366" t="s">
        <v>47</v>
      </c>
      <c r="F5366" t="s">
        <v>61</v>
      </c>
      <c r="G5366" t="s">
        <v>62</v>
      </c>
      <c r="H5366" t="s">
        <v>2431</v>
      </c>
      <c r="I5366" t="s">
        <v>2432</v>
      </c>
      <c r="J5366" t="s">
        <v>52</v>
      </c>
      <c r="K5366" s="3">
        <v>100115208428</v>
      </c>
      <c r="L5366" s="10">
        <v>40884</v>
      </c>
      <c r="M5366">
        <v>782.05</v>
      </c>
      <c r="N5366" s="11">
        <v>41</v>
      </c>
      <c r="O5366" s="12">
        <v>19.94</v>
      </c>
      <c r="P5366" s="12">
        <v>14.87</v>
      </c>
      <c r="Q5366" s="13">
        <v>-253.74</v>
      </c>
      <c r="R5366" s="36" t="s">
        <v>2211</v>
      </c>
      <c r="S5366" s="7">
        <f t="shared" si="459"/>
        <v>0</v>
      </c>
      <c r="T5366" s="15" t="str">
        <f>VLOOKUP(R5366,产品分类!$C$2:$D$1278,2,0)</f>
        <v>办公用品</v>
      </c>
    </row>
    <row r="5367" spans="1:20">
      <c r="A5367" s="8">
        <f>DATE(2012,12,31)-390</f>
        <v>40884</v>
      </c>
      <c r="B5367" s="8">
        <f>DATE(2012,12,31)-390</f>
        <v>40884</v>
      </c>
      <c r="C5367" s="9" t="s">
        <v>1363</v>
      </c>
      <c r="D5367">
        <v>10021280743</v>
      </c>
      <c r="E5367" t="s">
        <v>47</v>
      </c>
      <c r="F5367" t="s">
        <v>61</v>
      </c>
      <c r="G5367" t="s">
        <v>62</v>
      </c>
      <c r="H5367" t="s">
        <v>2431</v>
      </c>
      <c r="I5367" t="s">
        <v>2432</v>
      </c>
      <c r="J5367" t="s">
        <v>52</v>
      </c>
      <c r="K5367" s="3">
        <v>100916650201</v>
      </c>
      <c r="L5367" s="10">
        <v>40888</v>
      </c>
      <c r="M5367">
        <v>341.39</v>
      </c>
      <c r="N5367" s="11">
        <v>45</v>
      </c>
      <c r="O5367" s="12">
        <v>7.68</v>
      </c>
      <c r="P5367" s="12">
        <v>6.16</v>
      </c>
      <c r="Q5367" s="13">
        <v>-82.9495</v>
      </c>
      <c r="R5367" s="36" t="s">
        <v>1262</v>
      </c>
      <c r="S5367" s="7">
        <f t="shared" si="459"/>
        <v>4</v>
      </c>
      <c r="T5367" s="15" t="str">
        <f>VLOOKUP(R5367,产品分类!$C$2:$D$1278,2,0)</f>
        <v>办公用品</v>
      </c>
    </row>
    <row r="5368" spans="1:20">
      <c r="A5368" s="16">
        <f>DATE(2012,12,31)-869</f>
        <v>40405</v>
      </c>
      <c r="B5368" s="16">
        <f>DATE(2012,12,31)-869</f>
        <v>40405</v>
      </c>
      <c r="C5368" s="9" t="s">
        <v>1221</v>
      </c>
      <c r="D5368">
        <v>10021336638</v>
      </c>
      <c r="E5368" t="s">
        <v>47</v>
      </c>
      <c r="F5368" t="s">
        <v>55</v>
      </c>
      <c r="G5368" t="s">
        <v>56</v>
      </c>
      <c r="H5368" t="s">
        <v>2425</v>
      </c>
      <c r="I5368" t="s">
        <v>2426</v>
      </c>
      <c r="J5368" t="s">
        <v>52</v>
      </c>
      <c r="K5368" s="3">
        <v>100919549741</v>
      </c>
      <c r="L5368" s="10">
        <v>40406</v>
      </c>
      <c r="M5368">
        <v>231.08</v>
      </c>
      <c r="N5368" s="17">
        <v>39</v>
      </c>
      <c r="O5368" s="5">
        <v>5.28</v>
      </c>
      <c r="P5368" s="5">
        <v>5.57</v>
      </c>
      <c r="Q5368" s="6">
        <v>-79.08</v>
      </c>
      <c r="R5368" s="37" t="s">
        <v>447</v>
      </c>
      <c r="S5368" s="7">
        <f t="shared" si="459"/>
        <v>1</v>
      </c>
      <c r="T5368" s="15" t="str">
        <f>VLOOKUP(R5368,产品分类!$C$2:$D$1278,2,0)</f>
        <v>数码电子</v>
      </c>
    </row>
    <row r="5369" spans="1:20">
      <c r="A5369" s="16">
        <f>DATE(2012,12,31)-869</f>
        <v>40405</v>
      </c>
      <c r="B5369" s="16">
        <f>DATE(2012,12,31)-869</f>
        <v>40405</v>
      </c>
      <c r="C5369" s="9" t="s">
        <v>1221</v>
      </c>
      <c r="D5369">
        <v>10021576642</v>
      </c>
      <c r="E5369" t="s">
        <v>47</v>
      </c>
      <c r="F5369" t="s">
        <v>61</v>
      </c>
      <c r="G5369" t="s">
        <v>62</v>
      </c>
      <c r="H5369" t="s">
        <v>2431</v>
      </c>
      <c r="I5369" t="s">
        <v>2432</v>
      </c>
      <c r="J5369" t="s">
        <v>52</v>
      </c>
      <c r="K5369" s="3">
        <v>100114298448</v>
      </c>
      <c r="L5369" s="10">
        <v>40407</v>
      </c>
      <c r="M5369">
        <v>428.36</v>
      </c>
      <c r="N5369" s="17">
        <v>48</v>
      </c>
      <c r="O5369" s="5">
        <v>9.11</v>
      </c>
      <c r="P5369" s="5">
        <v>2.25</v>
      </c>
      <c r="Q5369" s="6">
        <v>74.75</v>
      </c>
      <c r="R5369" s="37" t="s">
        <v>82</v>
      </c>
      <c r="S5369" s="7">
        <f t="shared" si="459"/>
        <v>2</v>
      </c>
      <c r="T5369" s="15" t="str">
        <f>VLOOKUP(R5369,产品分类!$C$2:$D$1278,2,0)</f>
        <v>数码电子</v>
      </c>
    </row>
    <row r="5370" spans="1:20">
      <c r="A5370" s="8">
        <f>DATE(2012,12,31)-124</f>
        <v>41150</v>
      </c>
      <c r="B5370" s="8">
        <f>DATE(2012,12,31)-124</f>
        <v>41150</v>
      </c>
      <c r="C5370" s="9" t="s">
        <v>336</v>
      </c>
      <c r="D5370">
        <v>10021331481</v>
      </c>
      <c r="E5370" t="s">
        <v>47</v>
      </c>
      <c r="F5370" t="s">
        <v>61</v>
      </c>
      <c r="G5370" t="s">
        <v>62</v>
      </c>
      <c r="H5370" t="s">
        <v>2431</v>
      </c>
      <c r="I5370" t="s">
        <v>2432</v>
      </c>
      <c r="J5370" t="s">
        <v>52</v>
      </c>
      <c r="K5370" s="3">
        <v>10093382401</v>
      </c>
      <c r="L5370" s="10">
        <v>41151</v>
      </c>
      <c r="M5370">
        <v>153.98</v>
      </c>
      <c r="N5370" s="11">
        <v>32</v>
      </c>
      <c r="O5370" s="12">
        <v>4.91</v>
      </c>
      <c r="P5370" s="12">
        <v>0.5</v>
      </c>
      <c r="Q5370" s="13">
        <v>71.6</v>
      </c>
      <c r="R5370" s="36" t="s">
        <v>427</v>
      </c>
      <c r="S5370" s="7">
        <f t="shared" si="459"/>
        <v>1</v>
      </c>
      <c r="T5370" s="15" t="str">
        <f>VLOOKUP(R5370,产品分类!$C$2:$D$1278,2,0)</f>
        <v>数码电子</v>
      </c>
    </row>
    <row r="5371" spans="1:20">
      <c r="A5371" s="8">
        <f>DATE(2012,12,31)-223</f>
        <v>41051</v>
      </c>
      <c r="B5371" s="8">
        <f>DATE(2012,12,31)-223</f>
        <v>41051</v>
      </c>
      <c r="C5371" s="9" t="s">
        <v>1118</v>
      </c>
      <c r="D5371">
        <v>10021505422</v>
      </c>
      <c r="E5371" t="s">
        <v>47</v>
      </c>
      <c r="F5371" t="s">
        <v>61</v>
      </c>
      <c r="G5371" t="s">
        <v>62</v>
      </c>
      <c r="H5371" t="s">
        <v>2431</v>
      </c>
      <c r="I5371" t="s">
        <v>2432</v>
      </c>
      <c r="J5371" t="s">
        <v>52</v>
      </c>
      <c r="K5371" s="3">
        <v>100930805681</v>
      </c>
      <c r="L5371" s="10">
        <v>41051</v>
      </c>
      <c r="M5371">
        <v>2848.83</v>
      </c>
      <c r="N5371" s="11">
        <v>45</v>
      </c>
      <c r="O5371" s="12">
        <v>64.65</v>
      </c>
      <c r="P5371" s="12">
        <v>35</v>
      </c>
      <c r="Q5371" s="13">
        <v>-1182.87</v>
      </c>
      <c r="R5371" s="36" t="s">
        <v>1310</v>
      </c>
      <c r="S5371" s="7">
        <f t="shared" si="459"/>
        <v>0</v>
      </c>
      <c r="T5371" s="15" t="str">
        <f>VLOOKUP(R5371,产品分类!$C$2:$D$1278,2,0)</f>
        <v>办公用品</v>
      </c>
    </row>
    <row r="5372" spans="1:20">
      <c r="A5372" s="16">
        <f>DATE(2012,12,31)-750</f>
        <v>40524</v>
      </c>
      <c r="B5372" s="16">
        <f>DATE(2012,12,31)-750</f>
        <v>40524</v>
      </c>
      <c r="C5372" s="9" t="s">
        <v>1780</v>
      </c>
      <c r="D5372">
        <v>10021293954</v>
      </c>
      <c r="E5372" t="s">
        <v>47</v>
      </c>
      <c r="F5372" t="s">
        <v>61</v>
      </c>
      <c r="G5372" t="s">
        <v>62</v>
      </c>
      <c r="H5372" t="s">
        <v>2431</v>
      </c>
      <c r="I5372" t="s">
        <v>2432</v>
      </c>
      <c r="J5372" t="s">
        <v>52</v>
      </c>
      <c r="K5372" s="3">
        <v>100910189821</v>
      </c>
      <c r="L5372" s="10">
        <v>40524</v>
      </c>
      <c r="M5372">
        <v>52.76</v>
      </c>
      <c r="N5372" s="17">
        <v>10</v>
      </c>
      <c r="O5372" s="5">
        <v>4.98</v>
      </c>
      <c r="P5372" s="5">
        <v>7.44</v>
      </c>
      <c r="Q5372" s="6">
        <v>-49.53</v>
      </c>
      <c r="R5372" s="37" t="s">
        <v>287</v>
      </c>
      <c r="S5372" s="7">
        <f t="shared" si="459"/>
        <v>0</v>
      </c>
      <c r="T5372" s="15" t="str">
        <f>VLOOKUP(R5372,产品分类!$C$2:$D$1278,2,0)</f>
        <v>办公用品</v>
      </c>
    </row>
    <row r="5373" spans="1:20">
      <c r="A5373" s="8">
        <f t="shared" ref="A5373:B5375" si="463">DATE(2012,12,31)-637</f>
        <v>40637</v>
      </c>
      <c r="B5373" s="8">
        <f t="shared" si="463"/>
        <v>40637</v>
      </c>
      <c r="C5373" s="9" t="s">
        <v>1424</v>
      </c>
      <c r="D5373">
        <v>10021683077</v>
      </c>
      <c r="E5373" t="s">
        <v>47</v>
      </c>
      <c r="F5373" t="s">
        <v>122</v>
      </c>
      <c r="G5373" t="s">
        <v>123</v>
      </c>
      <c r="H5373" t="s">
        <v>2159</v>
      </c>
      <c r="I5373" t="s">
        <v>2160</v>
      </c>
      <c r="J5373" t="s">
        <v>52</v>
      </c>
      <c r="K5373" s="3">
        <v>100933276451</v>
      </c>
      <c r="L5373" s="10">
        <v>40638</v>
      </c>
      <c r="M5373">
        <v>123.75</v>
      </c>
      <c r="N5373" s="11">
        <v>24</v>
      </c>
      <c r="O5373" s="12">
        <v>4.98</v>
      </c>
      <c r="P5373" s="12">
        <v>0.49</v>
      </c>
      <c r="Q5373" s="13">
        <v>55.42</v>
      </c>
      <c r="R5373" s="36" t="s">
        <v>327</v>
      </c>
      <c r="S5373" s="7">
        <f t="shared" si="459"/>
        <v>1</v>
      </c>
      <c r="T5373" s="15" t="str">
        <f>VLOOKUP(R5373,产品分类!$C$2:$D$1278,2,0)</f>
        <v>家具产品</v>
      </c>
    </row>
    <row r="5374" spans="1:20">
      <c r="A5374" s="8">
        <f t="shared" si="463"/>
        <v>40637</v>
      </c>
      <c r="B5374" s="8">
        <f t="shared" si="463"/>
        <v>40637</v>
      </c>
      <c r="C5374" s="9" t="s">
        <v>1424</v>
      </c>
      <c r="D5374">
        <v>10021513017</v>
      </c>
      <c r="E5374" t="s">
        <v>47</v>
      </c>
      <c r="F5374" t="s">
        <v>66</v>
      </c>
      <c r="G5374" t="s">
        <v>67</v>
      </c>
      <c r="H5374" t="s">
        <v>2413</v>
      </c>
      <c r="I5374" t="s">
        <v>2414</v>
      </c>
      <c r="J5374" t="s">
        <v>52</v>
      </c>
      <c r="K5374" s="3">
        <v>100933058561</v>
      </c>
      <c r="L5374" s="10">
        <v>40639</v>
      </c>
      <c r="M5374">
        <v>3533.97</v>
      </c>
      <c r="N5374" s="11">
        <v>46</v>
      </c>
      <c r="O5374" s="12">
        <v>80.98</v>
      </c>
      <c r="P5374" s="12">
        <v>35</v>
      </c>
      <c r="Q5374" s="13">
        <v>-1329.81</v>
      </c>
      <c r="R5374" s="36" t="s">
        <v>1908</v>
      </c>
      <c r="S5374" s="7">
        <f t="shared" si="459"/>
        <v>2</v>
      </c>
      <c r="T5374" s="15" t="str">
        <f>VLOOKUP(R5374,产品分类!$C$2:$D$1278,2,0)</f>
        <v>办公用品</v>
      </c>
    </row>
    <row r="5375" spans="1:20">
      <c r="A5375" s="8">
        <f t="shared" si="463"/>
        <v>40637</v>
      </c>
      <c r="B5375" s="8">
        <f t="shared" si="463"/>
        <v>40637</v>
      </c>
      <c r="C5375" s="9" t="s">
        <v>1424</v>
      </c>
      <c r="D5375">
        <v>10021328977</v>
      </c>
      <c r="E5375" t="s">
        <v>47</v>
      </c>
      <c r="F5375" t="s">
        <v>48</v>
      </c>
      <c r="G5375" t="s">
        <v>49</v>
      </c>
      <c r="H5375" t="s">
        <v>2183</v>
      </c>
      <c r="I5375" t="s">
        <v>2184</v>
      </c>
      <c r="J5375" t="s">
        <v>52</v>
      </c>
      <c r="K5375" s="3">
        <v>100332853829</v>
      </c>
      <c r="L5375" s="10">
        <v>40639</v>
      </c>
      <c r="M5375">
        <v>3821.4045</v>
      </c>
      <c r="N5375" s="11">
        <v>38</v>
      </c>
      <c r="O5375" s="12">
        <v>115.99</v>
      </c>
      <c r="P5375" s="12">
        <v>2.5</v>
      </c>
      <c r="Q5375" s="13">
        <v>1256.967</v>
      </c>
      <c r="R5375" s="36" t="s">
        <v>857</v>
      </c>
      <c r="S5375" s="7">
        <f t="shared" si="459"/>
        <v>2</v>
      </c>
      <c r="T5375" s="15" t="str">
        <f>VLOOKUP(R5375,产品分类!$C$2:$D$1278,2,0)</f>
        <v>办公用品</v>
      </c>
    </row>
    <row r="5376" spans="1:20">
      <c r="A5376" s="8">
        <f>DATE(2012,12,31)-1094</f>
        <v>40180</v>
      </c>
      <c r="B5376" s="8">
        <f>DATE(2012,12,31)-1094</f>
        <v>40180</v>
      </c>
      <c r="C5376" s="9" t="s">
        <v>1381</v>
      </c>
      <c r="D5376">
        <v>10021310332</v>
      </c>
      <c r="E5376" t="s">
        <v>47</v>
      </c>
      <c r="F5376" t="s">
        <v>152</v>
      </c>
      <c r="G5376" t="s">
        <v>153</v>
      </c>
      <c r="H5376" t="s">
        <v>2302</v>
      </c>
      <c r="I5376" t="s">
        <v>2303</v>
      </c>
      <c r="J5376" t="s">
        <v>52</v>
      </c>
      <c r="K5376" s="3">
        <v>100732812095</v>
      </c>
      <c r="L5376" s="10">
        <v>40181</v>
      </c>
      <c r="M5376">
        <v>756.7295</v>
      </c>
      <c r="N5376" s="11">
        <v>42</v>
      </c>
      <c r="O5376" s="12">
        <v>20.99</v>
      </c>
      <c r="P5376" s="12">
        <v>4.81</v>
      </c>
      <c r="Q5376" s="13">
        <v>64.782</v>
      </c>
      <c r="R5376" s="36" t="s">
        <v>692</v>
      </c>
      <c r="S5376" s="7">
        <f t="shared" si="459"/>
        <v>1</v>
      </c>
      <c r="T5376" s="15" t="str">
        <f>VLOOKUP(R5376,产品分类!$C$2:$D$1278,2,0)</f>
        <v>办公用品</v>
      </c>
    </row>
    <row r="5377" spans="1:20">
      <c r="A5377" s="8">
        <f>DATE(2012,12,31)-1094</f>
        <v>40180</v>
      </c>
      <c r="B5377" s="8">
        <f>DATE(2012,12,31)-1094</f>
        <v>40180</v>
      </c>
      <c r="C5377" s="9" t="s">
        <v>1381</v>
      </c>
      <c r="D5377">
        <v>10021305018</v>
      </c>
      <c r="E5377" t="s">
        <v>47</v>
      </c>
      <c r="F5377" t="s">
        <v>230</v>
      </c>
      <c r="G5377" t="s">
        <v>231</v>
      </c>
      <c r="H5377" t="s">
        <v>2372</v>
      </c>
      <c r="I5377" t="s">
        <v>2373</v>
      </c>
      <c r="J5377" t="s">
        <v>52</v>
      </c>
      <c r="K5377" s="3">
        <v>100832794942</v>
      </c>
      <c r="L5377" s="10">
        <v>40182</v>
      </c>
      <c r="M5377">
        <v>3676.96</v>
      </c>
      <c r="N5377" s="11">
        <v>38</v>
      </c>
      <c r="O5377" s="12">
        <v>104.85</v>
      </c>
      <c r="P5377" s="12">
        <v>19.99</v>
      </c>
      <c r="Q5377" s="13">
        <v>1233.45</v>
      </c>
      <c r="R5377" s="36" t="s">
        <v>2299</v>
      </c>
      <c r="S5377" s="7">
        <f t="shared" si="459"/>
        <v>2</v>
      </c>
      <c r="T5377" s="15" t="str">
        <f>VLOOKUP(R5377,产品分类!$C$2:$D$1278,2,0)</f>
        <v>数码电子</v>
      </c>
    </row>
    <row r="5378" spans="1:20">
      <c r="A5378" s="8">
        <f>DATE(2012,12,31)-1108</f>
        <v>40166</v>
      </c>
      <c r="B5378" s="8">
        <f>DATE(2012,12,31)-1108</f>
        <v>40166</v>
      </c>
      <c r="C5378" s="9" t="s">
        <v>613</v>
      </c>
      <c r="D5378">
        <v>10021604694</v>
      </c>
      <c r="E5378" t="s">
        <v>47</v>
      </c>
      <c r="F5378" t="s">
        <v>122</v>
      </c>
      <c r="G5378" t="s">
        <v>123</v>
      </c>
      <c r="H5378" t="s">
        <v>2159</v>
      </c>
      <c r="I5378" t="s">
        <v>2160</v>
      </c>
      <c r="J5378" t="s">
        <v>52</v>
      </c>
      <c r="K5378" s="3">
        <v>100933186361</v>
      </c>
      <c r="L5378" s="10">
        <v>40168</v>
      </c>
      <c r="M5378">
        <v>1651.07</v>
      </c>
      <c r="N5378" s="11">
        <v>42</v>
      </c>
      <c r="O5378" s="12">
        <v>40.98</v>
      </c>
      <c r="P5378" s="12">
        <v>6.5</v>
      </c>
      <c r="Q5378" s="13">
        <v>-100.49</v>
      </c>
      <c r="R5378" s="36" t="s">
        <v>1444</v>
      </c>
      <c r="S5378" s="7">
        <f t="shared" si="459"/>
        <v>2</v>
      </c>
      <c r="T5378" s="15" t="str">
        <f>VLOOKUP(R5378,产品分类!$C$2:$D$1278,2,0)</f>
        <v>数码电子</v>
      </c>
    </row>
    <row r="5379" spans="1:20">
      <c r="A5379" s="8">
        <f>DATE(2012,12,31)-1108</f>
        <v>40166</v>
      </c>
      <c r="B5379" s="8">
        <f>DATE(2012,12,31)-1108</f>
        <v>40166</v>
      </c>
      <c r="C5379" s="9" t="s">
        <v>613</v>
      </c>
      <c r="D5379">
        <v>10021308261</v>
      </c>
      <c r="E5379" t="s">
        <v>47</v>
      </c>
      <c r="F5379" t="s">
        <v>91</v>
      </c>
      <c r="G5379" t="s">
        <v>92</v>
      </c>
      <c r="H5379" t="s">
        <v>2053</v>
      </c>
      <c r="I5379" t="s">
        <v>2054</v>
      </c>
      <c r="J5379" t="s">
        <v>52</v>
      </c>
      <c r="K5379" s="3">
        <v>100132807497</v>
      </c>
      <c r="L5379" s="10">
        <v>40166</v>
      </c>
      <c r="M5379">
        <v>41.53</v>
      </c>
      <c r="N5379" s="11">
        <v>4</v>
      </c>
      <c r="O5379" s="12">
        <v>8.6</v>
      </c>
      <c r="P5379" s="12">
        <v>6.19</v>
      </c>
      <c r="Q5379" s="13">
        <v>-15.525</v>
      </c>
      <c r="R5379" s="36" t="s">
        <v>443</v>
      </c>
      <c r="S5379" s="7">
        <f t="shared" ref="S5379:S5442" si="464">+L5379-B5379</f>
        <v>0</v>
      </c>
      <c r="T5379" s="15" t="str">
        <f>VLOOKUP(R5379,产品分类!$C$2:$D$1278,2,0)</f>
        <v>办公用品</v>
      </c>
    </row>
    <row r="5380" spans="1:20">
      <c r="A5380" s="8">
        <f>DATE(2012,12,31)-412</f>
        <v>40862</v>
      </c>
      <c r="B5380" s="8">
        <f>DATE(2012,12,31)-412</f>
        <v>40862</v>
      </c>
      <c r="C5380" s="9" t="s">
        <v>2286</v>
      </c>
      <c r="D5380">
        <v>10021478025</v>
      </c>
      <c r="E5380" t="s">
        <v>47</v>
      </c>
      <c r="F5380" t="s">
        <v>122</v>
      </c>
      <c r="G5380" t="s">
        <v>123</v>
      </c>
      <c r="H5380" t="s">
        <v>2159</v>
      </c>
      <c r="I5380" t="s">
        <v>2160</v>
      </c>
      <c r="J5380" t="s">
        <v>52</v>
      </c>
      <c r="K5380" s="3">
        <v>100133015927</v>
      </c>
      <c r="L5380" s="10">
        <v>40864</v>
      </c>
      <c r="M5380">
        <v>71.04</v>
      </c>
      <c r="N5380" s="11">
        <v>39</v>
      </c>
      <c r="O5380" s="12">
        <v>1.88</v>
      </c>
      <c r="P5380" s="12">
        <v>1.49</v>
      </c>
      <c r="Q5380" s="13">
        <v>-20.654</v>
      </c>
      <c r="R5380" s="36" t="s">
        <v>1426</v>
      </c>
      <c r="S5380" s="7">
        <f t="shared" si="464"/>
        <v>2</v>
      </c>
      <c r="T5380" s="15" t="str">
        <f>VLOOKUP(R5380,产品分类!$C$2:$D$1278,2,0)</f>
        <v>办公用品</v>
      </c>
    </row>
    <row r="5381" spans="1:20">
      <c r="A5381" s="8">
        <f t="shared" ref="A5381:B5383" si="465">DATE(2012,12,31)-570</f>
        <v>40704</v>
      </c>
      <c r="B5381" s="8">
        <f t="shared" si="465"/>
        <v>40704</v>
      </c>
      <c r="C5381" s="9" t="s">
        <v>2440</v>
      </c>
      <c r="D5381">
        <v>10021537906</v>
      </c>
      <c r="E5381" t="s">
        <v>47</v>
      </c>
      <c r="F5381" t="s">
        <v>97</v>
      </c>
      <c r="G5381" t="s">
        <v>98</v>
      </c>
      <c r="H5381" t="s">
        <v>99</v>
      </c>
      <c r="I5381" t="s">
        <v>98</v>
      </c>
      <c r="J5381" t="s">
        <v>52</v>
      </c>
      <c r="K5381" s="3">
        <v>100133096586</v>
      </c>
      <c r="L5381" s="10">
        <v>40706</v>
      </c>
      <c r="M5381">
        <v>1225.37</v>
      </c>
      <c r="N5381" s="11">
        <v>9</v>
      </c>
      <c r="O5381" s="12">
        <v>140.81</v>
      </c>
      <c r="P5381" s="12">
        <v>24.49</v>
      </c>
      <c r="Q5381" s="13">
        <v>0.980000000000018</v>
      </c>
      <c r="R5381" s="36" t="s">
        <v>1469</v>
      </c>
      <c r="S5381" s="7">
        <f t="shared" si="464"/>
        <v>2</v>
      </c>
      <c r="T5381" s="15" t="str">
        <f>VLOOKUP(R5381,产品分类!$C$2:$D$1278,2,0)</f>
        <v>办公用品</v>
      </c>
    </row>
    <row r="5382" spans="1:20">
      <c r="A5382" s="16">
        <f t="shared" si="465"/>
        <v>40704</v>
      </c>
      <c r="B5382" s="16">
        <f t="shared" si="465"/>
        <v>40704</v>
      </c>
      <c r="C5382" s="9" t="s">
        <v>2440</v>
      </c>
      <c r="D5382">
        <v>10021310195</v>
      </c>
      <c r="E5382" t="s">
        <v>47</v>
      </c>
      <c r="F5382" t="s">
        <v>97</v>
      </c>
      <c r="G5382" t="s">
        <v>98</v>
      </c>
      <c r="H5382" t="s">
        <v>99</v>
      </c>
      <c r="I5382" t="s">
        <v>98</v>
      </c>
      <c r="J5382" t="s">
        <v>52</v>
      </c>
      <c r="K5382" s="3">
        <v>100432811744</v>
      </c>
      <c r="L5382" s="10">
        <v>40706</v>
      </c>
      <c r="M5382">
        <v>1199.57</v>
      </c>
      <c r="N5382" s="17">
        <v>27</v>
      </c>
      <c r="O5382" s="5">
        <v>43.57</v>
      </c>
      <c r="P5382" s="5">
        <v>16.36</v>
      </c>
      <c r="Q5382" s="6">
        <v>23.7</v>
      </c>
      <c r="R5382" s="37" t="s">
        <v>1446</v>
      </c>
      <c r="S5382" s="7">
        <f t="shared" si="464"/>
        <v>2</v>
      </c>
      <c r="T5382" s="15" t="str">
        <f>VLOOKUP(R5382,产品分类!$C$2:$D$1278,2,0)</f>
        <v>数码电子</v>
      </c>
    </row>
    <row r="5383" spans="1:20">
      <c r="A5383" s="8">
        <f t="shared" si="465"/>
        <v>40704</v>
      </c>
      <c r="B5383" s="8">
        <f t="shared" si="465"/>
        <v>40704</v>
      </c>
      <c r="C5383" s="9" t="s">
        <v>2440</v>
      </c>
      <c r="D5383">
        <v>10021600313</v>
      </c>
      <c r="E5383" t="s">
        <v>47</v>
      </c>
      <c r="F5383" t="s">
        <v>208</v>
      </c>
      <c r="G5383" t="s">
        <v>209</v>
      </c>
      <c r="H5383" t="s">
        <v>2300</v>
      </c>
      <c r="I5383" t="s">
        <v>2301</v>
      </c>
      <c r="J5383" t="s">
        <v>52</v>
      </c>
      <c r="K5383" s="3">
        <v>100933175001</v>
      </c>
      <c r="L5383" s="10">
        <v>40705</v>
      </c>
      <c r="M5383">
        <v>484.2195</v>
      </c>
      <c r="N5383" s="11">
        <v>10</v>
      </c>
      <c r="O5383" s="12">
        <v>55.99</v>
      </c>
      <c r="P5383" s="12">
        <v>1.25</v>
      </c>
      <c r="Q5383" s="13">
        <v>-33.792</v>
      </c>
      <c r="R5383" s="36" t="s">
        <v>1075</v>
      </c>
      <c r="S5383" s="7">
        <f t="shared" si="464"/>
        <v>1</v>
      </c>
      <c r="T5383" s="15" t="str">
        <f>VLOOKUP(R5383,产品分类!$C$2:$D$1278,2,0)</f>
        <v>数码电子</v>
      </c>
    </row>
    <row r="5384" spans="1:20">
      <c r="A5384" s="8">
        <f>DATE(2012,12,31)-246</f>
        <v>41028</v>
      </c>
      <c r="B5384" s="8">
        <f>DATE(2012,12,31)-246</f>
        <v>41028</v>
      </c>
      <c r="C5384" s="9" t="s">
        <v>1358</v>
      </c>
      <c r="D5384">
        <v>10021329712</v>
      </c>
      <c r="E5384" t="s">
        <v>47</v>
      </c>
      <c r="F5384" t="s">
        <v>102</v>
      </c>
      <c r="G5384" t="s">
        <v>103</v>
      </c>
      <c r="H5384" t="s">
        <v>2400</v>
      </c>
      <c r="I5384" t="s">
        <v>2401</v>
      </c>
      <c r="J5384" t="s">
        <v>52</v>
      </c>
      <c r="K5384" s="3">
        <v>100932856141</v>
      </c>
      <c r="L5384" s="10">
        <v>41030</v>
      </c>
      <c r="M5384">
        <v>11.64</v>
      </c>
      <c r="N5384" s="11">
        <v>1</v>
      </c>
      <c r="O5384" s="12">
        <v>7.59</v>
      </c>
      <c r="P5384" s="12">
        <v>4</v>
      </c>
      <c r="Q5384" s="13">
        <v>-10.73</v>
      </c>
      <c r="R5384" s="36" t="s">
        <v>996</v>
      </c>
      <c r="S5384" s="7">
        <f t="shared" si="464"/>
        <v>2</v>
      </c>
      <c r="T5384" s="15" t="str">
        <f>VLOOKUP(R5384,产品分类!$C$2:$D$1278,2,0)</f>
        <v>家具产品</v>
      </c>
    </row>
    <row r="5385" spans="1:20">
      <c r="A5385" s="8">
        <f>DATE(2012,12,31)-650</f>
        <v>40624</v>
      </c>
      <c r="B5385" s="8">
        <f>DATE(2012,12,31)-650</f>
        <v>40624</v>
      </c>
      <c r="C5385" s="9" t="s">
        <v>1976</v>
      </c>
      <c r="D5385">
        <v>10021516079</v>
      </c>
      <c r="E5385" t="s">
        <v>47</v>
      </c>
      <c r="F5385" t="s">
        <v>304</v>
      </c>
      <c r="G5385" t="s">
        <v>305</v>
      </c>
      <c r="H5385" t="s">
        <v>2383</v>
      </c>
      <c r="I5385" t="s">
        <v>2384</v>
      </c>
      <c r="J5385" t="s">
        <v>52</v>
      </c>
      <c r="K5385" s="3">
        <v>100833068172</v>
      </c>
      <c r="L5385" s="10">
        <v>40626</v>
      </c>
      <c r="M5385">
        <v>30.1</v>
      </c>
      <c r="N5385" s="11">
        <v>7</v>
      </c>
      <c r="O5385" s="12">
        <v>3.58</v>
      </c>
      <c r="P5385" s="12">
        <v>5.47</v>
      </c>
      <c r="Q5385" s="13">
        <v>-28.313</v>
      </c>
      <c r="R5385" s="36" t="s">
        <v>320</v>
      </c>
      <c r="S5385" s="7">
        <f t="shared" si="464"/>
        <v>2</v>
      </c>
      <c r="T5385" s="15" t="str">
        <f>VLOOKUP(R5385,产品分类!$C$2:$D$1278,2,0)</f>
        <v>办公用品</v>
      </c>
    </row>
    <row r="5386" spans="1:20">
      <c r="A5386" s="8">
        <f>DATE(2012,12,31)-611</f>
        <v>40663</v>
      </c>
      <c r="B5386" s="8">
        <f>DATE(2012,12,31)-611</f>
        <v>40663</v>
      </c>
      <c r="C5386" s="9" t="s">
        <v>2364</v>
      </c>
      <c r="D5386">
        <v>10021636114</v>
      </c>
      <c r="E5386" t="s">
        <v>47</v>
      </c>
      <c r="F5386" t="s">
        <v>171</v>
      </c>
      <c r="G5386" t="s">
        <v>172</v>
      </c>
      <c r="H5386" t="s">
        <v>2352</v>
      </c>
      <c r="I5386" t="s">
        <v>2353</v>
      </c>
      <c r="J5386" t="s">
        <v>52</v>
      </c>
      <c r="K5386" s="3">
        <v>100933213891</v>
      </c>
      <c r="L5386" s="10">
        <v>40665</v>
      </c>
      <c r="M5386">
        <v>2561.6705</v>
      </c>
      <c r="N5386" s="11">
        <v>21</v>
      </c>
      <c r="O5386" s="12">
        <v>155.99</v>
      </c>
      <c r="P5386" s="12">
        <v>8.08</v>
      </c>
      <c r="Q5386" s="13">
        <v>88.767</v>
      </c>
      <c r="R5386" s="36" t="s">
        <v>2055</v>
      </c>
      <c r="S5386" s="7">
        <f t="shared" si="464"/>
        <v>2</v>
      </c>
      <c r="T5386" s="15" t="str">
        <f>VLOOKUP(R5386,产品分类!$C$2:$D$1278,2,0)</f>
        <v>数码电子</v>
      </c>
    </row>
    <row r="5387" spans="1:20">
      <c r="A5387" s="16">
        <f>DATE(2012,12,31)-261</f>
        <v>41013</v>
      </c>
      <c r="B5387" s="16">
        <f>DATE(2012,12,31)-261</f>
        <v>41013</v>
      </c>
      <c r="C5387" s="9" t="s">
        <v>948</v>
      </c>
      <c r="D5387">
        <v>10021619346</v>
      </c>
      <c r="E5387" t="s">
        <v>47</v>
      </c>
      <c r="F5387" t="s">
        <v>527</v>
      </c>
      <c r="G5387" t="s">
        <v>528</v>
      </c>
      <c r="H5387" t="s">
        <v>2385</v>
      </c>
      <c r="I5387" t="s">
        <v>2386</v>
      </c>
      <c r="J5387" t="s">
        <v>52</v>
      </c>
      <c r="K5387" s="3">
        <v>100933201001</v>
      </c>
      <c r="L5387" s="10">
        <v>41016</v>
      </c>
      <c r="M5387">
        <v>62.45</v>
      </c>
      <c r="N5387" s="17">
        <v>4</v>
      </c>
      <c r="O5387" s="5">
        <v>3.48</v>
      </c>
      <c r="P5387" s="5">
        <v>49</v>
      </c>
      <c r="Q5387" s="6">
        <v>-141.76</v>
      </c>
      <c r="R5387" s="37" t="s">
        <v>2255</v>
      </c>
      <c r="S5387" s="7">
        <f t="shared" si="464"/>
        <v>3</v>
      </c>
      <c r="T5387" s="15" t="str">
        <f>VLOOKUP(R5387,产品分类!$C$2:$D$1278,2,0)</f>
        <v>办公用品</v>
      </c>
    </row>
    <row r="5388" spans="1:20">
      <c r="A5388" s="8">
        <f>DATE(2012,12,31)-618</f>
        <v>40656</v>
      </c>
      <c r="B5388" s="8">
        <f>DATE(2012,12,31)-618</f>
        <v>40656</v>
      </c>
      <c r="C5388" s="9" t="s">
        <v>1500</v>
      </c>
      <c r="D5388">
        <v>10021637102</v>
      </c>
      <c r="E5388" t="s">
        <v>47</v>
      </c>
      <c r="F5388" t="s">
        <v>171</v>
      </c>
      <c r="G5388" t="s">
        <v>172</v>
      </c>
      <c r="H5388" t="s">
        <v>2352</v>
      </c>
      <c r="I5388" t="s">
        <v>2353</v>
      </c>
      <c r="J5388" t="s">
        <v>52</v>
      </c>
      <c r="K5388" s="3">
        <v>100433216843</v>
      </c>
      <c r="L5388" s="10">
        <v>40658</v>
      </c>
      <c r="M5388">
        <v>1201.51</v>
      </c>
      <c r="N5388" s="11">
        <v>9</v>
      </c>
      <c r="O5388" s="12">
        <v>140.85</v>
      </c>
      <c r="P5388" s="12">
        <v>19.99</v>
      </c>
      <c r="Q5388" s="13">
        <v>-185.48</v>
      </c>
      <c r="R5388" s="36" t="s">
        <v>672</v>
      </c>
      <c r="S5388" s="7">
        <f t="shared" si="464"/>
        <v>2</v>
      </c>
      <c r="T5388" s="15" t="str">
        <f>VLOOKUP(R5388,产品分类!$C$2:$D$1278,2,0)</f>
        <v>办公用品</v>
      </c>
    </row>
    <row r="5389" spans="1:20">
      <c r="A5389" s="8">
        <f>DATE(2012,12,31)-87</f>
        <v>41187</v>
      </c>
      <c r="B5389" s="8">
        <f>DATE(2012,12,31)-87</f>
        <v>41187</v>
      </c>
      <c r="C5389" s="9" t="s">
        <v>77</v>
      </c>
      <c r="D5389">
        <v>10021489155</v>
      </c>
      <c r="E5389" t="s">
        <v>47</v>
      </c>
      <c r="F5389" t="s">
        <v>61</v>
      </c>
      <c r="G5389" t="s">
        <v>62</v>
      </c>
      <c r="H5389" t="s">
        <v>2431</v>
      </c>
      <c r="I5389" t="s">
        <v>2432</v>
      </c>
      <c r="J5389" t="s">
        <v>52</v>
      </c>
      <c r="K5389" s="3">
        <v>100433044484</v>
      </c>
      <c r="L5389" s="10">
        <v>41188</v>
      </c>
      <c r="M5389">
        <v>91.75</v>
      </c>
      <c r="N5389" s="11">
        <v>14</v>
      </c>
      <c r="O5389" s="12">
        <v>6.75</v>
      </c>
      <c r="P5389" s="12">
        <v>2.99</v>
      </c>
      <c r="Q5389" s="13">
        <v>2.822</v>
      </c>
      <c r="R5389" s="36" t="s">
        <v>1532</v>
      </c>
      <c r="S5389" s="7">
        <f t="shared" si="464"/>
        <v>1</v>
      </c>
      <c r="T5389" s="15" t="str">
        <f>VLOOKUP(R5389,产品分类!$C$2:$D$1278,2,0)</f>
        <v>办公用品</v>
      </c>
    </row>
    <row r="5390" spans="1:20">
      <c r="A5390" s="8">
        <f>DATE(2012,12,31)-87</f>
        <v>41187</v>
      </c>
      <c r="B5390" s="8">
        <f>DATE(2012,12,31)-87</f>
        <v>41187</v>
      </c>
      <c r="C5390" s="9" t="s">
        <v>77</v>
      </c>
      <c r="D5390">
        <v>10021518842</v>
      </c>
      <c r="E5390" t="s">
        <v>47</v>
      </c>
      <c r="F5390" t="s">
        <v>91</v>
      </c>
      <c r="G5390" t="s">
        <v>92</v>
      </c>
      <c r="H5390" t="s">
        <v>2053</v>
      </c>
      <c r="I5390" t="s">
        <v>2054</v>
      </c>
      <c r="J5390" t="s">
        <v>52</v>
      </c>
      <c r="K5390" s="3">
        <v>100733076975</v>
      </c>
      <c r="L5390" s="10">
        <v>41188</v>
      </c>
      <c r="M5390">
        <v>346.57</v>
      </c>
      <c r="N5390" s="11">
        <v>31</v>
      </c>
      <c r="O5390" s="12">
        <v>10.97</v>
      </c>
      <c r="P5390" s="12">
        <v>6.5</v>
      </c>
      <c r="Q5390" s="13">
        <v>-116.45</v>
      </c>
      <c r="R5390" s="36" t="s">
        <v>381</v>
      </c>
      <c r="S5390" s="7">
        <f t="shared" si="464"/>
        <v>1</v>
      </c>
      <c r="T5390" s="15" t="str">
        <f>VLOOKUP(R5390,产品分类!$C$2:$D$1278,2,0)</f>
        <v>数码电子</v>
      </c>
    </row>
    <row r="5391" spans="1:20">
      <c r="A5391" s="8">
        <f>DATE(2012,12,31)-792</f>
        <v>40482</v>
      </c>
      <c r="B5391" s="8">
        <f>DATE(2012,12,31)-792</f>
        <v>40482</v>
      </c>
      <c r="C5391" s="9" t="s">
        <v>240</v>
      </c>
      <c r="D5391">
        <v>10021271908</v>
      </c>
      <c r="E5391" t="s">
        <v>47</v>
      </c>
      <c r="F5391" t="s">
        <v>114</v>
      </c>
      <c r="G5391" t="s">
        <v>115</v>
      </c>
      <c r="H5391" t="s">
        <v>2374</v>
      </c>
      <c r="I5391" t="s">
        <v>2375</v>
      </c>
      <c r="J5391" t="s">
        <v>52</v>
      </c>
      <c r="K5391" s="3">
        <v>100932760741</v>
      </c>
      <c r="L5391" s="10">
        <v>40484</v>
      </c>
      <c r="M5391">
        <v>130.9</v>
      </c>
      <c r="N5391" s="11">
        <v>46</v>
      </c>
      <c r="O5391" s="12">
        <v>2.88</v>
      </c>
      <c r="P5391" s="12">
        <v>0.7</v>
      </c>
      <c r="Q5391" s="13">
        <v>18.75</v>
      </c>
      <c r="R5391" s="36" t="s">
        <v>100</v>
      </c>
      <c r="S5391" s="7">
        <f t="shared" si="464"/>
        <v>2</v>
      </c>
      <c r="T5391" s="15" t="str">
        <f>VLOOKUP(R5391,产品分类!$C$2:$D$1278,2,0)</f>
        <v>数码电子</v>
      </c>
    </row>
    <row r="5392" spans="1:20">
      <c r="A5392" s="8">
        <f>DATE(2012,12,31)-1441</f>
        <v>39833</v>
      </c>
      <c r="B5392" s="8">
        <f>DATE(2012,12,31)-1441</f>
        <v>39833</v>
      </c>
      <c r="C5392" s="9" t="s">
        <v>448</v>
      </c>
      <c r="D5392">
        <v>10021513222</v>
      </c>
      <c r="E5392" t="s">
        <v>47</v>
      </c>
      <c r="F5392" t="s">
        <v>61</v>
      </c>
      <c r="G5392" t="s">
        <v>62</v>
      </c>
      <c r="H5392" t="s">
        <v>2431</v>
      </c>
      <c r="I5392" t="s">
        <v>2432</v>
      </c>
      <c r="J5392" t="s">
        <v>52</v>
      </c>
      <c r="K5392" s="3">
        <v>100733059325</v>
      </c>
      <c r="L5392" s="10">
        <v>39834</v>
      </c>
      <c r="M5392">
        <v>2167.05</v>
      </c>
      <c r="N5392" s="11">
        <v>36</v>
      </c>
      <c r="O5392" s="12">
        <v>60.22</v>
      </c>
      <c r="P5392" s="12">
        <v>3.5</v>
      </c>
      <c r="Q5392" s="13">
        <v>684.9</v>
      </c>
      <c r="R5392" s="36" t="s">
        <v>1907</v>
      </c>
      <c r="S5392" s="7">
        <f t="shared" si="464"/>
        <v>1</v>
      </c>
      <c r="T5392" s="15" t="str">
        <f>VLOOKUP(R5392,产品分类!$C$2:$D$1278,2,0)</f>
        <v>办公用品</v>
      </c>
    </row>
    <row r="5393" spans="1:20">
      <c r="A5393" s="8">
        <f t="shared" ref="A5393:B5395" si="466">DATE(2012,12,31)-1323</f>
        <v>39951</v>
      </c>
      <c r="B5393" s="8">
        <f t="shared" si="466"/>
        <v>39951</v>
      </c>
      <c r="C5393" s="9" t="s">
        <v>2034</v>
      </c>
      <c r="D5393">
        <v>10021682264</v>
      </c>
      <c r="E5393" t="s">
        <v>47</v>
      </c>
      <c r="F5393" t="s">
        <v>72</v>
      </c>
      <c r="G5393" t="s">
        <v>73</v>
      </c>
      <c r="H5393" t="s">
        <v>2417</v>
      </c>
      <c r="I5393" t="s">
        <v>2418</v>
      </c>
      <c r="J5393" t="s">
        <v>52</v>
      </c>
      <c r="K5393" s="3">
        <v>100933272571</v>
      </c>
      <c r="L5393" s="10">
        <v>39951</v>
      </c>
      <c r="M5393">
        <v>623.1265</v>
      </c>
      <c r="N5393" s="11">
        <v>38</v>
      </c>
      <c r="O5393" s="12">
        <v>20.99</v>
      </c>
      <c r="P5393" s="12">
        <v>0.99</v>
      </c>
      <c r="Q5393" s="13">
        <v>122.292</v>
      </c>
      <c r="R5393" s="36" t="s">
        <v>1707</v>
      </c>
      <c r="S5393" s="7">
        <f t="shared" si="464"/>
        <v>0</v>
      </c>
      <c r="T5393" s="15" t="str">
        <f>VLOOKUP(R5393,产品分类!$C$2:$D$1278,2,0)</f>
        <v>办公用品</v>
      </c>
    </row>
    <row r="5394" spans="1:20">
      <c r="A5394" s="8">
        <f t="shared" si="466"/>
        <v>39951</v>
      </c>
      <c r="B5394" s="8">
        <f t="shared" si="466"/>
        <v>39951</v>
      </c>
      <c r="C5394" s="9" t="s">
        <v>2034</v>
      </c>
      <c r="D5394">
        <v>10021273950</v>
      </c>
      <c r="E5394" t="s">
        <v>47</v>
      </c>
      <c r="F5394" t="s">
        <v>152</v>
      </c>
      <c r="G5394" t="s">
        <v>153</v>
      </c>
      <c r="H5394" t="s">
        <v>2441</v>
      </c>
      <c r="I5394" t="s">
        <v>2442</v>
      </c>
      <c r="J5394" t="s">
        <v>52</v>
      </c>
      <c r="K5394" s="3">
        <v>100931050191</v>
      </c>
      <c r="L5394" s="10">
        <v>39952</v>
      </c>
      <c r="M5394">
        <v>62.62</v>
      </c>
      <c r="N5394" s="11">
        <v>15</v>
      </c>
      <c r="O5394" s="12">
        <v>3.36</v>
      </c>
      <c r="P5394" s="12">
        <v>6.27</v>
      </c>
      <c r="Q5394" s="13">
        <v>-67.0565</v>
      </c>
      <c r="R5394" s="36" t="s">
        <v>690</v>
      </c>
      <c r="S5394" s="7">
        <f t="shared" si="464"/>
        <v>1</v>
      </c>
      <c r="T5394" s="15" t="str">
        <f>VLOOKUP(R5394,产品分类!$C$2:$D$1278,2,0)</f>
        <v>办公用品</v>
      </c>
    </row>
    <row r="5395" spans="1:20">
      <c r="A5395" s="8">
        <f t="shared" si="466"/>
        <v>39951</v>
      </c>
      <c r="B5395" s="8">
        <f t="shared" si="466"/>
        <v>39951</v>
      </c>
      <c r="C5395" s="9" t="s">
        <v>2034</v>
      </c>
      <c r="D5395">
        <v>10021597655</v>
      </c>
      <c r="E5395" t="s">
        <v>47</v>
      </c>
      <c r="F5395" t="s">
        <v>473</v>
      </c>
      <c r="G5395" t="s">
        <v>474</v>
      </c>
      <c r="H5395" t="s">
        <v>2406</v>
      </c>
      <c r="I5395" t="s">
        <v>2407</v>
      </c>
      <c r="J5395" t="s">
        <v>52</v>
      </c>
      <c r="K5395" s="3">
        <v>100329331679</v>
      </c>
      <c r="L5395" s="10">
        <v>39953</v>
      </c>
      <c r="M5395">
        <v>64.25</v>
      </c>
      <c r="N5395" s="11">
        <v>5</v>
      </c>
      <c r="O5395" s="12">
        <v>12.28</v>
      </c>
      <c r="P5395" s="12">
        <v>4.86</v>
      </c>
      <c r="Q5395" s="13">
        <v>-7.94</v>
      </c>
      <c r="R5395" s="36" t="s">
        <v>2280</v>
      </c>
      <c r="S5395" s="7">
        <f t="shared" si="464"/>
        <v>2</v>
      </c>
      <c r="T5395" s="15" t="str">
        <f>VLOOKUP(R5395,产品分类!$C$2:$D$1278,2,0)</f>
        <v>数码电子</v>
      </c>
    </row>
    <row r="5396" spans="1:20">
      <c r="A5396" s="8">
        <f>DATE(2012,12,31)-1084</f>
        <v>40190</v>
      </c>
      <c r="B5396" s="8">
        <f>DATE(2012,12,31)-1084</f>
        <v>40190</v>
      </c>
      <c r="C5396" s="9" t="s">
        <v>667</v>
      </c>
      <c r="D5396">
        <v>10021507546</v>
      </c>
      <c r="E5396" t="s">
        <v>47</v>
      </c>
      <c r="F5396" t="s">
        <v>152</v>
      </c>
      <c r="G5396" t="s">
        <v>153</v>
      </c>
      <c r="H5396" t="s">
        <v>2441</v>
      </c>
      <c r="I5396" t="s">
        <v>2442</v>
      </c>
      <c r="J5396" t="s">
        <v>52</v>
      </c>
      <c r="K5396" s="3">
        <v>100131991737</v>
      </c>
      <c r="L5396" s="10">
        <v>40191</v>
      </c>
      <c r="M5396">
        <v>224.744</v>
      </c>
      <c r="N5396" s="11">
        <v>3</v>
      </c>
      <c r="O5396" s="12">
        <v>71.37</v>
      </c>
      <c r="P5396" s="12">
        <v>69</v>
      </c>
      <c r="Q5396" s="13">
        <v>54.59805</v>
      </c>
      <c r="R5396" s="36" t="s">
        <v>426</v>
      </c>
      <c r="S5396" s="7">
        <f t="shared" si="464"/>
        <v>1</v>
      </c>
      <c r="T5396" s="15" t="str">
        <f>VLOOKUP(R5396,产品分类!$C$2:$D$1278,2,0)</f>
        <v>家具产品</v>
      </c>
    </row>
    <row r="5397" spans="1:20">
      <c r="A5397" s="16">
        <f>DATE(2012,12,31)-638</f>
        <v>40636</v>
      </c>
      <c r="B5397" s="16">
        <f>DATE(2012,12,31)-638</f>
        <v>40636</v>
      </c>
      <c r="C5397" s="9" t="s">
        <v>359</v>
      </c>
      <c r="D5397">
        <v>10021269171</v>
      </c>
      <c r="E5397" t="s">
        <v>47</v>
      </c>
      <c r="F5397" t="s">
        <v>473</v>
      </c>
      <c r="G5397" t="s">
        <v>474</v>
      </c>
      <c r="H5397" t="s">
        <v>2406</v>
      </c>
      <c r="I5397" t="s">
        <v>2407</v>
      </c>
      <c r="J5397" t="s">
        <v>52</v>
      </c>
      <c r="K5397" s="3">
        <v>100732432565</v>
      </c>
      <c r="L5397" s="10">
        <v>40638</v>
      </c>
      <c r="M5397">
        <v>169.13</v>
      </c>
      <c r="N5397" s="17">
        <v>50</v>
      </c>
      <c r="O5397" s="5">
        <v>3.14</v>
      </c>
      <c r="P5397" s="5">
        <v>1.14</v>
      </c>
      <c r="Q5397" s="6">
        <v>43.05</v>
      </c>
      <c r="R5397" s="37" t="s">
        <v>2186</v>
      </c>
      <c r="S5397" s="7">
        <f t="shared" si="464"/>
        <v>2</v>
      </c>
      <c r="T5397" s="15" t="str">
        <f>VLOOKUP(R5397,产品分类!$C$2:$D$1278,2,0)</f>
        <v>数码电子</v>
      </c>
    </row>
    <row r="5398" spans="1:20">
      <c r="A5398" s="8">
        <f>DATE(2012,12,31)-1149</f>
        <v>40125</v>
      </c>
      <c r="B5398" s="8">
        <f>DATE(2012,12,31)-1149</f>
        <v>40125</v>
      </c>
      <c r="C5398" s="9" t="s">
        <v>1129</v>
      </c>
      <c r="D5398">
        <v>10021675187</v>
      </c>
      <c r="E5398" t="s">
        <v>47</v>
      </c>
      <c r="F5398" t="s">
        <v>102</v>
      </c>
      <c r="G5398" t="s">
        <v>103</v>
      </c>
      <c r="H5398" t="s">
        <v>2400</v>
      </c>
      <c r="I5398" t="s">
        <v>2401</v>
      </c>
      <c r="J5398" t="s">
        <v>52</v>
      </c>
      <c r="K5398" s="3">
        <v>100932337571</v>
      </c>
      <c r="L5398" s="10">
        <v>40126</v>
      </c>
      <c r="M5398">
        <v>2004.4</v>
      </c>
      <c r="N5398" s="11">
        <v>24</v>
      </c>
      <c r="O5398" s="12">
        <v>83.1</v>
      </c>
      <c r="P5398" s="12">
        <v>6.13</v>
      </c>
      <c r="Q5398" s="13">
        <v>544.3</v>
      </c>
      <c r="R5398" s="36" t="s">
        <v>1148</v>
      </c>
      <c r="S5398" s="7">
        <f t="shared" si="464"/>
        <v>1</v>
      </c>
      <c r="T5398" s="15" t="str">
        <f>VLOOKUP(R5398,产品分类!$C$2:$D$1278,2,0)</f>
        <v>家具产品</v>
      </c>
    </row>
    <row r="5399" spans="1:20">
      <c r="A5399" s="8">
        <f>DATE(2012,12,31)-961</f>
        <v>40313</v>
      </c>
      <c r="B5399" s="8">
        <f>DATE(2012,12,31)-961</f>
        <v>40313</v>
      </c>
      <c r="C5399" s="9" t="s">
        <v>225</v>
      </c>
      <c r="D5399">
        <v>10021588684</v>
      </c>
      <c r="E5399" t="s">
        <v>47</v>
      </c>
      <c r="F5399" t="s">
        <v>208</v>
      </c>
      <c r="G5399" t="s">
        <v>209</v>
      </c>
      <c r="H5399" t="s">
        <v>2300</v>
      </c>
      <c r="I5399" t="s">
        <v>2301</v>
      </c>
      <c r="J5399" t="s">
        <v>52</v>
      </c>
      <c r="K5399" s="3">
        <v>100130578098</v>
      </c>
      <c r="L5399" s="10">
        <v>40313</v>
      </c>
      <c r="M5399">
        <v>1053.84</v>
      </c>
      <c r="N5399" s="11">
        <v>46</v>
      </c>
      <c r="O5399" s="12">
        <v>20.98</v>
      </c>
      <c r="P5399" s="12">
        <v>21.2</v>
      </c>
      <c r="Q5399" s="13">
        <v>-632.16</v>
      </c>
      <c r="R5399" s="36" t="s">
        <v>1536</v>
      </c>
      <c r="S5399" s="7">
        <f t="shared" si="464"/>
        <v>0</v>
      </c>
      <c r="T5399" s="15" t="str">
        <f>VLOOKUP(R5399,产品分类!$C$2:$D$1278,2,0)</f>
        <v>办公用品</v>
      </c>
    </row>
    <row r="5400" spans="1:20">
      <c r="A5400" s="16">
        <f>DATE(2012,12,31)-961</f>
        <v>40313</v>
      </c>
      <c r="B5400" s="16">
        <f>DATE(2012,12,31)-961</f>
        <v>40313</v>
      </c>
      <c r="C5400" s="9" t="s">
        <v>225</v>
      </c>
      <c r="D5400">
        <v>10021432235</v>
      </c>
      <c r="E5400" t="s">
        <v>47</v>
      </c>
      <c r="F5400" t="s">
        <v>171</v>
      </c>
      <c r="G5400" t="s">
        <v>172</v>
      </c>
      <c r="H5400" t="s">
        <v>2352</v>
      </c>
      <c r="I5400" t="s">
        <v>2353</v>
      </c>
      <c r="J5400" t="s">
        <v>52</v>
      </c>
      <c r="K5400" s="3">
        <v>100832294262</v>
      </c>
      <c r="L5400" s="10">
        <v>40314</v>
      </c>
      <c r="M5400">
        <v>310.99</v>
      </c>
      <c r="N5400" s="17">
        <v>33</v>
      </c>
      <c r="O5400" s="5">
        <v>9.68</v>
      </c>
      <c r="P5400" s="5">
        <v>2.03</v>
      </c>
      <c r="Q5400" s="6">
        <v>106.45</v>
      </c>
      <c r="R5400" s="37" t="s">
        <v>1111</v>
      </c>
      <c r="S5400" s="7">
        <f t="shared" si="464"/>
        <v>1</v>
      </c>
      <c r="T5400" s="15" t="str">
        <f>VLOOKUP(R5400,产品分类!$C$2:$D$1278,2,0)</f>
        <v>办公用品</v>
      </c>
    </row>
    <row r="5401" spans="1:20">
      <c r="A5401" s="8">
        <f>DATE(2012,12,31)-1113</f>
        <v>40161</v>
      </c>
      <c r="B5401" s="8">
        <f>DATE(2012,12,31)-1113</f>
        <v>40161</v>
      </c>
      <c r="C5401" s="9" t="s">
        <v>258</v>
      </c>
      <c r="D5401">
        <v>10021508476</v>
      </c>
      <c r="E5401" t="s">
        <v>47</v>
      </c>
      <c r="F5401" t="s">
        <v>61</v>
      </c>
      <c r="G5401" t="s">
        <v>62</v>
      </c>
      <c r="H5401" t="s">
        <v>2431</v>
      </c>
      <c r="I5401" t="s">
        <v>2432</v>
      </c>
      <c r="J5401" t="s">
        <v>52</v>
      </c>
      <c r="K5401" s="3">
        <v>100732086885</v>
      </c>
      <c r="L5401" s="10">
        <v>40162</v>
      </c>
      <c r="M5401">
        <v>114.73</v>
      </c>
      <c r="N5401" s="11">
        <v>8</v>
      </c>
      <c r="O5401" s="12">
        <v>13.73</v>
      </c>
      <c r="P5401" s="12">
        <v>6.85</v>
      </c>
      <c r="Q5401" s="13">
        <v>28.08</v>
      </c>
      <c r="R5401" s="36" t="s">
        <v>387</v>
      </c>
      <c r="S5401" s="7">
        <f t="shared" si="464"/>
        <v>1</v>
      </c>
      <c r="T5401" s="15" t="str">
        <f>VLOOKUP(R5401,产品分类!$C$2:$D$1278,2,0)</f>
        <v>家具产品</v>
      </c>
    </row>
    <row r="5402" spans="1:20">
      <c r="A5402" s="8">
        <f>DATE(2012,12,31)-590</f>
        <v>40684</v>
      </c>
      <c r="B5402" s="8">
        <f>DATE(2012,12,31)-590</f>
        <v>40684</v>
      </c>
      <c r="C5402" s="9" t="s">
        <v>2355</v>
      </c>
      <c r="D5402">
        <v>10021354061</v>
      </c>
      <c r="E5402" t="s">
        <v>47</v>
      </c>
      <c r="F5402" t="s">
        <v>152</v>
      </c>
      <c r="G5402" t="s">
        <v>153</v>
      </c>
      <c r="H5402" t="s">
        <v>2441</v>
      </c>
      <c r="I5402" t="s">
        <v>2442</v>
      </c>
      <c r="J5402" t="s">
        <v>52</v>
      </c>
      <c r="K5402" s="3">
        <v>100927718221</v>
      </c>
      <c r="L5402" s="10">
        <v>40688</v>
      </c>
      <c r="M5402">
        <v>142.1</v>
      </c>
      <c r="N5402" s="11">
        <v>49</v>
      </c>
      <c r="O5402" s="12">
        <v>2.88</v>
      </c>
      <c r="P5402" s="12">
        <v>0.99</v>
      </c>
      <c r="Q5402" s="13">
        <v>37.03</v>
      </c>
      <c r="R5402" s="36" t="s">
        <v>1207</v>
      </c>
      <c r="S5402" s="7">
        <f t="shared" si="464"/>
        <v>4</v>
      </c>
      <c r="T5402" s="15" t="str">
        <f>VLOOKUP(R5402,产品分类!$C$2:$D$1278,2,0)</f>
        <v>数码电子</v>
      </c>
    </row>
    <row r="5403" spans="1:20">
      <c r="A5403" s="8">
        <f>DATE(2012,12,31)-900</f>
        <v>40374</v>
      </c>
      <c r="B5403" s="8">
        <f>DATE(2012,12,31)-900</f>
        <v>40374</v>
      </c>
      <c r="C5403" s="9" t="s">
        <v>2005</v>
      </c>
      <c r="D5403">
        <v>10021644045</v>
      </c>
      <c r="E5403" t="s">
        <v>47</v>
      </c>
      <c r="F5403" t="s">
        <v>78</v>
      </c>
      <c r="G5403" t="s">
        <v>79</v>
      </c>
      <c r="H5403" t="s">
        <v>2420</v>
      </c>
      <c r="I5403" t="s">
        <v>2421</v>
      </c>
      <c r="J5403" t="s">
        <v>52</v>
      </c>
      <c r="K5403" s="3">
        <v>100931736281</v>
      </c>
      <c r="L5403" s="10">
        <v>40377</v>
      </c>
      <c r="M5403">
        <v>208.04</v>
      </c>
      <c r="N5403" s="11">
        <v>29</v>
      </c>
      <c r="O5403" s="12">
        <v>7.59</v>
      </c>
      <c r="P5403" s="12">
        <v>4</v>
      </c>
      <c r="Q5403" s="13">
        <v>14.77</v>
      </c>
      <c r="R5403" s="36" t="s">
        <v>996</v>
      </c>
      <c r="S5403" s="7">
        <f t="shared" si="464"/>
        <v>3</v>
      </c>
      <c r="T5403" s="15" t="str">
        <f>VLOOKUP(R5403,产品分类!$C$2:$D$1278,2,0)</f>
        <v>家具产品</v>
      </c>
    </row>
    <row r="5404" spans="1:20">
      <c r="A5404" s="8">
        <f>DATE(2012,12,31)-760</f>
        <v>40514</v>
      </c>
      <c r="B5404" s="8">
        <f>DATE(2012,12,31)-760</f>
        <v>40514</v>
      </c>
      <c r="C5404" s="9" t="s">
        <v>739</v>
      </c>
      <c r="D5404">
        <v>10021361265</v>
      </c>
      <c r="E5404" t="s">
        <v>47</v>
      </c>
      <c r="F5404" t="s">
        <v>72</v>
      </c>
      <c r="G5404" t="s">
        <v>73</v>
      </c>
      <c r="H5404" t="s">
        <v>2417</v>
      </c>
      <c r="I5404" t="s">
        <v>2418</v>
      </c>
      <c r="J5404" t="s">
        <v>52</v>
      </c>
      <c r="K5404" s="3">
        <v>100132464227</v>
      </c>
      <c r="L5404" s="10">
        <v>40515</v>
      </c>
      <c r="M5404">
        <v>754.94</v>
      </c>
      <c r="N5404" s="11">
        <v>12</v>
      </c>
      <c r="O5404" s="12">
        <v>58.14</v>
      </c>
      <c r="P5404" s="12">
        <v>36.61</v>
      </c>
      <c r="Q5404" s="13">
        <v>-226.24</v>
      </c>
      <c r="R5404" s="36" t="s">
        <v>1368</v>
      </c>
      <c r="S5404" s="7">
        <f t="shared" si="464"/>
        <v>1</v>
      </c>
      <c r="T5404" s="15" t="str">
        <f>VLOOKUP(R5404,产品分类!$C$2:$D$1278,2,0)</f>
        <v>数码电子</v>
      </c>
    </row>
    <row r="5405" spans="1:20">
      <c r="A5405" s="8">
        <f>DATE(2012,12,31)-237</f>
        <v>41037</v>
      </c>
      <c r="B5405" s="8">
        <f>DATE(2012,12,31)-237</f>
        <v>41037</v>
      </c>
      <c r="C5405" s="9" t="s">
        <v>1233</v>
      </c>
      <c r="D5405">
        <v>10021400224</v>
      </c>
      <c r="E5405" t="s">
        <v>47</v>
      </c>
      <c r="F5405" t="s">
        <v>473</v>
      </c>
      <c r="G5405" t="s">
        <v>474</v>
      </c>
      <c r="H5405" t="s">
        <v>2406</v>
      </c>
      <c r="I5405" t="s">
        <v>2407</v>
      </c>
      <c r="J5405" t="s">
        <v>52</v>
      </c>
      <c r="K5405" s="3">
        <v>100714416635</v>
      </c>
      <c r="L5405" s="10">
        <v>41038</v>
      </c>
      <c r="M5405">
        <v>4201.47</v>
      </c>
      <c r="N5405" s="11">
        <v>19</v>
      </c>
      <c r="O5405" s="12">
        <v>212.6</v>
      </c>
      <c r="P5405" s="12">
        <v>52.2</v>
      </c>
      <c r="Q5405" s="13">
        <v>199.25</v>
      </c>
      <c r="R5405" s="36" t="s">
        <v>652</v>
      </c>
      <c r="S5405" s="7">
        <f t="shared" si="464"/>
        <v>1</v>
      </c>
      <c r="T5405" s="15" t="str">
        <f>VLOOKUP(R5405,产品分类!$C$2:$D$1278,2,0)</f>
        <v>办公用品</v>
      </c>
    </row>
    <row r="5406" spans="1:20">
      <c r="A5406" s="8">
        <f>DATE(2012,12,31)-237</f>
        <v>41037</v>
      </c>
      <c r="B5406" s="8">
        <f>DATE(2012,12,31)-237</f>
        <v>41037</v>
      </c>
      <c r="C5406" s="9" t="s">
        <v>1233</v>
      </c>
      <c r="D5406">
        <v>10021561999</v>
      </c>
      <c r="E5406" t="s">
        <v>47</v>
      </c>
      <c r="F5406" t="s">
        <v>91</v>
      </c>
      <c r="G5406" t="s">
        <v>92</v>
      </c>
      <c r="H5406" t="s">
        <v>2053</v>
      </c>
      <c r="I5406" t="s">
        <v>2054</v>
      </c>
      <c r="J5406" t="s">
        <v>52</v>
      </c>
      <c r="K5406" s="3">
        <v>100713663975</v>
      </c>
      <c r="L5406" s="10">
        <v>41038</v>
      </c>
      <c r="M5406">
        <v>55.66</v>
      </c>
      <c r="N5406" s="11">
        <v>17</v>
      </c>
      <c r="O5406" s="12">
        <v>3.28</v>
      </c>
      <c r="P5406" s="12">
        <v>2.31</v>
      </c>
      <c r="Q5406" s="13">
        <v>-21.4</v>
      </c>
      <c r="R5406" s="36" t="s">
        <v>2443</v>
      </c>
      <c r="S5406" s="7">
        <f t="shared" si="464"/>
        <v>1</v>
      </c>
      <c r="T5406" s="15" t="str">
        <f>VLOOKUP(R5406,产品分类!$C$2:$D$1278,2,0)</f>
        <v>家具产品</v>
      </c>
    </row>
    <row r="5407" spans="1:20">
      <c r="A5407" s="8">
        <f>DATE(2012,12,31)-580</f>
        <v>40694</v>
      </c>
      <c r="B5407" s="8">
        <f>DATE(2012,12,31)-580</f>
        <v>40694</v>
      </c>
      <c r="C5407" s="9" t="s">
        <v>450</v>
      </c>
      <c r="D5407">
        <v>10021309642</v>
      </c>
      <c r="E5407" t="s">
        <v>47</v>
      </c>
      <c r="F5407" t="s">
        <v>55</v>
      </c>
      <c r="G5407" t="s">
        <v>56</v>
      </c>
      <c r="H5407" t="s">
        <v>2425</v>
      </c>
      <c r="I5407" t="s">
        <v>2426</v>
      </c>
      <c r="J5407" t="s">
        <v>52</v>
      </c>
      <c r="K5407" s="3">
        <v>100312875809</v>
      </c>
      <c r="L5407" s="10">
        <v>40696</v>
      </c>
      <c r="M5407">
        <v>621.93</v>
      </c>
      <c r="N5407" s="11">
        <v>16</v>
      </c>
      <c r="O5407" s="12">
        <v>39.98</v>
      </c>
      <c r="P5407" s="12">
        <v>4</v>
      </c>
      <c r="Q5407" s="13">
        <v>-49.77</v>
      </c>
      <c r="R5407" s="36" t="s">
        <v>771</v>
      </c>
      <c r="S5407" s="7">
        <f t="shared" si="464"/>
        <v>2</v>
      </c>
      <c r="T5407" s="15" t="str">
        <f>VLOOKUP(R5407,产品分类!$C$2:$D$1278,2,0)</f>
        <v>家具产品</v>
      </c>
    </row>
    <row r="5408" spans="1:20">
      <c r="A5408" s="8">
        <f>DATE(2012,12,31)-580</f>
        <v>40694</v>
      </c>
      <c r="B5408" s="8">
        <f>DATE(2012,12,31)-580</f>
        <v>40694</v>
      </c>
      <c r="C5408" s="9" t="s">
        <v>450</v>
      </c>
      <c r="D5408">
        <v>10021317682</v>
      </c>
      <c r="E5408" t="s">
        <v>47</v>
      </c>
      <c r="F5408" t="s">
        <v>91</v>
      </c>
      <c r="G5408" t="s">
        <v>92</v>
      </c>
      <c r="H5408" t="s">
        <v>2053</v>
      </c>
      <c r="I5408" t="s">
        <v>2054</v>
      </c>
      <c r="J5408" t="s">
        <v>52</v>
      </c>
      <c r="K5408" s="3">
        <v>10093366831</v>
      </c>
      <c r="L5408" s="10">
        <v>40695</v>
      </c>
      <c r="M5408">
        <v>121.09</v>
      </c>
      <c r="N5408" s="11">
        <v>17</v>
      </c>
      <c r="O5408" s="12">
        <v>6.68</v>
      </c>
      <c r="P5408" s="12">
        <v>5.66</v>
      </c>
      <c r="Q5408" s="13">
        <v>-30.51</v>
      </c>
      <c r="R5408" s="36" t="s">
        <v>662</v>
      </c>
      <c r="S5408" s="7">
        <f t="shared" si="464"/>
        <v>1</v>
      </c>
      <c r="T5408" s="15" t="str">
        <f>VLOOKUP(R5408,产品分类!$C$2:$D$1278,2,0)</f>
        <v>数码电子</v>
      </c>
    </row>
    <row r="5409" spans="1:20">
      <c r="A5409" s="16">
        <f t="shared" ref="A5409:B5411" si="467">DATE(2012,12,31)-502</f>
        <v>40772</v>
      </c>
      <c r="B5409" s="16">
        <f t="shared" si="467"/>
        <v>40772</v>
      </c>
      <c r="C5409" s="9" t="s">
        <v>737</v>
      </c>
      <c r="D5409">
        <v>10021271389</v>
      </c>
      <c r="E5409" t="s">
        <v>47</v>
      </c>
      <c r="F5409" t="s">
        <v>91</v>
      </c>
      <c r="G5409" t="s">
        <v>92</v>
      </c>
      <c r="H5409" t="s">
        <v>2053</v>
      </c>
      <c r="I5409" t="s">
        <v>2054</v>
      </c>
      <c r="J5409" t="s">
        <v>52</v>
      </c>
      <c r="K5409" s="3">
        <v>100912830601</v>
      </c>
      <c r="L5409" s="10">
        <v>40773</v>
      </c>
      <c r="M5409">
        <v>136.18</v>
      </c>
      <c r="N5409" s="17">
        <v>22</v>
      </c>
      <c r="O5409" s="5">
        <v>5.98</v>
      </c>
      <c r="P5409" s="5">
        <v>5.46</v>
      </c>
      <c r="Q5409" s="6">
        <v>-43.26</v>
      </c>
      <c r="R5409" s="37" t="s">
        <v>1990</v>
      </c>
      <c r="S5409" s="7">
        <f t="shared" si="464"/>
        <v>1</v>
      </c>
      <c r="T5409" s="15" t="str">
        <f>VLOOKUP(R5409,产品分类!$C$2:$D$1278,2,0)</f>
        <v>家具产品</v>
      </c>
    </row>
    <row r="5410" spans="1:20">
      <c r="A5410" s="16">
        <f t="shared" si="467"/>
        <v>40772</v>
      </c>
      <c r="B5410" s="16">
        <f t="shared" si="467"/>
        <v>40772</v>
      </c>
      <c r="C5410" s="9" t="s">
        <v>737</v>
      </c>
      <c r="D5410">
        <v>10021304984</v>
      </c>
      <c r="E5410" t="s">
        <v>47</v>
      </c>
      <c r="F5410" t="s">
        <v>122</v>
      </c>
      <c r="G5410" t="s">
        <v>123</v>
      </c>
      <c r="H5410" t="s">
        <v>2159</v>
      </c>
      <c r="I5410" t="s">
        <v>2160</v>
      </c>
      <c r="J5410" t="s">
        <v>52</v>
      </c>
      <c r="K5410" s="3">
        <v>100829304372</v>
      </c>
      <c r="L5410" s="10">
        <v>40774</v>
      </c>
      <c r="M5410">
        <v>111.37</v>
      </c>
      <c r="N5410" s="17">
        <v>37</v>
      </c>
      <c r="O5410" s="5">
        <v>2.89</v>
      </c>
      <c r="P5410" s="5">
        <v>0.5</v>
      </c>
      <c r="Q5410" s="6">
        <v>46.46</v>
      </c>
      <c r="R5410" s="37" t="s">
        <v>118</v>
      </c>
      <c r="S5410" s="7">
        <f t="shared" si="464"/>
        <v>2</v>
      </c>
      <c r="T5410" s="15" t="str">
        <f>VLOOKUP(R5410,产品分类!$C$2:$D$1278,2,0)</f>
        <v>办公用品</v>
      </c>
    </row>
    <row r="5411" spans="1:20">
      <c r="A5411" s="16">
        <f t="shared" si="467"/>
        <v>40772</v>
      </c>
      <c r="B5411" s="16">
        <f t="shared" si="467"/>
        <v>40772</v>
      </c>
      <c r="C5411" s="9" t="s">
        <v>737</v>
      </c>
      <c r="D5411">
        <v>10021598104</v>
      </c>
      <c r="E5411" t="s">
        <v>47</v>
      </c>
      <c r="F5411" t="s">
        <v>102</v>
      </c>
      <c r="G5411" t="s">
        <v>103</v>
      </c>
      <c r="H5411" t="s">
        <v>2400</v>
      </c>
      <c r="I5411" t="s">
        <v>2401</v>
      </c>
      <c r="J5411" t="s">
        <v>52</v>
      </c>
      <c r="K5411" s="3">
        <v>10093500831</v>
      </c>
      <c r="L5411" s="10">
        <v>40773</v>
      </c>
      <c r="M5411">
        <v>105.48</v>
      </c>
      <c r="N5411" s="17">
        <v>15</v>
      </c>
      <c r="O5411" s="5">
        <v>6.48</v>
      </c>
      <c r="P5411" s="5">
        <v>7.37</v>
      </c>
      <c r="Q5411" s="6">
        <v>-53.99</v>
      </c>
      <c r="R5411" s="37" t="s">
        <v>1045</v>
      </c>
      <c r="S5411" s="7">
        <f t="shared" si="464"/>
        <v>1</v>
      </c>
      <c r="T5411" s="15" t="str">
        <f>VLOOKUP(R5411,产品分类!$C$2:$D$1278,2,0)</f>
        <v>数码电子</v>
      </c>
    </row>
    <row r="5412" spans="1:20">
      <c r="A5412" s="8">
        <f>DATE(2012,12,31)-1045</f>
        <v>40229</v>
      </c>
      <c r="B5412" s="8">
        <f>DATE(2012,12,31)-1045</f>
        <v>40229</v>
      </c>
      <c r="C5412" s="9" t="s">
        <v>119</v>
      </c>
      <c r="D5412">
        <v>10021315761</v>
      </c>
      <c r="E5412" t="s">
        <v>47</v>
      </c>
      <c r="F5412" t="s">
        <v>171</v>
      </c>
      <c r="G5412" t="s">
        <v>172</v>
      </c>
      <c r="H5412" t="s">
        <v>2352</v>
      </c>
      <c r="I5412" t="s">
        <v>2353</v>
      </c>
      <c r="J5412" t="s">
        <v>52</v>
      </c>
      <c r="K5412" s="3">
        <v>100132812518</v>
      </c>
      <c r="L5412" s="10">
        <v>40231</v>
      </c>
      <c r="M5412">
        <v>116.57</v>
      </c>
      <c r="N5412" s="11">
        <v>23</v>
      </c>
      <c r="O5412" s="12">
        <v>4.98</v>
      </c>
      <c r="P5412" s="12">
        <v>4.72</v>
      </c>
      <c r="Q5412" s="13">
        <v>-43.18</v>
      </c>
      <c r="R5412" s="36" t="s">
        <v>331</v>
      </c>
      <c r="S5412" s="7">
        <f t="shared" si="464"/>
        <v>2</v>
      </c>
      <c r="T5412" s="15" t="str">
        <f>VLOOKUP(R5412,产品分类!$C$2:$D$1278,2,0)</f>
        <v>数码电子</v>
      </c>
    </row>
    <row r="5413" spans="1:20">
      <c r="A5413" s="8">
        <f>DATE(2012,12,31)-248</f>
        <v>41026</v>
      </c>
      <c r="B5413" s="8">
        <f>DATE(2012,12,31)-248</f>
        <v>41026</v>
      </c>
      <c r="C5413" s="9" t="s">
        <v>653</v>
      </c>
      <c r="D5413">
        <v>10021601452</v>
      </c>
      <c r="E5413" t="s">
        <v>47</v>
      </c>
      <c r="F5413" t="s">
        <v>171</v>
      </c>
      <c r="G5413" t="s">
        <v>172</v>
      </c>
      <c r="H5413" t="s">
        <v>2352</v>
      </c>
      <c r="I5413" t="s">
        <v>2353</v>
      </c>
      <c r="J5413" t="s">
        <v>52</v>
      </c>
      <c r="K5413" s="3">
        <v>100416959163</v>
      </c>
      <c r="L5413" s="10">
        <v>41028</v>
      </c>
      <c r="M5413">
        <v>3295.15</v>
      </c>
      <c r="N5413" s="11">
        <v>30</v>
      </c>
      <c r="O5413" s="12">
        <v>115.79</v>
      </c>
      <c r="P5413" s="12">
        <v>1.99</v>
      </c>
      <c r="Q5413" s="13">
        <v>1070.18</v>
      </c>
      <c r="R5413" s="36" t="s">
        <v>95</v>
      </c>
      <c r="S5413" s="7">
        <f t="shared" si="464"/>
        <v>2</v>
      </c>
      <c r="T5413" s="15" t="str">
        <f>VLOOKUP(R5413,产品分类!$C$2:$D$1278,2,0)</f>
        <v>数码电子</v>
      </c>
    </row>
    <row r="5414" spans="1:20">
      <c r="A5414" s="16">
        <f>DATE(2012,12,31)-248</f>
        <v>41026</v>
      </c>
      <c r="B5414" s="16">
        <f>DATE(2012,12,31)-248</f>
        <v>41026</v>
      </c>
      <c r="C5414" s="9" t="s">
        <v>653</v>
      </c>
      <c r="D5414">
        <v>10021394345</v>
      </c>
      <c r="E5414" t="s">
        <v>47</v>
      </c>
      <c r="F5414" t="s">
        <v>127</v>
      </c>
      <c r="G5414" t="s">
        <v>128</v>
      </c>
      <c r="H5414" t="s">
        <v>2408</v>
      </c>
      <c r="I5414" t="s">
        <v>2409</v>
      </c>
      <c r="J5414" t="s">
        <v>52</v>
      </c>
      <c r="K5414" s="3">
        <v>10017474828</v>
      </c>
      <c r="L5414" s="10">
        <v>41029</v>
      </c>
      <c r="M5414">
        <v>43.9</v>
      </c>
      <c r="N5414" s="17">
        <v>1</v>
      </c>
      <c r="O5414" s="5">
        <v>37.44</v>
      </c>
      <c r="P5414" s="5">
        <v>4.27</v>
      </c>
      <c r="Q5414" s="6">
        <v>-15.03</v>
      </c>
      <c r="R5414" s="37" t="s">
        <v>1073</v>
      </c>
      <c r="S5414" s="7">
        <f t="shared" si="464"/>
        <v>3</v>
      </c>
      <c r="T5414" s="15" t="str">
        <f>VLOOKUP(R5414,产品分类!$C$2:$D$1278,2,0)</f>
        <v>办公用品</v>
      </c>
    </row>
    <row r="5415" spans="1:20">
      <c r="A5415" s="16">
        <f>DATE(2012,12,31)-1343</f>
        <v>39931</v>
      </c>
      <c r="B5415" s="16">
        <f>DATE(2012,12,31)-1343</f>
        <v>39931</v>
      </c>
      <c r="C5415" s="9" t="s">
        <v>1589</v>
      </c>
      <c r="D5415">
        <v>10021687368</v>
      </c>
      <c r="E5415" t="s">
        <v>47</v>
      </c>
      <c r="F5415" t="s">
        <v>177</v>
      </c>
      <c r="G5415" t="s">
        <v>178</v>
      </c>
      <c r="H5415" t="s">
        <v>2339</v>
      </c>
      <c r="I5415" t="s">
        <v>2340</v>
      </c>
      <c r="J5415" t="s">
        <v>52</v>
      </c>
      <c r="K5415" s="3">
        <v>100324039219</v>
      </c>
      <c r="L5415" s="10">
        <v>39932</v>
      </c>
      <c r="M5415">
        <v>78.68</v>
      </c>
      <c r="N5415" s="17">
        <v>11</v>
      </c>
      <c r="O5415" s="5">
        <v>6.48</v>
      </c>
      <c r="P5415" s="5">
        <v>6.22</v>
      </c>
      <c r="Q5415" s="6">
        <v>-29.07</v>
      </c>
      <c r="R5415" s="37" t="s">
        <v>1393</v>
      </c>
      <c r="S5415" s="7">
        <f t="shared" si="464"/>
        <v>1</v>
      </c>
      <c r="T5415" s="15" t="str">
        <f>VLOOKUP(R5415,产品分类!$C$2:$D$1278,2,0)</f>
        <v>家具产品</v>
      </c>
    </row>
    <row r="5416" spans="1:20">
      <c r="A5416" s="8">
        <f t="shared" ref="A5416:B5418" si="468">DATE(2012,12,31)-1336</f>
        <v>39938</v>
      </c>
      <c r="B5416" s="8">
        <f t="shared" si="468"/>
        <v>39938</v>
      </c>
      <c r="C5416" s="9" t="s">
        <v>1578</v>
      </c>
      <c r="D5416">
        <v>10021404484</v>
      </c>
      <c r="E5416" t="s">
        <v>47</v>
      </c>
      <c r="F5416" t="s">
        <v>167</v>
      </c>
      <c r="G5416" t="s">
        <v>168</v>
      </c>
      <c r="H5416" t="s">
        <v>169</v>
      </c>
      <c r="I5416" t="s">
        <v>168</v>
      </c>
      <c r="J5416" t="s">
        <v>52</v>
      </c>
      <c r="K5416" s="3">
        <v>10015434176</v>
      </c>
      <c r="L5416" s="10">
        <v>39938</v>
      </c>
      <c r="M5416">
        <v>5567.79</v>
      </c>
      <c r="N5416" s="11">
        <v>47</v>
      </c>
      <c r="O5416" s="12">
        <v>120.98</v>
      </c>
      <c r="P5416" s="12">
        <v>3.99</v>
      </c>
      <c r="Q5416" s="13">
        <v>1726.66</v>
      </c>
      <c r="R5416" s="36" t="s">
        <v>1169</v>
      </c>
      <c r="S5416" s="7">
        <f t="shared" si="464"/>
        <v>0</v>
      </c>
      <c r="T5416" s="15" t="str">
        <f>VLOOKUP(R5416,产品分类!$C$2:$D$1278,2,0)</f>
        <v>办公用品</v>
      </c>
    </row>
    <row r="5417" spans="1:20">
      <c r="A5417" s="8">
        <f t="shared" si="468"/>
        <v>39938</v>
      </c>
      <c r="B5417" s="8">
        <f t="shared" si="468"/>
        <v>39938</v>
      </c>
      <c r="C5417" s="9" t="s">
        <v>1578</v>
      </c>
      <c r="D5417">
        <v>10021682911</v>
      </c>
      <c r="E5417" t="s">
        <v>47</v>
      </c>
      <c r="F5417" t="s">
        <v>48</v>
      </c>
      <c r="G5417" t="s">
        <v>49</v>
      </c>
      <c r="H5417" t="s">
        <v>2183</v>
      </c>
      <c r="I5417" t="s">
        <v>2184</v>
      </c>
      <c r="J5417" t="s">
        <v>52</v>
      </c>
      <c r="K5417" s="3">
        <v>100832603042</v>
      </c>
      <c r="L5417" s="10">
        <v>39938</v>
      </c>
      <c r="M5417">
        <v>503.2935</v>
      </c>
      <c r="N5417" s="11">
        <v>10</v>
      </c>
      <c r="O5417" s="12">
        <v>55.99</v>
      </c>
      <c r="P5417" s="12">
        <v>5</v>
      </c>
      <c r="Q5417" s="13">
        <v>-222.816</v>
      </c>
      <c r="R5417" s="36" t="s">
        <v>1453</v>
      </c>
      <c r="S5417" s="7">
        <f t="shared" si="464"/>
        <v>0</v>
      </c>
      <c r="T5417" s="15" t="str">
        <f>VLOOKUP(R5417,产品分类!$C$2:$D$1278,2,0)</f>
        <v>办公用品</v>
      </c>
    </row>
    <row r="5418" spans="1:20">
      <c r="A5418" s="8">
        <f t="shared" si="468"/>
        <v>39938</v>
      </c>
      <c r="B5418" s="8">
        <f t="shared" si="468"/>
        <v>39938</v>
      </c>
      <c r="C5418" s="9" t="s">
        <v>1578</v>
      </c>
      <c r="D5418">
        <v>10021411425</v>
      </c>
      <c r="E5418" t="s">
        <v>47</v>
      </c>
      <c r="F5418" t="s">
        <v>342</v>
      </c>
      <c r="G5418" t="s">
        <v>343</v>
      </c>
      <c r="H5418" t="s">
        <v>2429</v>
      </c>
      <c r="I5418" t="s">
        <v>2430</v>
      </c>
      <c r="J5418" t="s">
        <v>52</v>
      </c>
      <c r="K5418" s="3">
        <v>10094687411</v>
      </c>
      <c r="L5418" s="10">
        <v>39942</v>
      </c>
      <c r="M5418">
        <v>796.03</v>
      </c>
      <c r="N5418" s="11">
        <v>32</v>
      </c>
      <c r="O5418" s="12">
        <v>23.99</v>
      </c>
      <c r="P5418" s="12">
        <v>15.68</v>
      </c>
      <c r="Q5418" s="13">
        <v>-133.71</v>
      </c>
      <c r="R5418" s="36" t="s">
        <v>2100</v>
      </c>
      <c r="S5418" s="7">
        <f t="shared" si="464"/>
        <v>4</v>
      </c>
      <c r="T5418" s="15" t="str">
        <f>VLOOKUP(R5418,产品分类!$C$2:$D$1278,2,0)</f>
        <v>家具产品</v>
      </c>
    </row>
    <row r="5419" spans="1:20">
      <c r="A5419" s="8">
        <f>DATE(2012,12,31)-377</f>
        <v>40897</v>
      </c>
      <c r="B5419" s="8">
        <f>DATE(2012,12,31)-377</f>
        <v>40897</v>
      </c>
      <c r="C5419" s="9" t="s">
        <v>1485</v>
      </c>
      <c r="D5419">
        <v>10021408246</v>
      </c>
      <c r="E5419" t="s">
        <v>47</v>
      </c>
      <c r="F5419" t="s">
        <v>61</v>
      </c>
      <c r="G5419" t="s">
        <v>62</v>
      </c>
      <c r="H5419" t="s">
        <v>2431</v>
      </c>
      <c r="I5419" t="s">
        <v>2432</v>
      </c>
      <c r="J5419" t="s">
        <v>52</v>
      </c>
      <c r="K5419" s="3">
        <v>100321196399</v>
      </c>
      <c r="L5419" s="10">
        <v>40899</v>
      </c>
      <c r="M5419">
        <v>70.02</v>
      </c>
      <c r="N5419" s="11">
        <v>10</v>
      </c>
      <c r="O5419" s="12">
        <v>7.31</v>
      </c>
      <c r="P5419" s="12">
        <v>0.5</v>
      </c>
      <c r="Q5419" s="13">
        <v>22.62</v>
      </c>
      <c r="R5419" s="36" t="s">
        <v>2444</v>
      </c>
      <c r="S5419" s="7">
        <f t="shared" si="464"/>
        <v>2</v>
      </c>
      <c r="T5419" s="15" t="str">
        <f>VLOOKUP(R5419,产品分类!$C$2:$D$1278,2,0)</f>
        <v>办公用品</v>
      </c>
    </row>
    <row r="5420" spans="1:20">
      <c r="A5420" s="8">
        <f>DATE(2012,12,31)-377</f>
        <v>40897</v>
      </c>
      <c r="B5420" s="8">
        <f>DATE(2012,12,31)-377</f>
        <v>40897</v>
      </c>
      <c r="C5420" s="9" t="s">
        <v>1485</v>
      </c>
      <c r="D5420">
        <v>10021394703</v>
      </c>
      <c r="E5420" t="s">
        <v>47</v>
      </c>
      <c r="F5420" t="s">
        <v>61</v>
      </c>
      <c r="G5420" t="s">
        <v>62</v>
      </c>
      <c r="H5420" t="s">
        <v>2431</v>
      </c>
      <c r="I5420" t="s">
        <v>2432</v>
      </c>
      <c r="J5420" t="s">
        <v>52</v>
      </c>
      <c r="K5420" s="3">
        <v>10081824672</v>
      </c>
      <c r="L5420" s="10">
        <v>40898</v>
      </c>
      <c r="M5420">
        <v>2544.985</v>
      </c>
      <c r="N5420" s="11">
        <v>36</v>
      </c>
      <c r="O5420" s="12">
        <v>85.99</v>
      </c>
      <c r="P5420" s="12">
        <v>0.99</v>
      </c>
      <c r="Q5420" s="13">
        <v>-113.058</v>
      </c>
      <c r="R5420" s="36" t="s">
        <v>228</v>
      </c>
      <c r="S5420" s="7">
        <f t="shared" si="464"/>
        <v>1</v>
      </c>
      <c r="T5420" s="15" t="str">
        <f>VLOOKUP(R5420,产品分类!$C$2:$D$1278,2,0)</f>
        <v>数码电子</v>
      </c>
    </row>
    <row r="5421" spans="1:20">
      <c r="A5421" s="8">
        <f>DATE(2012,12,31)-1428</f>
        <v>39846</v>
      </c>
      <c r="B5421" s="8">
        <f>DATE(2012,12,31)-1428</f>
        <v>39846</v>
      </c>
      <c r="C5421" s="9" t="s">
        <v>1598</v>
      </c>
      <c r="D5421">
        <v>10021310431</v>
      </c>
      <c r="E5421" t="s">
        <v>47</v>
      </c>
      <c r="F5421" t="s">
        <v>61</v>
      </c>
      <c r="G5421" t="s">
        <v>62</v>
      </c>
      <c r="H5421" t="s">
        <v>2431</v>
      </c>
      <c r="I5421" t="s">
        <v>2432</v>
      </c>
      <c r="J5421" t="s">
        <v>52</v>
      </c>
      <c r="K5421" s="3">
        <v>100422574703</v>
      </c>
      <c r="L5421" s="10">
        <v>39846</v>
      </c>
      <c r="M5421">
        <v>44.85</v>
      </c>
      <c r="N5421" s="11">
        <v>38</v>
      </c>
      <c r="O5421" s="12">
        <v>1.14</v>
      </c>
      <c r="P5421" s="12">
        <v>0.7</v>
      </c>
      <c r="Q5421" s="13">
        <v>-0.49</v>
      </c>
      <c r="R5421" s="36" t="s">
        <v>1635</v>
      </c>
      <c r="S5421" s="7">
        <f t="shared" si="464"/>
        <v>0</v>
      </c>
      <c r="T5421" s="15" t="str">
        <f>VLOOKUP(R5421,产品分类!$C$2:$D$1278,2,0)</f>
        <v>家具产品</v>
      </c>
    </row>
    <row r="5422" spans="1:20">
      <c r="A5422" s="8">
        <f>DATE(2012,12,31)-624</f>
        <v>40650</v>
      </c>
      <c r="B5422" s="8">
        <f>DATE(2012,12,31)-624</f>
        <v>40650</v>
      </c>
      <c r="C5422" s="9" t="s">
        <v>297</v>
      </c>
      <c r="D5422">
        <v>10021474720</v>
      </c>
      <c r="E5422" t="s">
        <v>47</v>
      </c>
      <c r="F5422" t="s">
        <v>61</v>
      </c>
      <c r="G5422" t="s">
        <v>62</v>
      </c>
      <c r="H5422" t="s">
        <v>2431</v>
      </c>
      <c r="I5422" t="s">
        <v>2432</v>
      </c>
      <c r="J5422" t="s">
        <v>52</v>
      </c>
      <c r="K5422" s="3">
        <v>100132776258</v>
      </c>
      <c r="L5422" s="10">
        <v>40650</v>
      </c>
      <c r="M5422">
        <v>1980.37</v>
      </c>
      <c r="N5422" s="11">
        <v>47</v>
      </c>
      <c r="O5422" s="12">
        <v>40.98</v>
      </c>
      <c r="P5422" s="12">
        <v>2.99</v>
      </c>
      <c r="Q5422" s="13">
        <v>904.825</v>
      </c>
      <c r="R5422" s="36" t="s">
        <v>374</v>
      </c>
      <c r="S5422" s="7">
        <f t="shared" si="464"/>
        <v>0</v>
      </c>
      <c r="T5422" s="15" t="str">
        <f>VLOOKUP(R5422,产品分类!$C$2:$D$1278,2,0)</f>
        <v>办公用品</v>
      </c>
    </row>
    <row r="5423" spans="1:20">
      <c r="A5423" s="8">
        <f>DATE(2012,12,31)-624</f>
        <v>40650</v>
      </c>
      <c r="B5423" s="8">
        <f>DATE(2012,12,31)-624</f>
        <v>40650</v>
      </c>
      <c r="C5423" s="9" t="s">
        <v>297</v>
      </c>
      <c r="D5423">
        <v>10021393275</v>
      </c>
      <c r="E5423" t="s">
        <v>47</v>
      </c>
      <c r="F5423" t="s">
        <v>61</v>
      </c>
      <c r="G5423" t="s">
        <v>62</v>
      </c>
      <c r="H5423" t="s">
        <v>2431</v>
      </c>
      <c r="I5423" t="s">
        <v>2432</v>
      </c>
      <c r="J5423" t="s">
        <v>52</v>
      </c>
      <c r="K5423" s="3">
        <v>100132238606</v>
      </c>
      <c r="L5423" s="10">
        <v>40650</v>
      </c>
      <c r="M5423">
        <v>642.66</v>
      </c>
      <c r="N5423" s="11">
        <v>13</v>
      </c>
      <c r="O5423" s="12">
        <v>49.43</v>
      </c>
      <c r="P5423" s="12">
        <v>19.99</v>
      </c>
      <c r="Q5423" s="13">
        <v>-82.35</v>
      </c>
      <c r="R5423" s="36" t="s">
        <v>1805</v>
      </c>
      <c r="S5423" s="7">
        <f t="shared" si="464"/>
        <v>0</v>
      </c>
      <c r="T5423" s="15" t="str">
        <f>VLOOKUP(R5423,产品分类!$C$2:$D$1278,2,0)</f>
        <v>家具产品</v>
      </c>
    </row>
    <row r="5424" spans="1:20">
      <c r="A5424" s="16">
        <f>DATE(2012,12,31)-392</f>
        <v>40882</v>
      </c>
      <c r="B5424" s="16">
        <f>DATE(2012,12,31)-392</f>
        <v>40882</v>
      </c>
      <c r="C5424" s="9" t="s">
        <v>428</v>
      </c>
      <c r="D5424">
        <v>10021407129</v>
      </c>
      <c r="E5424" t="s">
        <v>47</v>
      </c>
      <c r="F5424" t="s">
        <v>72</v>
      </c>
      <c r="G5424" t="s">
        <v>73</v>
      </c>
      <c r="H5424" t="s">
        <v>2417</v>
      </c>
      <c r="I5424" t="s">
        <v>2418</v>
      </c>
      <c r="J5424" t="s">
        <v>52</v>
      </c>
      <c r="K5424" s="3">
        <v>100411598583</v>
      </c>
      <c r="L5424" s="10">
        <v>40889</v>
      </c>
      <c r="M5424">
        <v>118.43</v>
      </c>
      <c r="N5424" s="17">
        <v>26</v>
      </c>
      <c r="O5424" s="5">
        <v>4.2</v>
      </c>
      <c r="P5424" s="5">
        <v>2.26</v>
      </c>
      <c r="Q5424" s="6">
        <v>11.96</v>
      </c>
      <c r="R5424" s="37" t="s">
        <v>2445</v>
      </c>
      <c r="S5424" s="7">
        <f t="shared" si="464"/>
        <v>7</v>
      </c>
      <c r="T5424" s="15" t="str">
        <f>VLOOKUP(R5424,产品分类!$C$2:$D$1278,2,0)</f>
        <v>办公用品</v>
      </c>
    </row>
    <row r="5425" spans="1:20">
      <c r="A5425" s="16">
        <f>DATE(2012,12,31)-167</f>
        <v>41107</v>
      </c>
      <c r="B5425" s="16">
        <f>DATE(2012,12,31)-167</f>
        <v>41107</v>
      </c>
      <c r="C5425" s="9" t="s">
        <v>1797</v>
      </c>
      <c r="D5425">
        <v>10021553059</v>
      </c>
      <c r="E5425" t="s">
        <v>47</v>
      </c>
      <c r="F5425" t="s">
        <v>55</v>
      </c>
      <c r="G5425" t="s">
        <v>56</v>
      </c>
      <c r="H5425" t="s">
        <v>2425</v>
      </c>
      <c r="I5425" t="s">
        <v>2426</v>
      </c>
      <c r="J5425" t="s">
        <v>52</v>
      </c>
      <c r="K5425" s="3">
        <v>100930334701</v>
      </c>
      <c r="L5425" s="10">
        <v>41109</v>
      </c>
      <c r="M5425">
        <v>128.22</v>
      </c>
      <c r="N5425" s="17">
        <v>44</v>
      </c>
      <c r="O5425" s="5">
        <v>2.94</v>
      </c>
      <c r="P5425" s="5">
        <v>0.7</v>
      </c>
      <c r="Q5425" s="6">
        <v>16.51</v>
      </c>
      <c r="R5425" s="37" t="s">
        <v>1032</v>
      </c>
      <c r="S5425" s="7">
        <f t="shared" si="464"/>
        <v>2</v>
      </c>
      <c r="T5425" s="15" t="str">
        <f>VLOOKUP(R5425,产品分类!$C$2:$D$1278,2,0)</f>
        <v>办公用品</v>
      </c>
    </row>
    <row r="5426" spans="1:20">
      <c r="A5426" s="8">
        <f>DATE(2012,12,31)-489</f>
        <v>40785</v>
      </c>
      <c r="B5426" s="8">
        <f>DATE(2012,12,31)-489</f>
        <v>40785</v>
      </c>
      <c r="C5426" s="9" t="s">
        <v>2446</v>
      </c>
      <c r="D5426">
        <v>10021316812</v>
      </c>
      <c r="E5426" t="s">
        <v>47</v>
      </c>
      <c r="F5426" t="s">
        <v>55</v>
      </c>
      <c r="G5426" t="s">
        <v>56</v>
      </c>
      <c r="H5426" t="s">
        <v>2425</v>
      </c>
      <c r="I5426" t="s">
        <v>2426</v>
      </c>
      <c r="J5426" t="s">
        <v>52</v>
      </c>
      <c r="K5426" s="3">
        <v>100420681364</v>
      </c>
      <c r="L5426" s="10">
        <v>40787</v>
      </c>
      <c r="M5426">
        <v>169.4</v>
      </c>
      <c r="N5426" s="11">
        <v>19</v>
      </c>
      <c r="O5426" s="12">
        <v>9.48</v>
      </c>
      <c r="P5426" s="12">
        <v>7.29</v>
      </c>
      <c r="Q5426" s="13">
        <v>-59.64</v>
      </c>
      <c r="R5426" s="36" t="s">
        <v>839</v>
      </c>
      <c r="S5426" s="7">
        <f t="shared" si="464"/>
        <v>2</v>
      </c>
      <c r="T5426" s="15" t="str">
        <f>VLOOKUP(R5426,产品分类!$C$2:$D$1278,2,0)</f>
        <v>办公用品</v>
      </c>
    </row>
    <row r="5427" spans="1:20">
      <c r="A5427" s="8">
        <f t="shared" ref="A5427:B5429" si="469">DATE(2012,12,31)-1155</f>
        <v>40119</v>
      </c>
      <c r="B5427" s="8">
        <f t="shared" si="469"/>
        <v>40119</v>
      </c>
      <c r="C5427" s="9" t="s">
        <v>1751</v>
      </c>
      <c r="D5427">
        <v>10021560831</v>
      </c>
      <c r="E5427" t="s">
        <v>47</v>
      </c>
      <c r="F5427" t="s">
        <v>97</v>
      </c>
      <c r="G5427" t="s">
        <v>98</v>
      </c>
      <c r="H5427" t="s">
        <v>99</v>
      </c>
      <c r="I5427" t="s">
        <v>98</v>
      </c>
      <c r="J5427" t="s">
        <v>52</v>
      </c>
      <c r="K5427" s="3">
        <v>100930261981</v>
      </c>
      <c r="L5427" s="10">
        <v>40122</v>
      </c>
      <c r="M5427">
        <v>9517.6</v>
      </c>
      <c r="N5427" s="11">
        <v>37</v>
      </c>
      <c r="O5427" s="12">
        <v>280.98</v>
      </c>
      <c r="P5427" s="12">
        <v>57</v>
      </c>
      <c r="Q5427" s="13">
        <v>-1262.44</v>
      </c>
      <c r="R5427" s="36" t="s">
        <v>1283</v>
      </c>
      <c r="S5427" s="7">
        <f t="shared" si="464"/>
        <v>3</v>
      </c>
      <c r="T5427" s="15" t="str">
        <f>VLOOKUP(R5427,产品分类!$C$2:$D$1278,2,0)</f>
        <v>办公用品</v>
      </c>
    </row>
    <row r="5428" spans="1:20">
      <c r="A5428" s="8">
        <f t="shared" si="469"/>
        <v>40119</v>
      </c>
      <c r="B5428" s="8">
        <f t="shared" si="469"/>
        <v>40119</v>
      </c>
      <c r="C5428" s="9" t="s">
        <v>1751</v>
      </c>
      <c r="D5428">
        <v>10021325171</v>
      </c>
      <c r="E5428" t="s">
        <v>47</v>
      </c>
      <c r="F5428" t="s">
        <v>61</v>
      </c>
      <c r="G5428" t="s">
        <v>62</v>
      </c>
      <c r="H5428" t="s">
        <v>2431</v>
      </c>
      <c r="I5428" t="s">
        <v>2432</v>
      </c>
      <c r="J5428" t="s">
        <v>52</v>
      </c>
      <c r="K5428" s="3">
        <v>100323454679</v>
      </c>
      <c r="L5428" s="10">
        <v>40120</v>
      </c>
      <c r="M5428">
        <v>904.93</v>
      </c>
      <c r="N5428" s="11">
        <v>31</v>
      </c>
      <c r="O5428" s="12">
        <v>30.97</v>
      </c>
      <c r="P5428" s="12">
        <v>4</v>
      </c>
      <c r="Q5428" s="13">
        <v>-53.4</v>
      </c>
      <c r="R5428" s="36" t="s">
        <v>969</v>
      </c>
      <c r="S5428" s="7">
        <f t="shared" si="464"/>
        <v>1</v>
      </c>
      <c r="T5428" s="15" t="str">
        <f>VLOOKUP(R5428,产品分类!$C$2:$D$1278,2,0)</f>
        <v>家具产品</v>
      </c>
    </row>
    <row r="5429" spans="1:20">
      <c r="A5429" s="16">
        <f t="shared" si="469"/>
        <v>40119</v>
      </c>
      <c r="B5429" s="16">
        <f t="shared" si="469"/>
        <v>40119</v>
      </c>
      <c r="C5429" s="9" t="s">
        <v>425</v>
      </c>
      <c r="D5429">
        <v>10021637991</v>
      </c>
      <c r="E5429" t="s">
        <v>47</v>
      </c>
      <c r="F5429" t="s">
        <v>97</v>
      </c>
      <c r="G5429" t="s">
        <v>98</v>
      </c>
      <c r="H5429" t="s">
        <v>99</v>
      </c>
      <c r="I5429" t="s">
        <v>98</v>
      </c>
      <c r="J5429" t="s">
        <v>52</v>
      </c>
      <c r="K5429" s="3">
        <v>100417656483</v>
      </c>
      <c r="L5429" s="10">
        <v>40121</v>
      </c>
      <c r="M5429">
        <v>98.51</v>
      </c>
      <c r="N5429" s="17">
        <v>21</v>
      </c>
      <c r="O5429" s="5">
        <v>4.13</v>
      </c>
      <c r="P5429" s="5">
        <v>0.5</v>
      </c>
      <c r="Q5429" s="6">
        <v>45.93</v>
      </c>
      <c r="R5429" s="37" t="s">
        <v>691</v>
      </c>
      <c r="S5429" s="7">
        <f t="shared" si="464"/>
        <v>2</v>
      </c>
      <c r="T5429" s="15" t="str">
        <f>VLOOKUP(R5429,产品分类!$C$2:$D$1278,2,0)</f>
        <v>办公用品</v>
      </c>
    </row>
    <row r="5430" spans="1:20">
      <c r="A5430" s="8">
        <f>DATE(2012,12,31)-1377</f>
        <v>39897</v>
      </c>
      <c r="B5430" s="8">
        <f>DATE(2012,12,31)-1377</f>
        <v>39897</v>
      </c>
      <c r="C5430" s="9" t="s">
        <v>464</v>
      </c>
      <c r="D5430">
        <v>10021659463</v>
      </c>
      <c r="E5430" t="s">
        <v>47</v>
      </c>
      <c r="F5430" t="s">
        <v>132</v>
      </c>
      <c r="G5430" t="s">
        <v>133</v>
      </c>
      <c r="H5430" t="s">
        <v>134</v>
      </c>
      <c r="I5430" t="s">
        <v>133</v>
      </c>
      <c r="J5430" t="s">
        <v>52</v>
      </c>
      <c r="K5430" s="3">
        <v>10049831243</v>
      </c>
      <c r="L5430" s="10">
        <v>39899</v>
      </c>
      <c r="M5430">
        <v>234.09</v>
      </c>
      <c r="N5430" s="11">
        <v>20</v>
      </c>
      <c r="O5430" s="12">
        <v>10.64</v>
      </c>
      <c r="P5430" s="12">
        <v>5.16</v>
      </c>
      <c r="Q5430" s="13">
        <v>-11.69</v>
      </c>
      <c r="R5430" s="36" t="s">
        <v>644</v>
      </c>
      <c r="S5430" s="7">
        <f t="shared" si="464"/>
        <v>2</v>
      </c>
      <c r="T5430" s="15" t="str">
        <f>VLOOKUP(R5430,产品分类!$C$2:$D$1278,2,0)</f>
        <v>家具产品</v>
      </c>
    </row>
    <row r="5431" spans="1:20">
      <c r="A5431" s="8">
        <f>DATE(2012,12,31)-1126</f>
        <v>40148</v>
      </c>
      <c r="B5431" s="8">
        <f>DATE(2012,12,31)-1126</f>
        <v>40148</v>
      </c>
      <c r="C5431" s="9" t="s">
        <v>695</v>
      </c>
      <c r="D5431">
        <v>10021426396</v>
      </c>
      <c r="E5431" t="s">
        <v>47</v>
      </c>
      <c r="F5431" t="s">
        <v>66</v>
      </c>
      <c r="G5431" t="s">
        <v>67</v>
      </c>
      <c r="H5431" t="s">
        <v>2413</v>
      </c>
      <c r="I5431" t="s">
        <v>2414</v>
      </c>
      <c r="J5431" t="s">
        <v>52</v>
      </c>
      <c r="K5431" s="3">
        <v>100130218556</v>
      </c>
      <c r="L5431" s="10">
        <v>40149</v>
      </c>
      <c r="M5431">
        <v>1011.9</v>
      </c>
      <c r="N5431" s="11">
        <v>26</v>
      </c>
      <c r="O5431" s="12">
        <v>39.48</v>
      </c>
      <c r="P5431" s="12">
        <v>1.99</v>
      </c>
      <c r="Q5431" s="13">
        <v>247.94</v>
      </c>
      <c r="R5431" s="36" t="s">
        <v>235</v>
      </c>
      <c r="S5431" s="7">
        <f t="shared" si="464"/>
        <v>1</v>
      </c>
      <c r="T5431" s="15" t="str">
        <f>VLOOKUP(R5431,产品分类!$C$2:$D$1278,2,0)</f>
        <v>办公用品</v>
      </c>
    </row>
    <row r="5432" spans="1:20">
      <c r="A5432" s="16">
        <f>DATE(2012,12,31)-1004</f>
        <v>40270</v>
      </c>
      <c r="B5432" s="16">
        <f>DATE(2012,12,31)-1004</f>
        <v>40270</v>
      </c>
      <c r="C5432" s="9" t="s">
        <v>526</v>
      </c>
      <c r="D5432">
        <v>10021415850</v>
      </c>
      <c r="E5432" t="s">
        <v>47</v>
      </c>
      <c r="F5432" t="s">
        <v>48</v>
      </c>
      <c r="G5432" t="s">
        <v>49</v>
      </c>
      <c r="H5432" t="s">
        <v>2183</v>
      </c>
      <c r="I5432" t="s">
        <v>2184</v>
      </c>
      <c r="J5432" t="s">
        <v>52</v>
      </c>
      <c r="K5432" s="3">
        <v>100111286958</v>
      </c>
      <c r="L5432" s="10">
        <v>40271</v>
      </c>
      <c r="M5432">
        <v>193.7</v>
      </c>
      <c r="N5432" s="17">
        <v>20</v>
      </c>
      <c r="O5432" s="5">
        <v>9.85</v>
      </c>
      <c r="P5432" s="5">
        <v>4.82</v>
      </c>
      <c r="Q5432" s="6">
        <v>-14.99</v>
      </c>
      <c r="R5432" s="37" t="s">
        <v>2229</v>
      </c>
      <c r="S5432" s="7">
        <f t="shared" si="464"/>
        <v>1</v>
      </c>
      <c r="T5432" s="15" t="str">
        <f>VLOOKUP(R5432,产品分类!$C$2:$D$1278,2,0)</f>
        <v>办公用品</v>
      </c>
    </row>
    <row r="5433" spans="1:20">
      <c r="A5433" s="8">
        <f t="shared" ref="A5433:B5435" si="470">DATE(2012,12,31)-1234</f>
        <v>40040</v>
      </c>
      <c r="B5433" s="8">
        <f t="shared" si="470"/>
        <v>40040</v>
      </c>
      <c r="C5433" s="9" t="s">
        <v>2447</v>
      </c>
      <c r="D5433">
        <v>10021494777</v>
      </c>
      <c r="E5433" t="s">
        <v>47</v>
      </c>
      <c r="F5433" t="s">
        <v>66</v>
      </c>
      <c r="G5433" t="s">
        <v>67</v>
      </c>
      <c r="H5433" t="s">
        <v>2413</v>
      </c>
      <c r="I5433" t="s">
        <v>2414</v>
      </c>
      <c r="J5433" t="s">
        <v>52</v>
      </c>
      <c r="K5433" s="3">
        <v>100310013979</v>
      </c>
      <c r="L5433" s="10">
        <v>40044</v>
      </c>
      <c r="M5433">
        <v>14665.15</v>
      </c>
      <c r="N5433" s="11">
        <v>17</v>
      </c>
      <c r="O5433" s="12">
        <v>880.98</v>
      </c>
      <c r="P5433" s="12">
        <v>44.55</v>
      </c>
      <c r="Q5433" s="13">
        <v>2860.31</v>
      </c>
      <c r="R5433" s="36" t="s">
        <v>706</v>
      </c>
      <c r="S5433" s="7">
        <f t="shared" si="464"/>
        <v>4</v>
      </c>
      <c r="T5433" s="15" t="str">
        <f>VLOOKUP(R5433,产品分类!$C$2:$D$1278,2,0)</f>
        <v>办公用品</v>
      </c>
    </row>
    <row r="5434" spans="1:20">
      <c r="A5434" s="8">
        <f t="shared" si="470"/>
        <v>40040</v>
      </c>
      <c r="B5434" s="8">
        <f t="shared" si="470"/>
        <v>40040</v>
      </c>
      <c r="C5434" s="9" t="s">
        <v>2447</v>
      </c>
      <c r="D5434">
        <v>10021596051</v>
      </c>
      <c r="E5434" t="s">
        <v>47</v>
      </c>
      <c r="F5434" t="s">
        <v>152</v>
      </c>
      <c r="G5434" t="s">
        <v>153</v>
      </c>
      <c r="H5434" t="s">
        <v>2441</v>
      </c>
      <c r="I5434" t="s">
        <v>2442</v>
      </c>
      <c r="J5434" t="s">
        <v>52</v>
      </c>
      <c r="K5434" s="3">
        <v>100118296338</v>
      </c>
      <c r="L5434" s="10">
        <v>40045</v>
      </c>
      <c r="M5434">
        <v>324.97</v>
      </c>
      <c r="N5434" s="11">
        <v>24</v>
      </c>
      <c r="O5434" s="12">
        <v>13.4</v>
      </c>
      <c r="P5434" s="12">
        <v>4.95</v>
      </c>
      <c r="Q5434" s="13">
        <v>113.98</v>
      </c>
      <c r="R5434" s="36" t="s">
        <v>2000</v>
      </c>
      <c r="S5434" s="7">
        <f t="shared" si="464"/>
        <v>5</v>
      </c>
      <c r="T5434" s="15" t="str">
        <f>VLOOKUP(R5434,产品分类!$C$2:$D$1278,2,0)</f>
        <v>办公用品</v>
      </c>
    </row>
    <row r="5435" spans="1:20">
      <c r="A5435" s="8">
        <f t="shared" si="470"/>
        <v>40040</v>
      </c>
      <c r="B5435" s="8">
        <f t="shared" si="470"/>
        <v>40040</v>
      </c>
      <c r="C5435" s="9" t="s">
        <v>2447</v>
      </c>
      <c r="D5435">
        <v>10021621468</v>
      </c>
      <c r="E5435" t="s">
        <v>47</v>
      </c>
      <c r="F5435" t="s">
        <v>152</v>
      </c>
      <c r="G5435" t="s">
        <v>153</v>
      </c>
      <c r="H5435" t="s">
        <v>2441</v>
      </c>
      <c r="I5435" t="s">
        <v>2442</v>
      </c>
      <c r="J5435" t="s">
        <v>52</v>
      </c>
      <c r="K5435" s="3">
        <v>100714316195</v>
      </c>
      <c r="L5435" s="10">
        <v>40047</v>
      </c>
      <c r="M5435">
        <v>451.52</v>
      </c>
      <c r="N5435" s="11">
        <v>27</v>
      </c>
      <c r="O5435" s="12">
        <v>15.99</v>
      </c>
      <c r="P5435" s="12">
        <v>11.28</v>
      </c>
      <c r="Q5435" s="13">
        <v>-70.5222</v>
      </c>
      <c r="R5435" s="36" t="s">
        <v>2082</v>
      </c>
      <c r="S5435" s="7">
        <f t="shared" si="464"/>
        <v>7</v>
      </c>
      <c r="T5435" s="15" t="str">
        <f>VLOOKUP(R5435,产品分类!$C$2:$D$1278,2,0)</f>
        <v>家具产品</v>
      </c>
    </row>
    <row r="5436" spans="1:20">
      <c r="A5436" s="8">
        <f>DATE(2012,12,31)-1162</f>
        <v>40112</v>
      </c>
      <c r="B5436" s="8">
        <f>DATE(2012,12,31)-1162</f>
        <v>40112</v>
      </c>
      <c r="C5436" s="9" t="s">
        <v>1685</v>
      </c>
      <c r="D5436">
        <v>10021676164</v>
      </c>
      <c r="E5436" t="s">
        <v>47</v>
      </c>
      <c r="F5436" t="s">
        <v>66</v>
      </c>
      <c r="G5436" t="s">
        <v>67</v>
      </c>
      <c r="H5436" t="s">
        <v>2413</v>
      </c>
      <c r="I5436" t="s">
        <v>2414</v>
      </c>
      <c r="J5436" t="s">
        <v>52</v>
      </c>
      <c r="K5436" s="3">
        <v>100432537893</v>
      </c>
      <c r="L5436" s="10">
        <v>40113</v>
      </c>
      <c r="M5436">
        <v>2651.23</v>
      </c>
      <c r="N5436" s="11">
        <v>27</v>
      </c>
      <c r="O5436" s="12">
        <v>101.41</v>
      </c>
      <c r="P5436" s="12">
        <v>35</v>
      </c>
      <c r="Q5436" s="13">
        <v>-741.81</v>
      </c>
      <c r="R5436" s="36" t="s">
        <v>1489</v>
      </c>
      <c r="S5436" s="7">
        <f t="shared" si="464"/>
        <v>1</v>
      </c>
      <c r="T5436" s="15" t="str">
        <f>VLOOKUP(R5436,产品分类!$C$2:$D$1278,2,0)</f>
        <v>数码电子</v>
      </c>
    </row>
    <row r="5437" spans="1:20">
      <c r="A5437" s="8">
        <f>DATE(2012,12,31)-775</f>
        <v>40499</v>
      </c>
      <c r="B5437" s="8">
        <f>DATE(2012,12,31)-775</f>
        <v>40499</v>
      </c>
      <c r="C5437" s="9" t="s">
        <v>1241</v>
      </c>
      <c r="D5437">
        <v>10021574817</v>
      </c>
      <c r="E5437" t="s">
        <v>47</v>
      </c>
      <c r="F5437" t="s">
        <v>66</v>
      </c>
      <c r="G5437" t="s">
        <v>67</v>
      </c>
      <c r="H5437" t="s">
        <v>2413</v>
      </c>
      <c r="I5437" t="s">
        <v>2414</v>
      </c>
      <c r="J5437" t="s">
        <v>52</v>
      </c>
      <c r="K5437" s="3">
        <v>10015217726</v>
      </c>
      <c r="L5437" s="10">
        <v>40501</v>
      </c>
      <c r="M5437">
        <v>2752</v>
      </c>
      <c r="N5437" s="11">
        <v>28</v>
      </c>
      <c r="O5437" s="12">
        <v>99.99</v>
      </c>
      <c r="P5437" s="12">
        <v>19.99</v>
      </c>
      <c r="Q5437" s="13">
        <v>336.47</v>
      </c>
      <c r="R5437" s="36" t="s">
        <v>532</v>
      </c>
      <c r="S5437" s="7">
        <f t="shared" si="464"/>
        <v>2</v>
      </c>
      <c r="T5437" s="15" t="str">
        <f>VLOOKUP(R5437,产品分类!$C$2:$D$1278,2,0)</f>
        <v>办公用品</v>
      </c>
    </row>
    <row r="5438" spans="1:20">
      <c r="A5438" s="8">
        <f>DATE(2012,12,31)-775</f>
        <v>40499</v>
      </c>
      <c r="B5438" s="8">
        <f>DATE(2012,12,31)-775</f>
        <v>40499</v>
      </c>
      <c r="C5438" s="9" t="s">
        <v>1241</v>
      </c>
      <c r="D5438">
        <v>10021252390</v>
      </c>
      <c r="E5438" t="s">
        <v>47</v>
      </c>
      <c r="F5438" t="s">
        <v>66</v>
      </c>
      <c r="G5438" t="s">
        <v>67</v>
      </c>
      <c r="H5438" t="s">
        <v>2413</v>
      </c>
      <c r="I5438" t="s">
        <v>2414</v>
      </c>
      <c r="J5438" t="s">
        <v>52</v>
      </c>
      <c r="K5438" s="3">
        <v>100710266005</v>
      </c>
      <c r="L5438" s="10">
        <v>40501</v>
      </c>
      <c r="M5438">
        <v>72.82</v>
      </c>
      <c r="N5438" s="11">
        <v>12</v>
      </c>
      <c r="O5438" s="12">
        <v>5.98</v>
      </c>
      <c r="P5438" s="12">
        <v>2.5</v>
      </c>
      <c r="Q5438" s="13">
        <v>5.03</v>
      </c>
      <c r="R5438" s="36" t="s">
        <v>547</v>
      </c>
      <c r="S5438" s="7">
        <f t="shared" si="464"/>
        <v>2</v>
      </c>
      <c r="T5438" s="15" t="str">
        <f>VLOOKUP(R5438,产品分类!$C$2:$D$1278,2,0)</f>
        <v>数码电子</v>
      </c>
    </row>
    <row r="5439" spans="1:20">
      <c r="A5439" s="8">
        <f>DATE(2012,12,31)-429</f>
        <v>40845</v>
      </c>
      <c r="B5439" s="8">
        <f>DATE(2012,12,31)-429</f>
        <v>40845</v>
      </c>
      <c r="C5439" s="9" t="s">
        <v>766</v>
      </c>
      <c r="D5439">
        <v>10021670573</v>
      </c>
      <c r="E5439" t="s">
        <v>47</v>
      </c>
      <c r="F5439" t="s">
        <v>66</v>
      </c>
      <c r="G5439" t="s">
        <v>67</v>
      </c>
      <c r="H5439" t="s">
        <v>2413</v>
      </c>
      <c r="I5439" t="s">
        <v>2414</v>
      </c>
      <c r="J5439" t="s">
        <v>52</v>
      </c>
      <c r="K5439" s="3">
        <v>100130541197</v>
      </c>
      <c r="L5439" s="10">
        <v>40850</v>
      </c>
      <c r="M5439">
        <v>667.998</v>
      </c>
      <c r="N5439" s="11">
        <v>23</v>
      </c>
      <c r="O5439" s="12">
        <v>35.99</v>
      </c>
      <c r="P5439" s="12">
        <v>1.25</v>
      </c>
      <c r="Q5439" s="13">
        <v>251.262</v>
      </c>
      <c r="R5439" s="36" t="s">
        <v>1822</v>
      </c>
      <c r="S5439" s="7">
        <f t="shared" si="464"/>
        <v>5</v>
      </c>
      <c r="T5439" s="15" t="str">
        <f>VLOOKUP(R5439,产品分类!$C$2:$D$1278,2,0)</f>
        <v>家具产品</v>
      </c>
    </row>
    <row r="5440" spans="1:20">
      <c r="A5440" s="8">
        <f>DATE(2012,12,31)-989</f>
        <v>40285</v>
      </c>
      <c r="B5440" s="8">
        <f>DATE(2012,12,31)-989</f>
        <v>40285</v>
      </c>
      <c r="C5440" s="9" t="s">
        <v>2354</v>
      </c>
      <c r="D5440">
        <v>10021434270</v>
      </c>
      <c r="E5440" t="s">
        <v>47</v>
      </c>
      <c r="F5440" t="s">
        <v>48</v>
      </c>
      <c r="G5440" t="s">
        <v>49</v>
      </c>
      <c r="H5440" t="s">
        <v>2183</v>
      </c>
      <c r="I5440" t="s">
        <v>2184</v>
      </c>
      <c r="J5440" t="s">
        <v>52</v>
      </c>
      <c r="K5440" s="3">
        <v>100132656116</v>
      </c>
      <c r="L5440" s="10">
        <v>40286</v>
      </c>
      <c r="M5440">
        <v>2175.218</v>
      </c>
      <c r="N5440" s="11">
        <v>13</v>
      </c>
      <c r="O5440" s="12">
        <v>195.99</v>
      </c>
      <c r="P5440" s="12">
        <v>3.99</v>
      </c>
      <c r="Q5440" s="13">
        <v>44.55</v>
      </c>
      <c r="R5440" s="36" t="s">
        <v>267</v>
      </c>
      <c r="S5440" s="7">
        <f t="shared" si="464"/>
        <v>1</v>
      </c>
      <c r="T5440" s="15" t="str">
        <f>VLOOKUP(R5440,产品分类!$C$2:$D$1278,2,0)</f>
        <v>办公用品</v>
      </c>
    </row>
    <row r="5441" spans="1:20">
      <c r="A5441" s="16">
        <f t="shared" ref="A5441:B5443" si="471">DATE(2012,12,31)-143</f>
        <v>41131</v>
      </c>
      <c r="B5441" s="16">
        <f t="shared" si="471"/>
        <v>41131</v>
      </c>
      <c r="C5441" s="9" t="s">
        <v>1071</v>
      </c>
      <c r="D5441">
        <v>10021590342</v>
      </c>
      <c r="E5441" t="s">
        <v>47</v>
      </c>
      <c r="F5441" t="s">
        <v>152</v>
      </c>
      <c r="G5441" t="s">
        <v>153</v>
      </c>
      <c r="H5441" t="s">
        <v>2441</v>
      </c>
      <c r="I5441" t="s">
        <v>2442</v>
      </c>
      <c r="J5441" t="s">
        <v>52</v>
      </c>
      <c r="K5441" s="3">
        <v>100131297567</v>
      </c>
      <c r="L5441" s="10">
        <v>41138</v>
      </c>
      <c r="M5441">
        <v>162.51</v>
      </c>
      <c r="N5441" s="17">
        <v>41</v>
      </c>
      <c r="O5441" s="5">
        <v>4.13</v>
      </c>
      <c r="P5441" s="5">
        <v>5.34</v>
      </c>
      <c r="Q5441" s="6">
        <v>-148.396</v>
      </c>
      <c r="R5441" s="37" t="s">
        <v>612</v>
      </c>
      <c r="S5441" s="7">
        <f t="shared" si="464"/>
        <v>7</v>
      </c>
      <c r="T5441" s="15" t="str">
        <f>VLOOKUP(R5441,产品分类!$C$2:$D$1278,2,0)</f>
        <v>办公用品</v>
      </c>
    </row>
    <row r="5442" spans="1:20">
      <c r="A5442" s="8">
        <f t="shared" si="471"/>
        <v>41131</v>
      </c>
      <c r="B5442" s="8">
        <f t="shared" si="471"/>
        <v>41131</v>
      </c>
      <c r="C5442" s="9" t="s">
        <v>1071</v>
      </c>
      <c r="D5442">
        <v>10021523285</v>
      </c>
      <c r="E5442" t="s">
        <v>47</v>
      </c>
      <c r="F5442" t="s">
        <v>152</v>
      </c>
      <c r="G5442" t="s">
        <v>153</v>
      </c>
      <c r="H5442" t="s">
        <v>2441</v>
      </c>
      <c r="I5442" t="s">
        <v>2442</v>
      </c>
      <c r="J5442" t="s">
        <v>52</v>
      </c>
      <c r="K5442" s="3">
        <v>10036827359</v>
      </c>
      <c r="L5442" s="10">
        <v>41136</v>
      </c>
      <c r="M5442">
        <v>561.43</v>
      </c>
      <c r="N5442" s="11">
        <v>3</v>
      </c>
      <c r="O5442" s="12">
        <v>180.98</v>
      </c>
      <c r="P5442" s="12">
        <v>26.2</v>
      </c>
      <c r="Q5442" s="13">
        <v>-199.46</v>
      </c>
      <c r="R5442" s="36" t="s">
        <v>1580</v>
      </c>
      <c r="S5442" s="7">
        <f t="shared" si="464"/>
        <v>5</v>
      </c>
      <c r="T5442" s="15" t="str">
        <f>VLOOKUP(R5442,产品分类!$C$2:$D$1278,2,0)</f>
        <v>数码电子</v>
      </c>
    </row>
    <row r="5443" spans="1:20">
      <c r="A5443" s="8">
        <f t="shared" si="471"/>
        <v>41131</v>
      </c>
      <c r="B5443" s="8">
        <f t="shared" si="471"/>
        <v>41131</v>
      </c>
      <c r="C5443" s="9" t="s">
        <v>1071</v>
      </c>
      <c r="D5443">
        <v>10021666963</v>
      </c>
      <c r="E5443" t="s">
        <v>47</v>
      </c>
      <c r="F5443" t="s">
        <v>132</v>
      </c>
      <c r="G5443" t="s">
        <v>133</v>
      </c>
      <c r="H5443" t="s">
        <v>134</v>
      </c>
      <c r="I5443" t="s">
        <v>133</v>
      </c>
      <c r="J5443" t="s">
        <v>52</v>
      </c>
      <c r="K5443" s="3">
        <v>100327633919</v>
      </c>
      <c r="L5443" s="10">
        <v>41131</v>
      </c>
      <c r="M5443">
        <v>64.46</v>
      </c>
      <c r="N5443" s="11">
        <v>13</v>
      </c>
      <c r="O5443" s="12">
        <v>4.91</v>
      </c>
      <c r="P5443" s="12">
        <v>0.5</v>
      </c>
      <c r="Q5443" s="13">
        <v>25.16</v>
      </c>
      <c r="R5443" s="36" t="s">
        <v>1508</v>
      </c>
      <c r="S5443" s="7">
        <f t="shared" ref="S5443:S5506" si="472">+L5443-B5443</f>
        <v>0</v>
      </c>
      <c r="T5443" s="15" t="str">
        <f>VLOOKUP(R5443,产品分类!$C$2:$D$1278,2,0)</f>
        <v>办公用品</v>
      </c>
    </row>
    <row r="5444" spans="1:20">
      <c r="A5444" s="8">
        <f>DATE(2012,12,31)-948</f>
        <v>40326</v>
      </c>
      <c r="B5444" s="8">
        <f>DATE(2012,12,31)-948</f>
        <v>40326</v>
      </c>
      <c r="C5444" s="9" t="s">
        <v>1921</v>
      </c>
      <c r="D5444">
        <v>10021546510</v>
      </c>
      <c r="E5444" t="s">
        <v>47</v>
      </c>
      <c r="F5444" t="s">
        <v>66</v>
      </c>
      <c r="G5444" t="s">
        <v>67</v>
      </c>
      <c r="H5444" t="s">
        <v>2413</v>
      </c>
      <c r="I5444" t="s">
        <v>2414</v>
      </c>
      <c r="J5444" t="s">
        <v>52</v>
      </c>
      <c r="K5444" s="3">
        <v>100130906958</v>
      </c>
      <c r="L5444" s="10">
        <v>40327</v>
      </c>
      <c r="M5444">
        <v>1279.25</v>
      </c>
      <c r="N5444" s="11">
        <v>38</v>
      </c>
      <c r="O5444" s="12">
        <v>31.78</v>
      </c>
      <c r="P5444" s="12">
        <v>1.99</v>
      </c>
      <c r="Q5444" s="13">
        <v>569.3</v>
      </c>
      <c r="R5444" s="36" t="s">
        <v>451</v>
      </c>
      <c r="S5444" s="7">
        <f t="shared" si="472"/>
        <v>1</v>
      </c>
      <c r="T5444" s="15" t="str">
        <f>VLOOKUP(R5444,产品分类!$C$2:$D$1278,2,0)</f>
        <v>家具产品</v>
      </c>
    </row>
    <row r="5445" spans="1:20">
      <c r="A5445" s="8">
        <f>DATE(2012,12,31)-1007</f>
        <v>40267</v>
      </c>
      <c r="B5445" s="8">
        <f>DATE(2012,12,31)-1007</f>
        <v>40267</v>
      </c>
      <c r="C5445" s="9" t="s">
        <v>101</v>
      </c>
      <c r="D5445">
        <v>10021671604</v>
      </c>
      <c r="E5445" t="s">
        <v>47</v>
      </c>
      <c r="F5445" t="s">
        <v>72</v>
      </c>
      <c r="G5445" t="s">
        <v>73</v>
      </c>
      <c r="H5445" t="s">
        <v>2417</v>
      </c>
      <c r="I5445" t="s">
        <v>2418</v>
      </c>
      <c r="J5445" t="s">
        <v>52</v>
      </c>
      <c r="K5445" s="3">
        <v>100930977861</v>
      </c>
      <c r="L5445" s="10">
        <v>40271</v>
      </c>
      <c r="M5445">
        <v>3982.42</v>
      </c>
      <c r="N5445" s="11">
        <v>48</v>
      </c>
      <c r="O5445" s="12">
        <v>83.1</v>
      </c>
      <c r="P5445" s="12">
        <v>6.13</v>
      </c>
      <c r="Q5445" s="13">
        <v>1560.82</v>
      </c>
      <c r="R5445" s="36" t="s">
        <v>1148</v>
      </c>
      <c r="S5445" s="7">
        <f t="shared" si="472"/>
        <v>4</v>
      </c>
      <c r="T5445" s="15" t="str">
        <f>VLOOKUP(R5445,产品分类!$C$2:$D$1278,2,0)</f>
        <v>家具产品</v>
      </c>
    </row>
    <row r="5446" spans="1:20">
      <c r="A5446" s="8">
        <f>DATE(2012,12,31)-1007</f>
        <v>40267</v>
      </c>
      <c r="B5446" s="8">
        <f>DATE(2012,12,31)-1007</f>
        <v>40267</v>
      </c>
      <c r="C5446" s="9" t="s">
        <v>101</v>
      </c>
      <c r="D5446">
        <v>10021348660</v>
      </c>
      <c r="E5446" t="s">
        <v>47</v>
      </c>
      <c r="F5446" t="s">
        <v>72</v>
      </c>
      <c r="G5446" t="s">
        <v>73</v>
      </c>
      <c r="H5446" t="s">
        <v>2417</v>
      </c>
      <c r="I5446" t="s">
        <v>2418</v>
      </c>
      <c r="J5446" t="s">
        <v>52</v>
      </c>
      <c r="K5446" s="3">
        <v>100431596934</v>
      </c>
      <c r="L5446" s="10">
        <v>40274</v>
      </c>
      <c r="M5446">
        <v>4025.66</v>
      </c>
      <c r="N5446" s="11">
        <v>32</v>
      </c>
      <c r="O5446" s="12">
        <v>124.49</v>
      </c>
      <c r="P5446" s="12">
        <v>51.94</v>
      </c>
      <c r="Q5446" s="13">
        <v>-395.12</v>
      </c>
      <c r="R5446" s="36" t="s">
        <v>237</v>
      </c>
      <c r="S5446" s="7">
        <f t="shared" si="472"/>
        <v>7</v>
      </c>
      <c r="T5446" s="15" t="str">
        <f>VLOOKUP(R5446,产品分类!$C$2:$D$1278,2,0)</f>
        <v>数码电子</v>
      </c>
    </row>
    <row r="5447" spans="1:20">
      <c r="A5447" s="8">
        <f>DATE(2012,12,31)-323</f>
        <v>40951</v>
      </c>
      <c r="B5447" s="8">
        <f>DATE(2012,12,31)-323</f>
        <v>40951</v>
      </c>
      <c r="C5447" s="9" t="s">
        <v>1910</v>
      </c>
      <c r="D5447">
        <v>10021664435</v>
      </c>
      <c r="E5447" t="s">
        <v>47</v>
      </c>
      <c r="F5447" t="s">
        <v>78</v>
      </c>
      <c r="G5447" t="s">
        <v>79</v>
      </c>
      <c r="H5447" t="s">
        <v>2420</v>
      </c>
      <c r="I5447" t="s">
        <v>2421</v>
      </c>
      <c r="J5447" t="s">
        <v>52</v>
      </c>
      <c r="K5447" s="3">
        <v>100123348668</v>
      </c>
      <c r="L5447" s="10">
        <v>40952</v>
      </c>
      <c r="M5447">
        <v>326.1</v>
      </c>
      <c r="N5447" s="11">
        <v>48</v>
      </c>
      <c r="O5447" s="12">
        <v>6.48</v>
      </c>
      <c r="P5447" s="12">
        <v>6.6</v>
      </c>
      <c r="Q5447" s="13">
        <v>-118.74</v>
      </c>
      <c r="R5447" s="36" t="s">
        <v>784</v>
      </c>
      <c r="S5447" s="7">
        <f t="shared" si="472"/>
        <v>1</v>
      </c>
      <c r="T5447" s="15" t="str">
        <f>VLOOKUP(R5447,产品分类!$C$2:$D$1278,2,0)</f>
        <v>数码电子</v>
      </c>
    </row>
    <row r="5448" spans="1:20">
      <c r="A5448" s="8">
        <f>DATE(2012,12,31)-323</f>
        <v>40951</v>
      </c>
      <c r="B5448" s="8">
        <f>DATE(2012,12,31)-323</f>
        <v>40951</v>
      </c>
      <c r="C5448" s="9" t="s">
        <v>1910</v>
      </c>
      <c r="D5448">
        <v>10021281521</v>
      </c>
      <c r="E5448" t="s">
        <v>47</v>
      </c>
      <c r="F5448" t="s">
        <v>72</v>
      </c>
      <c r="G5448" t="s">
        <v>73</v>
      </c>
      <c r="H5448" t="s">
        <v>2417</v>
      </c>
      <c r="I5448" t="s">
        <v>2418</v>
      </c>
      <c r="J5448" t="s">
        <v>52</v>
      </c>
      <c r="K5448" s="3">
        <v>100121931716</v>
      </c>
      <c r="L5448" s="10">
        <v>40954</v>
      </c>
      <c r="M5448">
        <v>170.374</v>
      </c>
      <c r="N5448" s="11">
        <v>6</v>
      </c>
      <c r="O5448" s="12">
        <v>35.99</v>
      </c>
      <c r="P5448" s="12">
        <v>0.99</v>
      </c>
      <c r="Q5448" s="13">
        <v>-67.133</v>
      </c>
      <c r="R5448" s="36" t="s">
        <v>685</v>
      </c>
      <c r="S5448" s="7">
        <f t="shared" si="472"/>
        <v>3</v>
      </c>
      <c r="T5448" s="15" t="str">
        <f>VLOOKUP(R5448,产品分类!$C$2:$D$1278,2,0)</f>
        <v>办公用品</v>
      </c>
    </row>
    <row r="5449" spans="1:20">
      <c r="A5449" s="8">
        <f>DATE(2012,12,31)-346</f>
        <v>40928</v>
      </c>
      <c r="B5449" s="8">
        <f>DATE(2012,12,31)-346</f>
        <v>40928</v>
      </c>
      <c r="C5449" s="9" t="s">
        <v>497</v>
      </c>
      <c r="D5449">
        <v>10021662380</v>
      </c>
      <c r="E5449" t="s">
        <v>47</v>
      </c>
      <c r="F5449" t="s">
        <v>72</v>
      </c>
      <c r="G5449" t="s">
        <v>73</v>
      </c>
      <c r="H5449" t="s">
        <v>2417</v>
      </c>
      <c r="I5449" t="s">
        <v>2418</v>
      </c>
      <c r="J5449" t="s">
        <v>52</v>
      </c>
      <c r="K5449" s="3">
        <v>100121676828</v>
      </c>
      <c r="L5449" s="10">
        <v>40932</v>
      </c>
      <c r="M5449">
        <v>697.5</v>
      </c>
      <c r="N5449" s="11">
        <v>28</v>
      </c>
      <c r="O5449" s="12">
        <v>23.99</v>
      </c>
      <c r="P5449" s="12">
        <v>6.3</v>
      </c>
      <c r="Q5449" s="13">
        <v>169.89</v>
      </c>
      <c r="R5449" s="36" t="s">
        <v>1267</v>
      </c>
      <c r="S5449" s="7">
        <f t="shared" si="472"/>
        <v>4</v>
      </c>
      <c r="T5449" s="15" t="str">
        <f>VLOOKUP(R5449,产品分类!$C$2:$D$1278,2,0)</f>
        <v>数码电子</v>
      </c>
    </row>
    <row r="5450" spans="1:20">
      <c r="A5450" s="8">
        <f>DATE(2012,12,31)-566</f>
        <v>40708</v>
      </c>
      <c r="B5450" s="8">
        <f>DATE(2012,12,31)-566</f>
        <v>40708</v>
      </c>
      <c r="C5450" s="9" t="s">
        <v>743</v>
      </c>
      <c r="D5450">
        <v>10021674227</v>
      </c>
      <c r="E5450" t="s">
        <v>47</v>
      </c>
      <c r="F5450" t="s">
        <v>72</v>
      </c>
      <c r="G5450" t="s">
        <v>73</v>
      </c>
      <c r="H5450" t="s">
        <v>2417</v>
      </c>
      <c r="I5450" t="s">
        <v>2418</v>
      </c>
      <c r="J5450" t="s">
        <v>52</v>
      </c>
      <c r="K5450" s="3">
        <v>100932148921</v>
      </c>
      <c r="L5450" s="10">
        <v>40715</v>
      </c>
      <c r="M5450">
        <v>2222.61</v>
      </c>
      <c r="N5450" s="11">
        <v>3</v>
      </c>
      <c r="O5450" s="12">
        <v>699.99</v>
      </c>
      <c r="P5450" s="12">
        <v>24.49</v>
      </c>
      <c r="Q5450" s="13">
        <v>196.08</v>
      </c>
      <c r="R5450" s="36" t="s">
        <v>493</v>
      </c>
      <c r="S5450" s="7">
        <f t="shared" si="472"/>
        <v>7</v>
      </c>
      <c r="T5450" s="15" t="str">
        <f>VLOOKUP(R5450,产品分类!$C$2:$D$1278,2,0)</f>
        <v>办公用品</v>
      </c>
    </row>
    <row r="5451" spans="1:20">
      <c r="A5451" s="8">
        <f>DATE(2012,12,31)-1378</f>
        <v>39896</v>
      </c>
      <c r="B5451" s="8">
        <f>DATE(2012,12,31)-1378</f>
        <v>39896</v>
      </c>
      <c r="C5451" s="9" t="s">
        <v>1730</v>
      </c>
      <c r="D5451">
        <v>10021504851</v>
      </c>
      <c r="E5451" t="s">
        <v>47</v>
      </c>
      <c r="F5451" t="s">
        <v>78</v>
      </c>
      <c r="G5451" t="s">
        <v>79</v>
      </c>
      <c r="H5451" t="s">
        <v>2420</v>
      </c>
      <c r="I5451" t="s">
        <v>2421</v>
      </c>
      <c r="J5451" t="s">
        <v>52</v>
      </c>
      <c r="K5451" s="3">
        <v>100430725364</v>
      </c>
      <c r="L5451" s="10">
        <v>39898</v>
      </c>
      <c r="M5451">
        <v>107.56</v>
      </c>
      <c r="N5451" s="11">
        <v>17</v>
      </c>
      <c r="O5451" s="12">
        <v>6.64</v>
      </c>
      <c r="P5451" s="12">
        <v>54.95</v>
      </c>
      <c r="Q5451" s="13">
        <v>-25</v>
      </c>
      <c r="R5451" s="36" t="s">
        <v>281</v>
      </c>
      <c r="S5451" s="7">
        <f t="shared" si="472"/>
        <v>2</v>
      </c>
      <c r="T5451" s="15" t="str">
        <f>VLOOKUP(R5451,产品分类!$C$2:$D$1278,2,0)</f>
        <v>数码电子</v>
      </c>
    </row>
    <row r="5452" spans="1:20">
      <c r="A5452" s="8">
        <f>DATE(2012,12,31)-1378</f>
        <v>39896</v>
      </c>
      <c r="B5452" s="8">
        <f>DATE(2012,12,31)-1378</f>
        <v>39896</v>
      </c>
      <c r="C5452" s="9" t="s">
        <v>1730</v>
      </c>
      <c r="D5452">
        <v>10021594543</v>
      </c>
      <c r="E5452" t="s">
        <v>47</v>
      </c>
      <c r="F5452" t="s">
        <v>230</v>
      </c>
      <c r="G5452" t="s">
        <v>231</v>
      </c>
      <c r="H5452" t="s">
        <v>2372</v>
      </c>
      <c r="I5452" t="s">
        <v>2373</v>
      </c>
      <c r="J5452" t="s">
        <v>52</v>
      </c>
      <c r="K5452" s="3">
        <v>100332759329</v>
      </c>
      <c r="L5452" s="10">
        <v>39897</v>
      </c>
      <c r="M5452">
        <v>1386.69</v>
      </c>
      <c r="N5452" s="11">
        <v>15</v>
      </c>
      <c r="O5452" s="12">
        <v>90.48</v>
      </c>
      <c r="P5452" s="12">
        <v>19.99</v>
      </c>
      <c r="Q5452" s="13">
        <v>363</v>
      </c>
      <c r="R5452" s="36" t="s">
        <v>1008</v>
      </c>
      <c r="S5452" s="7">
        <f t="shared" si="472"/>
        <v>1</v>
      </c>
      <c r="T5452" s="15" t="str">
        <f>VLOOKUP(R5452,产品分类!$C$2:$D$1278,2,0)</f>
        <v>办公用品</v>
      </c>
    </row>
    <row r="5453" spans="1:20">
      <c r="A5453" s="8">
        <f>DATE(2012,12,31)-102</f>
        <v>41172</v>
      </c>
      <c r="B5453" s="8">
        <f>DATE(2012,12,31)-102</f>
        <v>41172</v>
      </c>
      <c r="C5453" s="9" t="s">
        <v>1804</v>
      </c>
      <c r="D5453">
        <v>10021575693</v>
      </c>
      <c r="E5453" t="s">
        <v>47</v>
      </c>
      <c r="F5453" t="s">
        <v>78</v>
      </c>
      <c r="G5453" t="s">
        <v>79</v>
      </c>
      <c r="H5453" t="s">
        <v>2420</v>
      </c>
      <c r="I5453" t="s">
        <v>2421</v>
      </c>
      <c r="J5453" t="s">
        <v>52</v>
      </c>
      <c r="K5453" s="3">
        <v>100110097986</v>
      </c>
      <c r="L5453" s="10">
        <v>41174</v>
      </c>
      <c r="M5453">
        <v>2617.13</v>
      </c>
      <c r="N5453" s="11">
        <v>39</v>
      </c>
      <c r="O5453" s="12">
        <v>64.98</v>
      </c>
      <c r="P5453" s="12">
        <v>6.88</v>
      </c>
      <c r="Q5453" s="13">
        <v>368.87</v>
      </c>
      <c r="R5453" s="36" t="s">
        <v>765</v>
      </c>
      <c r="S5453" s="7">
        <f t="shared" si="472"/>
        <v>2</v>
      </c>
      <c r="T5453" s="15" t="str">
        <f>VLOOKUP(R5453,产品分类!$C$2:$D$1278,2,0)</f>
        <v>办公用品</v>
      </c>
    </row>
    <row r="5454" spans="1:20">
      <c r="A5454" s="8">
        <f>DATE(2012,12,31)-102</f>
        <v>41172</v>
      </c>
      <c r="B5454" s="8">
        <f>DATE(2012,12,31)-102</f>
        <v>41172</v>
      </c>
      <c r="C5454" s="9" t="s">
        <v>1804</v>
      </c>
      <c r="D5454">
        <v>10021413785</v>
      </c>
      <c r="E5454" t="s">
        <v>47</v>
      </c>
      <c r="F5454" t="s">
        <v>230</v>
      </c>
      <c r="G5454" t="s">
        <v>231</v>
      </c>
      <c r="H5454" t="s">
        <v>2372</v>
      </c>
      <c r="I5454" t="s">
        <v>2373</v>
      </c>
      <c r="J5454" t="s">
        <v>52</v>
      </c>
      <c r="K5454" s="3">
        <v>10092428581</v>
      </c>
      <c r="L5454" s="10">
        <v>41173</v>
      </c>
      <c r="M5454">
        <v>169.27</v>
      </c>
      <c r="N5454" s="11">
        <v>9</v>
      </c>
      <c r="O5454" s="12">
        <v>19.98</v>
      </c>
      <c r="P5454" s="12">
        <v>4</v>
      </c>
      <c r="Q5454" s="13">
        <v>-68.93</v>
      </c>
      <c r="R5454" s="36" t="s">
        <v>846</v>
      </c>
      <c r="S5454" s="7">
        <f t="shared" si="472"/>
        <v>1</v>
      </c>
      <c r="T5454" s="15" t="str">
        <f>VLOOKUP(R5454,产品分类!$C$2:$D$1278,2,0)</f>
        <v>数码电子</v>
      </c>
    </row>
    <row r="5455" spans="1:20">
      <c r="A5455" s="8">
        <f>DATE(2012,12,31)-1320</f>
        <v>39954</v>
      </c>
      <c r="B5455" s="8">
        <f>DATE(2012,12,31)-1320</f>
        <v>39954</v>
      </c>
      <c r="C5455" s="9" t="s">
        <v>1529</v>
      </c>
      <c r="D5455">
        <v>10021254697</v>
      </c>
      <c r="E5455" t="s">
        <v>47</v>
      </c>
      <c r="F5455" t="s">
        <v>230</v>
      </c>
      <c r="G5455" t="s">
        <v>231</v>
      </c>
      <c r="H5455" t="s">
        <v>2372</v>
      </c>
      <c r="I5455" t="s">
        <v>2373</v>
      </c>
      <c r="J5455" t="s">
        <v>52</v>
      </c>
      <c r="K5455" s="3">
        <v>100122682497</v>
      </c>
      <c r="L5455" s="10">
        <v>39956</v>
      </c>
      <c r="M5455">
        <v>92.86</v>
      </c>
      <c r="N5455" s="11">
        <v>44</v>
      </c>
      <c r="O5455" s="12">
        <v>2.08</v>
      </c>
      <c r="P5455" s="12">
        <v>1.49</v>
      </c>
      <c r="Q5455" s="13">
        <v>-11.2815</v>
      </c>
      <c r="R5455" s="36" t="s">
        <v>1351</v>
      </c>
      <c r="S5455" s="7">
        <f t="shared" si="472"/>
        <v>2</v>
      </c>
      <c r="T5455" s="15" t="str">
        <f>VLOOKUP(R5455,产品分类!$C$2:$D$1278,2,0)</f>
        <v>办公用品</v>
      </c>
    </row>
    <row r="5456" spans="1:20">
      <c r="A5456" s="8">
        <f>DATE(2012,12,31)-1334</f>
        <v>39940</v>
      </c>
      <c r="B5456" s="8">
        <f>DATE(2012,12,31)-1334</f>
        <v>39940</v>
      </c>
      <c r="C5456" s="9" t="s">
        <v>2060</v>
      </c>
      <c r="D5456">
        <v>10021293201</v>
      </c>
      <c r="E5456" t="s">
        <v>47</v>
      </c>
      <c r="F5456" t="s">
        <v>473</v>
      </c>
      <c r="G5456" t="s">
        <v>474</v>
      </c>
      <c r="H5456" t="s">
        <v>2406</v>
      </c>
      <c r="I5456" t="s">
        <v>2407</v>
      </c>
      <c r="J5456" t="s">
        <v>52</v>
      </c>
      <c r="K5456" s="3">
        <v>10045282814</v>
      </c>
      <c r="L5456" s="10">
        <v>39942</v>
      </c>
      <c r="M5456">
        <v>2251.497</v>
      </c>
      <c r="N5456" s="11">
        <v>43</v>
      </c>
      <c r="O5456" s="12">
        <v>65.99</v>
      </c>
      <c r="P5456" s="12">
        <v>8.99</v>
      </c>
      <c r="Q5456" s="13">
        <v>308.934</v>
      </c>
      <c r="R5456" s="36" t="s">
        <v>335</v>
      </c>
      <c r="S5456" s="7">
        <f t="shared" si="472"/>
        <v>2</v>
      </c>
      <c r="T5456" s="15" t="str">
        <f>VLOOKUP(R5456,产品分类!$C$2:$D$1278,2,0)</f>
        <v>办公用品</v>
      </c>
    </row>
    <row r="5457" spans="1:20">
      <c r="A5457" s="8">
        <f>DATE(2012,12,31)-464</f>
        <v>40810</v>
      </c>
      <c r="B5457" s="8">
        <f>DATE(2012,12,31)-464</f>
        <v>40810</v>
      </c>
      <c r="C5457" s="9" t="s">
        <v>149</v>
      </c>
      <c r="D5457">
        <v>10021495099</v>
      </c>
      <c r="E5457" t="s">
        <v>47</v>
      </c>
      <c r="F5457" t="s">
        <v>434</v>
      </c>
      <c r="G5457" t="s">
        <v>435</v>
      </c>
      <c r="H5457" t="s">
        <v>436</v>
      </c>
      <c r="I5457" t="s">
        <v>437</v>
      </c>
      <c r="J5457" t="s">
        <v>52</v>
      </c>
      <c r="K5457" s="3">
        <v>100313918369</v>
      </c>
      <c r="L5457" s="10">
        <v>40812</v>
      </c>
      <c r="M5457">
        <v>497.2</v>
      </c>
      <c r="N5457" s="11">
        <v>7</v>
      </c>
      <c r="O5457" s="12">
        <v>60.98</v>
      </c>
      <c r="P5457" s="12">
        <v>49</v>
      </c>
      <c r="Q5457" s="13">
        <v>-219.61</v>
      </c>
      <c r="R5457" s="36" t="s">
        <v>568</v>
      </c>
      <c r="S5457" s="7">
        <f t="shared" si="472"/>
        <v>2</v>
      </c>
      <c r="T5457" s="15" t="str">
        <f>VLOOKUP(R5457,产品分类!$C$2:$D$1278,2,0)</f>
        <v>家具产品</v>
      </c>
    </row>
    <row r="5458" spans="1:20">
      <c r="A5458" s="8">
        <f>DATE(2012,12,31)-697</f>
        <v>40577</v>
      </c>
      <c r="B5458" s="8">
        <f>DATE(2012,12,31)-697</f>
        <v>40577</v>
      </c>
      <c r="C5458" s="9" t="s">
        <v>1696</v>
      </c>
      <c r="D5458">
        <v>10021370516</v>
      </c>
      <c r="E5458" t="s">
        <v>47</v>
      </c>
      <c r="F5458" t="s">
        <v>91</v>
      </c>
      <c r="G5458" t="s">
        <v>92</v>
      </c>
      <c r="H5458" t="s">
        <v>2053</v>
      </c>
      <c r="I5458" t="s">
        <v>2054</v>
      </c>
      <c r="J5458" t="s">
        <v>52</v>
      </c>
      <c r="K5458" s="3">
        <v>100315342159</v>
      </c>
      <c r="L5458" s="10">
        <v>40579</v>
      </c>
      <c r="M5458">
        <v>298.12</v>
      </c>
      <c r="N5458" s="11">
        <v>50</v>
      </c>
      <c r="O5458" s="12">
        <v>6.3</v>
      </c>
      <c r="P5458" s="12">
        <v>0.5</v>
      </c>
      <c r="Q5458" s="13">
        <v>137.67</v>
      </c>
      <c r="R5458" s="36" t="s">
        <v>961</v>
      </c>
      <c r="S5458" s="7">
        <f t="shared" si="472"/>
        <v>2</v>
      </c>
      <c r="T5458" s="15" t="str">
        <f>VLOOKUP(R5458,产品分类!$C$2:$D$1278,2,0)</f>
        <v>办公用品</v>
      </c>
    </row>
    <row r="5459" spans="1:20">
      <c r="A5459" s="8">
        <f>DATE(2012,12,31)-562</f>
        <v>40712</v>
      </c>
      <c r="B5459" s="8">
        <f>DATE(2012,12,31)-562</f>
        <v>40712</v>
      </c>
      <c r="C5459" s="9" t="s">
        <v>1454</v>
      </c>
      <c r="D5459">
        <v>10021252849</v>
      </c>
      <c r="E5459" t="s">
        <v>47</v>
      </c>
      <c r="F5459" t="s">
        <v>122</v>
      </c>
      <c r="G5459" t="s">
        <v>123</v>
      </c>
      <c r="H5459" t="s">
        <v>2159</v>
      </c>
      <c r="I5459" t="s">
        <v>2160</v>
      </c>
      <c r="J5459" t="s">
        <v>52</v>
      </c>
      <c r="K5459" s="3">
        <v>100115442068</v>
      </c>
      <c r="L5459" s="10">
        <v>40714</v>
      </c>
      <c r="M5459">
        <v>236.17</v>
      </c>
      <c r="N5459" s="11">
        <v>10</v>
      </c>
      <c r="O5459" s="12">
        <v>23.99</v>
      </c>
      <c r="P5459" s="12">
        <v>15.68</v>
      </c>
      <c r="Q5459" s="13">
        <v>-21.39</v>
      </c>
      <c r="R5459" s="36" t="s">
        <v>2100</v>
      </c>
      <c r="S5459" s="7">
        <f t="shared" si="472"/>
        <v>2</v>
      </c>
      <c r="T5459" s="15" t="str">
        <f>VLOOKUP(R5459,产品分类!$C$2:$D$1278,2,0)</f>
        <v>家具产品</v>
      </c>
    </row>
    <row r="5460" spans="1:20">
      <c r="A5460" s="8">
        <f>DATE(2012,12,31)-514</f>
        <v>40760</v>
      </c>
      <c r="B5460" s="8">
        <f>DATE(2012,12,31)-514</f>
        <v>40760</v>
      </c>
      <c r="C5460" s="9" t="s">
        <v>1992</v>
      </c>
      <c r="D5460">
        <v>10021350820</v>
      </c>
      <c r="E5460" t="s">
        <v>47</v>
      </c>
      <c r="F5460" t="s">
        <v>91</v>
      </c>
      <c r="G5460" t="s">
        <v>92</v>
      </c>
      <c r="H5460" t="s">
        <v>2053</v>
      </c>
      <c r="I5460" t="s">
        <v>2054</v>
      </c>
      <c r="J5460" t="s">
        <v>52</v>
      </c>
      <c r="K5460" s="3">
        <v>100332181799</v>
      </c>
      <c r="L5460" s="10">
        <v>40760</v>
      </c>
      <c r="M5460">
        <v>79.04</v>
      </c>
      <c r="N5460" s="11">
        <v>22</v>
      </c>
      <c r="O5460" s="12">
        <v>3.28</v>
      </c>
      <c r="P5460" s="12">
        <v>5</v>
      </c>
      <c r="Q5460" s="13">
        <v>-77.93</v>
      </c>
      <c r="R5460" s="36" t="s">
        <v>906</v>
      </c>
      <c r="S5460" s="7">
        <f t="shared" si="472"/>
        <v>0</v>
      </c>
      <c r="T5460" s="15" t="str">
        <f>VLOOKUP(R5460,产品分类!$C$2:$D$1278,2,0)</f>
        <v>数码电子</v>
      </c>
    </row>
    <row r="5461" spans="1:20">
      <c r="A5461" s="8">
        <f>DATE(2012,12,31)-778</f>
        <v>40496</v>
      </c>
      <c r="B5461" s="8">
        <f>DATE(2012,12,31)-778</f>
        <v>40496</v>
      </c>
      <c r="C5461" s="9" t="s">
        <v>1196</v>
      </c>
      <c r="D5461">
        <v>10021502386</v>
      </c>
      <c r="E5461" t="s">
        <v>47</v>
      </c>
      <c r="F5461" t="s">
        <v>91</v>
      </c>
      <c r="G5461" t="s">
        <v>92</v>
      </c>
      <c r="H5461" t="s">
        <v>2053</v>
      </c>
      <c r="I5461" t="s">
        <v>2054</v>
      </c>
      <c r="J5461" t="s">
        <v>52</v>
      </c>
      <c r="K5461" s="3">
        <v>100428484473</v>
      </c>
      <c r="L5461" s="10">
        <v>40497</v>
      </c>
      <c r="M5461">
        <v>96.52</v>
      </c>
      <c r="N5461" s="11">
        <v>9</v>
      </c>
      <c r="O5461" s="12">
        <v>10.64</v>
      </c>
      <c r="P5461" s="12">
        <v>5.16</v>
      </c>
      <c r="Q5461" s="13">
        <v>16.78</v>
      </c>
      <c r="R5461" s="36" t="s">
        <v>644</v>
      </c>
      <c r="S5461" s="7">
        <f t="shared" si="472"/>
        <v>1</v>
      </c>
      <c r="T5461" s="15" t="str">
        <f>VLOOKUP(R5461,产品分类!$C$2:$D$1278,2,0)</f>
        <v>家具产品</v>
      </c>
    </row>
    <row r="5462" spans="1:20">
      <c r="A5462" s="8">
        <f>DATE(2012,12,31)-778</f>
        <v>40496</v>
      </c>
      <c r="B5462" s="8">
        <f>DATE(2012,12,31)-778</f>
        <v>40496</v>
      </c>
      <c r="C5462" s="9" t="s">
        <v>1196</v>
      </c>
      <c r="D5462">
        <v>10021532636</v>
      </c>
      <c r="E5462" t="s">
        <v>47</v>
      </c>
      <c r="F5462" t="s">
        <v>91</v>
      </c>
      <c r="G5462" t="s">
        <v>92</v>
      </c>
      <c r="H5462" t="s">
        <v>2053</v>
      </c>
      <c r="I5462" t="s">
        <v>2054</v>
      </c>
      <c r="J5462" t="s">
        <v>52</v>
      </c>
      <c r="K5462" s="3">
        <v>100431756503</v>
      </c>
      <c r="L5462" s="10">
        <v>40497</v>
      </c>
      <c r="M5462">
        <v>115.17</v>
      </c>
      <c r="N5462" s="11">
        <v>4</v>
      </c>
      <c r="O5462" s="12">
        <v>23.99</v>
      </c>
      <c r="P5462" s="12">
        <v>15.68</v>
      </c>
      <c r="Q5462" s="13">
        <v>40.93</v>
      </c>
      <c r="R5462" s="36" t="s">
        <v>2100</v>
      </c>
      <c r="S5462" s="7">
        <f t="shared" si="472"/>
        <v>1</v>
      </c>
      <c r="T5462" s="15" t="str">
        <f>VLOOKUP(R5462,产品分类!$C$2:$D$1278,2,0)</f>
        <v>家具产品</v>
      </c>
    </row>
    <row r="5463" spans="1:20">
      <c r="A5463" s="8">
        <f>DATE(2012,12,31)-1023</f>
        <v>40251</v>
      </c>
      <c r="B5463" s="8">
        <f>DATE(2012,12,31)-1023</f>
        <v>40251</v>
      </c>
      <c r="C5463" s="9" t="s">
        <v>1221</v>
      </c>
      <c r="D5463">
        <v>10021335297</v>
      </c>
      <c r="E5463" t="s">
        <v>47</v>
      </c>
      <c r="F5463" t="s">
        <v>91</v>
      </c>
      <c r="G5463" t="s">
        <v>92</v>
      </c>
      <c r="H5463" t="s">
        <v>2053</v>
      </c>
      <c r="I5463" t="s">
        <v>2054</v>
      </c>
      <c r="J5463" t="s">
        <v>52</v>
      </c>
      <c r="K5463" s="3">
        <v>100811048772</v>
      </c>
      <c r="L5463" s="10">
        <v>40258</v>
      </c>
      <c r="M5463">
        <v>1457.712</v>
      </c>
      <c r="N5463" s="11">
        <v>24</v>
      </c>
      <c r="O5463" s="12">
        <v>70.89</v>
      </c>
      <c r="P5463" s="12">
        <v>89.3</v>
      </c>
      <c r="Q5463" s="13">
        <v>-1565.89</v>
      </c>
      <c r="R5463" s="36" t="s">
        <v>70</v>
      </c>
      <c r="S5463" s="7">
        <f t="shared" si="472"/>
        <v>7</v>
      </c>
      <c r="T5463" s="15" t="str">
        <f>VLOOKUP(R5463,产品分类!$C$2:$D$1278,2,0)</f>
        <v>数码电子</v>
      </c>
    </row>
    <row r="5464" spans="1:20">
      <c r="A5464" s="8">
        <f>DATE(2012,12,31)-225</f>
        <v>41049</v>
      </c>
      <c r="B5464" s="8">
        <f>DATE(2012,12,31)-225</f>
        <v>41049</v>
      </c>
      <c r="C5464" s="9" t="s">
        <v>147</v>
      </c>
      <c r="D5464">
        <v>10021338106</v>
      </c>
      <c r="E5464" t="s">
        <v>47</v>
      </c>
      <c r="F5464" t="s">
        <v>55</v>
      </c>
      <c r="G5464" t="s">
        <v>56</v>
      </c>
      <c r="H5464" t="s">
        <v>2425</v>
      </c>
      <c r="I5464" t="s">
        <v>2426</v>
      </c>
      <c r="J5464" t="s">
        <v>52</v>
      </c>
      <c r="K5464" s="3">
        <v>100122669267</v>
      </c>
      <c r="L5464" s="10">
        <v>41050</v>
      </c>
      <c r="M5464">
        <v>9.7</v>
      </c>
      <c r="N5464" s="11">
        <v>1</v>
      </c>
      <c r="O5464" s="12">
        <v>4.98</v>
      </c>
      <c r="P5464" s="12">
        <v>4.62</v>
      </c>
      <c r="Q5464" s="13">
        <v>-18.03</v>
      </c>
      <c r="R5464" s="36" t="s">
        <v>146</v>
      </c>
      <c r="S5464" s="7">
        <f t="shared" si="472"/>
        <v>1</v>
      </c>
      <c r="T5464" s="15" t="str">
        <f>VLOOKUP(R5464,产品分类!$C$2:$D$1278,2,0)</f>
        <v>办公用品</v>
      </c>
    </row>
    <row r="5465" spans="1:20">
      <c r="A5465" s="16">
        <f>DATE(2012,12,31)-15</f>
        <v>41259</v>
      </c>
      <c r="B5465" s="16">
        <f>DATE(2012,12,31)-15</f>
        <v>41259</v>
      </c>
      <c r="C5465" s="9" t="s">
        <v>766</v>
      </c>
      <c r="D5465">
        <v>10021461745</v>
      </c>
      <c r="E5465" t="s">
        <v>47</v>
      </c>
      <c r="F5465" t="s">
        <v>55</v>
      </c>
      <c r="G5465" t="s">
        <v>56</v>
      </c>
      <c r="H5465" t="s">
        <v>2425</v>
      </c>
      <c r="I5465" t="s">
        <v>2426</v>
      </c>
      <c r="J5465" t="s">
        <v>52</v>
      </c>
      <c r="K5465" s="3">
        <v>100716599875</v>
      </c>
      <c r="L5465" s="10">
        <v>41260</v>
      </c>
      <c r="M5465">
        <v>259.52</v>
      </c>
      <c r="N5465" s="17">
        <v>6</v>
      </c>
      <c r="O5465" s="5">
        <v>43.41</v>
      </c>
      <c r="P5465" s="5">
        <v>2.99</v>
      </c>
      <c r="Q5465" s="6">
        <v>45.203</v>
      </c>
      <c r="R5465" s="37" t="s">
        <v>1007</v>
      </c>
      <c r="S5465" s="7">
        <f t="shared" si="472"/>
        <v>1</v>
      </c>
      <c r="T5465" s="15" t="str">
        <f>VLOOKUP(R5465,产品分类!$C$2:$D$1278,2,0)</f>
        <v>家具产品</v>
      </c>
    </row>
    <row r="5466" spans="1:20">
      <c r="A5466" s="8">
        <f>DATE(2012,12,31)-977</f>
        <v>40297</v>
      </c>
      <c r="B5466" s="8">
        <f>DATE(2012,12,31)-977</f>
        <v>40297</v>
      </c>
      <c r="C5466" s="9" t="s">
        <v>2369</v>
      </c>
      <c r="D5466">
        <v>10021253796</v>
      </c>
      <c r="E5466" t="s">
        <v>47</v>
      </c>
      <c r="F5466" t="s">
        <v>91</v>
      </c>
      <c r="G5466" t="s">
        <v>92</v>
      </c>
      <c r="H5466" t="s">
        <v>2053</v>
      </c>
      <c r="I5466" t="s">
        <v>2054</v>
      </c>
      <c r="J5466" t="s">
        <v>52</v>
      </c>
      <c r="K5466" s="3">
        <v>100920527761</v>
      </c>
      <c r="L5466" s="10">
        <v>40299</v>
      </c>
      <c r="M5466">
        <v>12570.74</v>
      </c>
      <c r="N5466" s="11">
        <v>34</v>
      </c>
      <c r="O5466" s="12">
        <v>348.21</v>
      </c>
      <c r="P5466" s="12">
        <v>40.19</v>
      </c>
      <c r="Q5466" s="13">
        <v>-4560.43</v>
      </c>
      <c r="R5466" s="36" t="s">
        <v>1195</v>
      </c>
      <c r="S5466" s="7">
        <f t="shared" si="472"/>
        <v>2</v>
      </c>
      <c r="T5466" s="15" t="str">
        <f>VLOOKUP(R5466,产品分类!$C$2:$D$1278,2,0)</f>
        <v>办公用品</v>
      </c>
    </row>
    <row r="5467" spans="1:20">
      <c r="A5467" s="8">
        <f>DATE(2012,12,31)-204</f>
        <v>41070</v>
      </c>
      <c r="B5467" s="8">
        <f>DATE(2012,12,31)-204</f>
        <v>41070</v>
      </c>
      <c r="C5467" s="9" t="s">
        <v>158</v>
      </c>
      <c r="D5467">
        <v>10021529159</v>
      </c>
      <c r="E5467" t="s">
        <v>47</v>
      </c>
      <c r="F5467" t="s">
        <v>83</v>
      </c>
      <c r="G5467" t="s">
        <v>84</v>
      </c>
      <c r="H5467" t="s">
        <v>2349</v>
      </c>
      <c r="I5467" t="s">
        <v>2350</v>
      </c>
      <c r="J5467" t="s">
        <v>52</v>
      </c>
      <c r="K5467" s="3">
        <v>100728976765</v>
      </c>
      <c r="L5467" s="10">
        <v>41071</v>
      </c>
      <c r="M5467">
        <v>8.49</v>
      </c>
      <c r="N5467" s="11">
        <v>1</v>
      </c>
      <c r="O5467" s="12">
        <v>3.74</v>
      </c>
      <c r="P5467" s="12">
        <v>4.69</v>
      </c>
      <c r="Q5467" s="13">
        <v>-5.7385</v>
      </c>
      <c r="R5467" s="36" t="s">
        <v>1981</v>
      </c>
      <c r="S5467" s="7">
        <f t="shared" si="472"/>
        <v>1</v>
      </c>
      <c r="T5467" s="15" t="str">
        <f>VLOOKUP(R5467,产品分类!$C$2:$D$1278,2,0)</f>
        <v>数码电子</v>
      </c>
    </row>
    <row r="5468" spans="1:20">
      <c r="A5468" s="8">
        <f>DATE(2012,12,31)-1156</f>
        <v>40118</v>
      </c>
      <c r="B5468" s="8">
        <f>DATE(2012,12,31)-1156</f>
        <v>40118</v>
      </c>
      <c r="C5468" s="9" t="s">
        <v>667</v>
      </c>
      <c r="D5468">
        <v>10021252125</v>
      </c>
      <c r="E5468" t="s">
        <v>47</v>
      </c>
      <c r="F5468" t="s">
        <v>122</v>
      </c>
      <c r="G5468" t="s">
        <v>123</v>
      </c>
      <c r="H5468" t="s">
        <v>2159</v>
      </c>
      <c r="I5468" t="s">
        <v>2160</v>
      </c>
      <c r="J5468" t="s">
        <v>52</v>
      </c>
      <c r="K5468" s="3">
        <v>10041825374</v>
      </c>
      <c r="L5468" s="10">
        <v>40120</v>
      </c>
      <c r="M5468">
        <v>152.31</v>
      </c>
      <c r="N5468" s="11">
        <v>25</v>
      </c>
      <c r="O5468" s="12">
        <v>5.98</v>
      </c>
      <c r="P5468" s="12">
        <v>1.49</v>
      </c>
      <c r="Q5468" s="13">
        <v>38.08</v>
      </c>
      <c r="R5468" s="36" t="s">
        <v>392</v>
      </c>
      <c r="S5468" s="7">
        <f t="shared" si="472"/>
        <v>2</v>
      </c>
      <c r="T5468" s="15" t="str">
        <f>VLOOKUP(R5468,产品分类!$C$2:$D$1278,2,0)</f>
        <v>办公用品</v>
      </c>
    </row>
    <row r="5469" spans="1:20">
      <c r="A5469" s="8">
        <f>DATE(2012,12,31)-283</f>
        <v>40991</v>
      </c>
      <c r="B5469" s="8">
        <f>DATE(2012,12,31)-283</f>
        <v>40991</v>
      </c>
      <c r="C5469" s="9" t="s">
        <v>1987</v>
      </c>
      <c r="D5469">
        <v>10021431794</v>
      </c>
      <c r="E5469" t="s">
        <v>47</v>
      </c>
      <c r="F5469" t="s">
        <v>122</v>
      </c>
      <c r="G5469" t="s">
        <v>123</v>
      </c>
      <c r="H5469" t="s">
        <v>2159</v>
      </c>
      <c r="I5469" t="s">
        <v>2160</v>
      </c>
      <c r="J5469" t="s">
        <v>52</v>
      </c>
      <c r="K5469" s="3">
        <v>100932261791</v>
      </c>
      <c r="L5469" s="10">
        <v>40995</v>
      </c>
      <c r="M5469">
        <v>728.025</v>
      </c>
      <c r="N5469" s="11">
        <v>13</v>
      </c>
      <c r="O5469" s="12">
        <v>65.99</v>
      </c>
      <c r="P5469" s="12">
        <v>2.5</v>
      </c>
      <c r="Q5469" s="13">
        <v>19.998</v>
      </c>
      <c r="R5469" s="36" t="s">
        <v>1303</v>
      </c>
      <c r="S5469" s="7">
        <f t="shared" si="472"/>
        <v>4</v>
      </c>
      <c r="T5469" s="15" t="str">
        <f>VLOOKUP(R5469,产品分类!$C$2:$D$1278,2,0)</f>
        <v>办公用品</v>
      </c>
    </row>
    <row r="5470" spans="1:20">
      <c r="A5470" s="8">
        <f>DATE(2012,12,31)-1113</f>
        <v>40161</v>
      </c>
      <c r="B5470" s="8">
        <f>DATE(2012,12,31)-1113</f>
        <v>40161</v>
      </c>
      <c r="C5470" s="9" t="s">
        <v>1518</v>
      </c>
      <c r="D5470">
        <v>10021574235</v>
      </c>
      <c r="E5470" t="s">
        <v>47</v>
      </c>
      <c r="F5470" t="s">
        <v>122</v>
      </c>
      <c r="G5470" t="s">
        <v>123</v>
      </c>
      <c r="H5470" t="s">
        <v>2159</v>
      </c>
      <c r="I5470" t="s">
        <v>2160</v>
      </c>
      <c r="J5470" t="s">
        <v>52</v>
      </c>
      <c r="K5470" s="3">
        <v>10071483725</v>
      </c>
      <c r="L5470" s="10">
        <v>40161</v>
      </c>
      <c r="M5470">
        <v>2169.49</v>
      </c>
      <c r="N5470" s="11">
        <v>40</v>
      </c>
      <c r="O5470" s="12">
        <v>55.48</v>
      </c>
      <c r="P5470" s="12">
        <v>4.85</v>
      </c>
      <c r="Q5470" s="13">
        <v>1043.43</v>
      </c>
      <c r="R5470" s="36" t="s">
        <v>2220</v>
      </c>
      <c r="S5470" s="7">
        <f t="shared" si="472"/>
        <v>0</v>
      </c>
      <c r="T5470" s="15" t="str">
        <f>VLOOKUP(R5470,产品分类!$C$2:$D$1278,2,0)</f>
        <v>办公用品</v>
      </c>
    </row>
    <row r="5471" spans="1:20">
      <c r="A5471" s="8">
        <f>DATE(2012,12,31)-1113</f>
        <v>40161</v>
      </c>
      <c r="B5471" s="8">
        <f>DATE(2012,12,31)-1113</f>
        <v>40161</v>
      </c>
      <c r="C5471" s="9" t="s">
        <v>1518</v>
      </c>
      <c r="D5471">
        <v>10021666298</v>
      </c>
      <c r="E5471" t="s">
        <v>47</v>
      </c>
      <c r="F5471" t="s">
        <v>122</v>
      </c>
      <c r="G5471" t="s">
        <v>123</v>
      </c>
      <c r="H5471" t="s">
        <v>2159</v>
      </c>
      <c r="I5471" t="s">
        <v>2160</v>
      </c>
      <c r="J5471" t="s">
        <v>52</v>
      </c>
      <c r="K5471" s="3">
        <v>10098441211</v>
      </c>
      <c r="L5471" s="10">
        <v>40162</v>
      </c>
      <c r="M5471">
        <v>4411.5</v>
      </c>
      <c r="N5471" s="11">
        <v>37</v>
      </c>
      <c r="O5471" s="12">
        <v>122.99</v>
      </c>
      <c r="P5471" s="12">
        <v>70.2</v>
      </c>
      <c r="Q5471" s="13">
        <v>-1799.35</v>
      </c>
      <c r="R5471" s="36" t="s">
        <v>860</v>
      </c>
      <c r="S5471" s="7">
        <f t="shared" si="472"/>
        <v>1</v>
      </c>
      <c r="T5471" s="15" t="str">
        <f>VLOOKUP(R5471,产品分类!$C$2:$D$1278,2,0)</f>
        <v>办公用品</v>
      </c>
    </row>
    <row r="5472" spans="1:20">
      <c r="A5472" s="8">
        <f>DATE(2012,12,31)-136</f>
        <v>41138</v>
      </c>
      <c r="B5472" s="8">
        <f>DATE(2012,12,31)-136</f>
        <v>41138</v>
      </c>
      <c r="C5472" s="9" t="s">
        <v>773</v>
      </c>
      <c r="D5472">
        <v>10021352058</v>
      </c>
      <c r="E5472" t="s">
        <v>47</v>
      </c>
      <c r="F5472" t="s">
        <v>91</v>
      </c>
      <c r="G5472" t="s">
        <v>92</v>
      </c>
      <c r="H5472" t="s">
        <v>2053</v>
      </c>
      <c r="I5472" t="s">
        <v>2054</v>
      </c>
      <c r="J5472" t="s">
        <v>52</v>
      </c>
      <c r="K5472" s="3">
        <v>100326705839</v>
      </c>
      <c r="L5472" s="10">
        <v>41139</v>
      </c>
      <c r="M5472">
        <v>256</v>
      </c>
      <c r="N5472" s="11">
        <v>47</v>
      </c>
      <c r="O5472" s="12">
        <v>5.28</v>
      </c>
      <c r="P5472" s="12">
        <v>5.66</v>
      </c>
      <c r="Q5472" s="13">
        <v>-119.84</v>
      </c>
      <c r="R5472" s="36" t="s">
        <v>2318</v>
      </c>
      <c r="S5472" s="7">
        <f t="shared" si="472"/>
        <v>1</v>
      </c>
      <c r="T5472" s="15" t="str">
        <f>VLOOKUP(R5472,产品分类!$C$2:$D$1278,2,0)</f>
        <v>家具产品</v>
      </c>
    </row>
    <row r="5473" spans="1:20">
      <c r="A5473" s="8">
        <f>DATE(2012,12,31)-136</f>
        <v>41138</v>
      </c>
      <c r="B5473" s="8">
        <f>DATE(2012,12,31)-136</f>
        <v>41138</v>
      </c>
      <c r="C5473" s="9" t="s">
        <v>773</v>
      </c>
      <c r="D5473">
        <v>10021251912</v>
      </c>
      <c r="E5473" t="s">
        <v>47</v>
      </c>
      <c r="F5473" t="s">
        <v>91</v>
      </c>
      <c r="G5473" t="s">
        <v>92</v>
      </c>
      <c r="H5473" t="s">
        <v>2053</v>
      </c>
      <c r="I5473" t="s">
        <v>2054</v>
      </c>
      <c r="J5473" t="s">
        <v>52</v>
      </c>
      <c r="K5473" s="3">
        <v>100914940201</v>
      </c>
      <c r="L5473" s="10">
        <v>41139</v>
      </c>
      <c r="M5473">
        <v>6067.76</v>
      </c>
      <c r="N5473" s="11">
        <v>20</v>
      </c>
      <c r="O5473" s="12">
        <v>296.18</v>
      </c>
      <c r="P5473" s="12">
        <v>54.12</v>
      </c>
      <c r="Q5473" s="13">
        <v>-98.046</v>
      </c>
      <c r="R5473" s="36" t="s">
        <v>372</v>
      </c>
      <c r="S5473" s="7">
        <f t="shared" si="472"/>
        <v>1</v>
      </c>
      <c r="T5473" s="15" t="str">
        <f>VLOOKUP(R5473,产品分类!$C$2:$D$1278,2,0)</f>
        <v>办公用品</v>
      </c>
    </row>
    <row r="5474" spans="1:20">
      <c r="A5474" s="8">
        <f>DATE(2012,12,31)-1242</f>
        <v>40032</v>
      </c>
      <c r="B5474" s="8">
        <f>DATE(2012,12,31)-1242</f>
        <v>40032</v>
      </c>
      <c r="C5474" s="9" t="s">
        <v>2203</v>
      </c>
      <c r="D5474">
        <v>10021670491</v>
      </c>
      <c r="E5474" t="s">
        <v>47</v>
      </c>
      <c r="F5474" t="s">
        <v>122</v>
      </c>
      <c r="G5474" t="s">
        <v>123</v>
      </c>
      <c r="H5474" t="s">
        <v>2159</v>
      </c>
      <c r="I5474" t="s">
        <v>2160</v>
      </c>
      <c r="J5474" t="s">
        <v>52</v>
      </c>
      <c r="K5474" s="3">
        <v>100430525654</v>
      </c>
      <c r="L5474" s="10">
        <v>40034</v>
      </c>
      <c r="M5474">
        <v>172.01</v>
      </c>
      <c r="N5474" s="11">
        <v>26</v>
      </c>
      <c r="O5474" s="12">
        <v>6.7</v>
      </c>
      <c r="P5474" s="12">
        <v>1.56</v>
      </c>
      <c r="Q5474" s="13">
        <v>27.47</v>
      </c>
      <c r="R5474" s="36" t="s">
        <v>1878</v>
      </c>
      <c r="S5474" s="7">
        <f t="shared" si="472"/>
        <v>2</v>
      </c>
      <c r="T5474" s="15" t="str">
        <f>VLOOKUP(R5474,产品分类!$C$2:$D$1278,2,0)</f>
        <v>办公用品</v>
      </c>
    </row>
    <row r="5475" spans="1:20">
      <c r="A5475" s="8">
        <f>DATE(2012,12,31)-1164</f>
        <v>40110</v>
      </c>
      <c r="B5475" s="8">
        <f>DATE(2012,12,31)-1164</f>
        <v>40110</v>
      </c>
      <c r="C5475" s="9" t="s">
        <v>1992</v>
      </c>
      <c r="D5475">
        <v>10021548534</v>
      </c>
      <c r="E5475" t="s">
        <v>47</v>
      </c>
      <c r="F5475" t="s">
        <v>91</v>
      </c>
      <c r="G5475" t="s">
        <v>92</v>
      </c>
      <c r="H5475" t="s">
        <v>2053</v>
      </c>
      <c r="I5475" t="s">
        <v>2054</v>
      </c>
      <c r="J5475" t="s">
        <v>52</v>
      </c>
      <c r="K5475" s="3">
        <v>100932684251</v>
      </c>
      <c r="L5475" s="10">
        <v>40111</v>
      </c>
      <c r="M5475">
        <v>378.9</v>
      </c>
      <c r="N5475" s="11">
        <v>25</v>
      </c>
      <c r="O5475" s="12">
        <v>14.45</v>
      </c>
      <c r="P5475" s="12">
        <v>7.17</v>
      </c>
      <c r="Q5475" s="13">
        <v>28.458</v>
      </c>
      <c r="R5475" s="36" t="s">
        <v>1317</v>
      </c>
      <c r="S5475" s="7">
        <f t="shared" si="472"/>
        <v>1</v>
      </c>
      <c r="T5475" s="15" t="str">
        <f>VLOOKUP(R5475,产品分类!$C$2:$D$1278,2,0)</f>
        <v>家具产品</v>
      </c>
    </row>
    <row r="5476" spans="1:20">
      <c r="A5476" s="8">
        <f>DATE(2012,12,31)-1164</f>
        <v>40110</v>
      </c>
      <c r="B5476" s="8">
        <f>DATE(2012,12,31)-1164</f>
        <v>40110</v>
      </c>
      <c r="C5476" s="9" t="s">
        <v>1992</v>
      </c>
      <c r="D5476">
        <v>10021499633</v>
      </c>
      <c r="E5476" t="s">
        <v>47</v>
      </c>
      <c r="F5476" t="s">
        <v>122</v>
      </c>
      <c r="G5476" t="s">
        <v>123</v>
      </c>
      <c r="H5476" t="s">
        <v>2159</v>
      </c>
      <c r="I5476" t="s">
        <v>2160</v>
      </c>
      <c r="J5476" t="s">
        <v>52</v>
      </c>
      <c r="K5476" s="3">
        <v>100424795094</v>
      </c>
      <c r="L5476" s="10">
        <v>40112</v>
      </c>
      <c r="M5476">
        <v>264.05</v>
      </c>
      <c r="N5476" s="11">
        <v>50</v>
      </c>
      <c r="O5476" s="12">
        <v>5.58</v>
      </c>
      <c r="P5476" s="12">
        <v>1.99</v>
      </c>
      <c r="Q5476" s="13">
        <v>25.05</v>
      </c>
      <c r="R5476" s="36" t="s">
        <v>572</v>
      </c>
      <c r="S5476" s="7">
        <f t="shared" si="472"/>
        <v>2</v>
      </c>
      <c r="T5476" s="15" t="str">
        <f>VLOOKUP(R5476,产品分类!$C$2:$D$1278,2,0)</f>
        <v>数码电子</v>
      </c>
    </row>
    <row r="5477" spans="1:20">
      <c r="A5477" s="8">
        <f>DATE(2012,12,31)-64</f>
        <v>41210</v>
      </c>
      <c r="B5477" s="8">
        <f>DATE(2012,12,31)-64</f>
        <v>41210</v>
      </c>
      <c r="C5477" s="9" t="s">
        <v>828</v>
      </c>
      <c r="D5477">
        <v>10021318550</v>
      </c>
      <c r="E5477" t="s">
        <v>47</v>
      </c>
      <c r="F5477" t="s">
        <v>91</v>
      </c>
      <c r="G5477" t="s">
        <v>92</v>
      </c>
      <c r="H5477" t="s">
        <v>2053</v>
      </c>
      <c r="I5477" t="s">
        <v>2054</v>
      </c>
      <c r="J5477" t="s">
        <v>52</v>
      </c>
      <c r="K5477" s="3">
        <v>10012302256</v>
      </c>
      <c r="L5477" s="10">
        <v>41212</v>
      </c>
      <c r="M5477">
        <v>6943.94</v>
      </c>
      <c r="N5477" s="11">
        <v>46</v>
      </c>
      <c r="O5477" s="12">
        <v>152.48</v>
      </c>
      <c r="P5477" s="12">
        <v>4</v>
      </c>
      <c r="Q5477" s="13">
        <v>608.9</v>
      </c>
      <c r="R5477" s="36" t="s">
        <v>505</v>
      </c>
      <c r="S5477" s="7">
        <f t="shared" si="472"/>
        <v>2</v>
      </c>
      <c r="T5477" s="15" t="str">
        <f>VLOOKUP(R5477,产品分类!$C$2:$D$1278,2,0)</f>
        <v>家具产品</v>
      </c>
    </row>
    <row r="5478" spans="1:20">
      <c r="A5478" s="8">
        <f>DATE(2012,12,31)-64</f>
        <v>41210</v>
      </c>
      <c r="B5478" s="8">
        <f>DATE(2012,12,31)-64</f>
        <v>41210</v>
      </c>
      <c r="C5478" s="9" t="s">
        <v>828</v>
      </c>
      <c r="D5478">
        <v>10021674781</v>
      </c>
      <c r="E5478" t="s">
        <v>47</v>
      </c>
      <c r="F5478" t="s">
        <v>91</v>
      </c>
      <c r="G5478" t="s">
        <v>92</v>
      </c>
      <c r="H5478" t="s">
        <v>2053</v>
      </c>
      <c r="I5478" t="s">
        <v>2054</v>
      </c>
      <c r="J5478" t="s">
        <v>52</v>
      </c>
      <c r="K5478" s="3">
        <v>100332181799</v>
      </c>
      <c r="L5478" s="10">
        <v>41217</v>
      </c>
      <c r="M5478">
        <v>1514.9635</v>
      </c>
      <c r="N5478" s="11">
        <v>26</v>
      </c>
      <c r="O5478" s="12">
        <v>65.99</v>
      </c>
      <c r="P5478" s="12">
        <v>4.99</v>
      </c>
      <c r="Q5478" s="13">
        <v>310.185</v>
      </c>
      <c r="R5478" s="36" t="s">
        <v>1800</v>
      </c>
      <c r="S5478" s="7">
        <f t="shared" si="472"/>
        <v>7</v>
      </c>
      <c r="T5478" s="15" t="str">
        <f>VLOOKUP(R5478,产品分类!$C$2:$D$1278,2,0)</f>
        <v>办公用品</v>
      </c>
    </row>
    <row r="5479" spans="1:20">
      <c r="A5479" s="8">
        <f>DATE(2012,12,31)-1212</f>
        <v>40062</v>
      </c>
      <c r="B5479" s="8">
        <f>DATE(2012,12,31)-1212</f>
        <v>40062</v>
      </c>
      <c r="C5479" s="9" t="s">
        <v>366</v>
      </c>
      <c r="D5479">
        <v>10021331081</v>
      </c>
      <c r="E5479" t="s">
        <v>47</v>
      </c>
      <c r="F5479" t="s">
        <v>91</v>
      </c>
      <c r="G5479" t="s">
        <v>92</v>
      </c>
      <c r="H5479" t="s">
        <v>2053</v>
      </c>
      <c r="I5479" t="s">
        <v>2054</v>
      </c>
      <c r="J5479" t="s">
        <v>52</v>
      </c>
      <c r="K5479" s="3">
        <v>1009734241</v>
      </c>
      <c r="L5479" s="10">
        <v>40062</v>
      </c>
      <c r="M5479">
        <v>230.29</v>
      </c>
      <c r="N5479" s="11">
        <v>7</v>
      </c>
      <c r="O5479" s="12">
        <v>31.74</v>
      </c>
      <c r="P5479" s="12">
        <v>12.62</v>
      </c>
      <c r="Q5479" s="13">
        <v>-4.30099999999999</v>
      </c>
      <c r="R5479" s="36" t="s">
        <v>1416</v>
      </c>
      <c r="S5479" s="7">
        <f t="shared" si="472"/>
        <v>0</v>
      </c>
      <c r="T5479" s="15" t="str">
        <f>VLOOKUP(R5479,产品分类!$C$2:$D$1278,2,0)</f>
        <v>数码电子</v>
      </c>
    </row>
    <row r="5480" spans="1:20">
      <c r="A5480" s="8">
        <f>DATE(2012,12,31)-215</f>
        <v>41059</v>
      </c>
      <c r="B5480" s="8">
        <f>DATE(2012,12,31)-215</f>
        <v>41059</v>
      </c>
      <c r="C5480" s="9" t="s">
        <v>2001</v>
      </c>
      <c r="D5480">
        <v>10021264848</v>
      </c>
      <c r="E5480" t="s">
        <v>47</v>
      </c>
      <c r="F5480" t="s">
        <v>55</v>
      </c>
      <c r="G5480" t="s">
        <v>56</v>
      </c>
      <c r="H5480" t="s">
        <v>2425</v>
      </c>
      <c r="I5480" t="s">
        <v>2426</v>
      </c>
      <c r="J5480" t="s">
        <v>52</v>
      </c>
      <c r="K5480" s="3">
        <v>100331231749</v>
      </c>
      <c r="L5480" s="10">
        <v>41060</v>
      </c>
      <c r="M5480">
        <v>447.12</v>
      </c>
      <c r="N5480" s="11">
        <v>43</v>
      </c>
      <c r="O5480" s="12">
        <v>10.64</v>
      </c>
      <c r="P5480" s="12">
        <v>5.16</v>
      </c>
      <c r="Q5480" s="13">
        <v>-14.27</v>
      </c>
      <c r="R5480" s="36" t="s">
        <v>644</v>
      </c>
      <c r="S5480" s="7">
        <f t="shared" si="472"/>
        <v>1</v>
      </c>
      <c r="T5480" s="15" t="str">
        <f>VLOOKUP(R5480,产品分类!$C$2:$D$1278,2,0)</f>
        <v>家具产品</v>
      </c>
    </row>
    <row r="5481" spans="1:20">
      <c r="A5481" s="16">
        <f>DATE(2012,12,31)-1201</f>
        <v>40073</v>
      </c>
      <c r="B5481" s="16">
        <f>DATE(2012,12,31)-1201</f>
        <v>40073</v>
      </c>
      <c r="C5481" s="9" t="s">
        <v>1780</v>
      </c>
      <c r="D5481">
        <v>10021424445</v>
      </c>
      <c r="E5481" t="s">
        <v>47</v>
      </c>
      <c r="F5481" t="s">
        <v>122</v>
      </c>
      <c r="G5481" t="s">
        <v>123</v>
      </c>
      <c r="H5481" t="s">
        <v>2159</v>
      </c>
      <c r="I5481" t="s">
        <v>2160</v>
      </c>
      <c r="J5481" t="s">
        <v>52</v>
      </c>
      <c r="K5481" s="3">
        <v>1001404228</v>
      </c>
      <c r="L5481" s="10">
        <v>40074</v>
      </c>
      <c r="M5481">
        <v>96.73</v>
      </c>
      <c r="N5481" s="17">
        <v>12</v>
      </c>
      <c r="O5481" s="5">
        <v>7.77</v>
      </c>
      <c r="P5481" s="5">
        <v>9.23</v>
      </c>
      <c r="Q5481" s="6">
        <v>-83.65</v>
      </c>
      <c r="R5481" s="37" t="s">
        <v>1440</v>
      </c>
      <c r="S5481" s="7">
        <f t="shared" si="472"/>
        <v>1</v>
      </c>
      <c r="T5481" s="15" t="str">
        <f>VLOOKUP(R5481,产品分类!$C$2:$D$1278,2,0)</f>
        <v>家具产品</v>
      </c>
    </row>
    <row r="5482" spans="1:20">
      <c r="A5482" s="8">
        <f>DATE(2012,12,31)-1201</f>
        <v>40073</v>
      </c>
      <c r="B5482" s="8">
        <f>DATE(2012,12,31)-1201</f>
        <v>40073</v>
      </c>
      <c r="C5482" s="9" t="s">
        <v>1780</v>
      </c>
      <c r="D5482">
        <v>10021279848</v>
      </c>
      <c r="E5482" t="s">
        <v>47</v>
      </c>
      <c r="F5482" t="s">
        <v>91</v>
      </c>
      <c r="G5482" t="s">
        <v>92</v>
      </c>
      <c r="H5482" t="s">
        <v>2053</v>
      </c>
      <c r="I5482" t="s">
        <v>2054</v>
      </c>
      <c r="J5482" t="s">
        <v>52</v>
      </c>
      <c r="K5482" s="3">
        <v>10077889035</v>
      </c>
      <c r="L5482" s="10">
        <v>40075</v>
      </c>
      <c r="M5482">
        <v>253.6</v>
      </c>
      <c r="N5482" s="11">
        <v>34</v>
      </c>
      <c r="O5482" s="12">
        <v>7.59</v>
      </c>
      <c r="P5482" s="12">
        <v>4</v>
      </c>
      <c r="Q5482" s="13">
        <v>24.39</v>
      </c>
      <c r="R5482" s="36" t="s">
        <v>996</v>
      </c>
      <c r="S5482" s="7">
        <f t="shared" si="472"/>
        <v>2</v>
      </c>
      <c r="T5482" s="15" t="str">
        <f>VLOOKUP(R5482,产品分类!$C$2:$D$1278,2,0)</f>
        <v>家具产品</v>
      </c>
    </row>
    <row r="5483" spans="1:20">
      <c r="A5483" s="8">
        <f>DATE(2012,12,31)-771</f>
        <v>40503</v>
      </c>
      <c r="B5483" s="8">
        <f>DATE(2012,12,31)-771</f>
        <v>40503</v>
      </c>
      <c r="C5483" s="9" t="s">
        <v>1439</v>
      </c>
      <c r="D5483">
        <v>10021337359</v>
      </c>
      <c r="E5483" t="s">
        <v>47</v>
      </c>
      <c r="F5483" t="s">
        <v>91</v>
      </c>
      <c r="G5483" t="s">
        <v>92</v>
      </c>
      <c r="H5483" t="s">
        <v>2053</v>
      </c>
      <c r="I5483" t="s">
        <v>2054</v>
      </c>
      <c r="J5483" t="s">
        <v>52</v>
      </c>
      <c r="K5483" s="3">
        <v>100721814455</v>
      </c>
      <c r="L5483" s="10">
        <v>40510</v>
      </c>
      <c r="M5483">
        <v>618.1965</v>
      </c>
      <c r="N5483" s="11">
        <v>11</v>
      </c>
      <c r="O5483" s="12">
        <v>65.99</v>
      </c>
      <c r="P5483" s="12">
        <v>8.8</v>
      </c>
      <c r="Q5483" s="13">
        <v>-132.528</v>
      </c>
      <c r="R5483" s="36" t="s">
        <v>2179</v>
      </c>
      <c r="S5483" s="7">
        <f t="shared" si="472"/>
        <v>7</v>
      </c>
      <c r="T5483" s="15" t="str">
        <f>VLOOKUP(R5483,产品分类!$C$2:$D$1278,2,0)</f>
        <v>家具产品</v>
      </c>
    </row>
    <row r="5484" spans="1:20">
      <c r="A5484" s="8">
        <f t="shared" ref="A5484:B5486" si="473">DATE(2012,12,31)-986</f>
        <v>40288</v>
      </c>
      <c r="B5484" s="8">
        <f t="shared" si="473"/>
        <v>40288</v>
      </c>
      <c r="C5484" s="9" t="s">
        <v>1198</v>
      </c>
      <c r="D5484">
        <v>10021351402</v>
      </c>
      <c r="E5484" t="s">
        <v>47</v>
      </c>
      <c r="F5484" t="s">
        <v>91</v>
      </c>
      <c r="G5484" t="s">
        <v>92</v>
      </c>
      <c r="H5484" t="s">
        <v>2053</v>
      </c>
      <c r="I5484" t="s">
        <v>2054</v>
      </c>
      <c r="J5484" t="s">
        <v>52</v>
      </c>
      <c r="K5484" s="3">
        <v>100832484982</v>
      </c>
      <c r="L5484" s="10">
        <v>40289</v>
      </c>
      <c r="M5484">
        <v>1873.349</v>
      </c>
      <c r="N5484" s="11">
        <v>17</v>
      </c>
      <c r="O5484" s="12">
        <v>125.99</v>
      </c>
      <c r="P5484" s="12">
        <v>8.08</v>
      </c>
      <c r="Q5484" s="13">
        <v>194.211</v>
      </c>
      <c r="R5484" s="36" t="s">
        <v>569</v>
      </c>
      <c r="S5484" s="7">
        <f t="shared" si="472"/>
        <v>1</v>
      </c>
      <c r="T5484" s="15" t="str">
        <f>VLOOKUP(R5484,产品分类!$C$2:$D$1278,2,0)</f>
        <v>家具产品</v>
      </c>
    </row>
    <row r="5485" spans="1:20">
      <c r="A5485" s="8">
        <f t="shared" si="473"/>
        <v>40288</v>
      </c>
      <c r="B5485" s="8">
        <f t="shared" si="473"/>
        <v>40288</v>
      </c>
      <c r="C5485" s="9" t="s">
        <v>1198</v>
      </c>
      <c r="D5485">
        <v>10021546931</v>
      </c>
      <c r="E5485" t="s">
        <v>47</v>
      </c>
      <c r="F5485" t="s">
        <v>132</v>
      </c>
      <c r="G5485" t="s">
        <v>133</v>
      </c>
      <c r="H5485" t="s">
        <v>134</v>
      </c>
      <c r="I5485" t="s">
        <v>133</v>
      </c>
      <c r="J5485" t="s">
        <v>52</v>
      </c>
      <c r="K5485" s="3">
        <v>100831354662</v>
      </c>
      <c r="L5485" s="10">
        <v>40289</v>
      </c>
      <c r="M5485">
        <v>24639.8</v>
      </c>
      <c r="N5485" s="11">
        <v>46</v>
      </c>
      <c r="O5485" s="12">
        <v>500.98</v>
      </c>
      <c r="P5485" s="12">
        <v>26</v>
      </c>
      <c r="Q5485" s="13">
        <v>8614.79</v>
      </c>
      <c r="R5485" s="36" t="s">
        <v>614</v>
      </c>
      <c r="S5485" s="7">
        <f t="shared" si="472"/>
        <v>1</v>
      </c>
      <c r="T5485" s="15" t="str">
        <f>VLOOKUP(R5485,产品分类!$C$2:$D$1278,2,0)</f>
        <v>办公用品</v>
      </c>
    </row>
    <row r="5486" spans="1:20">
      <c r="A5486" s="8">
        <f t="shared" si="473"/>
        <v>40288</v>
      </c>
      <c r="B5486" s="8">
        <f t="shared" si="473"/>
        <v>40288</v>
      </c>
      <c r="C5486" s="9" t="s">
        <v>1198</v>
      </c>
      <c r="D5486">
        <v>10021331928</v>
      </c>
      <c r="E5486" t="s">
        <v>47</v>
      </c>
      <c r="F5486" t="s">
        <v>97</v>
      </c>
      <c r="G5486" t="s">
        <v>98</v>
      </c>
      <c r="H5486" t="s">
        <v>99</v>
      </c>
      <c r="I5486" t="s">
        <v>98</v>
      </c>
      <c r="J5486" t="s">
        <v>52</v>
      </c>
      <c r="K5486" s="3">
        <v>10019416226</v>
      </c>
      <c r="L5486" s="10">
        <v>40290</v>
      </c>
      <c r="M5486">
        <v>921.3</v>
      </c>
      <c r="N5486" s="11">
        <v>32</v>
      </c>
      <c r="O5486" s="12">
        <v>29.14</v>
      </c>
      <c r="P5486" s="12">
        <v>4.86</v>
      </c>
      <c r="Q5486" s="13">
        <v>353.16</v>
      </c>
      <c r="R5486" s="36" t="s">
        <v>2147</v>
      </c>
      <c r="S5486" s="7">
        <f t="shared" si="472"/>
        <v>2</v>
      </c>
      <c r="T5486" s="15" t="str">
        <f>VLOOKUP(R5486,产品分类!$C$2:$D$1278,2,0)</f>
        <v>办公用品</v>
      </c>
    </row>
    <row r="5487" spans="1:20">
      <c r="A5487" s="8">
        <f>DATE(2012,12,31)-1128</f>
        <v>40146</v>
      </c>
      <c r="B5487" s="8">
        <f>DATE(2012,12,31)-1128</f>
        <v>40146</v>
      </c>
      <c r="C5487" s="9" t="s">
        <v>1946</v>
      </c>
      <c r="D5487">
        <v>10021576825</v>
      </c>
      <c r="E5487" t="s">
        <v>47</v>
      </c>
      <c r="F5487" t="s">
        <v>132</v>
      </c>
      <c r="G5487" t="s">
        <v>133</v>
      </c>
      <c r="H5487" t="s">
        <v>134</v>
      </c>
      <c r="I5487" t="s">
        <v>133</v>
      </c>
      <c r="J5487" t="s">
        <v>52</v>
      </c>
      <c r="K5487" s="3">
        <v>100416272183</v>
      </c>
      <c r="L5487" s="10">
        <v>40148</v>
      </c>
      <c r="M5487">
        <v>307.46</v>
      </c>
      <c r="N5487" s="11">
        <v>20</v>
      </c>
      <c r="O5487" s="12">
        <v>14.58</v>
      </c>
      <c r="P5487" s="12">
        <v>7.4</v>
      </c>
      <c r="Q5487" s="13">
        <v>4.91</v>
      </c>
      <c r="R5487" s="36" t="s">
        <v>379</v>
      </c>
      <c r="S5487" s="7">
        <f t="shared" si="472"/>
        <v>2</v>
      </c>
      <c r="T5487" s="15" t="str">
        <f>VLOOKUP(R5487,产品分类!$C$2:$D$1278,2,0)</f>
        <v>数码电子</v>
      </c>
    </row>
    <row r="5488" spans="1:20">
      <c r="A5488" s="8">
        <f>DATE(2012,12,31)-575</f>
        <v>40699</v>
      </c>
      <c r="B5488" s="8">
        <f>DATE(2012,12,31)-575</f>
        <v>40699</v>
      </c>
      <c r="C5488" s="9" t="s">
        <v>1480</v>
      </c>
      <c r="D5488">
        <v>10021280806</v>
      </c>
      <c r="E5488" t="s">
        <v>47</v>
      </c>
      <c r="F5488" t="s">
        <v>97</v>
      </c>
      <c r="G5488" t="s">
        <v>98</v>
      </c>
      <c r="H5488" t="s">
        <v>99</v>
      </c>
      <c r="I5488" t="s">
        <v>98</v>
      </c>
      <c r="J5488" t="s">
        <v>52</v>
      </c>
      <c r="K5488" s="3">
        <v>100116947436</v>
      </c>
      <c r="L5488" s="10">
        <v>40700</v>
      </c>
      <c r="M5488">
        <v>1394.28</v>
      </c>
      <c r="N5488" s="11">
        <v>9</v>
      </c>
      <c r="O5488" s="12">
        <v>155.06</v>
      </c>
      <c r="P5488" s="12">
        <v>7.07</v>
      </c>
      <c r="Q5488" s="13">
        <v>197.16</v>
      </c>
      <c r="R5488" s="36" t="s">
        <v>1160</v>
      </c>
      <c r="S5488" s="7">
        <f t="shared" si="472"/>
        <v>1</v>
      </c>
      <c r="T5488" s="15" t="str">
        <f>VLOOKUP(R5488,产品分类!$C$2:$D$1278,2,0)</f>
        <v>数码电子</v>
      </c>
    </row>
    <row r="5489" spans="1:20">
      <c r="A5489" s="8">
        <f>DATE(2012,12,31)-575</f>
        <v>40699</v>
      </c>
      <c r="B5489" s="8">
        <f>DATE(2012,12,31)-575</f>
        <v>40699</v>
      </c>
      <c r="C5489" s="9" t="s">
        <v>1480</v>
      </c>
      <c r="D5489">
        <v>10021493860</v>
      </c>
      <c r="E5489" t="s">
        <v>47</v>
      </c>
      <c r="F5489" t="s">
        <v>97</v>
      </c>
      <c r="G5489" t="s">
        <v>98</v>
      </c>
      <c r="H5489" t="s">
        <v>99</v>
      </c>
      <c r="I5489" t="s">
        <v>98</v>
      </c>
      <c r="J5489" t="s">
        <v>52</v>
      </c>
      <c r="K5489" s="3">
        <v>10088913982</v>
      </c>
      <c r="L5489" s="10">
        <v>40700</v>
      </c>
      <c r="M5489">
        <v>6862.237</v>
      </c>
      <c r="N5489" s="11">
        <v>44</v>
      </c>
      <c r="O5489" s="12">
        <v>179.99</v>
      </c>
      <c r="P5489" s="12">
        <v>13.99</v>
      </c>
      <c r="Q5489" s="13">
        <v>1839.204</v>
      </c>
      <c r="R5489" s="36" t="s">
        <v>220</v>
      </c>
      <c r="S5489" s="7">
        <f t="shared" si="472"/>
        <v>1</v>
      </c>
      <c r="T5489" s="15" t="str">
        <f>VLOOKUP(R5489,产品分类!$C$2:$D$1278,2,0)</f>
        <v>办公用品</v>
      </c>
    </row>
    <row r="5490" spans="1:20">
      <c r="A5490" s="16">
        <f t="shared" ref="A5490:B5492" si="474">DATE(2012,12,31)-548</f>
        <v>40726</v>
      </c>
      <c r="B5490" s="16">
        <f t="shared" si="474"/>
        <v>40726</v>
      </c>
      <c r="C5490" s="9" t="s">
        <v>766</v>
      </c>
      <c r="D5490">
        <v>10021620172</v>
      </c>
      <c r="E5490" t="s">
        <v>47</v>
      </c>
      <c r="F5490" t="s">
        <v>132</v>
      </c>
      <c r="G5490" t="s">
        <v>133</v>
      </c>
      <c r="H5490" t="s">
        <v>134</v>
      </c>
      <c r="I5490" t="s">
        <v>133</v>
      </c>
      <c r="J5490" t="s">
        <v>52</v>
      </c>
      <c r="K5490" s="3">
        <v>10095127501</v>
      </c>
      <c r="L5490" s="10">
        <v>40727</v>
      </c>
      <c r="M5490">
        <v>109.23</v>
      </c>
      <c r="N5490" s="17">
        <v>24</v>
      </c>
      <c r="O5490" s="5">
        <v>4.38</v>
      </c>
      <c r="P5490" s="5">
        <v>6.21</v>
      </c>
      <c r="Q5490" s="6">
        <v>-100.579</v>
      </c>
      <c r="R5490" s="37" t="s">
        <v>2448</v>
      </c>
      <c r="S5490" s="7">
        <f t="shared" si="472"/>
        <v>1</v>
      </c>
      <c r="T5490" s="15" t="str">
        <f>VLOOKUP(R5490,产品分类!$C$2:$D$1278,2,0)</f>
        <v>家具产品</v>
      </c>
    </row>
    <row r="5491" spans="1:20">
      <c r="A5491" s="16">
        <f t="shared" si="474"/>
        <v>40726</v>
      </c>
      <c r="B5491" s="16">
        <f t="shared" si="474"/>
        <v>40726</v>
      </c>
      <c r="C5491" s="9" t="s">
        <v>766</v>
      </c>
      <c r="D5491">
        <v>10021417985</v>
      </c>
      <c r="E5491" t="s">
        <v>47</v>
      </c>
      <c r="F5491" t="s">
        <v>97</v>
      </c>
      <c r="G5491" t="s">
        <v>98</v>
      </c>
      <c r="H5491" t="s">
        <v>99</v>
      </c>
      <c r="I5491" t="s">
        <v>98</v>
      </c>
      <c r="J5491" t="s">
        <v>52</v>
      </c>
      <c r="K5491" s="3">
        <v>100918615361</v>
      </c>
      <c r="L5491" s="10">
        <v>40727</v>
      </c>
      <c r="M5491">
        <v>74</v>
      </c>
      <c r="N5491" s="17">
        <v>39</v>
      </c>
      <c r="O5491" s="5">
        <v>1.89</v>
      </c>
      <c r="P5491" s="5">
        <v>0.76</v>
      </c>
      <c r="Q5491" s="6">
        <v>-20.6</v>
      </c>
      <c r="R5491" s="37" t="s">
        <v>1477</v>
      </c>
      <c r="S5491" s="7">
        <f t="shared" si="472"/>
        <v>1</v>
      </c>
      <c r="T5491" s="15" t="str">
        <f>VLOOKUP(R5491,产品分类!$C$2:$D$1278,2,0)</f>
        <v>办公用品</v>
      </c>
    </row>
    <row r="5492" spans="1:20">
      <c r="A5492" s="16">
        <f t="shared" si="474"/>
        <v>40726</v>
      </c>
      <c r="B5492" s="16">
        <f t="shared" si="474"/>
        <v>40726</v>
      </c>
      <c r="C5492" s="9" t="s">
        <v>766</v>
      </c>
      <c r="D5492">
        <v>10021267513</v>
      </c>
      <c r="E5492" t="s">
        <v>47</v>
      </c>
      <c r="F5492" t="s">
        <v>97</v>
      </c>
      <c r="G5492" t="s">
        <v>98</v>
      </c>
      <c r="H5492" t="s">
        <v>99</v>
      </c>
      <c r="I5492" t="s">
        <v>98</v>
      </c>
      <c r="J5492" t="s">
        <v>52</v>
      </c>
      <c r="K5492" s="3">
        <v>100432097054</v>
      </c>
      <c r="L5492" s="10">
        <v>40729</v>
      </c>
      <c r="M5492">
        <v>288.45</v>
      </c>
      <c r="N5492" s="17">
        <v>30</v>
      </c>
      <c r="O5492" s="5">
        <v>9.31</v>
      </c>
      <c r="P5492" s="5">
        <v>3.98</v>
      </c>
      <c r="Q5492" s="6">
        <v>-5.98</v>
      </c>
      <c r="R5492" s="37" t="s">
        <v>314</v>
      </c>
      <c r="S5492" s="7">
        <f t="shared" si="472"/>
        <v>3</v>
      </c>
      <c r="T5492" s="15" t="str">
        <f>VLOOKUP(R5492,产品分类!$C$2:$D$1278,2,0)</f>
        <v>家具产品</v>
      </c>
    </row>
    <row r="5493" spans="1:20">
      <c r="A5493" s="16">
        <f>DATE(2012,12,31)-737</f>
        <v>40537</v>
      </c>
      <c r="B5493" s="16">
        <f>DATE(2012,12,31)-737</f>
        <v>40537</v>
      </c>
      <c r="C5493" s="9" t="s">
        <v>592</v>
      </c>
      <c r="D5493">
        <v>10021579457</v>
      </c>
      <c r="E5493" t="s">
        <v>47</v>
      </c>
      <c r="F5493" t="s">
        <v>132</v>
      </c>
      <c r="G5493" t="s">
        <v>133</v>
      </c>
      <c r="H5493" t="s">
        <v>134</v>
      </c>
      <c r="I5493" t="s">
        <v>133</v>
      </c>
      <c r="J5493" t="s">
        <v>52</v>
      </c>
      <c r="K5493" s="3">
        <v>100820324252</v>
      </c>
      <c r="L5493" s="10">
        <v>40539</v>
      </c>
      <c r="M5493">
        <v>944.76</v>
      </c>
      <c r="N5493" s="17">
        <v>46</v>
      </c>
      <c r="O5493" s="5">
        <v>19.98</v>
      </c>
      <c r="P5493" s="5">
        <v>8.68</v>
      </c>
      <c r="Q5493" s="6">
        <v>165.46</v>
      </c>
      <c r="R5493" s="37" t="s">
        <v>1340</v>
      </c>
      <c r="S5493" s="7">
        <f t="shared" si="472"/>
        <v>2</v>
      </c>
      <c r="T5493" s="15" t="str">
        <f>VLOOKUP(R5493,产品分类!$C$2:$D$1278,2,0)</f>
        <v>办公用品</v>
      </c>
    </row>
    <row r="5494" spans="1:20">
      <c r="A5494" s="8">
        <f>DATE(2012,12,31)-737</f>
        <v>40537</v>
      </c>
      <c r="B5494" s="8">
        <f>DATE(2012,12,31)-737</f>
        <v>40537</v>
      </c>
      <c r="C5494" s="9" t="s">
        <v>592</v>
      </c>
      <c r="D5494">
        <v>10021251786</v>
      </c>
      <c r="E5494" t="s">
        <v>47</v>
      </c>
      <c r="F5494" t="s">
        <v>102</v>
      </c>
      <c r="G5494" t="s">
        <v>103</v>
      </c>
      <c r="H5494" t="s">
        <v>2400</v>
      </c>
      <c r="I5494" t="s">
        <v>2401</v>
      </c>
      <c r="J5494" t="s">
        <v>52</v>
      </c>
      <c r="K5494" s="3">
        <v>100914491561</v>
      </c>
      <c r="L5494" s="10">
        <v>40538</v>
      </c>
      <c r="M5494">
        <v>6813.93</v>
      </c>
      <c r="N5494" s="11">
        <v>16</v>
      </c>
      <c r="O5494" s="12">
        <v>449.99</v>
      </c>
      <c r="P5494" s="12">
        <v>49</v>
      </c>
      <c r="Q5494" s="13">
        <v>358.19</v>
      </c>
      <c r="R5494" s="36" t="s">
        <v>545</v>
      </c>
      <c r="S5494" s="7">
        <f t="shared" si="472"/>
        <v>1</v>
      </c>
      <c r="T5494" s="15" t="str">
        <f>VLOOKUP(R5494,产品分类!$C$2:$D$1278,2,0)</f>
        <v>办公用品</v>
      </c>
    </row>
    <row r="5495" spans="1:20">
      <c r="A5495" s="8">
        <f>DATE(2012,12,31)-1246</f>
        <v>40028</v>
      </c>
      <c r="B5495" s="8">
        <f>DATE(2012,12,31)-1246</f>
        <v>40028</v>
      </c>
      <c r="C5495" s="9" t="s">
        <v>2296</v>
      </c>
      <c r="D5495">
        <v>10021576238</v>
      </c>
      <c r="E5495" t="s">
        <v>47</v>
      </c>
      <c r="F5495" t="s">
        <v>208</v>
      </c>
      <c r="G5495" t="s">
        <v>209</v>
      </c>
      <c r="H5495" t="s">
        <v>2300</v>
      </c>
      <c r="I5495" t="s">
        <v>2301</v>
      </c>
      <c r="J5495" t="s">
        <v>52</v>
      </c>
      <c r="K5495" s="3">
        <v>10076430665</v>
      </c>
      <c r="L5495" s="10">
        <v>40030</v>
      </c>
      <c r="M5495">
        <v>4547.26</v>
      </c>
      <c r="N5495" s="11">
        <v>24</v>
      </c>
      <c r="O5495" s="12">
        <v>180.98</v>
      </c>
      <c r="P5495" s="12">
        <v>30</v>
      </c>
      <c r="Q5495" s="13">
        <v>468.27</v>
      </c>
      <c r="R5495" s="36" t="s">
        <v>1627</v>
      </c>
      <c r="S5495" s="7">
        <f t="shared" si="472"/>
        <v>2</v>
      </c>
      <c r="T5495" s="15" t="str">
        <f>VLOOKUP(R5495,产品分类!$C$2:$D$1278,2,0)</f>
        <v>办公用品</v>
      </c>
    </row>
    <row r="5496" spans="1:20">
      <c r="A5496" s="8">
        <f t="shared" ref="A5496:B5498" si="475">DATE(2012,12,31)-1039</f>
        <v>40235</v>
      </c>
      <c r="B5496" s="8">
        <f t="shared" si="475"/>
        <v>40235</v>
      </c>
      <c r="C5496" s="9" t="s">
        <v>1290</v>
      </c>
      <c r="D5496">
        <v>10021429853</v>
      </c>
      <c r="E5496" t="s">
        <v>47</v>
      </c>
      <c r="F5496" t="s">
        <v>304</v>
      </c>
      <c r="G5496" t="s">
        <v>305</v>
      </c>
      <c r="H5496" t="s">
        <v>2383</v>
      </c>
      <c r="I5496" t="s">
        <v>2384</v>
      </c>
      <c r="J5496" t="s">
        <v>52</v>
      </c>
      <c r="K5496" s="3">
        <v>100331680219</v>
      </c>
      <c r="L5496" s="10">
        <v>40235</v>
      </c>
      <c r="M5496">
        <v>3355.1</v>
      </c>
      <c r="N5496" s="11">
        <v>48</v>
      </c>
      <c r="O5496" s="12">
        <v>70.98</v>
      </c>
      <c r="P5496" s="12">
        <v>59.81</v>
      </c>
      <c r="Q5496" s="13">
        <v>-1701.96</v>
      </c>
      <c r="R5496" s="36" t="s">
        <v>2449</v>
      </c>
      <c r="S5496" s="7">
        <f t="shared" si="472"/>
        <v>0</v>
      </c>
      <c r="T5496" s="15" t="str">
        <f>VLOOKUP(R5496,产品分类!$C$2:$D$1278,2,0)</f>
        <v>办公用品</v>
      </c>
    </row>
    <row r="5497" spans="1:20">
      <c r="A5497" s="8">
        <f t="shared" si="475"/>
        <v>40235</v>
      </c>
      <c r="B5497" s="8">
        <f t="shared" si="475"/>
        <v>40235</v>
      </c>
      <c r="C5497" s="9" t="s">
        <v>1290</v>
      </c>
      <c r="D5497">
        <v>10021263929</v>
      </c>
      <c r="E5497" t="s">
        <v>47</v>
      </c>
      <c r="F5497" t="s">
        <v>102</v>
      </c>
      <c r="G5497" t="s">
        <v>103</v>
      </c>
      <c r="H5497" t="s">
        <v>2400</v>
      </c>
      <c r="I5497" t="s">
        <v>2401</v>
      </c>
      <c r="J5497" t="s">
        <v>52</v>
      </c>
      <c r="K5497" s="3">
        <v>100330862209</v>
      </c>
      <c r="L5497" s="10">
        <v>40240</v>
      </c>
      <c r="M5497">
        <v>2864.55</v>
      </c>
      <c r="N5497" s="11">
        <v>34</v>
      </c>
      <c r="O5497" s="12">
        <v>82.99</v>
      </c>
      <c r="P5497" s="12">
        <v>5.5</v>
      </c>
      <c r="Q5497" s="13">
        <v>1021.07</v>
      </c>
      <c r="R5497" s="36" t="s">
        <v>1148</v>
      </c>
      <c r="S5497" s="7">
        <f t="shared" si="472"/>
        <v>5</v>
      </c>
      <c r="T5497" s="15" t="str">
        <f>VLOOKUP(R5497,产品分类!$C$2:$D$1278,2,0)</f>
        <v>家具产品</v>
      </c>
    </row>
    <row r="5498" spans="1:20">
      <c r="A5498" s="8">
        <f t="shared" si="475"/>
        <v>40235</v>
      </c>
      <c r="B5498" s="8">
        <f t="shared" si="475"/>
        <v>40235</v>
      </c>
      <c r="C5498" s="9" t="s">
        <v>1290</v>
      </c>
      <c r="D5498">
        <v>10021594075</v>
      </c>
      <c r="E5498" t="s">
        <v>47</v>
      </c>
      <c r="F5498" t="s">
        <v>102</v>
      </c>
      <c r="G5498" t="s">
        <v>103</v>
      </c>
      <c r="H5498" t="s">
        <v>2400</v>
      </c>
      <c r="I5498" t="s">
        <v>2401</v>
      </c>
      <c r="J5498" t="s">
        <v>52</v>
      </c>
      <c r="K5498" s="3">
        <v>100732465505</v>
      </c>
      <c r="L5498" s="10">
        <v>40240</v>
      </c>
      <c r="M5498">
        <v>65.61</v>
      </c>
      <c r="N5498" s="11">
        <v>31</v>
      </c>
      <c r="O5498" s="12">
        <v>1.95</v>
      </c>
      <c r="P5498" s="12">
        <v>1.63</v>
      </c>
      <c r="Q5498" s="13">
        <v>-16.63</v>
      </c>
      <c r="R5498" s="36" t="s">
        <v>1232</v>
      </c>
      <c r="S5498" s="7">
        <f t="shared" si="472"/>
        <v>5</v>
      </c>
      <c r="T5498" s="15" t="str">
        <f>VLOOKUP(R5498,产品分类!$C$2:$D$1278,2,0)</f>
        <v>办公用品</v>
      </c>
    </row>
    <row r="5499" spans="1:20">
      <c r="A5499" s="8">
        <f>DATE(2012,12,31)-1263</f>
        <v>40011</v>
      </c>
      <c r="B5499" s="8">
        <f>DATE(2012,12,31)-1263</f>
        <v>40011</v>
      </c>
      <c r="C5499" s="9" t="s">
        <v>808</v>
      </c>
      <c r="D5499">
        <v>10021678716</v>
      </c>
      <c r="E5499" t="s">
        <v>47</v>
      </c>
      <c r="F5499" t="s">
        <v>102</v>
      </c>
      <c r="G5499" t="s">
        <v>103</v>
      </c>
      <c r="H5499" t="s">
        <v>2400</v>
      </c>
      <c r="I5499" t="s">
        <v>2401</v>
      </c>
      <c r="J5499" t="s">
        <v>52</v>
      </c>
      <c r="K5499" s="3">
        <v>100432949274</v>
      </c>
      <c r="L5499" s="10">
        <v>40012</v>
      </c>
      <c r="M5499">
        <v>1114.42</v>
      </c>
      <c r="N5499" s="11">
        <v>43</v>
      </c>
      <c r="O5499" s="12">
        <v>28.48</v>
      </c>
      <c r="P5499" s="12">
        <v>1.99</v>
      </c>
      <c r="Q5499" s="13">
        <v>425.07</v>
      </c>
      <c r="R5499" s="36" t="s">
        <v>409</v>
      </c>
      <c r="S5499" s="7">
        <f t="shared" si="472"/>
        <v>1</v>
      </c>
      <c r="T5499" s="15" t="str">
        <f>VLOOKUP(R5499,产品分类!$C$2:$D$1278,2,0)</f>
        <v>办公用品</v>
      </c>
    </row>
    <row r="5500" spans="1:20">
      <c r="A5500" s="8">
        <f>DATE(2012,12,31)-613</f>
        <v>40661</v>
      </c>
      <c r="B5500" s="8">
        <f>DATE(2012,12,31)-613</f>
        <v>40661</v>
      </c>
      <c r="C5500" s="9" t="s">
        <v>1127</v>
      </c>
      <c r="D5500">
        <v>10021626602</v>
      </c>
      <c r="E5500" t="s">
        <v>47</v>
      </c>
      <c r="F5500" t="s">
        <v>122</v>
      </c>
      <c r="G5500" t="s">
        <v>123</v>
      </c>
      <c r="H5500" t="s">
        <v>2159</v>
      </c>
      <c r="I5500" t="s">
        <v>2160</v>
      </c>
      <c r="J5500" t="s">
        <v>52</v>
      </c>
      <c r="K5500" s="3">
        <v>10036074869</v>
      </c>
      <c r="L5500" s="10">
        <v>40663</v>
      </c>
      <c r="M5500">
        <v>3582.79</v>
      </c>
      <c r="N5500" s="11">
        <v>28</v>
      </c>
      <c r="O5500" s="12">
        <v>122.99</v>
      </c>
      <c r="P5500" s="12">
        <v>70.2</v>
      </c>
      <c r="Q5500" s="13">
        <v>-1177.14</v>
      </c>
      <c r="R5500" s="36" t="s">
        <v>860</v>
      </c>
      <c r="S5500" s="7">
        <f t="shared" si="472"/>
        <v>2</v>
      </c>
      <c r="T5500" s="15" t="str">
        <f>VLOOKUP(R5500,产品分类!$C$2:$D$1278,2,0)</f>
        <v>办公用品</v>
      </c>
    </row>
    <row r="5501" spans="1:20">
      <c r="A5501" s="8">
        <f>DATE(2012,12,31)-1121</f>
        <v>40153</v>
      </c>
      <c r="B5501" s="8">
        <f>DATE(2012,12,31)-1121</f>
        <v>40153</v>
      </c>
      <c r="C5501" s="9" t="s">
        <v>743</v>
      </c>
      <c r="D5501">
        <v>10021302833</v>
      </c>
      <c r="E5501" t="s">
        <v>47</v>
      </c>
      <c r="F5501" t="s">
        <v>171</v>
      </c>
      <c r="G5501" t="s">
        <v>172</v>
      </c>
      <c r="H5501" t="s">
        <v>2352</v>
      </c>
      <c r="I5501" t="s">
        <v>2353</v>
      </c>
      <c r="J5501" t="s">
        <v>52</v>
      </c>
      <c r="K5501" s="3">
        <v>100131265508</v>
      </c>
      <c r="L5501" s="10">
        <v>40153</v>
      </c>
      <c r="M5501">
        <v>5236.14</v>
      </c>
      <c r="N5501" s="11">
        <v>13</v>
      </c>
      <c r="O5501" s="12">
        <v>399.98</v>
      </c>
      <c r="P5501" s="12">
        <v>12.06</v>
      </c>
      <c r="Q5501" s="13">
        <v>567.59</v>
      </c>
      <c r="R5501" s="36" t="s">
        <v>595</v>
      </c>
      <c r="S5501" s="7">
        <f t="shared" si="472"/>
        <v>0</v>
      </c>
      <c r="T5501" s="15" t="str">
        <f>VLOOKUP(R5501,产品分类!$C$2:$D$1278,2,0)</f>
        <v>办公用品</v>
      </c>
    </row>
    <row r="5502" spans="1:20">
      <c r="A5502" s="8">
        <f>DATE(2012,12,31)-1121</f>
        <v>40153</v>
      </c>
      <c r="B5502" s="8">
        <f>DATE(2012,12,31)-1121</f>
        <v>40153</v>
      </c>
      <c r="C5502" s="9" t="s">
        <v>743</v>
      </c>
      <c r="D5502">
        <v>10021498181</v>
      </c>
      <c r="E5502" t="s">
        <v>47</v>
      </c>
      <c r="F5502" t="s">
        <v>171</v>
      </c>
      <c r="G5502" t="s">
        <v>172</v>
      </c>
      <c r="H5502" t="s">
        <v>2352</v>
      </c>
      <c r="I5502" t="s">
        <v>2353</v>
      </c>
      <c r="J5502" t="s">
        <v>52</v>
      </c>
      <c r="K5502" s="3">
        <v>10086254102</v>
      </c>
      <c r="L5502" s="10">
        <v>40153</v>
      </c>
      <c r="M5502">
        <v>74.02</v>
      </c>
      <c r="N5502" s="11">
        <v>11</v>
      </c>
      <c r="O5502" s="12">
        <v>6.48</v>
      </c>
      <c r="P5502" s="12">
        <v>5.74</v>
      </c>
      <c r="Q5502" s="13">
        <v>-28.45</v>
      </c>
      <c r="R5502" s="36" t="s">
        <v>1644</v>
      </c>
      <c r="S5502" s="7">
        <f t="shared" si="472"/>
        <v>0</v>
      </c>
      <c r="T5502" s="15" t="str">
        <f>VLOOKUP(R5502,产品分类!$C$2:$D$1278,2,0)</f>
        <v>数码电子</v>
      </c>
    </row>
    <row r="5503" spans="1:20">
      <c r="A5503" s="8">
        <f>DATE(2012,12,31)-1320</f>
        <v>39954</v>
      </c>
      <c r="B5503" s="8">
        <f>DATE(2012,12,31)-1320</f>
        <v>39954</v>
      </c>
      <c r="C5503" s="9" t="s">
        <v>1246</v>
      </c>
      <c r="D5503">
        <v>10021529273</v>
      </c>
      <c r="E5503" t="s">
        <v>47</v>
      </c>
      <c r="F5503" t="s">
        <v>171</v>
      </c>
      <c r="G5503" t="s">
        <v>172</v>
      </c>
      <c r="H5503" t="s">
        <v>2352</v>
      </c>
      <c r="I5503" t="s">
        <v>2353</v>
      </c>
      <c r="J5503" t="s">
        <v>52</v>
      </c>
      <c r="K5503" s="3">
        <v>100110537806</v>
      </c>
      <c r="L5503" s="10">
        <v>39955</v>
      </c>
      <c r="M5503">
        <v>1204.5095</v>
      </c>
      <c r="N5503" s="11">
        <v>26</v>
      </c>
      <c r="O5503" s="12">
        <v>55.99</v>
      </c>
      <c r="P5503" s="12">
        <v>5</v>
      </c>
      <c r="Q5503" s="13">
        <v>-221.254</v>
      </c>
      <c r="R5503" s="36" t="s">
        <v>1453</v>
      </c>
      <c r="S5503" s="7">
        <f t="shared" si="472"/>
        <v>1</v>
      </c>
      <c r="T5503" s="15" t="str">
        <f>VLOOKUP(R5503,产品分类!$C$2:$D$1278,2,0)</f>
        <v>办公用品</v>
      </c>
    </row>
    <row r="5504" spans="1:20">
      <c r="A5504" s="16">
        <f>DATE(2012,12,31)-1320</f>
        <v>39954</v>
      </c>
      <c r="B5504" s="16">
        <f>DATE(2012,12,31)-1320</f>
        <v>39954</v>
      </c>
      <c r="C5504" s="9" t="s">
        <v>1246</v>
      </c>
      <c r="D5504">
        <v>10021431542</v>
      </c>
      <c r="E5504" t="s">
        <v>47</v>
      </c>
      <c r="F5504" t="s">
        <v>171</v>
      </c>
      <c r="G5504" t="s">
        <v>172</v>
      </c>
      <c r="H5504" t="s">
        <v>2352</v>
      </c>
      <c r="I5504" t="s">
        <v>2353</v>
      </c>
      <c r="J5504" t="s">
        <v>52</v>
      </c>
      <c r="K5504" s="3">
        <v>100432240414</v>
      </c>
      <c r="L5504" s="10">
        <v>39955</v>
      </c>
      <c r="M5504">
        <v>19.36</v>
      </c>
      <c r="N5504" s="17">
        <v>7</v>
      </c>
      <c r="O5504" s="5">
        <v>1.98</v>
      </c>
      <c r="P5504" s="5">
        <v>0.7</v>
      </c>
      <c r="Q5504" s="6">
        <v>-1</v>
      </c>
      <c r="R5504" s="37" t="s">
        <v>1320</v>
      </c>
      <c r="S5504" s="7">
        <f t="shared" si="472"/>
        <v>1</v>
      </c>
      <c r="T5504" s="15" t="str">
        <f>VLOOKUP(R5504,产品分类!$C$2:$D$1278,2,0)</f>
        <v>办公用品</v>
      </c>
    </row>
    <row r="5505" spans="1:20">
      <c r="A5505" s="8">
        <f>DATE(2012,12,31)-432</f>
        <v>40842</v>
      </c>
      <c r="B5505" s="8">
        <f>DATE(2012,12,31)-432</f>
        <v>40842</v>
      </c>
      <c r="C5505" s="9" t="s">
        <v>681</v>
      </c>
      <c r="D5505">
        <v>10021261250</v>
      </c>
      <c r="E5505" t="s">
        <v>47</v>
      </c>
      <c r="F5505" t="s">
        <v>171</v>
      </c>
      <c r="G5505" t="s">
        <v>172</v>
      </c>
      <c r="H5505" t="s">
        <v>2352</v>
      </c>
      <c r="I5505" t="s">
        <v>2353</v>
      </c>
      <c r="J5505" t="s">
        <v>52</v>
      </c>
      <c r="K5505" s="3">
        <v>100429279254</v>
      </c>
      <c r="L5505" s="10">
        <v>40842</v>
      </c>
      <c r="M5505">
        <v>418.03</v>
      </c>
      <c r="N5505" s="11">
        <v>47</v>
      </c>
      <c r="O5505" s="12">
        <v>8.09</v>
      </c>
      <c r="P5505" s="12">
        <v>7.96</v>
      </c>
      <c r="Q5505" s="13">
        <v>-158.58</v>
      </c>
      <c r="R5505" s="36" t="s">
        <v>1209</v>
      </c>
      <c r="S5505" s="7">
        <f t="shared" si="472"/>
        <v>0</v>
      </c>
      <c r="T5505" s="15" t="str">
        <f>VLOOKUP(R5505,产品分类!$C$2:$D$1278,2,0)</f>
        <v>数码电子</v>
      </c>
    </row>
    <row r="5506" spans="1:20">
      <c r="A5506" s="8">
        <f>DATE(2012,12,31)-432</f>
        <v>40842</v>
      </c>
      <c r="B5506" s="8">
        <f>DATE(2012,12,31)-432</f>
        <v>40842</v>
      </c>
      <c r="C5506" s="9" t="s">
        <v>681</v>
      </c>
      <c r="D5506">
        <v>10021622366</v>
      </c>
      <c r="E5506" t="s">
        <v>47</v>
      </c>
      <c r="F5506" t="s">
        <v>171</v>
      </c>
      <c r="G5506" t="s">
        <v>172</v>
      </c>
      <c r="H5506" t="s">
        <v>2352</v>
      </c>
      <c r="I5506" t="s">
        <v>2353</v>
      </c>
      <c r="J5506" t="s">
        <v>52</v>
      </c>
      <c r="K5506" s="3">
        <v>100716697245</v>
      </c>
      <c r="L5506" s="10">
        <v>40844</v>
      </c>
      <c r="M5506">
        <v>336.86</v>
      </c>
      <c r="N5506" s="11">
        <v>23</v>
      </c>
      <c r="O5506" s="12">
        <v>14.2</v>
      </c>
      <c r="P5506" s="12">
        <v>5.3</v>
      </c>
      <c r="Q5506" s="13">
        <v>36.32</v>
      </c>
      <c r="R5506" s="36" t="s">
        <v>975</v>
      </c>
      <c r="S5506" s="7">
        <f t="shared" si="472"/>
        <v>2</v>
      </c>
      <c r="T5506" s="15" t="str">
        <f>VLOOKUP(R5506,产品分类!$C$2:$D$1278,2,0)</f>
        <v>家具产品</v>
      </c>
    </row>
    <row r="5507" spans="1:20">
      <c r="A5507" s="8">
        <f>DATE(2012,12,31)-740</f>
        <v>40534</v>
      </c>
      <c r="B5507" s="8">
        <f>DATE(2012,12,31)-740</f>
        <v>40534</v>
      </c>
      <c r="C5507" s="9" t="s">
        <v>754</v>
      </c>
      <c r="D5507">
        <v>10021502389</v>
      </c>
      <c r="E5507" t="s">
        <v>47</v>
      </c>
      <c r="F5507" t="s">
        <v>171</v>
      </c>
      <c r="G5507" t="s">
        <v>172</v>
      </c>
      <c r="H5507" t="s">
        <v>2352</v>
      </c>
      <c r="I5507" t="s">
        <v>2353</v>
      </c>
      <c r="J5507" t="s">
        <v>52</v>
      </c>
      <c r="K5507" s="3">
        <v>100128484987</v>
      </c>
      <c r="L5507" s="10">
        <v>40535</v>
      </c>
      <c r="M5507">
        <v>50.8</v>
      </c>
      <c r="N5507" s="11">
        <v>14</v>
      </c>
      <c r="O5507" s="12">
        <v>3.69</v>
      </c>
      <c r="P5507" s="12">
        <v>0.5</v>
      </c>
      <c r="Q5507" s="13">
        <v>16.79</v>
      </c>
      <c r="R5507" s="36" t="s">
        <v>241</v>
      </c>
      <c r="S5507" s="7">
        <f t="shared" ref="S5507:S5570" si="476">+L5507-B5507</f>
        <v>1</v>
      </c>
      <c r="T5507" s="15" t="str">
        <f>VLOOKUP(R5507,产品分类!$C$2:$D$1278,2,0)</f>
        <v>数码电子</v>
      </c>
    </row>
    <row r="5508" spans="1:20">
      <c r="A5508" s="8">
        <f>DATE(2012,12,31)-740</f>
        <v>40534</v>
      </c>
      <c r="B5508" s="8">
        <f>DATE(2012,12,31)-740</f>
        <v>40534</v>
      </c>
      <c r="C5508" s="9" t="s">
        <v>754</v>
      </c>
      <c r="D5508">
        <v>10021444316</v>
      </c>
      <c r="E5508" t="s">
        <v>47</v>
      </c>
      <c r="F5508" t="s">
        <v>171</v>
      </c>
      <c r="G5508" t="s">
        <v>172</v>
      </c>
      <c r="H5508" t="s">
        <v>2352</v>
      </c>
      <c r="I5508" t="s">
        <v>2353</v>
      </c>
      <c r="J5508" t="s">
        <v>52</v>
      </c>
      <c r="K5508" s="3">
        <v>10048845384</v>
      </c>
      <c r="L5508" s="10">
        <v>40535</v>
      </c>
      <c r="M5508">
        <v>750.89</v>
      </c>
      <c r="N5508" s="11">
        <v>37</v>
      </c>
      <c r="O5508" s="12">
        <v>20.34</v>
      </c>
      <c r="P5508" s="12">
        <v>35</v>
      </c>
      <c r="Q5508" s="13">
        <v>-1176.28</v>
      </c>
      <c r="R5508" s="36" t="s">
        <v>1783</v>
      </c>
      <c r="S5508" s="7">
        <f t="shared" si="476"/>
        <v>1</v>
      </c>
      <c r="T5508" s="15" t="str">
        <f>VLOOKUP(R5508,产品分类!$C$2:$D$1278,2,0)</f>
        <v>办公用品</v>
      </c>
    </row>
    <row r="5509" spans="1:20">
      <c r="A5509" s="8">
        <f>DATE(2012,12,31)-1408</f>
        <v>39866</v>
      </c>
      <c r="B5509" s="8">
        <f>DATE(2012,12,31)-1408</f>
        <v>39866</v>
      </c>
      <c r="C5509" s="9" t="s">
        <v>1206</v>
      </c>
      <c r="D5509">
        <v>10021663431</v>
      </c>
      <c r="E5509" t="s">
        <v>47</v>
      </c>
      <c r="F5509" t="s">
        <v>527</v>
      </c>
      <c r="G5509" t="s">
        <v>528</v>
      </c>
      <c r="H5509" t="s">
        <v>2385</v>
      </c>
      <c r="I5509" t="s">
        <v>2386</v>
      </c>
      <c r="J5509" t="s">
        <v>52</v>
      </c>
      <c r="K5509" s="3">
        <v>100423907793</v>
      </c>
      <c r="L5509" s="10">
        <v>39867</v>
      </c>
      <c r="M5509">
        <v>1633.37</v>
      </c>
      <c r="N5509" s="11">
        <v>50</v>
      </c>
      <c r="O5509" s="12">
        <v>34.99</v>
      </c>
      <c r="P5509" s="12">
        <v>7.73</v>
      </c>
      <c r="Q5509" s="13">
        <v>144.69</v>
      </c>
      <c r="R5509" s="36" t="s">
        <v>2267</v>
      </c>
      <c r="S5509" s="7">
        <f t="shared" si="476"/>
        <v>1</v>
      </c>
      <c r="T5509" s="15" t="str">
        <f>VLOOKUP(R5509,产品分类!$C$2:$D$1278,2,0)</f>
        <v>数码电子</v>
      </c>
    </row>
    <row r="5510" spans="1:20">
      <c r="A5510" s="8">
        <f>DATE(2012,12,31)-316</f>
        <v>40958</v>
      </c>
      <c r="B5510" s="8">
        <f>DATE(2012,12,31)-316</f>
        <v>40958</v>
      </c>
      <c r="C5510" s="9" t="s">
        <v>686</v>
      </c>
      <c r="D5510">
        <v>10021468496</v>
      </c>
      <c r="E5510" t="s">
        <v>47</v>
      </c>
      <c r="F5510" t="s">
        <v>171</v>
      </c>
      <c r="G5510" t="s">
        <v>172</v>
      </c>
      <c r="H5510" t="s">
        <v>2352</v>
      </c>
      <c r="I5510" t="s">
        <v>2353</v>
      </c>
      <c r="J5510" t="s">
        <v>52</v>
      </c>
      <c r="K5510" s="3">
        <v>100124273697</v>
      </c>
      <c r="L5510" s="10">
        <v>40959</v>
      </c>
      <c r="M5510">
        <v>512.33</v>
      </c>
      <c r="N5510" s="11">
        <v>50</v>
      </c>
      <c r="O5510" s="12">
        <v>10.35</v>
      </c>
      <c r="P5510" s="12">
        <v>0.99</v>
      </c>
      <c r="Q5510" s="13">
        <v>250.66</v>
      </c>
      <c r="R5510" s="36" t="s">
        <v>1442</v>
      </c>
      <c r="S5510" s="7">
        <f t="shared" si="476"/>
        <v>1</v>
      </c>
      <c r="T5510" s="15" t="str">
        <f>VLOOKUP(R5510,产品分类!$C$2:$D$1278,2,0)</f>
        <v>家具产品</v>
      </c>
    </row>
    <row r="5511" spans="1:20">
      <c r="A5511" s="8">
        <f>DATE(2012,12,31)-1116</f>
        <v>40158</v>
      </c>
      <c r="B5511" s="8">
        <f>DATE(2012,12,31)-1116</f>
        <v>40158</v>
      </c>
      <c r="C5511" s="9" t="s">
        <v>564</v>
      </c>
      <c r="D5511">
        <v>10021524136</v>
      </c>
      <c r="E5511" t="s">
        <v>47</v>
      </c>
      <c r="F5511" t="s">
        <v>171</v>
      </c>
      <c r="G5511" t="s">
        <v>172</v>
      </c>
      <c r="H5511" t="s">
        <v>2352</v>
      </c>
      <c r="I5511" t="s">
        <v>2353</v>
      </c>
      <c r="J5511" t="s">
        <v>52</v>
      </c>
      <c r="K5511" s="3">
        <v>100916160141</v>
      </c>
      <c r="L5511" s="10">
        <v>40159</v>
      </c>
      <c r="M5511">
        <v>222.65</v>
      </c>
      <c r="N5511" s="11">
        <v>41</v>
      </c>
      <c r="O5511" s="12">
        <v>5.28</v>
      </c>
      <c r="P5511" s="12">
        <v>6.26</v>
      </c>
      <c r="Q5511" s="13">
        <v>-131.16</v>
      </c>
      <c r="R5511" s="36" t="s">
        <v>292</v>
      </c>
      <c r="S5511" s="7">
        <f t="shared" si="476"/>
        <v>1</v>
      </c>
      <c r="T5511" s="15" t="str">
        <f>VLOOKUP(R5511,产品分类!$C$2:$D$1278,2,0)</f>
        <v>办公用品</v>
      </c>
    </row>
    <row r="5512" spans="1:20">
      <c r="A5512" s="16">
        <f t="shared" ref="A5512:B5514" si="477">DATE(2012,12,31)-1287</f>
        <v>39987</v>
      </c>
      <c r="B5512" s="16">
        <f t="shared" si="477"/>
        <v>39987</v>
      </c>
      <c r="C5512" s="9" t="s">
        <v>1669</v>
      </c>
      <c r="D5512">
        <v>10021344644</v>
      </c>
      <c r="E5512" t="s">
        <v>47</v>
      </c>
      <c r="F5512" t="s">
        <v>171</v>
      </c>
      <c r="G5512" t="s">
        <v>172</v>
      </c>
      <c r="H5512" t="s">
        <v>2352</v>
      </c>
      <c r="I5512" t="s">
        <v>2353</v>
      </c>
      <c r="J5512" t="s">
        <v>52</v>
      </c>
      <c r="K5512" s="3">
        <v>100329792849</v>
      </c>
      <c r="L5512" s="10">
        <v>39987</v>
      </c>
      <c r="M5512">
        <v>36.91</v>
      </c>
      <c r="N5512" s="17">
        <v>10</v>
      </c>
      <c r="O5512" s="5">
        <v>3.28</v>
      </c>
      <c r="P5512" s="5">
        <v>3.97</v>
      </c>
      <c r="Q5512" s="6">
        <v>-27.72</v>
      </c>
      <c r="R5512" s="37" t="s">
        <v>1396</v>
      </c>
      <c r="S5512" s="7">
        <f t="shared" si="476"/>
        <v>0</v>
      </c>
      <c r="T5512" s="15" t="str">
        <f>VLOOKUP(R5512,产品分类!$C$2:$D$1278,2,0)</f>
        <v>家具产品</v>
      </c>
    </row>
    <row r="5513" spans="1:20">
      <c r="A5513" s="8">
        <f t="shared" si="477"/>
        <v>39987</v>
      </c>
      <c r="B5513" s="8">
        <f t="shared" si="477"/>
        <v>39987</v>
      </c>
      <c r="C5513" s="9" t="s">
        <v>1669</v>
      </c>
      <c r="D5513">
        <v>10021263290</v>
      </c>
      <c r="E5513" t="s">
        <v>47</v>
      </c>
      <c r="F5513" t="s">
        <v>171</v>
      </c>
      <c r="G5513" t="s">
        <v>172</v>
      </c>
      <c r="H5513" t="s">
        <v>2352</v>
      </c>
      <c r="I5513" t="s">
        <v>2353</v>
      </c>
      <c r="J5513" t="s">
        <v>52</v>
      </c>
      <c r="K5513" s="3">
        <v>100830479412</v>
      </c>
      <c r="L5513" s="10">
        <v>39994</v>
      </c>
      <c r="M5513">
        <v>2155.84</v>
      </c>
      <c r="N5513" s="11">
        <v>8</v>
      </c>
      <c r="O5513" s="12">
        <v>256.99</v>
      </c>
      <c r="P5513" s="12">
        <v>11.25</v>
      </c>
      <c r="Q5513" s="13">
        <v>-267.63</v>
      </c>
      <c r="R5513" s="36" t="s">
        <v>2153</v>
      </c>
      <c r="S5513" s="7">
        <f t="shared" si="476"/>
        <v>7</v>
      </c>
      <c r="T5513" s="15" t="str">
        <f>VLOOKUP(R5513,产品分类!$C$2:$D$1278,2,0)</f>
        <v>数码电子</v>
      </c>
    </row>
    <row r="5514" spans="1:20">
      <c r="A5514" s="16">
        <f t="shared" si="477"/>
        <v>39987</v>
      </c>
      <c r="B5514" s="16">
        <f t="shared" si="477"/>
        <v>39987</v>
      </c>
      <c r="C5514" s="9" t="s">
        <v>1669</v>
      </c>
      <c r="D5514">
        <v>10021610084</v>
      </c>
      <c r="E5514" t="s">
        <v>47</v>
      </c>
      <c r="F5514" t="s">
        <v>527</v>
      </c>
      <c r="G5514" t="s">
        <v>528</v>
      </c>
      <c r="H5514" t="s">
        <v>2385</v>
      </c>
      <c r="I5514" t="s">
        <v>2386</v>
      </c>
      <c r="J5514" t="s">
        <v>52</v>
      </c>
      <c r="K5514" s="3">
        <v>100110421138</v>
      </c>
      <c r="L5514" s="10">
        <v>39989</v>
      </c>
      <c r="M5514">
        <v>175.27</v>
      </c>
      <c r="N5514" s="17">
        <v>26</v>
      </c>
      <c r="O5514" s="5">
        <v>6.48</v>
      </c>
      <c r="P5514" s="5">
        <v>5.14</v>
      </c>
      <c r="Q5514" s="6">
        <v>-33.67</v>
      </c>
      <c r="R5514" s="37" t="s">
        <v>325</v>
      </c>
      <c r="S5514" s="7">
        <f t="shared" si="476"/>
        <v>2</v>
      </c>
      <c r="T5514" s="15" t="str">
        <f>VLOOKUP(R5514,产品分类!$C$2:$D$1278,2,0)</f>
        <v>数码电子</v>
      </c>
    </row>
    <row r="5515" spans="1:20">
      <c r="A5515" s="8">
        <f>DATE(2012,12,31)-481</f>
        <v>40793</v>
      </c>
      <c r="B5515" s="8">
        <f>DATE(2012,12,31)-481</f>
        <v>40793</v>
      </c>
      <c r="C5515" s="9" t="s">
        <v>1301</v>
      </c>
      <c r="D5515">
        <v>10021671309</v>
      </c>
      <c r="E5515" t="s">
        <v>47</v>
      </c>
      <c r="F5515" t="s">
        <v>127</v>
      </c>
      <c r="G5515" t="s">
        <v>128</v>
      </c>
      <c r="H5515" t="s">
        <v>2408</v>
      </c>
      <c r="I5515" t="s">
        <v>2409</v>
      </c>
      <c r="J5515" t="s">
        <v>52</v>
      </c>
      <c r="K5515" s="3">
        <v>100716287835</v>
      </c>
      <c r="L5515" s="10">
        <v>40793</v>
      </c>
      <c r="M5515">
        <v>75.6</v>
      </c>
      <c r="N5515" s="11">
        <v>46</v>
      </c>
      <c r="O5515" s="12">
        <v>1.68</v>
      </c>
      <c r="P5515" s="12">
        <v>5.28</v>
      </c>
      <c r="Q5515" s="13">
        <v>-225.2505</v>
      </c>
      <c r="R5515" s="36" t="s">
        <v>2450</v>
      </c>
      <c r="S5515" s="7">
        <f t="shared" si="476"/>
        <v>0</v>
      </c>
      <c r="T5515" s="15" t="str">
        <f>VLOOKUP(R5515,产品分类!$C$2:$D$1278,2,0)</f>
        <v>家具产品</v>
      </c>
    </row>
    <row r="5516" spans="1:20">
      <c r="A5516" s="8">
        <f>DATE(2012,12,31)-1060</f>
        <v>40214</v>
      </c>
      <c r="B5516" s="8">
        <f>DATE(2012,12,31)-1060</f>
        <v>40214</v>
      </c>
      <c r="C5516" s="9" t="s">
        <v>1424</v>
      </c>
      <c r="D5516">
        <v>10021387066</v>
      </c>
      <c r="E5516" t="s">
        <v>47</v>
      </c>
      <c r="F5516" t="s">
        <v>177</v>
      </c>
      <c r="G5516" t="s">
        <v>178</v>
      </c>
      <c r="H5516" t="s">
        <v>2339</v>
      </c>
      <c r="I5516" t="s">
        <v>2340</v>
      </c>
      <c r="J5516" t="s">
        <v>52</v>
      </c>
      <c r="K5516" s="3">
        <v>100915456811</v>
      </c>
      <c r="L5516" s="10">
        <v>40214</v>
      </c>
      <c r="M5516">
        <v>2595.07</v>
      </c>
      <c r="N5516" s="11">
        <v>14</v>
      </c>
      <c r="O5516" s="12">
        <v>194.3</v>
      </c>
      <c r="P5516" s="12">
        <v>11.54</v>
      </c>
      <c r="Q5516" s="13">
        <v>1217.19</v>
      </c>
      <c r="R5516" s="36" t="s">
        <v>1720</v>
      </c>
      <c r="S5516" s="7">
        <f t="shared" si="476"/>
        <v>0</v>
      </c>
      <c r="T5516" s="15" t="str">
        <f>VLOOKUP(R5516,产品分类!$C$2:$D$1278,2,0)</f>
        <v>数码电子</v>
      </c>
    </row>
    <row r="5517" spans="1:20">
      <c r="A5517" s="8">
        <f>DATE(2012,12,31)-525</f>
        <v>40749</v>
      </c>
      <c r="B5517" s="8">
        <f>DATE(2012,12,31)-525</f>
        <v>40749</v>
      </c>
      <c r="C5517" s="9" t="s">
        <v>1721</v>
      </c>
      <c r="D5517">
        <v>10021499920</v>
      </c>
      <c r="E5517" t="s">
        <v>47</v>
      </c>
      <c r="F5517" t="s">
        <v>177</v>
      </c>
      <c r="G5517" t="s">
        <v>178</v>
      </c>
      <c r="H5517" t="s">
        <v>2339</v>
      </c>
      <c r="I5517" t="s">
        <v>2340</v>
      </c>
      <c r="J5517" t="s">
        <v>52</v>
      </c>
      <c r="K5517" s="3">
        <v>100725346235</v>
      </c>
      <c r="L5517" s="10">
        <v>40752</v>
      </c>
      <c r="M5517">
        <v>182.4</v>
      </c>
      <c r="N5517" s="11">
        <v>1</v>
      </c>
      <c r="O5517" s="12">
        <v>178.47</v>
      </c>
      <c r="P5517" s="12">
        <v>19.99</v>
      </c>
      <c r="Q5517" s="13">
        <v>-114.22</v>
      </c>
      <c r="R5517" s="36" t="s">
        <v>249</v>
      </c>
      <c r="S5517" s="7">
        <f t="shared" si="476"/>
        <v>3</v>
      </c>
      <c r="T5517" s="15" t="str">
        <f>VLOOKUP(R5517,产品分类!$C$2:$D$1278,2,0)</f>
        <v>办公用品</v>
      </c>
    </row>
    <row r="5518" spans="1:20">
      <c r="A5518" s="8">
        <f>DATE(2012,12,31)-525</f>
        <v>40749</v>
      </c>
      <c r="B5518" s="8">
        <f>DATE(2012,12,31)-525</f>
        <v>40749</v>
      </c>
      <c r="C5518" s="9" t="s">
        <v>1721</v>
      </c>
      <c r="D5518">
        <v>10021678470</v>
      </c>
      <c r="E5518" t="s">
        <v>47</v>
      </c>
      <c r="F5518" t="s">
        <v>177</v>
      </c>
      <c r="G5518" t="s">
        <v>178</v>
      </c>
      <c r="H5518" t="s">
        <v>2339</v>
      </c>
      <c r="I5518" t="s">
        <v>2340</v>
      </c>
      <c r="J5518" t="s">
        <v>52</v>
      </c>
      <c r="K5518" s="3">
        <v>100132700756</v>
      </c>
      <c r="L5518" s="10">
        <v>40751</v>
      </c>
      <c r="M5518">
        <v>6004.35</v>
      </c>
      <c r="N5518" s="11">
        <v>20</v>
      </c>
      <c r="O5518" s="12">
        <v>300.97</v>
      </c>
      <c r="P5518" s="12">
        <v>7.18</v>
      </c>
      <c r="Q5518" s="13">
        <v>1767.56</v>
      </c>
      <c r="R5518" s="36" t="s">
        <v>755</v>
      </c>
      <c r="S5518" s="7">
        <f t="shared" si="476"/>
        <v>2</v>
      </c>
      <c r="T5518" s="15" t="str">
        <f>VLOOKUP(R5518,产品分类!$C$2:$D$1278,2,0)</f>
        <v>办公用品</v>
      </c>
    </row>
    <row r="5519" spans="1:20">
      <c r="A5519" s="8">
        <f>DATE(2012,12,31)-1286</f>
        <v>39988</v>
      </c>
      <c r="B5519" s="8">
        <f>DATE(2012,12,31)-1286</f>
        <v>39988</v>
      </c>
      <c r="C5519" s="9" t="s">
        <v>1149</v>
      </c>
      <c r="D5519">
        <v>10021248691</v>
      </c>
      <c r="E5519" t="s">
        <v>47</v>
      </c>
      <c r="F5519" t="s">
        <v>177</v>
      </c>
      <c r="G5519" t="s">
        <v>178</v>
      </c>
      <c r="H5519" t="s">
        <v>2451</v>
      </c>
      <c r="I5519" t="s">
        <v>2452</v>
      </c>
      <c r="J5519" t="s">
        <v>52</v>
      </c>
      <c r="K5519" s="3">
        <v>10043686494</v>
      </c>
      <c r="L5519" s="10">
        <v>39990</v>
      </c>
      <c r="M5519">
        <v>2693.514</v>
      </c>
      <c r="N5519" s="11">
        <v>49</v>
      </c>
      <c r="O5519" s="12">
        <v>65.99</v>
      </c>
      <c r="P5519" s="12">
        <v>3.99</v>
      </c>
      <c r="Q5519" s="13">
        <v>662.049</v>
      </c>
      <c r="R5519" s="36" t="s">
        <v>727</v>
      </c>
      <c r="S5519" s="7">
        <f t="shared" si="476"/>
        <v>2</v>
      </c>
      <c r="T5519" s="15" t="str">
        <f>VLOOKUP(R5519,产品分类!$C$2:$D$1278,2,0)</f>
        <v>家具产品</v>
      </c>
    </row>
    <row r="5520" spans="1:20">
      <c r="A5520" s="8">
        <f t="shared" ref="A5520:B5522" si="478">DATE(2012,12,31)-779</f>
        <v>40495</v>
      </c>
      <c r="B5520" s="8">
        <f t="shared" si="478"/>
        <v>40495</v>
      </c>
      <c r="C5520" s="9" t="s">
        <v>421</v>
      </c>
      <c r="D5520">
        <v>10021267474</v>
      </c>
      <c r="E5520" t="s">
        <v>47</v>
      </c>
      <c r="F5520" t="s">
        <v>61</v>
      </c>
      <c r="G5520" t="s">
        <v>62</v>
      </c>
      <c r="H5520" t="s">
        <v>2431</v>
      </c>
      <c r="I5520" t="s">
        <v>2432</v>
      </c>
      <c r="J5520" t="s">
        <v>52</v>
      </c>
      <c r="K5520" s="3">
        <v>100832094192</v>
      </c>
      <c r="L5520" s="10">
        <v>40495</v>
      </c>
      <c r="M5520">
        <v>627.453</v>
      </c>
      <c r="N5520" s="11">
        <v>6</v>
      </c>
      <c r="O5520" s="12">
        <v>125.99</v>
      </c>
      <c r="P5520" s="12">
        <v>8.08</v>
      </c>
      <c r="Q5520" s="13">
        <v>-408.254</v>
      </c>
      <c r="R5520" s="36" t="s">
        <v>569</v>
      </c>
      <c r="S5520" s="7">
        <f t="shared" si="476"/>
        <v>0</v>
      </c>
      <c r="T5520" s="15" t="str">
        <f>VLOOKUP(R5520,产品分类!$C$2:$D$1278,2,0)</f>
        <v>家具产品</v>
      </c>
    </row>
    <row r="5521" spans="1:20">
      <c r="A5521" s="8">
        <f t="shared" si="478"/>
        <v>40495</v>
      </c>
      <c r="B5521" s="8">
        <f t="shared" si="478"/>
        <v>40495</v>
      </c>
      <c r="C5521" s="9" t="s">
        <v>421</v>
      </c>
      <c r="D5521">
        <v>10021645611</v>
      </c>
      <c r="E5521" t="s">
        <v>47</v>
      </c>
      <c r="F5521" t="s">
        <v>61</v>
      </c>
      <c r="G5521" t="s">
        <v>62</v>
      </c>
      <c r="H5521" t="s">
        <v>2431</v>
      </c>
      <c r="I5521" t="s">
        <v>2432</v>
      </c>
      <c r="J5521" t="s">
        <v>52</v>
      </c>
      <c r="K5521" s="3">
        <v>10088086972</v>
      </c>
      <c r="L5521" s="10">
        <v>40497</v>
      </c>
      <c r="M5521">
        <v>3000.88</v>
      </c>
      <c r="N5521" s="11">
        <v>50</v>
      </c>
      <c r="O5521" s="12">
        <v>58.14</v>
      </c>
      <c r="P5521" s="12">
        <v>36.61</v>
      </c>
      <c r="Q5521" s="13">
        <v>-719.17</v>
      </c>
      <c r="R5521" s="36" t="s">
        <v>1368</v>
      </c>
      <c r="S5521" s="7">
        <f t="shared" si="476"/>
        <v>2</v>
      </c>
      <c r="T5521" s="15" t="str">
        <f>VLOOKUP(R5521,产品分类!$C$2:$D$1278,2,0)</f>
        <v>数码电子</v>
      </c>
    </row>
    <row r="5522" spans="1:20">
      <c r="A5522" s="8">
        <f t="shared" si="478"/>
        <v>40495</v>
      </c>
      <c r="B5522" s="8">
        <f t="shared" si="478"/>
        <v>40495</v>
      </c>
      <c r="C5522" s="9" t="s">
        <v>421</v>
      </c>
      <c r="D5522">
        <v>10021662973</v>
      </c>
      <c r="E5522" t="s">
        <v>47</v>
      </c>
      <c r="F5522" t="s">
        <v>61</v>
      </c>
      <c r="G5522" t="s">
        <v>62</v>
      </c>
      <c r="H5522" t="s">
        <v>2431</v>
      </c>
      <c r="I5522" t="s">
        <v>2432</v>
      </c>
      <c r="J5522" t="s">
        <v>52</v>
      </c>
      <c r="K5522" s="3">
        <v>100823241062</v>
      </c>
      <c r="L5522" s="10">
        <v>40497</v>
      </c>
      <c r="M5522">
        <v>6118.38</v>
      </c>
      <c r="N5522" s="11">
        <v>31</v>
      </c>
      <c r="O5522" s="12">
        <v>209.84</v>
      </c>
      <c r="P5522" s="12">
        <v>21.21</v>
      </c>
      <c r="Q5522" s="13">
        <v>2042.58</v>
      </c>
      <c r="R5522" s="36" t="s">
        <v>1085</v>
      </c>
      <c r="S5522" s="7">
        <f t="shared" si="476"/>
        <v>2</v>
      </c>
      <c r="T5522" s="15" t="str">
        <f>VLOOKUP(R5522,产品分类!$C$2:$D$1278,2,0)</f>
        <v>数码电子</v>
      </c>
    </row>
    <row r="5523" spans="1:20">
      <c r="A5523" s="8">
        <f>DATE(2012,12,31)-826</f>
        <v>40448</v>
      </c>
      <c r="B5523" s="8">
        <f>DATE(2012,12,31)-826</f>
        <v>40448</v>
      </c>
      <c r="C5523" s="9" t="s">
        <v>1080</v>
      </c>
      <c r="D5523">
        <v>10021593501</v>
      </c>
      <c r="E5523" t="s">
        <v>47</v>
      </c>
      <c r="F5523" t="s">
        <v>61</v>
      </c>
      <c r="G5523" t="s">
        <v>62</v>
      </c>
      <c r="H5523" t="s">
        <v>2431</v>
      </c>
      <c r="I5523" t="s">
        <v>2432</v>
      </c>
      <c r="J5523" t="s">
        <v>52</v>
      </c>
      <c r="K5523" s="3">
        <v>100132428227</v>
      </c>
      <c r="L5523" s="10">
        <v>40453</v>
      </c>
      <c r="M5523">
        <v>2268.91</v>
      </c>
      <c r="N5523" s="11">
        <v>26</v>
      </c>
      <c r="O5523" s="12">
        <v>81.94</v>
      </c>
      <c r="P5523" s="12">
        <v>55.81</v>
      </c>
      <c r="Q5523" s="13">
        <v>-624.29</v>
      </c>
      <c r="R5523" s="36" t="s">
        <v>1354</v>
      </c>
      <c r="S5523" s="7">
        <f t="shared" si="476"/>
        <v>5</v>
      </c>
      <c r="T5523" s="15" t="str">
        <f>VLOOKUP(R5523,产品分类!$C$2:$D$1278,2,0)</f>
        <v>办公用品</v>
      </c>
    </row>
    <row r="5524" spans="1:20">
      <c r="A5524" s="16">
        <f>DATE(2012,12,31)-1338</f>
        <v>39936</v>
      </c>
      <c r="B5524" s="16">
        <f>DATE(2012,12,31)-1338</f>
        <v>39936</v>
      </c>
      <c r="C5524" s="9" t="s">
        <v>386</v>
      </c>
      <c r="D5524">
        <v>10021251256</v>
      </c>
      <c r="E5524" t="s">
        <v>47</v>
      </c>
      <c r="F5524" t="s">
        <v>61</v>
      </c>
      <c r="G5524" t="s">
        <v>62</v>
      </c>
      <c r="H5524" t="s">
        <v>2431</v>
      </c>
      <c r="I5524" t="s">
        <v>2432</v>
      </c>
      <c r="J5524" t="s">
        <v>52</v>
      </c>
      <c r="K5524" s="3">
        <v>10096953151</v>
      </c>
      <c r="L5524" s="10">
        <v>39938</v>
      </c>
      <c r="M5524">
        <v>1400.91</v>
      </c>
      <c r="N5524" s="17">
        <v>49</v>
      </c>
      <c r="O5524" s="5">
        <v>30.98</v>
      </c>
      <c r="P5524" s="5">
        <v>19.51</v>
      </c>
      <c r="Q5524" s="6">
        <v>-163.53</v>
      </c>
      <c r="R5524" s="37" t="s">
        <v>1385</v>
      </c>
      <c r="S5524" s="7">
        <f t="shared" si="476"/>
        <v>2</v>
      </c>
      <c r="T5524" s="15" t="str">
        <f>VLOOKUP(R5524,产品分类!$C$2:$D$1278,2,0)</f>
        <v>家具产品</v>
      </c>
    </row>
    <row r="5525" spans="1:20">
      <c r="A5525" s="8">
        <f>DATE(2012,12,31)-1338</f>
        <v>39936</v>
      </c>
      <c r="B5525" s="8">
        <f>DATE(2012,12,31)-1338</f>
        <v>39936</v>
      </c>
      <c r="C5525" s="9" t="s">
        <v>386</v>
      </c>
      <c r="D5525">
        <v>10021612662</v>
      </c>
      <c r="E5525" t="s">
        <v>47</v>
      </c>
      <c r="F5525" t="s">
        <v>61</v>
      </c>
      <c r="G5525" t="s">
        <v>62</v>
      </c>
      <c r="H5525" t="s">
        <v>2431</v>
      </c>
      <c r="I5525" t="s">
        <v>2432</v>
      </c>
      <c r="J5525" t="s">
        <v>52</v>
      </c>
      <c r="K5525" s="3">
        <v>100331281519</v>
      </c>
      <c r="L5525" s="10">
        <v>39938</v>
      </c>
      <c r="M5525">
        <v>2259.66</v>
      </c>
      <c r="N5525" s="11">
        <v>47</v>
      </c>
      <c r="O5525" s="12">
        <v>49.34</v>
      </c>
      <c r="P5525" s="12">
        <v>10.25</v>
      </c>
      <c r="Q5525" s="13">
        <v>554.77</v>
      </c>
      <c r="R5525" s="36" t="s">
        <v>1349</v>
      </c>
      <c r="S5525" s="7">
        <f t="shared" si="476"/>
        <v>2</v>
      </c>
      <c r="T5525" s="15" t="str">
        <f>VLOOKUP(R5525,产品分类!$C$2:$D$1278,2,0)</f>
        <v>数码电子</v>
      </c>
    </row>
    <row r="5526" spans="1:20">
      <c r="A5526" s="8">
        <f>DATE(2012,12,31)-269</f>
        <v>41005</v>
      </c>
      <c r="B5526" s="8">
        <f>DATE(2012,12,31)-269</f>
        <v>41005</v>
      </c>
      <c r="C5526" s="9" t="s">
        <v>813</v>
      </c>
      <c r="D5526">
        <v>10021343008</v>
      </c>
      <c r="E5526" t="s">
        <v>47</v>
      </c>
      <c r="F5526" t="s">
        <v>253</v>
      </c>
      <c r="G5526" t="s">
        <v>254</v>
      </c>
      <c r="H5526" t="s">
        <v>2438</v>
      </c>
      <c r="I5526" t="s">
        <v>2439</v>
      </c>
      <c r="J5526" t="s">
        <v>52</v>
      </c>
      <c r="K5526" s="3">
        <v>10076311315</v>
      </c>
      <c r="L5526" s="10">
        <v>41005</v>
      </c>
      <c r="M5526">
        <v>6730.07</v>
      </c>
      <c r="N5526" s="11">
        <v>46</v>
      </c>
      <c r="O5526" s="12">
        <v>150.98</v>
      </c>
      <c r="P5526" s="12">
        <v>66.27</v>
      </c>
      <c r="Q5526" s="13">
        <v>-1134.61</v>
      </c>
      <c r="R5526" s="36" t="s">
        <v>1166</v>
      </c>
      <c r="S5526" s="7">
        <f t="shared" si="476"/>
        <v>0</v>
      </c>
      <c r="T5526" s="15" t="str">
        <f>VLOOKUP(R5526,产品分类!$C$2:$D$1278,2,0)</f>
        <v>办公用品</v>
      </c>
    </row>
    <row r="5527" spans="1:20">
      <c r="A5527" s="8">
        <f t="shared" ref="A5527:B5529" si="479">DATE(2012,12,31)-228</f>
        <v>41046</v>
      </c>
      <c r="B5527" s="8">
        <f t="shared" si="479"/>
        <v>41046</v>
      </c>
      <c r="C5527" s="9" t="s">
        <v>1663</v>
      </c>
      <c r="D5527">
        <v>10021578822</v>
      </c>
      <c r="E5527" t="s">
        <v>47</v>
      </c>
      <c r="F5527" t="s">
        <v>61</v>
      </c>
      <c r="G5527" t="s">
        <v>62</v>
      </c>
      <c r="H5527" t="s">
        <v>2431</v>
      </c>
      <c r="I5527" t="s">
        <v>2432</v>
      </c>
      <c r="J5527" t="s">
        <v>52</v>
      </c>
      <c r="K5527" s="3">
        <v>100917495041</v>
      </c>
      <c r="L5527" s="10">
        <v>41049</v>
      </c>
      <c r="M5527">
        <v>809.91</v>
      </c>
      <c r="N5527" s="11">
        <v>22</v>
      </c>
      <c r="O5527" s="12">
        <v>37.7</v>
      </c>
      <c r="P5527" s="12">
        <v>2.99</v>
      </c>
      <c r="Q5527" s="13">
        <v>321.674</v>
      </c>
      <c r="R5527" s="36" t="s">
        <v>418</v>
      </c>
      <c r="S5527" s="7">
        <f t="shared" si="476"/>
        <v>3</v>
      </c>
      <c r="T5527" s="15" t="str">
        <f>VLOOKUP(R5527,产品分类!$C$2:$D$1278,2,0)</f>
        <v>数码电子</v>
      </c>
    </row>
    <row r="5528" spans="1:20">
      <c r="A5528" s="8">
        <f t="shared" si="479"/>
        <v>41046</v>
      </c>
      <c r="B5528" s="8">
        <f t="shared" si="479"/>
        <v>41046</v>
      </c>
      <c r="C5528" s="9" t="s">
        <v>1663</v>
      </c>
      <c r="D5528">
        <v>10021254122</v>
      </c>
      <c r="E5528" t="s">
        <v>47</v>
      </c>
      <c r="F5528" t="s">
        <v>61</v>
      </c>
      <c r="G5528" t="s">
        <v>62</v>
      </c>
      <c r="H5528" t="s">
        <v>2431</v>
      </c>
      <c r="I5528" t="s">
        <v>2432</v>
      </c>
      <c r="J5528" t="s">
        <v>52</v>
      </c>
      <c r="K5528" s="3">
        <v>10083433052</v>
      </c>
      <c r="L5528" s="10">
        <v>41048</v>
      </c>
      <c r="M5528">
        <v>1027.66</v>
      </c>
      <c r="N5528" s="11">
        <v>50</v>
      </c>
      <c r="O5528" s="12">
        <v>19.98</v>
      </c>
      <c r="P5528" s="12">
        <v>8.68</v>
      </c>
      <c r="Q5528" s="13">
        <v>184.07</v>
      </c>
      <c r="R5528" s="36" t="s">
        <v>1340</v>
      </c>
      <c r="S5528" s="7">
        <f t="shared" si="476"/>
        <v>2</v>
      </c>
      <c r="T5528" s="15" t="str">
        <f>VLOOKUP(R5528,产品分类!$C$2:$D$1278,2,0)</f>
        <v>办公用品</v>
      </c>
    </row>
    <row r="5529" spans="1:20">
      <c r="A5529" s="8">
        <f t="shared" si="479"/>
        <v>41046</v>
      </c>
      <c r="B5529" s="8">
        <f t="shared" si="479"/>
        <v>41046</v>
      </c>
      <c r="C5529" s="9" t="s">
        <v>1663</v>
      </c>
      <c r="D5529">
        <v>10021659086</v>
      </c>
      <c r="E5529" t="s">
        <v>47</v>
      </c>
      <c r="F5529" t="s">
        <v>61</v>
      </c>
      <c r="G5529" t="s">
        <v>62</v>
      </c>
      <c r="H5529" t="s">
        <v>2431</v>
      </c>
      <c r="I5529" t="s">
        <v>2432</v>
      </c>
      <c r="J5529" t="s">
        <v>52</v>
      </c>
      <c r="K5529" s="3">
        <v>100114403846</v>
      </c>
      <c r="L5529" s="10">
        <v>41048</v>
      </c>
      <c r="M5529">
        <v>301.38</v>
      </c>
      <c r="N5529" s="11">
        <v>30</v>
      </c>
      <c r="O5529" s="12">
        <v>10.48</v>
      </c>
      <c r="P5529" s="12">
        <v>2.89</v>
      </c>
      <c r="Q5529" s="13">
        <v>5.08</v>
      </c>
      <c r="R5529" s="36" t="s">
        <v>1851</v>
      </c>
      <c r="S5529" s="7">
        <f t="shared" si="476"/>
        <v>2</v>
      </c>
      <c r="T5529" s="15" t="str">
        <f>VLOOKUP(R5529,产品分类!$C$2:$D$1278,2,0)</f>
        <v>办公用品</v>
      </c>
    </row>
    <row r="5530" spans="1:20">
      <c r="A5530" s="16">
        <f>DATE(2012,12,31)-493</f>
        <v>40781</v>
      </c>
      <c r="B5530" s="16">
        <f>DATE(2012,12,31)-493</f>
        <v>40781</v>
      </c>
      <c r="C5530" s="9" t="s">
        <v>492</v>
      </c>
      <c r="D5530">
        <v>10021262171</v>
      </c>
      <c r="E5530" t="s">
        <v>47</v>
      </c>
      <c r="F5530" t="s">
        <v>61</v>
      </c>
      <c r="G5530" t="s">
        <v>62</v>
      </c>
      <c r="H5530" t="s">
        <v>2431</v>
      </c>
      <c r="I5530" t="s">
        <v>2432</v>
      </c>
      <c r="J5530" t="s">
        <v>52</v>
      </c>
      <c r="K5530" s="3">
        <v>100823799442</v>
      </c>
      <c r="L5530" s="10">
        <v>40782</v>
      </c>
      <c r="M5530">
        <v>24.91</v>
      </c>
      <c r="N5530" s="17">
        <v>5</v>
      </c>
      <c r="O5530" s="5">
        <v>4.84</v>
      </c>
      <c r="P5530" s="5">
        <v>0.71</v>
      </c>
      <c r="Q5530" s="6">
        <v>-0.9</v>
      </c>
      <c r="R5530" s="37" t="s">
        <v>946</v>
      </c>
      <c r="S5530" s="7">
        <f t="shared" si="476"/>
        <v>1</v>
      </c>
      <c r="T5530" s="15" t="str">
        <f>VLOOKUP(R5530,产品分类!$C$2:$D$1278,2,0)</f>
        <v>数码电子</v>
      </c>
    </row>
    <row r="5531" spans="1:20">
      <c r="A5531" s="8">
        <f>DATE(2012,12,31)-920</f>
        <v>40354</v>
      </c>
      <c r="B5531" s="8">
        <f>DATE(2012,12,31)-920</f>
        <v>40354</v>
      </c>
      <c r="C5531" s="9" t="s">
        <v>1143</v>
      </c>
      <c r="D5531">
        <v>10021336900</v>
      </c>
      <c r="E5531" t="s">
        <v>47</v>
      </c>
      <c r="F5531" t="s">
        <v>61</v>
      </c>
      <c r="G5531" t="s">
        <v>62</v>
      </c>
      <c r="H5531" t="s">
        <v>2431</v>
      </c>
      <c r="I5531" t="s">
        <v>2432</v>
      </c>
      <c r="J5531" t="s">
        <v>52</v>
      </c>
      <c r="K5531" s="3">
        <v>100120853516</v>
      </c>
      <c r="L5531" s="10">
        <v>40361</v>
      </c>
      <c r="M5531">
        <v>9013.58</v>
      </c>
      <c r="N5531" s="11">
        <v>38</v>
      </c>
      <c r="O5531" s="12">
        <v>232.58</v>
      </c>
      <c r="P5531" s="12">
        <v>19.99</v>
      </c>
      <c r="Q5531" s="13">
        <v>2574.36</v>
      </c>
      <c r="R5531" s="36" t="s">
        <v>2435</v>
      </c>
      <c r="S5531" s="7">
        <f t="shared" si="476"/>
        <v>7</v>
      </c>
      <c r="T5531" s="15" t="str">
        <f>VLOOKUP(R5531,产品分类!$C$2:$D$1278,2,0)</f>
        <v>办公用品</v>
      </c>
    </row>
    <row r="5532" spans="1:20">
      <c r="A5532" s="8">
        <f>DATE(2012,12,31)-920</f>
        <v>40354</v>
      </c>
      <c r="B5532" s="8">
        <f>DATE(2012,12,31)-920</f>
        <v>40354</v>
      </c>
      <c r="C5532" s="9" t="s">
        <v>1143</v>
      </c>
      <c r="D5532">
        <v>10021386890</v>
      </c>
      <c r="E5532" t="s">
        <v>47</v>
      </c>
      <c r="F5532" t="s">
        <v>61</v>
      </c>
      <c r="G5532" t="s">
        <v>62</v>
      </c>
      <c r="H5532" t="s">
        <v>2431</v>
      </c>
      <c r="I5532" t="s">
        <v>2432</v>
      </c>
      <c r="J5532" t="s">
        <v>52</v>
      </c>
      <c r="K5532" s="3">
        <v>100113798408</v>
      </c>
      <c r="L5532" s="10">
        <v>40361</v>
      </c>
      <c r="M5532">
        <v>175.42</v>
      </c>
      <c r="N5532" s="11">
        <v>26</v>
      </c>
      <c r="O5532" s="12">
        <v>5.98</v>
      </c>
      <c r="P5532" s="12">
        <v>7.5</v>
      </c>
      <c r="Q5532" s="13">
        <v>-93.73</v>
      </c>
      <c r="R5532" s="36" t="s">
        <v>1903</v>
      </c>
      <c r="S5532" s="7">
        <f t="shared" si="476"/>
        <v>7</v>
      </c>
      <c r="T5532" s="15" t="str">
        <f>VLOOKUP(R5532,产品分类!$C$2:$D$1278,2,0)</f>
        <v>家具产品</v>
      </c>
    </row>
    <row r="5533" spans="1:20">
      <c r="A5533" s="8">
        <f>DATE(2012,12,31)-1445</f>
        <v>39829</v>
      </c>
      <c r="B5533" s="8">
        <f>DATE(2012,12,31)-1445</f>
        <v>39829</v>
      </c>
      <c r="C5533" s="9" t="s">
        <v>1406</v>
      </c>
      <c r="D5533">
        <v>10021607745</v>
      </c>
      <c r="E5533" t="s">
        <v>47</v>
      </c>
      <c r="F5533" t="s">
        <v>61</v>
      </c>
      <c r="G5533" t="s">
        <v>62</v>
      </c>
      <c r="H5533" t="s">
        <v>2431</v>
      </c>
      <c r="I5533" t="s">
        <v>2432</v>
      </c>
      <c r="J5533" t="s">
        <v>52</v>
      </c>
      <c r="K5533" s="3">
        <v>100124535128</v>
      </c>
      <c r="L5533" s="10">
        <v>39831</v>
      </c>
      <c r="M5533">
        <v>76.48</v>
      </c>
      <c r="N5533" s="11">
        <v>36</v>
      </c>
      <c r="O5533" s="12">
        <v>2.18</v>
      </c>
      <c r="P5533" s="12">
        <v>0.78</v>
      </c>
      <c r="Q5533" s="13">
        <v>3.23</v>
      </c>
      <c r="R5533" s="36" t="s">
        <v>1801</v>
      </c>
      <c r="S5533" s="7">
        <f t="shared" si="476"/>
        <v>2</v>
      </c>
      <c r="T5533" s="15" t="str">
        <f>VLOOKUP(R5533,产品分类!$C$2:$D$1278,2,0)</f>
        <v>办公用品</v>
      </c>
    </row>
    <row r="5534" spans="1:20">
      <c r="A5534" s="8">
        <f>DATE(2012,12,31)-1445</f>
        <v>39829</v>
      </c>
      <c r="B5534" s="8">
        <f>DATE(2012,12,31)-1445</f>
        <v>39829</v>
      </c>
      <c r="C5534" s="9" t="s">
        <v>1406</v>
      </c>
      <c r="D5534">
        <v>10021678030</v>
      </c>
      <c r="E5534" t="s">
        <v>47</v>
      </c>
      <c r="F5534" t="s">
        <v>230</v>
      </c>
      <c r="G5534" t="s">
        <v>231</v>
      </c>
      <c r="H5534" t="s">
        <v>2372</v>
      </c>
      <c r="I5534" t="s">
        <v>2373</v>
      </c>
      <c r="J5534" t="s">
        <v>52</v>
      </c>
      <c r="K5534" s="3">
        <v>100132926828</v>
      </c>
      <c r="L5534" s="10">
        <v>39831</v>
      </c>
      <c r="M5534">
        <v>373.27</v>
      </c>
      <c r="N5534" s="11">
        <v>2</v>
      </c>
      <c r="O5534" s="12">
        <v>179.29</v>
      </c>
      <c r="P5534" s="12">
        <v>29.21</v>
      </c>
      <c r="Q5534" s="13">
        <v>-433.290143</v>
      </c>
      <c r="R5534" s="36" t="s">
        <v>629</v>
      </c>
      <c r="S5534" s="7">
        <f t="shared" si="476"/>
        <v>2</v>
      </c>
      <c r="T5534" s="15" t="str">
        <f>VLOOKUP(R5534,产品分类!$C$2:$D$1278,2,0)</f>
        <v>办公用品</v>
      </c>
    </row>
    <row r="5535" spans="1:20">
      <c r="A5535" s="8">
        <f>DATE(2012,12,31)-538</f>
        <v>40736</v>
      </c>
      <c r="B5535" s="8">
        <f>DATE(2012,12,31)-538</f>
        <v>40736</v>
      </c>
      <c r="C5535" s="9" t="s">
        <v>681</v>
      </c>
      <c r="D5535">
        <v>10021510896</v>
      </c>
      <c r="E5535" t="s">
        <v>47</v>
      </c>
      <c r="F5535" t="s">
        <v>55</v>
      </c>
      <c r="G5535" t="s">
        <v>56</v>
      </c>
      <c r="H5535" t="s">
        <v>2425</v>
      </c>
      <c r="I5535" t="s">
        <v>2426</v>
      </c>
      <c r="J5535" t="s">
        <v>52</v>
      </c>
      <c r="K5535" s="3">
        <v>100132701476</v>
      </c>
      <c r="L5535" s="10">
        <v>40738</v>
      </c>
      <c r="M5535">
        <v>391.9</v>
      </c>
      <c r="N5535" s="11">
        <v>11</v>
      </c>
      <c r="O5535" s="12">
        <v>35.44</v>
      </c>
      <c r="P5535" s="12">
        <v>19.99</v>
      </c>
      <c r="Q5535" s="13">
        <v>-47.01</v>
      </c>
      <c r="R5535" s="36" t="s">
        <v>1146</v>
      </c>
      <c r="S5535" s="7">
        <f t="shared" si="476"/>
        <v>2</v>
      </c>
      <c r="T5535" s="15" t="str">
        <f>VLOOKUP(R5535,产品分类!$C$2:$D$1278,2,0)</f>
        <v>数码电子</v>
      </c>
    </row>
    <row r="5536" spans="1:20">
      <c r="A5536" s="8">
        <f>DATE(2012,12,31)-538</f>
        <v>40736</v>
      </c>
      <c r="B5536" s="8">
        <f>DATE(2012,12,31)-538</f>
        <v>40736</v>
      </c>
      <c r="C5536" s="9" t="s">
        <v>681</v>
      </c>
      <c r="D5536">
        <v>10021354777</v>
      </c>
      <c r="E5536" t="s">
        <v>47</v>
      </c>
      <c r="F5536" t="s">
        <v>152</v>
      </c>
      <c r="G5536" t="s">
        <v>153</v>
      </c>
      <c r="H5536" t="s">
        <v>2441</v>
      </c>
      <c r="I5536" t="s">
        <v>2442</v>
      </c>
      <c r="J5536" t="s">
        <v>52</v>
      </c>
      <c r="K5536" s="3">
        <v>100329458309</v>
      </c>
      <c r="L5536" s="10">
        <v>40741</v>
      </c>
      <c r="M5536">
        <v>1451.59</v>
      </c>
      <c r="N5536" s="11">
        <v>26</v>
      </c>
      <c r="O5536" s="12">
        <v>55.48</v>
      </c>
      <c r="P5536" s="12">
        <v>14.3</v>
      </c>
      <c r="Q5536" s="13">
        <v>435.11</v>
      </c>
      <c r="R5536" s="36" t="s">
        <v>429</v>
      </c>
      <c r="S5536" s="7">
        <f t="shared" si="476"/>
        <v>5</v>
      </c>
      <c r="T5536" s="15" t="str">
        <f>VLOOKUP(R5536,产品分类!$C$2:$D$1278,2,0)</f>
        <v>办公用品</v>
      </c>
    </row>
    <row r="5537" spans="1:20">
      <c r="A5537" s="8">
        <f>DATE(2012,12,31)-901</f>
        <v>40373</v>
      </c>
      <c r="B5537" s="8">
        <f>DATE(2012,12,31)-901</f>
        <v>40373</v>
      </c>
      <c r="C5537" s="9" t="s">
        <v>1074</v>
      </c>
      <c r="D5537">
        <v>10021604862</v>
      </c>
      <c r="E5537" t="s">
        <v>47</v>
      </c>
      <c r="F5537" t="s">
        <v>132</v>
      </c>
      <c r="G5537" t="s">
        <v>133</v>
      </c>
      <c r="H5537" t="s">
        <v>134</v>
      </c>
      <c r="I5537" t="s">
        <v>133</v>
      </c>
      <c r="J5537" t="s">
        <v>52</v>
      </c>
      <c r="K5537" s="3">
        <v>100931355751</v>
      </c>
      <c r="L5537" s="10">
        <v>40375</v>
      </c>
      <c r="M5537">
        <v>801.98</v>
      </c>
      <c r="N5537" s="11">
        <v>34</v>
      </c>
      <c r="O5537" s="12">
        <v>21.66</v>
      </c>
      <c r="P5537" s="12">
        <v>13.99</v>
      </c>
      <c r="Q5537" s="13">
        <v>-99.95</v>
      </c>
      <c r="R5537" s="36" t="s">
        <v>1789</v>
      </c>
      <c r="S5537" s="7">
        <f t="shared" si="476"/>
        <v>2</v>
      </c>
      <c r="T5537" s="15" t="str">
        <f>VLOOKUP(R5537,产品分类!$C$2:$D$1278,2,0)</f>
        <v>数码电子</v>
      </c>
    </row>
    <row r="5538" spans="1:20">
      <c r="A5538" s="16">
        <f>DATE(2012,12,31)-827</f>
        <v>40447</v>
      </c>
      <c r="B5538" s="16">
        <f>DATE(2012,12,31)-827</f>
        <v>40447</v>
      </c>
      <c r="C5538" s="9" t="s">
        <v>240</v>
      </c>
      <c r="D5538">
        <v>10021358088</v>
      </c>
      <c r="E5538" t="s">
        <v>47</v>
      </c>
      <c r="F5538" t="s">
        <v>72</v>
      </c>
      <c r="G5538" t="s">
        <v>73</v>
      </c>
      <c r="H5538" t="s">
        <v>2417</v>
      </c>
      <c r="I5538" t="s">
        <v>2418</v>
      </c>
      <c r="J5538" t="s">
        <v>52</v>
      </c>
      <c r="K5538" s="3">
        <v>100432110724</v>
      </c>
      <c r="L5538" s="10">
        <v>40448</v>
      </c>
      <c r="M5538">
        <v>373.48</v>
      </c>
      <c r="N5538" s="17">
        <v>9</v>
      </c>
      <c r="O5538" s="5">
        <v>40.98</v>
      </c>
      <c r="P5538" s="5">
        <v>2.99</v>
      </c>
      <c r="Q5538" s="6">
        <v>112.0555</v>
      </c>
      <c r="R5538" s="37" t="s">
        <v>374</v>
      </c>
      <c r="S5538" s="7">
        <f t="shared" si="476"/>
        <v>1</v>
      </c>
      <c r="T5538" s="15" t="str">
        <f>VLOOKUP(R5538,产品分类!$C$2:$D$1278,2,0)</f>
        <v>办公用品</v>
      </c>
    </row>
    <row r="5539" spans="1:20">
      <c r="A5539" s="8">
        <f>DATE(2012,12,31)-969</f>
        <v>40305</v>
      </c>
      <c r="B5539" s="8">
        <f>DATE(2012,12,31)-969</f>
        <v>40305</v>
      </c>
      <c r="C5539" s="9" t="s">
        <v>2453</v>
      </c>
      <c r="D5539">
        <v>10021276540</v>
      </c>
      <c r="E5539" t="s">
        <v>47</v>
      </c>
      <c r="F5539" t="s">
        <v>91</v>
      </c>
      <c r="G5539" t="s">
        <v>92</v>
      </c>
      <c r="H5539" t="s">
        <v>2053</v>
      </c>
      <c r="I5539" t="s">
        <v>2054</v>
      </c>
      <c r="J5539" t="s">
        <v>52</v>
      </c>
      <c r="K5539" s="3">
        <v>10091237251</v>
      </c>
      <c r="L5539" s="10">
        <v>40306</v>
      </c>
      <c r="M5539">
        <v>198.08</v>
      </c>
      <c r="N5539" s="11">
        <v>47</v>
      </c>
      <c r="O5539" s="12">
        <v>4.28</v>
      </c>
      <c r="P5539" s="12">
        <v>0.94</v>
      </c>
      <c r="Q5539" s="13">
        <v>32.69</v>
      </c>
      <c r="R5539" s="36" t="s">
        <v>637</v>
      </c>
      <c r="S5539" s="7">
        <f t="shared" si="476"/>
        <v>1</v>
      </c>
      <c r="T5539" s="15" t="str">
        <f>VLOOKUP(R5539,产品分类!$C$2:$D$1278,2,0)</f>
        <v>数码电子</v>
      </c>
    </row>
    <row r="5540" spans="1:20">
      <c r="A5540" s="8">
        <f t="shared" ref="A5540:B5542" si="480">DATE(2012,12,31)-126</f>
        <v>41148</v>
      </c>
      <c r="B5540" s="8">
        <f t="shared" si="480"/>
        <v>41148</v>
      </c>
      <c r="C5540" s="9" t="s">
        <v>982</v>
      </c>
      <c r="D5540">
        <v>10021290587</v>
      </c>
      <c r="E5540" t="s">
        <v>47</v>
      </c>
      <c r="F5540" t="s">
        <v>122</v>
      </c>
      <c r="G5540" t="s">
        <v>123</v>
      </c>
      <c r="H5540" t="s">
        <v>2159</v>
      </c>
      <c r="I5540" t="s">
        <v>2160</v>
      </c>
      <c r="J5540" t="s">
        <v>52</v>
      </c>
      <c r="K5540" s="3">
        <v>100923019861</v>
      </c>
      <c r="L5540" s="10">
        <v>41149</v>
      </c>
      <c r="M5540">
        <v>64.09</v>
      </c>
      <c r="N5540" s="11">
        <v>4</v>
      </c>
      <c r="O5540" s="12">
        <v>15.57</v>
      </c>
      <c r="P5540" s="12">
        <v>1.39</v>
      </c>
      <c r="Q5540" s="13">
        <v>3.72</v>
      </c>
      <c r="R5540" s="36" t="s">
        <v>843</v>
      </c>
      <c r="S5540" s="7">
        <f t="shared" si="476"/>
        <v>1</v>
      </c>
      <c r="T5540" s="15" t="str">
        <f>VLOOKUP(R5540,产品分类!$C$2:$D$1278,2,0)</f>
        <v>办公用品</v>
      </c>
    </row>
    <row r="5541" spans="1:20">
      <c r="A5541" s="8">
        <f t="shared" si="480"/>
        <v>41148</v>
      </c>
      <c r="B5541" s="8">
        <f t="shared" si="480"/>
        <v>41148</v>
      </c>
      <c r="C5541" s="9" t="s">
        <v>982</v>
      </c>
      <c r="D5541">
        <v>10021679127</v>
      </c>
      <c r="E5541" t="s">
        <v>47</v>
      </c>
      <c r="F5541" t="s">
        <v>122</v>
      </c>
      <c r="G5541" t="s">
        <v>123</v>
      </c>
      <c r="H5541" t="s">
        <v>2159</v>
      </c>
      <c r="I5541" t="s">
        <v>2160</v>
      </c>
      <c r="J5541" t="s">
        <v>52</v>
      </c>
      <c r="K5541" s="3">
        <v>100330816039</v>
      </c>
      <c r="L5541" s="10">
        <v>41150</v>
      </c>
      <c r="M5541">
        <v>36.41</v>
      </c>
      <c r="N5541" s="11">
        <v>14</v>
      </c>
      <c r="O5541" s="12">
        <v>2.61</v>
      </c>
      <c r="P5541" s="12">
        <v>0.5</v>
      </c>
      <c r="Q5541" s="13">
        <v>9.94</v>
      </c>
      <c r="R5541" s="36" t="s">
        <v>630</v>
      </c>
      <c r="S5541" s="7">
        <f t="shared" si="476"/>
        <v>2</v>
      </c>
      <c r="T5541" s="15" t="str">
        <f>VLOOKUP(R5541,产品分类!$C$2:$D$1278,2,0)</f>
        <v>数码电子</v>
      </c>
    </row>
    <row r="5542" spans="1:20">
      <c r="A5542" s="8">
        <f t="shared" si="480"/>
        <v>41148</v>
      </c>
      <c r="B5542" s="8">
        <f t="shared" si="480"/>
        <v>41148</v>
      </c>
      <c r="C5542" s="9" t="s">
        <v>982</v>
      </c>
      <c r="D5542">
        <v>10021570567</v>
      </c>
      <c r="E5542" t="s">
        <v>47</v>
      </c>
      <c r="F5542" t="s">
        <v>132</v>
      </c>
      <c r="G5542" t="s">
        <v>133</v>
      </c>
      <c r="H5542" t="s">
        <v>134</v>
      </c>
      <c r="I5542" t="s">
        <v>133</v>
      </c>
      <c r="J5542" t="s">
        <v>52</v>
      </c>
      <c r="K5542" s="3">
        <v>100931007171</v>
      </c>
      <c r="L5542" s="10">
        <v>41150</v>
      </c>
      <c r="M5542">
        <v>981.26</v>
      </c>
      <c r="N5542" s="11">
        <v>16</v>
      </c>
      <c r="O5542" s="12">
        <v>60.98</v>
      </c>
      <c r="P5542" s="12">
        <v>49</v>
      </c>
      <c r="Q5542" s="13">
        <v>-500.35</v>
      </c>
      <c r="R5542" s="36" t="s">
        <v>568</v>
      </c>
      <c r="S5542" s="7">
        <f t="shared" si="476"/>
        <v>2</v>
      </c>
      <c r="T5542" s="15" t="str">
        <f>VLOOKUP(R5542,产品分类!$C$2:$D$1278,2,0)</f>
        <v>家具产品</v>
      </c>
    </row>
    <row r="5543" spans="1:20">
      <c r="A5543" s="8">
        <f>DATE(2012,12,31)-1078</f>
        <v>40196</v>
      </c>
      <c r="B5543" s="8">
        <f>DATE(2012,12,31)-1078</f>
        <v>40196</v>
      </c>
      <c r="C5543" s="9" t="s">
        <v>270</v>
      </c>
      <c r="D5543">
        <v>10021438137</v>
      </c>
      <c r="E5543" t="s">
        <v>47</v>
      </c>
      <c r="F5543" t="s">
        <v>132</v>
      </c>
      <c r="G5543" t="s">
        <v>133</v>
      </c>
      <c r="H5543" t="s">
        <v>134</v>
      </c>
      <c r="I5543" t="s">
        <v>133</v>
      </c>
      <c r="J5543" t="s">
        <v>52</v>
      </c>
      <c r="K5543" s="3">
        <v>100732535615</v>
      </c>
      <c r="L5543" s="10">
        <v>40198</v>
      </c>
      <c r="M5543">
        <v>430.33</v>
      </c>
      <c r="N5543" s="11">
        <v>26</v>
      </c>
      <c r="O5543" s="12">
        <v>17.78</v>
      </c>
      <c r="P5543" s="12">
        <v>5.03</v>
      </c>
      <c r="Q5543" s="13">
        <v>85.48</v>
      </c>
      <c r="R5543" s="36" t="s">
        <v>1190</v>
      </c>
      <c r="S5543" s="7">
        <f t="shared" si="476"/>
        <v>2</v>
      </c>
      <c r="T5543" s="15" t="str">
        <f>VLOOKUP(R5543,产品分类!$C$2:$D$1278,2,0)</f>
        <v>办公用品</v>
      </c>
    </row>
    <row r="5544" spans="1:20">
      <c r="A5544" s="8">
        <f>DATE(2012,12,31)-1078</f>
        <v>40196</v>
      </c>
      <c r="B5544" s="8">
        <f>DATE(2012,12,31)-1078</f>
        <v>40196</v>
      </c>
      <c r="C5544" s="9" t="s">
        <v>270</v>
      </c>
      <c r="D5544">
        <v>10021648031</v>
      </c>
      <c r="E5544" t="s">
        <v>47</v>
      </c>
      <c r="F5544" t="s">
        <v>102</v>
      </c>
      <c r="G5544" t="s">
        <v>103</v>
      </c>
      <c r="H5544" t="s">
        <v>2400</v>
      </c>
      <c r="I5544" t="s">
        <v>2401</v>
      </c>
      <c r="J5544" t="s">
        <v>52</v>
      </c>
      <c r="K5544" s="3">
        <v>100731577755</v>
      </c>
      <c r="L5544" s="10">
        <v>40197</v>
      </c>
      <c r="M5544">
        <v>1221.47</v>
      </c>
      <c r="N5544" s="11">
        <v>46</v>
      </c>
      <c r="O5544" s="12">
        <v>28.28</v>
      </c>
      <c r="P5544" s="12">
        <v>13.99</v>
      </c>
      <c r="Q5544" s="13">
        <v>-233.14</v>
      </c>
      <c r="R5544" s="36" t="s">
        <v>927</v>
      </c>
      <c r="S5544" s="7">
        <f t="shared" si="476"/>
        <v>1</v>
      </c>
      <c r="T5544" s="15" t="str">
        <f>VLOOKUP(R5544,产品分类!$C$2:$D$1278,2,0)</f>
        <v>办公用品</v>
      </c>
    </row>
    <row r="5545" spans="1:20">
      <c r="A5545" s="16">
        <f>DATE(2012,12,31)-619</f>
        <v>40655</v>
      </c>
      <c r="B5545" s="16">
        <f>DATE(2012,12,31)-619</f>
        <v>40655</v>
      </c>
      <c r="C5545" s="9" t="s">
        <v>1185</v>
      </c>
      <c r="D5545">
        <v>10021570814</v>
      </c>
      <c r="E5545" t="s">
        <v>47</v>
      </c>
      <c r="F5545" t="s">
        <v>527</v>
      </c>
      <c r="G5545" t="s">
        <v>528</v>
      </c>
      <c r="H5545" t="s">
        <v>2454</v>
      </c>
      <c r="I5545" t="s">
        <v>2455</v>
      </c>
      <c r="J5545" t="s">
        <v>52</v>
      </c>
      <c r="K5545" s="3">
        <v>10014189927</v>
      </c>
      <c r="L5545" s="10">
        <v>40657</v>
      </c>
      <c r="M5545">
        <v>324.2</v>
      </c>
      <c r="N5545" s="17">
        <v>44</v>
      </c>
      <c r="O5545" s="5">
        <v>7.1</v>
      </c>
      <c r="P5545" s="5">
        <v>6.05</v>
      </c>
      <c r="Q5545" s="6">
        <v>-89.746</v>
      </c>
      <c r="R5545" s="37" t="s">
        <v>958</v>
      </c>
      <c r="S5545" s="7">
        <f t="shared" si="476"/>
        <v>2</v>
      </c>
      <c r="T5545" s="15" t="str">
        <f>VLOOKUP(R5545,产品分类!$C$2:$D$1278,2,0)</f>
        <v>办公用品</v>
      </c>
    </row>
    <row r="5546" spans="1:20">
      <c r="A5546" s="16">
        <f>DATE(2012,12,31)-619</f>
        <v>40655</v>
      </c>
      <c r="B5546" s="16">
        <f>DATE(2012,12,31)-619</f>
        <v>40655</v>
      </c>
      <c r="C5546" s="9" t="s">
        <v>1185</v>
      </c>
      <c r="D5546">
        <v>10021458769</v>
      </c>
      <c r="E5546" t="s">
        <v>47</v>
      </c>
      <c r="F5546" t="s">
        <v>177</v>
      </c>
      <c r="G5546" t="s">
        <v>178</v>
      </c>
      <c r="H5546" t="s">
        <v>2451</v>
      </c>
      <c r="I5546" t="s">
        <v>2452</v>
      </c>
      <c r="J5546" t="s">
        <v>52</v>
      </c>
      <c r="K5546" s="3">
        <v>100825716702</v>
      </c>
      <c r="L5546" s="10">
        <v>40658</v>
      </c>
      <c r="M5546">
        <v>156.95</v>
      </c>
      <c r="N5546" s="17">
        <v>45</v>
      </c>
      <c r="O5546" s="5">
        <v>3.74</v>
      </c>
      <c r="P5546" s="5">
        <v>0.94</v>
      </c>
      <c r="Q5546" s="6">
        <v>-32.52</v>
      </c>
      <c r="R5546" s="37" t="s">
        <v>2456</v>
      </c>
      <c r="S5546" s="7">
        <f t="shared" si="476"/>
        <v>3</v>
      </c>
      <c r="T5546" s="15" t="str">
        <f>VLOOKUP(R5546,产品分类!$C$2:$D$1278,2,0)</f>
        <v>办公用品</v>
      </c>
    </row>
    <row r="5547" spans="1:20">
      <c r="A5547" s="8">
        <f>DATE(2012,12,31)-66</f>
        <v>41208</v>
      </c>
      <c r="B5547" s="8">
        <f>DATE(2012,12,31)-66</f>
        <v>41208</v>
      </c>
      <c r="C5547" s="9" t="s">
        <v>837</v>
      </c>
      <c r="D5547">
        <v>10021317842</v>
      </c>
      <c r="E5547" t="s">
        <v>47</v>
      </c>
      <c r="F5547" t="s">
        <v>61</v>
      </c>
      <c r="G5547" t="s">
        <v>62</v>
      </c>
      <c r="H5547" t="s">
        <v>2431</v>
      </c>
      <c r="I5547" t="s">
        <v>2432</v>
      </c>
      <c r="J5547" t="s">
        <v>52</v>
      </c>
      <c r="K5547" s="3">
        <v>10074217655</v>
      </c>
      <c r="L5547" s="10">
        <v>41215</v>
      </c>
      <c r="M5547">
        <v>464.695</v>
      </c>
      <c r="N5547" s="11">
        <v>16</v>
      </c>
      <c r="O5547" s="12">
        <v>35.99</v>
      </c>
      <c r="P5547" s="12">
        <v>2.5</v>
      </c>
      <c r="Q5547" s="13">
        <v>107.505</v>
      </c>
      <c r="R5547" s="36" t="s">
        <v>2457</v>
      </c>
      <c r="S5547" s="7">
        <f t="shared" si="476"/>
        <v>7</v>
      </c>
      <c r="T5547" s="15" t="str">
        <f>VLOOKUP(R5547,产品分类!$C$2:$D$1278,2,0)</f>
        <v>办公用品</v>
      </c>
    </row>
    <row r="5548" spans="1:20">
      <c r="A5548" s="8">
        <f>DATE(2012,12,31)-694</f>
        <v>40580</v>
      </c>
      <c r="B5548" s="8">
        <f>DATE(2012,12,31)-694</f>
        <v>40580</v>
      </c>
      <c r="C5548" s="9" t="s">
        <v>1318</v>
      </c>
      <c r="D5548">
        <v>10021644075</v>
      </c>
      <c r="E5548" t="s">
        <v>47</v>
      </c>
      <c r="F5548" t="s">
        <v>61</v>
      </c>
      <c r="G5548" t="s">
        <v>62</v>
      </c>
      <c r="H5548" t="s">
        <v>2431</v>
      </c>
      <c r="I5548" t="s">
        <v>2432</v>
      </c>
      <c r="J5548" t="s">
        <v>52</v>
      </c>
      <c r="K5548" s="3">
        <v>100932008511</v>
      </c>
      <c r="L5548" s="10">
        <v>40580</v>
      </c>
      <c r="M5548">
        <v>65.78</v>
      </c>
      <c r="N5548" s="11">
        <v>11</v>
      </c>
      <c r="O5548" s="12">
        <v>5.81</v>
      </c>
      <c r="P5548" s="12">
        <v>3.37</v>
      </c>
      <c r="Q5548" s="13">
        <v>-17.42</v>
      </c>
      <c r="R5548" s="36" t="s">
        <v>224</v>
      </c>
      <c r="S5548" s="7">
        <f t="shared" si="476"/>
        <v>0</v>
      </c>
      <c r="T5548" s="15" t="str">
        <f>VLOOKUP(R5548,产品分类!$C$2:$D$1278,2,0)</f>
        <v>办公用品</v>
      </c>
    </row>
    <row r="5549" spans="1:20">
      <c r="A5549" s="8">
        <f>DATE(2012,12,31)-253</f>
        <v>41021</v>
      </c>
      <c r="B5549" s="8">
        <f>DATE(2012,12,31)-253</f>
        <v>41021</v>
      </c>
      <c r="C5549" s="9" t="s">
        <v>2351</v>
      </c>
      <c r="D5549">
        <v>10021512492</v>
      </c>
      <c r="E5549" t="s">
        <v>47</v>
      </c>
      <c r="F5549" t="s">
        <v>61</v>
      </c>
      <c r="G5549" t="s">
        <v>62</v>
      </c>
      <c r="H5549" t="s">
        <v>2431</v>
      </c>
      <c r="I5549" t="s">
        <v>2432</v>
      </c>
      <c r="J5549" t="s">
        <v>52</v>
      </c>
      <c r="K5549" s="3">
        <v>100430771903</v>
      </c>
      <c r="L5549" s="10">
        <v>41023</v>
      </c>
      <c r="M5549">
        <v>44.51</v>
      </c>
      <c r="N5549" s="11">
        <v>9</v>
      </c>
      <c r="O5549" s="12">
        <v>4.06</v>
      </c>
      <c r="P5549" s="12">
        <v>6.89</v>
      </c>
      <c r="Q5549" s="13">
        <v>-43.48</v>
      </c>
      <c r="R5549" s="36" t="s">
        <v>1285</v>
      </c>
      <c r="S5549" s="7">
        <f t="shared" si="476"/>
        <v>2</v>
      </c>
      <c r="T5549" s="15" t="str">
        <f>VLOOKUP(R5549,产品分类!$C$2:$D$1278,2,0)</f>
        <v>办公用品</v>
      </c>
    </row>
    <row r="5550" spans="1:20">
      <c r="A5550" s="8">
        <f>DATE(2012,12,31)-1380</f>
        <v>39894</v>
      </c>
      <c r="B5550" s="8">
        <f>DATE(2012,12,31)-1380</f>
        <v>39894</v>
      </c>
      <c r="C5550" s="9" t="s">
        <v>1091</v>
      </c>
      <c r="D5550">
        <v>10021328587</v>
      </c>
      <c r="E5550" t="s">
        <v>47</v>
      </c>
      <c r="F5550" t="s">
        <v>61</v>
      </c>
      <c r="G5550" t="s">
        <v>62</v>
      </c>
      <c r="H5550" t="s">
        <v>2431</v>
      </c>
      <c r="I5550" t="s">
        <v>2432</v>
      </c>
      <c r="J5550" t="s">
        <v>52</v>
      </c>
      <c r="K5550" s="3">
        <v>100117660118</v>
      </c>
      <c r="L5550" s="10">
        <v>39896</v>
      </c>
      <c r="M5550">
        <v>33.54</v>
      </c>
      <c r="N5550" s="11">
        <v>4</v>
      </c>
      <c r="O5550" s="12">
        <v>6.84</v>
      </c>
      <c r="P5550" s="12">
        <v>8.37</v>
      </c>
      <c r="Q5550" s="13">
        <v>-29.49</v>
      </c>
      <c r="R5550" s="36" t="s">
        <v>1239</v>
      </c>
      <c r="S5550" s="7">
        <f t="shared" si="476"/>
        <v>2</v>
      </c>
      <c r="T5550" s="15" t="str">
        <f>VLOOKUP(R5550,产品分类!$C$2:$D$1278,2,0)</f>
        <v>办公用品</v>
      </c>
    </row>
    <row r="5551" spans="1:20">
      <c r="A5551" s="8">
        <f>DATE(2012,12,31)-1380</f>
        <v>39894</v>
      </c>
      <c r="B5551" s="8">
        <f>DATE(2012,12,31)-1380</f>
        <v>39894</v>
      </c>
      <c r="C5551" s="9" t="s">
        <v>1091</v>
      </c>
      <c r="D5551">
        <v>10021572039</v>
      </c>
      <c r="E5551" t="s">
        <v>47</v>
      </c>
      <c r="F5551" t="s">
        <v>61</v>
      </c>
      <c r="G5551" t="s">
        <v>62</v>
      </c>
      <c r="H5551" t="s">
        <v>2431</v>
      </c>
      <c r="I5551" t="s">
        <v>2432</v>
      </c>
      <c r="J5551" t="s">
        <v>52</v>
      </c>
      <c r="K5551" s="3">
        <v>100931987741</v>
      </c>
      <c r="L5551" s="10">
        <v>39895</v>
      </c>
      <c r="M5551">
        <v>2232.66</v>
      </c>
      <c r="N5551" s="11">
        <v>16</v>
      </c>
      <c r="O5551" s="12">
        <v>152.48</v>
      </c>
      <c r="P5551" s="12">
        <v>4</v>
      </c>
      <c r="Q5551" s="13">
        <v>-521.09</v>
      </c>
      <c r="R5551" s="36" t="s">
        <v>505</v>
      </c>
      <c r="S5551" s="7">
        <f t="shared" si="476"/>
        <v>1</v>
      </c>
      <c r="T5551" s="15" t="str">
        <f>VLOOKUP(R5551,产品分类!$C$2:$D$1278,2,0)</f>
        <v>家具产品</v>
      </c>
    </row>
    <row r="5552" spans="1:20">
      <c r="A5552" s="8">
        <f>DATE(2012,12,31)-898</f>
        <v>40376</v>
      </c>
      <c r="B5552" s="8">
        <f>DATE(2012,12,31)-898</f>
        <v>40376</v>
      </c>
      <c r="C5552" s="9" t="s">
        <v>1818</v>
      </c>
      <c r="D5552">
        <v>10021474524</v>
      </c>
      <c r="E5552" t="s">
        <v>47</v>
      </c>
      <c r="F5552" t="s">
        <v>91</v>
      </c>
      <c r="G5552" t="s">
        <v>92</v>
      </c>
      <c r="H5552" t="s">
        <v>2053</v>
      </c>
      <c r="I5552" t="s">
        <v>2054</v>
      </c>
      <c r="J5552" t="s">
        <v>52</v>
      </c>
      <c r="K5552" s="3">
        <v>100116347757</v>
      </c>
      <c r="L5552" s="10">
        <v>40377</v>
      </c>
      <c r="M5552">
        <v>184.77</v>
      </c>
      <c r="N5552" s="11">
        <v>29</v>
      </c>
      <c r="O5552" s="12">
        <v>5.74</v>
      </c>
      <c r="P5552" s="12">
        <v>5.3</v>
      </c>
      <c r="Q5552" s="13">
        <v>-71.96</v>
      </c>
      <c r="R5552" s="36" t="s">
        <v>1793</v>
      </c>
      <c r="S5552" s="7">
        <f t="shared" si="476"/>
        <v>1</v>
      </c>
      <c r="T5552" s="15" t="str">
        <f>VLOOKUP(R5552,产品分类!$C$2:$D$1278,2,0)</f>
        <v>办公用品</v>
      </c>
    </row>
    <row r="5553" spans="1:20">
      <c r="A5553" s="8">
        <f>DATE(2012,12,31)-475</f>
        <v>40799</v>
      </c>
      <c r="B5553" s="8">
        <f>DATE(2012,12,31)-475</f>
        <v>40799</v>
      </c>
      <c r="C5553" s="9" t="s">
        <v>1534</v>
      </c>
      <c r="D5553">
        <v>10021685097</v>
      </c>
      <c r="E5553" t="s">
        <v>47</v>
      </c>
      <c r="F5553" t="s">
        <v>167</v>
      </c>
      <c r="G5553" t="s">
        <v>168</v>
      </c>
      <c r="H5553" t="s">
        <v>169</v>
      </c>
      <c r="I5553" t="s">
        <v>168</v>
      </c>
      <c r="J5553" t="s">
        <v>52</v>
      </c>
      <c r="K5553" s="3">
        <v>100832953882</v>
      </c>
      <c r="L5553" s="10">
        <v>40800</v>
      </c>
      <c r="M5553">
        <v>149.4</v>
      </c>
      <c r="N5553" s="11">
        <v>23</v>
      </c>
      <c r="O5553" s="12">
        <v>5.81</v>
      </c>
      <c r="P5553" s="12">
        <v>8.49</v>
      </c>
      <c r="Q5553" s="13">
        <v>-126.0515</v>
      </c>
      <c r="R5553" s="36" t="s">
        <v>1248</v>
      </c>
      <c r="S5553" s="7">
        <f t="shared" si="476"/>
        <v>1</v>
      </c>
      <c r="T5553" s="15" t="str">
        <f>VLOOKUP(R5553,产品分类!$C$2:$D$1278,2,0)</f>
        <v>数码电子</v>
      </c>
    </row>
    <row r="5554" spans="1:20">
      <c r="A5554" s="8">
        <f>DATE(2012,12,31)-449</f>
        <v>40825</v>
      </c>
      <c r="B5554" s="8">
        <f>DATE(2012,12,31)-449</f>
        <v>40825</v>
      </c>
      <c r="C5554" s="9" t="s">
        <v>1088</v>
      </c>
      <c r="D5554">
        <v>10021396634</v>
      </c>
      <c r="E5554" t="s">
        <v>47</v>
      </c>
      <c r="F5554" t="s">
        <v>66</v>
      </c>
      <c r="G5554" t="s">
        <v>67</v>
      </c>
      <c r="H5554" t="s">
        <v>2413</v>
      </c>
      <c r="I5554" t="s">
        <v>2414</v>
      </c>
      <c r="J5554" t="s">
        <v>52</v>
      </c>
      <c r="K5554" s="3">
        <v>100723344365</v>
      </c>
      <c r="L5554" s="10">
        <v>40826</v>
      </c>
      <c r="M5554">
        <v>198.72</v>
      </c>
      <c r="N5554" s="11">
        <v>4</v>
      </c>
      <c r="O5554" s="12">
        <v>40.97</v>
      </c>
      <c r="P5554" s="12">
        <v>14.45</v>
      </c>
      <c r="Q5554" s="13">
        <v>-34.43</v>
      </c>
      <c r="R5554" s="36" t="s">
        <v>542</v>
      </c>
      <c r="S5554" s="7">
        <f t="shared" si="476"/>
        <v>1</v>
      </c>
      <c r="T5554" s="15" t="str">
        <f>VLOOKUP(R5554,产品分类!$C$2:$D$1278,2,0)</f>
        <v>办公用品</v>
      </c>
    </row>
    <row r="5555" spans="1:20">
      <c r="A5555" s="8">
        <f>DATE(2012,12,31)-1048</f>
        <v>40226</v>
      </c>
      <c r="B5555" s="8">
        <f>DATE(2012,12,31)-1048</f>
        <v>40226</v>
      </c>
      <c r="C5555" s="9" t="s">
        <v>1380</v>
      </c>
      <c r="D5555">
        <v>10021279508</v>
      </c>
      <c r="E5555" t="s">
        <v>47</v>
      </c>
      <c r="F5555" t="s">
        <v>152</v>
      </c>
      <c r="G5555" t="s">
        <v>153</v>
      </c>
      <c r="H5555" t="s">
        <v>2441</v>
      </c>
      <c r="I5555" t="s">
        <v>2442</v>
      </c>
      <c r="J5555" t="s">
        <v>52</v>
      </c>
      <c r="K5555" s="3">
        <v>10091936001</v>
      </c>
      <c r="L5555" s="10">
        <v>40228</v>
      </c>
      <c r="M5555">
        <v>8955.34</v>
      </c>
      <c r="N5555" s="11">
        <v>31</v>
      </c>
      <c r="O5555" s="12">
        <v>320.98</v>
      </c>
      <c r="P5555" s="12">
        <v>24.49</v>
      </c>
      <c r="Q5555" s="13">
        <v>2081.48</v>
      </c>
      <c r="R5555" s="36" t="s">
        <v>1574</v>
      </c>
      <c r="S5555" s="7">
        <f t="shared" si="476"/>
        <v>2</v>
      </c>
      <c r="T5555" s="15" t="str">
        <f>VLOOKUP(R5555,产品分类!$C$2:$D$1278,2,0)</f>
        <v>办公用品</v>
      </c>
    </row>
    <row r="5556" spans="1:20">
      <c r="A5556" s="8">
        <f>DATE(2012,12,31)-1048</f>
        <v>40226</v>
      </c>
      <c r="B5556" s="8">
        <f>DATE(2012,12,31)-1048</f>
        <v>40226</v>
      </c>
      <c r="C5556" s="9" t="s">
        <v>1380</v>
      </c>
      <c r="D5556">
        <v>10021248134</v>
      </c>
      <c r="E5556" t="s">
        <v>47</v>
      </c>
      <c r="F5556" t="s">
        <v>152</v>
      </c>
      <c r="G5556" t="s">
        <v>153</v>
      </c>
      <c r="H5556" t="s">
        <v>2441</v>
      </c>
      <c r="I5556" t="s">
        <v>2442</v>
      </c>
      <c r="J5556" t="s">
        <v>52</v>
      </c>
      <c r="K5556" s="3">
        <v>1004329934</v>
      </c>
      <c r="L5556" s="10">
        <v>40226</v>
      </c>
      <c r="M5556">
        <v>95.22</v>
      </c>
      <c r="N5556" s="11">
        <v>18</v>
      </c>
      <c r="O5556" s="12">
        <v>4.98</v>
      </c>
      <c r="P5556" s="12">
        <v>4.7</v>
      </c>
      <c r="Q5556" s="13">
        <v>-33.4</v>
      </c>
      <c r="R5556" s="36" t="s">
        <v>1648</v>
      </c>
      <c r="S5556" s="7">
        <f t="shared" si="476"/>
        <v>0</v>
      </c>
      <c r="T5556" s="15" t="str">
        <f>VLOOKUP(R5556,产品分类!$C$2:$D$1278,2,0)</f>
        <v>办公用品</v>
      </c>
    </row>
    <row r="5557" spans="1:20">
      <c r="A5557" s="8">
        <f>DATE(2012,12,31)-1316</f>
        <v>39958</v>
      </c>
      <c r="B5557" s="8">
        <f>DATE(2012,12,31)-1316</f>
        <v>39958</v>
      </c>
      <c r="C5557" s="9" t="s">
        <v>2056</v>
      </c>
      <c r="D5557">
        <v>10021664571</v>
      </c>
      <c r="E5557" t="s">
        <v>47</v>
      </c>
      <c r="F5557" t="s">
        <v>97</v>
      </c>
      <c r="G5557" t="s">
        <v>98</v>
      </c>
      <c r="H5557" t="s">
        <v>99</v>
      </c>
      <c r="I5557" t="s">
        <v>98</v>
      </c>
      <c r="J5557" t="s">
        <v>52</v>
      </c>
      <c r="K5557" s="3">
        <v>100125259188</v>
      </c>
      <c r="L5557" s="10">
        <v>39959</v>
      </c>
      <c r="M5557">
        <v>113.23</v>
      </c>
      <c r="N5557" s="11">
        <v>24</v>
      </c>
      <c r="O5557" s="12">
        <v>4.77</v>
      </c>
      <c r="P5557" s="12">
        <v>2.39</v>
      </c>
      <c r="Q5557" s="13">
        <v>-45.64</v>
      </c>
      <c r="R5557" s="36" t="s">
        <v>1398</v>
      </c>
      <c r="S5557" s="7">
        <f t="shared" si="476"/>
        <v>1</v>
      </c>
      <c r="T5557" s="15" t="str">
        <f>VLOOKUP(R5557,产品分类!$C$2:$D$1278,2,0)</f>
        <v>办公用品</v>
      </c>
    </row>
    <row r="5558" spans="1:20">
      <c r="A5558" s="8">
        <f>DATE(2012,12,31)-1316</f>
        <v>39958</v>
      </c>
      <c r="B5558" s="8">
        <f>DATE(2012,12,31)-1316</f>
        <v>39958</v>
      </c>
      <c r="C5558" s="9" t="s">
        <v>2056</v>
      </c>
      <c r="D5558">
        <v>10021660988</v>
      </c>
      <c r="E5558" t="s">
        <v>47</v>
      </c>
      <c r="F5558" t="s">
        <v>97</v>
      </c>
      <c r="G5558" t="s">
        <v>98</v>
      </c>
      <c r="H5558" t="s">
        <v>99</v>
      </c>
      <c r="I5558" t="s">
        <v>98</v>
      </c>
      <c r="J5558" t="s">
        <v>52</v>
      </c>
      <c r="K5558" s="3">
        <v>100715639655</v>
      </c>
      <c r="L5558" s="10">
        <v>39960</v>
      </c>
      <c r="M5558">
        <v>889.84</v>
      </c>
      <c r="N5558" s="11">
        <v>34</v>
      </c>
      <c r="O5558" s="12">
        <v>27.18</v>
      </c>
      <c r="P5558" s="12">
        <v>8.23</v>
      </c>
      <c r="Q5558" s="13">
        <v>204.49</v>
      </c>
      <c r="R5558" s="36" t="s">
        <v>1544</v>
      </c>
      <c r="S5558" s="7">
        <f t="shared" si="476"/>
        <v>2</v>
      </c>
      <c r="T5558" s="15" t="str">
        <f>VLOOKUP(R5558,产品分类!$C$2:$D$1278,2,0)</f>
        <v>数码电子</v>
      </c>
    </row>
    <row r="5559" spans="1:20">
      <c r="A5559" s="8">
        <f>DATE(2012,12,31)-52</f>
        <v>41222</v>
      </c>
      <c r="B5559" s="8">
        <f>DATE(2012,12,31)-52</f>
        <v>41222</v>
      </c>
      <c r="C5559" s="9" t="s">
        <v>1618</v>
      </c>
      <c r="D5559">
        <v>10021582220</v>
      </c>
      <c r="E5559" t="s">
        <v>47</v>
      </c>
      <c r="F5559" t="s">
        <v>152</v>
      </c>
      <c r="G5559" t="s">
        <v>153</v>
      </c>
      <c r="H5559" t="s">
        <v>2441</v>
      </c>
      <c r="I5559" t="s">
        <v>2442</v>
      </c>
      <c r="J5559" t="s">
        <v>52</v>
      </c>
      <c r="K5559" s="3">
        <v>100925399481</v>
      </c>
      <c r="L5559" s="10">
        <v>41223</v>
      </c>
      <c r="M5559">
        <v>2754.93</v>
      </c>
      <c r="N5559" s="11">
        <v>29</v>
      </c>
      <c r="O5559" s="12">
        <v>92.23</v>
      </c>
      <c r="P5559" s="12">
        <v>39.61</v>
      </c>
      <c r="Q5559" s="13">
        <v>-1.32999999999998</v>
      </c>
      <c r="R5559" s="36" t="s">
        <v>1164</v>
      </c>
      <c r="S5559" s="7">
        <f t="shared" si="476"/>
        <v>1</v>
      </c>
      <c r="T5559" s="15" t="str">
        <f>VLOOKUP(R5559,产品分类!$C$2:$D$1278,2,0)</f>
        <v>数码电子</v>
      </c>
    </row>
    <row r="5560" spans="1:20">
      <c r="A5560" s="8">
        <f>DATE(2012,12,31)-52</f>
        <v>41222</v>
      </c>
      <c r="B5560" s="8">
        <f>DATE(2012,12,31)-52</f>
        <v>41222</v>
      </c>
      <c r="C5560" s="9" t="s">
        <v>1618</v>
      </c>
      <c r="D5560">
        <v>10021494061</v>
      </c>
      <c r="E5560" t="s">
        <v>47</v>
      </c>
      <c r="F5560" t="s">
        <v>66</v>
      </c>
      <c r="G5560" t="s">
        <v>67</v>
      </c>
      <c r="H5560" t="s">
        <v>2413</v>
      </c>
      <c r="I5560" t="s">
        <v>2414</v>
      </c>
      <c r="J5560" t="s">
        <v>52</v>
      </c>
      <c r="K5560" s="3">
        <v>10049701454</v>
      </c>
      <c r="L5560" s="10">
        <v>41224</v>
      </c>
      <c r="M5560">
        <v>19417.55</v>
      </c>
      <c r="N5560" s="11">
        <v>15</v>
      </c>
      <c r="O5560" s="12">
        <v>1270.99</v>
      </c>
      <c r="P5560" s="12">
        <v>19.99</v>
      </c>
      <c r="Q5560" s="13">
        <v>8417.567</v>
      </c>
      <c r="R5560" s="36" t="s">
        <v>929</v>
      </c>
      <c r="S5560" s="7">
        <f t="shared" si="476"/>
        <v>2</v>
      </c>
      <c r="T5560" s="15" t="str">
        <f>VLOOKUP(R5560,产品分类!$C$2:$D$1278,2,0)</f>
        <v>数码电子</v>
      </c>
    </row>
    <row r="5561" spans="1:20">
      <c r="A5561" s="8">
        <f>DATE(2012,12,31)-231</f>
        <v>41043</v>
      </c>
      <c r="B5561" s="8">
        <f>DATE(2012,12,31)-231</f>
        <v>41043</v>
      </c>
      <c r="C5561" s="9" t="s">
        <v>1233</v>
      </c>
      <c r="D5561">
        <v>10021595685</v>
      </c>
      <c r="E5561" t="s">
        <v>47</v>
      </c>
      <c r="F5561" t="s">
        <v>72</v>
      </c>
      <c r="G5561" t="s">
        <v>73</v>
      </c>
      <c r="H5561" t="s">
        <v>2417</v>
      </c>
      <c r="I5561" t="s">
        <v>2418</v>
      </c>
      <c r="J5561" t="s">
        <v>52</v>
      </c>
      <c r="K5561" s="3">
        <v>100432813003</v>
      </c>
      <c r="L5561" s="10">
        <v>41046</v>
      </c>
      <c r="M5561">
        <v>931.08</v>
      </c>
      <c r="N5561" s="11">
        <v>32</v>
      </c>
      <c r="O5561" s="12">
        <v>29.89</v>
      </c>
      <c r="P5561" s="12">
        <v>1.99</v>
      </c>
      <c r="Q5561" s="13">
        <v>269.6</v>
      </c>
      <c r="R5561" s="36" t="s">
        <v>866</v>
      </c>
      <c r="S5561" s="7">
        <f t="shared" si="476"/>
        <v>3</v>
      </c>
      <c r="T5561" s="15" t="str">
        <f>VLOOKUP(R5561,产品分类!$C$2:$D$1278,2,0)</f>
        <v>办公用品</v>
      </c>
    </row>
    <row r="5562" spans="1:20">
      <c r="A5562" s="8">
        <f>DATE(2012,12,31)-1243</f>
        <v>40031</v>
      </c>
      <c r="B5562" s="8">
        <f>DATE(2012,12,31)-1243</f>
        <v>40031</v>
      </c>
      <c r="C5562" s="9" t="s">
        <v>1006</v>
      </c>
      <c r="D5562">
        <v>10021353444</v>
      </c>
      <c r="E5562" t="s">
        <v>47</v>
      </c>
      <c r="F5562" t="s">
        <v>78</v>
      </c>
      <c r="G5562" t="s">
        <v>79</v>
      </c>
      <c r="H5562" t="s">
        <v>2420</v>
      </c>
      <c r="I5562" t="s">
        <v>2421</v>
      </c>
      <c r="J5562" t="s">
        <v>52</v>
      </c>
      <c r="K5562" s="3">
        <v>100132567458</v>
      </c>
      <c r="L5562" s="10">
        <v>40032</v>
      </c>
      <c r="M5562">
        <v>177.88</v>
      </c>
      <c r="N5562" s="11">
        <v>45</v>
      </c>
      <c r="O5562" s="12">
        <v>4.13</v>
      </c>
      <c r="P5562" s="12">
        <v>5.04</v>
      </c>
      <c r="Q5562" s="13">
        <v>-146.97</v>
      </c>
      <c r="R5562" s="36" t="s">
        <v>554</v>
      </c>
      <c r="S5562" s="7">
        <f t="shared" si="476"/>
        <v>1</v>
      </c>
      <c r="T5562" s="15" t="str">
        <f>VLOOKUP(R5562,产品分类!$C$2:$D$1278,2,0)</f>
        <v>办公用品</v>
      </c>
    </row>
    <row r="5563" spans="1:20">
      <c r="A5563" s="8">
        <f>DATE(2012,12,31)-1243</f>
        <v>40031</v>
      </c>
      <c r="B5563" s="8">
        <f>DATE(2012,12,31)-1243</f>
        <v>40031</v>
      </c>
      <c r="C5563" s="9" t="s">
        <v>1006</v>
      </c>
      <c r="D5563">
        <v>10021292989</v>
      </c>
      <c r="E5563" t="s">
        <v>47</v>
      </c>
      <c r="F5563" t="s">
        <v>72</v>
      </c>
      <c r="G5563" t="s">
        <v>73</v>
      </c>
      <c r="H5563" t="s">
        <v>2417</v>
      </c>
      <c r="I5563" t="s">
        <v>2418</v>
      </c>
      <c r="J5563" t="s">
        <v>52</v>
      </c>
      <c r="K5563" s="3">
        <v>10013633898</v>
      </c>
      <c r="L5563" s="10">
        <v>40033</v>
      </c>
      <c r="M5563">
        <v>139.59</v>
      </c>
      <c r="N5563" s="11">
        <v>30</v>
      </c>
      <c r="O5563" s="12">
        <v>4.48</v>
      </c>
      <c r="P5563" s="12">
        <v>2.5</v>
      </c>
      <c r="Q5563" s="13">
        <v>5.9</v>
      </c>
      <c r="R5563" s="36" t="s">
        <v>1701</v>
      </c>
      <c r="S5563" s="7">
        <f t="shared" si="476"/>
        <v>2</v>
      </c>
      <c r="T5563" s="15" t="str">
        <f>VLOOKUP(R5563,产品分类!$C$2:$D$1278,2,0)</f>
        <v>办公用品</v>
      </c>
    </row>
    <row r="5564" spans="1:20">
      <c r="A5564" s="8">
        <f>DATE(2012,12,31)-775</f>
        <v>40499</v>
      </c>
      <c r="B5564" s="8">
        <f>DATE(2012,12,31)-775</f>
        <v>40499</v>
      </c>
      <c r="C5564" s="9" t="s">
        <v>1730</v>
      </c>
      <c r="D5564">
        <v>10021658215</v>
      </c>
      <c r="E5564" t="s">
        <v>47</v>
      </c>
      <c r="F5564" t="s">
        <v>78</v>
      </c>
      <c r="G5564" t="s">
        <v>79</v>
      </c>
      <c r="H5564" t="s">
        <v>2420</v>
      </c>
      <c r="I5564" t="s">
        <v>2421</v>
      </c>
      <c r="J5564" t="s">
        <v>52</v>
      </c>
      <c r="K5564" s="3">
        <v>100313014669</v>
      </c>
      <c r="L5564" s="10">
        <v>40501</v>
      </c>
      <c r="M5564">
        <v>218.29</v>
      </c>
      <c r="N5564" s="11">
        <v>23</v>
      </c>
      <c r="O5564" s="12">
        <v>9.49</v>
      </c>
      <c r="P5564" s="12">
        <v>5.76</v>
      </c>
      <c r="Q5564" s="13">
        <v>-32.4336</v>
      </c>
      <c r="R5564" s="36" t="s">
        <v>2107</v>
      </c>
      <c r="S5564" s="7">
        <f t="shared" si="476"/>
        <v>2</v>
      </c>
      <c r="T5564" s="15" t="str">
        <f>VLOOKUP(R5564,产品分类!$C$2:$D$1278,2,0)</f>
        <v>办公用品</v>
      </c>
    </row>
    <row r="5565" spans="1:20">
      <c r="A5565" s="8">
        <f>DATE(2012,12,31)-14</f>
        <v>41260</v>
      </c>
      <c r="B5565" s="8">
        <f>DATE(2012,12,31)-14</f>
        <v>41260</v>
      </c>
      <c r="C5565" s="9" t="s">
        <v>1559</v>
      </c>
      <c r="D5565">
        <v>10021348770</v>
      </c>
      <c r="E5565" t="s">
        <v>47</v>
      </c>
      <c r="F5565" t="s">
        <v>72</v>
      </c>
      <c r="G5565" t="s">
        <v>73</v>
      </c>
      <c r="H5565" t="s">
        <v>2417</v>
      </c>
      <c r="I5565" t="s">
        <v>2418</v>
      </c>
      <c r="J5565" t="s">
        <v>52</v>
      </c>
      <c r="K5565" s="3">
        <v>100931614691</v>
      </c>
      <c r="L5565" s="10">
        <v>41262</v>
      </c>
      <c r="M5565">
        <v>303.97</v>
      </c>
      <c r="N5565" s="11">
        <v>28</v>
      </c>
      <c r="O5565" s="12">
        <v>10.98</v>
      </c>
      <c r="P5565" s="12">
        <v>5.14</v>
      </c>
      <c r="Q5565" s="13">
        <v>23.2985</v>
      </c>
      <c r="R5565" s="36" t="s">
        <v>1679</v>
      </c>
      <c r="S5565" s="7">
        <f t="shared" si="476"/>
        <v>2</v>
      </c>
      <c r="T5565" s="15" t="str">
        <f>VLOOKUP(R5565,产品分类!$C$2:$D$1278,2,0)</f>
        <v>办公用品</v>
      </c>
    </row>
    <row r="5566" spans="1:20">
      <c r="A5566" s="8">
        <f>DATE(2012,12,31)-137</f>
        <v>41137</v>
      </c>
      <c r="B5566" s="8">
        <f>DATE(2012,12,31)-137</f>
        <v>41137</v>
      </c>
      <c r="C5566" s="9" t="s">
        <v>1198</v>
      </c>
      <c r="D5566">
        <v>10021428929</v>
      </c>
      <c r="E5566" t="s">
        <v>47</v>
      </c>
      <c r="F5566" t="s">
        <v>72</v>
      </c>
      <c r="G5566" t="s">
        <v>73</v>
      </c>
      <c r="H5566" t="s">
        <v>2417</v>
      </c>
      <c r="I5566" t="s">
        <v>2418</v>
      </c>
      <c r="J5566" t="s">
        <v>52</v>
      </c>
      <c r="K5566" s="3">
        <v>100431349514</v>
      </c>
      <c r="L5566" s="10">
        <v>41139</v>
      </c>
      <c r="M5566">
        <v>1267.4605</v>
      </c>
      <c r="N5566" s="11">
        <v>23</v>
      </c>
      <c r="O5566" s="12">
        <v>65.99</v>
      </c>
      <c r="P5566" s="12">
        <v>5.99</v>
      </c>
      <c r="Q5566" s="13">
        <v>128.79</v>
      </c>
      <c r="R5566" s="36" t="s">
        <v>1660</v>
      </c>
      <c r="S5566" s="7">
        <f t="shared" si="476"/>
        <v>2</v>
      </c>
      <c r="T5566" s="15" t="str">
        <f>VLOOKUP(R5566,产品分类!$C$2:$D$1278,2,0)</f>
        <v>办公用品</v>
      </c>
    </row>
    <row r="5567" spans="1:20">
      <c r="A5567" s="16">
        <f>DATE(2012,12,31)-1315</f>
        <v>39959</v>
      </c>
      <c r="B5567" s="16">
        <f>DATE(2012,12,31)-1315</f>
        <v>39959</v>
      </c>
      <c r="C5567" s="9" t="s">
        <v>673</v>
      </c>
      <c r="D5567">
        <v>10021252105</v>
      </c>
      <c r="E5567" t="s">
        <v>47</v>
      </c>
      <c r="F5567" t="s">
        <v>230</v>
      </c>
      <c r="G5567" t="s">
        <v>231</v>
      </c>
      <c r="H5567" t="s">
        <v>2372</v>
      </c>
      <c r="I5567" t="s">
        <v>2373</v>
      </c>
      <c r="J5567" t="s">
        <v>52</v>
      </c>
      <c r="K5567" s="3">
        <v>100417471253</v>
      </c>
      <c r="L5567" s="10">
        <v>39960</v>
      </c>
      <c r="M5567">
        <v>56.21</v>
      </c>
      <c r="N5567" s="17">
        <v>21</v>
      </c>
      <c r="O5567" s="5">
        <v>2.62</v>
      </c>
      <c r="P5567" s="5">
        <v>0.8</v>
      </c>
      <c r="Q5567" s="6">
        <v>12.71</v>
      </c>
      <c r="R5567" s="37" t="s">
        <v>960</v>
      </c>
      <c r="S5567" s="7">
        <f t="shared" si="476"/>
        <v>1</v>
      </c>
      <c r="T5567" s="15" t="str">
        <f>VLOOKUP(R5567,产品分类!$C$2:$D$1278,2,0)</f>
        <v>家具产品</v>
      </c>
    </row>
    <row r="5568" spans="1:20">
      <c r="A5568" s="8">
        <f>DATE(2012,12,31)-1297</f>
        <v>39977</v>
      </c>
      <c r="B5568" s="8">
        <f>DATE(2012,12,31)-1297</f>
        <v>39977</v>
      </c>
      <c r="C5568" s="9" t="s">
        <v>820</v>
      </c>
      <c r="D5568">
        <v>10021462608</v>
      </c>
      <c r="E5568" t="s">
        <v>47</v>
      </c>
      <c r="F5568" t="s">
        <v>230</v>
      </c>
      <c r="G5568" t="s">
        <v>231</v>
      </c>
      <c r="H5568" t="s">
        <v>2372</v>
      </c>
      <c r="I5568" t="s">
        <v>2373</v>
      </c>
      <c r="J5568" t="s">
        <v>52</v>
      </c>
      <c r="K5568" s="3">
        <v>100421913293</v>
      </c>
      <c r="L5568" s="10">
        <v>39981</v>
      </c>
      <c r="M5568">
        <v>877.97</v>
      </c>
      <c r="N5568" s="11">
        <v>29</v>
      </c>
      <c r="O5568" s="12">
        <v>30.98</v>
      </c>
      <c r="P5568" s="12">
        <v>6.5</v>
      </c>
      <c r="Q5568" s="13">
        <v>-144.2</v>
      </c>
      <c r="R5568" s="36" t="s">
        <v>1418</v>
      </c>
      <c r="S5568" s="7">
        <f t="shared" si="476"/>
        <v>4</v>
      </c>
      <c r="T5568" s="15" t="str">
        <f>VLOOKUP(R5568,产品分类!$C$2:$D$1278,2,0)</f>
        <v>家具产品</v>
      </c>
    </row>
    <row r="5569" spans="1:20">
      <c r="A5569" s="8">
        <f>DATE(2012,12,31)-578</f>
        <v>40696</v>
      </c>
      <c r="B5569" s="8">
        <f>DATE(2012,12,31)-578</f>
        <v>40696</v>
      </c>
      <c r="C5569" s="9" t="s">
        <v>742</v>
      </c>
      <c r="D5569">
        <v>10021664258</v>
      </c>
      <c r="E5569" t="s">
        <v>47</v>
      </c>
      <c r="F5569" t="s">
        <v>78</v>
      </c>
      <c r="G5569" t="s">
        <v>79</v>
      </c>
      <c r="H5569" t="s">
        <v>2420</v>
      </c>
      <c r="I5569" t="s">
        <v>2421</v>
      </c>
      <c r="J5569" t="s">
        <v>52</v>
      </c>
      <c r="K5569" s="3">
        <v>100125096387</v>
      </c>
      <c r="L5569" s="10">
        <v>40696</v>
      </c>
      <c r="M5569">
        <v>4842.21</v>
      </c>
      <c r="N5569" s="11">
        <v>40</v>
      </c>
      <c r="O5569" s="12">
        <v>122.99</v>
      </c>
      <c r="P5569" s="12">
        <v>70.2</v>
      </c>
      <c r="Q5569" s="13">
        <v>-1975.26</v>
      </c>
      <c r="R5569" s="36" t="s">
        <v>860</v>
      </c>
      <c r="S5569" s="7">
        <f t="shared" si="476"/>
        <v>0</v>
      </c>
      <c r="T5569" s="15" t="str">
        <f>VLOOKUP(R5569,产品分类!$C$2:$D$1278,2,0)</f>
        <v>办公用品</v>
      </c>
    </row>
    <row r="5570" spans="1:20">
      <c r="A5570" s="16">
        <f>DATE(2012,12,31)-1339</f>
        <v>39935</v>
      </c>
      <c r="B5570" s="16">
        <f>DATE(2012,12,31)-1339</f>
        <v>39935</v>
      </c>
      <c r="C5570" s="9" t="s">
        <v>2271</v>
      </c>
      <c r="D5570">
        <v>10021336849</v>
      </c>
      <c r="E5570" t="s">
        <v>47</v>
      </c>
      <c r="F5570" t="s">
        <v>78</v>
      </c>
      <c r="G5570" t="s">
        <v>79</v>
      </c>
      <c r="H5570" t="s">
        <v>2420</v>
      </c>
      <c r="I5570" t="s">
        <v>2421</v>
      </c>
      <c r="J5570" t="s">
        <v>52</v>
      </c>
      <c r="K5570" s="3">
        <v>100720787745</v>
      </c>
      <c r="L5570" s="10">
        <v>39937</v>
      </c>
      <c r="M5570">
        <v>172.42</v>
      </c>
      <c r="N5570" s="17">
        <v>25</v>
      </c>
      <c r="O5570" s="5">
        <v>7.1</v>
      </c>
      <c r="P5570" s="5">
        <v>6.05</v>
      </c>
      <c r="Q5570" s="6">
        <v>-71.599</v>
      </c>
      <c r="R5570" s="37" t="s">
        <v>958</v>
      </c>
      <c r="S5570" s="7">
        <f t="shared" si="476"/>
        <v>2</v>
      </c>
      <c r="T5570" s="15" t="str">
        <f>VLOOKUP(R5570,产品分类!$C$2:$D$1278,2,0)</f>
        <v>办公用品</v>
      </c>
    </row>
    <row r="5571" spans="1:20">
      <c r="A5571" s="8">
        <f>DATE(2012,12,31)-1339</f>
        <v>39935</v>
      </c>
      <c r="B5571" s="8">
        <f>DATE(2012,12,31)-1339</f>
        <v>39935</v>
      </c>
      <c r="C5571" s="9" t="s">
        <v>2271</v>
      </c>
      <c r="D5571">
        <v>10021541085</v>
      </c>
      <c r="E5571" t="s">
        <v>47</v>
      </c>
      <c r="F5571" t="s">
        <v>78</v>
      </c>
      <c r="G5571" t="s">
        <v>79</v>
      </c>
      <c r="H5571" t="s">
        <v>2420</v>
      </c>
      <c r="I5571" t="s">
        <v>2421</v>
      </c>
      <c r="J5571" t="s">
        <v>52</v>
      </c>
      <c r="K5571" s="3">
        <v>10019066388</v>
      </c>
      <c r="L5571" s="10">
        <v>39936</v>
      </c>
      <c r="M5571">
        <v>2033.9225</v>
      </c>
      <c r="N5571" s="11">
        <v>19</v>
      </c>
      <c r="O5571" s="12">
        <v>125.99</v>
      </c>
      <c r="P5571" s="12">
        <v>2.5</v>
      </c>
      <c r="Q5571" s="13">
        <v>251.199</v>
      </c>
      <c r="R5571" s="36" t="s">
        <v>1411</v>
      </c>
      <c r="S5571" s="7">
        <f t="shared" ref="S5571:S5634" si="481">+L5571-B5571</f>
        <v>1</v>
      </c>
      <c r="T5571" s="15" t="str">
        <f>VLOOKUP(R5571,产品分类!$C$2:$D$1278,2,0)</f>
        <v>办公用品</v>
      </c>
    </row>
    <row r="5572" spans="1:20">
      <c r="A5572" s="16">
        <f>DATE(2012,12,31)-1288</f>
        <v>39986</v>
      </c>
      <c r="B5572" s="16">
        <f>DATE(2012,12,31)-1288</f>
        <v>39986</v>
      </c>
      <c r="C5572" s="9" t="s">
        <v>143</v>
      </c>
      <c r="D5572">
        <v>10021606455</v>
      </c>
      <c r="E5572" t="s">
        <v>47</v>
      </c>
      <c r="F5572" t="s">
        <v>114</v>
      </c>
      <c r="G5572" t="s">
        <v>115</v>
      </c>
      <c r="H5572" t="s">
        <v>2374</v>
      </c>
      <c r="I5572" t="s">
        <v>2375</v>
      </c>
      <c r="J5572" t="s">
        <v>52</v>
      </c>
      <c r="K5572" s="3">
        <v>100816941522</v>
      </c>
      <c r="L5572" s="10">
        <v>39990</v>
      </c>
      <c r="M5572">
        <v>92.4</v>
      </c>
      <c r="N5572" s="17">
        <v>18</v>
      </c>
      <c r="O5572" s="5">
        <v>4.48</v>
      </c>
      <c r="P5572" s="5">
        <v>2.5</v>
      </c>
      <c r="Q5572" s="6">
        <v>8.6</v>
      </c>
      <c r="R5572" s="37" t="s">
        <v>1701</v>
      </c>
      <c r="S5572" s="7">
        <f t="shared" si="481"/>
        <v>4</v>
      </c>
      <c r="T5572" s="15" t="str">
        <f>VLOOKUP(R5572,产品分类!$C$2:$D$1278,2,0)</f>
        <v>办公用品</v>
      </c>
    </row>
    <row r="5573" spans="1:20">
      <c r="A5573" s="8">
        <f>DATE(2012,12,31)-141</f>
        <v>41133</v>
      </c>
      <c r="B5573" s="8">
        <f>DATE(2012,12,31)-141</f>
        <v>41133</v>
      </c>
      <c r="C5573" s="9" t="s">
        <v>1110</v>
      </c>
      <c r="D5573">
        <v>10021351625</v>
      </c>
      <c r="E5573" t="s">
        <v>47</v>
      </c>
      <c r="F5573" t="s">
        <v>114</v>
      </c>
      <c r="G5573" t="s">
        <v>115</v>
      </c>
      <c r="H5573" t="s">
        <v>2374</v>
      </c>
      <c r="I5573" t="s">
        <v>2375</v>
      </c>
      <c r="J5573" t="s">
        <v>52</v>
      </c>
      <c r="K5573" s="3">
        <v>100132493748</v>
      </c>
      <c r="L5573" s="10">
        <v>41133</v>
      </c>
      <c r="M5573">
        <v>456.03</v>
      </c>
      <c r="N5573" s="11">
        <v>38</v>
      </c>
      <c r="O5573" s="12">
        <v>11.97</v>
      </c>
      <c r="P5573" s="12">
        <v>5.81</v>
      </c>
      <c r="Q5573" s="13">
        <v>-61.61</v>
      </c>
      <c r="R5573" s="36" t="s">
        <v>499</v>
      </c>
      <c r="S5573" s="7">
        <f t="shared" si="481"/>
        <v>0</v>
      </c>
      <c r="T5573" s="15" t="str">
        <f>VLOOKUP(R5573,产品分类!$C$2:$D$1278,2,0)</f>
        <v>办公用品</v>
      </c>
    </row>
    <row r="5574" spans="1:20">
      <c r="A5574" s="8">
        <f>DATE(2012,12,31)-141</f>
        <v>41133</v>
      </c>
      <c r="B5574" s="8">
        <f>DATE(2012,12,31)-141</f>
        <v>41133</v>
      </c>
      <c r="C5574" s="9" t="s">
        <v>1110</v>
      </c>
      <c r="D5574">
        <v>10021286504</v>
      </c>
      <c r="E5574" t="s">
        <v>47</v>
      </c>
      <c r="F5574" t="s">
        <v>91</v>
      </c>
      <c r="G5574" t="s">
        <v>92</v>
      </c>
      <c r="H5574" t="s">
        <v>2053</v>
      </c>
      <c r="I5574" t="s">
        <v>2054</v>
      </c>
      <c r="J5574" t="s">
        <v>52</v>
      </c>
      <c r="K5574" s="3">
        <v>100112215667</v>
      </c>
      <c r="L5574" s="10">
        <v>41137</v>
      </c>
      <c r="M5574">
        <v>2844.64</v>
      </c>
      <c r="N5574" s="11">
        <v>17</v>
      </c>
      <c r="O5574" s="12">
        <v>159.31</v>
      </c>
      <c r="P5574" s="12">
        <v>60</v>
      </c>
      <c r="Q5574" s="13">
        <v>16.47</v>
      </c>
      <c r="R5574" s="36" t="s">
        <v>717</v>
      </c>
      <c r="S5574" s="7">
        <f t="shared" si="481"/>
        <v>4</v>
      </c>
      <c r="T5574" s="15" t="str">
        <f>VLOOKUP(R5574,产品分类!$C$2:$D$1278,2,0)</f>
        <v>办公用品</v>
      </c>
    </row>
    <row r="5575" spans="1:20">
      <c r="A5575" s="8">
        <f t="shared" ref="A5575:B5577" si="482">DATE(2012,12,31)-624</f>
        <v>40650</v>
      </c>
      <c r="B5575" s="8">
        <f t="shared" si="482"/>
        <v>40650</v>
      </c>
      <c r="C5575" s="9" t="s">
        <v>1883</v>
      </c>
      <c r="D5575">
        <v>10021533532</v>
      </c>
      <c r="E5575" t="s">
        <v>47</v>
      </c>
      <c r="F5575" t="s">
        <v>91</v>
      </c>
      <c r="G5575" t="s">
        <v>92</v>
      </c>
      <c r="H5575" t="s">
        <v>2053</v>
      </c>
      <c r="I5575" t="s">
        <v>2054</v>
      </c>
      <c r="J5575" t="s">
        <v>52</v>
      </c>
      <c r="K5575" s="3">
        <v>100832634912</v>
      </c>
      <c r="L5575" s="10">
        <v>40652</v>
      </c>
      <c r="M5575">
        <v>1541.92</v>
      </c>
      <c r="N5575" s="11">
        <v>38</v>
      </c>
      <c r="O5575" s="12">
        <v>40.48</v>
      </c>
      <c r="P5575" s="12">
        <v>19.99</v>
      </c>
      <c r="Q5575" s="13">
        <v>-564.06</v>
      </c>
      <c r="R5575" s="36" t="s">
        <v>1312</v>
      </c>
      <c r="S5575" s="7">
        <f t="shared" si="481"/>
        <v>2</v>
      </c>
      <c r="T5575" s="15" t="str">
        <f>VLOOKUP(R5575,产品分类!$C$2:$D$1278,2,0)</f>
        <v>办公用品</v>
      </c>
    </row>
    <row r="5576" spans="1:20">
      <c r="A5576" s="16">
        <f t="shared" si="482"/>
        <v>40650</v>
      </c>
      <c r="B5576" s="16">
        <f t="shared" si="482"/>
        <v>40650</v>
      </c>
      <c r="C5576" s="9" t="s">
        <v>1883</v>
      </c>
      <c r="D5576">
        <v>10021349706</v>
      </c>
      <c r="E5576" t="s">
        <v>47</v>
      </c>
      <c r="F5576" t="s">
        <v>91</v>
      </c>
      <c r="G5576" t="s">
        <v>92</v>
      </c>
      <c r="H5576" t="s">
        <v>2053</v>
      </c>
      <c r="I5576" t="s">
        <v>2054</v>
      </c>
      <c r="J5576" t="s">
        <v>52</v>
      </c>
      <c r="K5576" s="3">
        <v>100131888796</v>
      </c>
      <c r="L5576" s="10">
        <v>40652</v>
      </c>
      <c r="M5576">
        <v>169.48</v>
      </c>
      <c r="N5576" s="17">
        <v>40</v>
      </c>
      <c r="O5576" s="5">
        <v>4.28</v>
      </c>
      <c r="P5576" s="5">
        <v>5.68</v>
      </c>
      <c r="Q5576" s="6">
        <v>-134.76</v>
      </c>
      <c r="R5576" s="37" t="s">
        <v>1614</v>
      </c>
      <c r="S5576" s="7">
        <f t="shared" si="481"/>
        <v>2</v>
      </c>
      <c r="T5576" s="15" t="str">
        <f>VLOOKUP(R5576,产品分类!$C$2:$D$1278,2,0)</f>
        <v>数码电子</v>
      </c>
    </row>
    <row r="5577" spans="1:20">
      <c r="A5577" s="8">
        <f t="shared" si="482"/>
        <v>40650</v>
      </c>
      <c r="B5577" s="8">
        <f t="shared" si="482"/>
        <v>40650</v>
      </c>
      <c r="C5577" s="9" t="s">
        <v>1883</v>
      </c>
      <c r="D5577">
        <v>10021418383</v>
      </c>
      <c r="E5577" t="s">
        <v>47</v>
      </c>
      <c r="F5577" t="s">
        <v>122</v>
      </c>
      <c r="G5577" t="s">
        <v>123</v>
      </c>
      <c r="H5577" t="s">
        <v>2159</v>
      </c>
      <c r="I5577" t="s">
        <v>2160</v>
      </c>
      <c r="J5577" t="s">
        <v>52</v>
      </c>
      <c r="K5577" s="3">
        <v>100121096336</v>
      </c>
      <c r="L5577" s="10">
        <v>40653</v>
      </c>
      <c r="M5577">
        <v>5347.9875</v>
      </c>
      <c r="N5577" s="11">
        <v>31</v>
      </c>
      <c r="O5577" s="12">
        <v>200.99</v>
      </c>
      <c r="P5577" s="12">
        <v>4.2</v>
      </c>
      <c r="Q5577" s="13">
        <v>1332.441</v>
      </c>
      <c r="R5577" s="36" t="s">
        <v>779</v>
      </c>
      <c r="S5577" s="7">
        <f t="shared" si="481"/>
        <v>3</v>
      </c>
      <c r="T5577" s="15" t="str">
        <f>VLOOKUP(R5577,产品分类!$C$2:$D$1278,2,0)</f>
        <v>家具产品</v>
      </c>
    </row>
    <row r="5578" spans="1:20">
      <c r="A5578" s="16">
        <f>DATE(2012,12,31)-1240</f>
        <v>40034</v>
      </c>
      <c r="B5578" s="16">
        <f>DATE(2012,12,31)-1240</f>
        <v>40034</v>
      </c>
      <c r="C5578" s="9" t="s">
        <v>413</v>
      </c>
      <c r="D5578">
        <v>10021658142</v>
      </c>
      <c r="E5578" t="s">
        <v>47</v>
      </c>
      <c r="F5578" t="s">
        <v>55</v>
      </c>
      <c r="G5578" t="s">
        <v>56</v>
      </c>
      <c r="H5578" t="s">
        <v>2425</v>
      </c>
      <c r="I5578" t="s">
        <v>2426</v>
      </c>
      <c r="J5578" t="s">
        <v>52</v>
      </c>
      <c r="K5578" s="3">
        <v>100812936892</v>
      </c>
      <c r="L5578" s="10">
        <v>40038</v>
      </c>
      <c r="M5578">
        <v>112.35</v>
      </c>
      <c r="N5578" s="17">
        <v>28</v>
      </c>
      <c r="O5578" s="5">
        <v>4.13</v>
      </c>
      <c r="P5578" s="5">
        <v>0.99</v>
      </c>
      <c r="Q5578" s="6">
        <v>31.27</v>
      </c>
      <c r="R5578" s="37" t="s">
        <v>971</v>
      </c>
      <c r="S5578" s="7">
        <f t="shared" si="481"/>
        <v>4</v>
      </c>
      <c r="T5578" s="15" t="str">
        <f>VLOOKUP(R5578,产品分类!$C$2:$D$1278,2,0)</f>
        <v>办公用品</v>
      </c>
    </row>
    <row r="5579" spans="1:20">
      <c r="A5579" s="8">
        <f>DATE(2012,12,31)-624</f>
        <v>40650</v>
      </c>
      <c r="B5579" s="8">
        <f>DATE(2012,12,31)-624</f>
        <v>40650</v>
      </c>
      <c r="C5579" s="9" t="s">
        <v>1221</v>
      </c>
      <c r="D5579">
        <v>10021672121</v>
      </c>
      <c r="E5579" t="s">
        <v>47</v>
      </c>
      <c r="F5579" t="s">
        <v>91</v>
      </c>
      <c r="G5579" t="s">
        <v>92</v>
      </c>
      <c r="H5579" t="s">
        <v>2053</v>
      </c>
      <c r="I5579" t="s">
        <v>2054</v>
      </c>
      <c r="J5579" t="s">
        <v>52</v>
      </c>
      <c r="K5579" s="3">
        <v>100731307565</v>
      </c>
      <c r="L5579" s="10">
        <v>40659</v>
      </c>
      <c r="M5579">
        <v>213.35</v>
      </c>
      <c r="N5579" s="11">
        <v>29</v>
      </c>
      <c r="O5579" s="12">
        <v>6.88</v>
      </c>
      <c r="P5579" s="12">
        <v>2</v>
      </c>
      <c r="Q5579" s="13">
        <v>63.78</v>
      </c>
      <c r="R5579" s="36" t="s">
        <v>383</v>
      </c>
      <c r="S5579" s="7">
        <f t="shared" si="481"/>
        <v>9</v>
      </c>
      <c r="T5579" s="15" t="str">
        <f>VLOOKUP(R5579,产品分类!$C$2:$D$1278,2,0)</f>
        <v>办公用品</v>
      </c>
    </row>
    <row r="5580" spans="1:20">
      <c r="A5580" s="8">
        <f>DATE(2012,12,31)-118</f>
        <v>41156</v>
      </c>
      <c r="B5580" s="8">
        <f>DATE(2012,12,31)-118</f>
        <v>41156</v>
      </c>
      <c r="C5580" s="9" t="s">
        <v>1922</v>
      </c>
      <c r="D5580">
        <v>10021503660</v>
      </c>
      <c r="E5580" t="s">
        <v>47</v>
      </c>
      <c r="F5580" t="s">
        <v>83</v>
      </c>
      <c r="G5580" t="s">
        <v>84</v>
      </c>
      <c r="H5580" t="s">
        <v>2349</v>
      </c>
      <c r="I5580" t="s">
        <v>2350</v>
      </c>
      <c r="J5580" t="s">
        <v>52</v>
      </c>
      <c r="K5580" s="3">
        <v>100129702488</v>
      </c>
      <c r="L5580" s="10">
        <v>41161</v>
      </c>
      <c r="M5580">
        <v>1112.54</v>
      </c>
      <c r="N5580" s="11">
        <v>38</v>
      </c>
      <c r="O5580" s="12">
        <v>27.18</v>
      </c>
      <c r="P5580" s="12">
        <v>8.23</v>
      </c>
      <c r="Q5580" s="13">
        <v>352.96</v>
      </c>
      <c r="R5580" s="36" t="s">
        <v>1544</v>
      </c>
      <c r="S5580" s="7">
        <f t="shared" si="481"/>
        <v>5</v>
      </c>
      <c r="T5580" s="15" t="str">
        <f>VLOOKUP(R5580,产品分类!$C$2:$D$1278,2,0)</f>
        <v>数码电子</v>
      </c>
    </row>
    <row r="5581" spans="1:20">
      <c r="A5581" s="8">
        <f>DATE(2012,12,31)-368</f>
        <v>40906</v>
      </c>
      <c r="B5581" s="8">
        <f>DATE(2012,12,31)-368</f>
        <v>40906</v>
      </c>
      <c r="C5581" s="9" t="s">
        <v>1041</v>
      </c>
      <c r="D5581">
        <v>10021387714</v>
      </c>
      <c r="E5581" t="s">
        <v>47</v>
      </c>
      <c r="F5581" t="s">
        <v>55</v>
      </c>
      <c r="G5581" t="s">
        <v>56</v>
      </c>
      <c r="H5581" t="s">
        <v>2425</v>
      </c>
      <c r="I5581" t="s">
        <v>2426</v>
      </c>
      <c r="J5581" t="s">
        <v>52</v>
      </c>
      <c r="K5581" s="3">
        <v>100923319481</v>
      </c>
      <c r="L5581" s="10">
        <v>40907</v>
      </c>
      <c r="M5581">
        <v>166.17</v>
      </c>
      <c r="N5581" s="11">
        <v>32</v>
      </c>
      <c r="O5581" s="12">
        <v>5.08</v>
      </c>
      <c r="P5581" s="12">
        <v>3.63</v>
      </c>
      <c r="Q5581" s="13">
        <v>-22.74</v>
      </c>
      <c r="R5581" s="36" t="s">
        <v>1395</v>
      </c>
      <c r="S5581" s="7">
        <f t="shared" si="481"/>
        <v>1</v>
      </c>
      <c r="T5581" s="15" t="str">
        <f>VLOOKUP(R5581,产品分类!$C$2:$D$1278,2,0)</f>
        <v>办公用品</v>
      </c>
    </row>
    <row r="5582" spans="1:20">
      <c r="A5582" s="8">
        <f>DATE(2012,12,31)-592</f>
        <v>40682</v>
      </c>
      <c r="B5582" s="8">
        <f>DATE(2012,12,31)-592</f>
        <v>40682</v>
      </c>
      <c r="C5582" s="9" t="s">
        <v>1074</v>
      </c>
      <c r="D5582">
        <v>10021249391</v>
      </c>
      <c r="E5582" t="s">
        <v>47</v>
      </c>
      <c r="F5582" t="s">
        <v>122</v>
      </c>
      <c r="G5582" t="s">
        <v>123</v>
      </c>
      <c r="H5582" t="s">
        <v>2159</v>
      </c>
      <c r="I5582" t="s">
        <v>2160</v>
      </c>
      <c r="J5582" t="s">
        <v>52</v>
      </c>
      <c r="K5582" s="3">
        <v>10019215698</v>
      </c>
      <c r="L5582" s="10">
        <v>40684</v>
      </c>
      <c r="M5582">
        <v>10.48</v>
      </c>
      <c r="N5582" s="11">
        <v>1</v>
      </c>
      <c r="O5582" s="12">
        <v>3.52</v>
      </c>
      <c r="P5582" s="12">
        <v>6.83</v>
      </c>
      <c r="Q5582" s="13">
        <v>-5.4395</v>
      </c>
      <c r="R5582" s="36" t="s">
        <v>1969</v>
      </c>
      <c r="S5582" s="7">
        <f t="shared" si="481"/>
        <v>2</v>
      </c>
      <c r="T5582" s="15" t="str">
        <f>VLOOKUP(R5582,产品分类!$C$2:$D$1278,2,0)</f>
        <v>办公用品</v>
      </c>
    </row>
    <row r="5583" spans="1:20">
      <c r="A5583" s="8">
        <f>DATE(2012,12,31)-1247</f>
        <v>40027</v>
      </c>
      <c r="B5583" s="8">
        <f>DATE(2012,12,31)-1247</f>
        <v>40027</v>
      </c>
      <c r="C5583" s="9" t="s">
        <v>356</v>
      </c>
      <c r="D5583">
        <v>10021344058</v>
      </c>
      <c r="E5583" t="s">
        <v>47</v>
      </c>
      <c r="F5583" t="s">
        <v>91</v>
      </c>
      <c r="G5583" t="s">
        <v>92</v>
      </c>
      <c r="H5583" t="s">
        <v>2053</v>
      </c>
      <c r="I5583" t="s">
        <v>2054</v>
      </c>
      <c r="J5583" t="s">
        <v>52</v>
      </c>
      <c r="K5583" s="3">
        <v>100123911446</v>
      </c>
      <c r="L5583" s="10">
        <v>40028</v>
      </c>
      <c r="M5583">
        <v>577.42</v>
      </c>
      <c r="N5583" s="11">
        <v>42</v>
      </c>
      <c r="O5583" s="12">
        <v>12.97</v>
      </c>
      <c r="P5583" s="12">
        <v>1.49</v>
      </c>
      <c r="Q5583" s="13">
        <v>253.504</v>
      </c>
      <c r="R5583" s="36" t="s">
        <v>917</v>
      </c>
      <c r="S5583" s="7">
        <f t="shared" si="481"/>
        <v>1</v>
      </c>
      <c r="T5583" s="15" t="str">
        <f>VLOOKUP(R5583,产品分类!$C$2:$D$1278,2,0)</f>
        <v>家具产品</v>
      </c>
    </row>
    <row r="5584" spans="1:20">
      <c r="A5584" s="8">
        <f>DATE(2012,12,31)-1247</f>
        <v>40027</v>
      </c>
      <c r="B5584" s="8">
        <f>DATE(2012,12,31)-1247</f>
        <v>40027</v>
      </c>
      <c r="C5584" s="9" t="s">
        <v>356</v>
      </c>
      <c r="D5584">
        <v>10021425200</v>
      </c>
      <c r="E5584" t="s">
        <v>47</v>
      </c>
      <c r="F5584" t="s">
        <v>122</v>
      </c>
      <c r="G5584" t="s">
        <v>123</v>
      </c>
      <c r="H5584" t="s">
        <v>2159</v>
      </c>
      <c r="I5584" t="s">
        <v>2160</v>
      </c>
      <c r="J5584" t="s">
        <v>52</v>
      </c>
      <c r="K5584" s="3">
        <v>100929297651</v>
      </c>
      <c r="L5584" s="10">
        <v>40027</v>
      </c>
      <c r="M5584">
        <v>95.08</v>
      </c>
      <c r="N5584" s="11">
        <v>20</v>
      </c>
      <c r="O5584" s="12">
        <v>4.91</v>
      </c>
      <c r="P5584" s="12">
        <v>0.5</v>
      </c>
      <c r="Q5584" s="13">
        <v>39.91</v>
      </c>
      <c r="R5584" s="36" t="s">
        <v>827</v>
      </c>
      <c r="S5584" s="7">
        <f t="shared" si="481"/>
        <v>0</v>
      </c>
      <c r="T5584" s="15" t="str">
        <f>VLOOKUP(R5584,产品分类!$C$2:$D$1278,2,0)</f>
        <v>家具产品</v>
      </c>
    </row>
    <row r="5585" spans="1:20">
      <c r="A5585" s="16">
        <f>DATE(2012,12,31)-597</f>
        <v>40677</v>
      </c>
      <c r="B5585" s="16">
        <f>DATE(2012,12,31)-597</f>
        <v>40677</v>
      </c>
      <c r="C5585" s="9" t="s">
        <v>2040</v>
      </c>
      <c r="D5585">
        <v>10021622028</v>
      </c>
      <c r="E5585" t="s">
        <v>47</v>
      </c>
      <c r="F5585" t="s">
        <v>91</v>
      </c>
      <c r="G5585" t="s">
        <v>92</v>
      </c>
      <c r="H5585" t="s">
        <v>2053</v>
      </c>
      <c r="I5585" t="s">
        <v>2054</v>
      </c>
      <c r="J5585" t="s">
        <v>52</v>
      </c>
      <c r="K5585" s="3">
        <v>100712823635</v>
      </c>
      <c r="L5585" s="10">
        <v>40684</v>
      </c>
      <c r="M5585">
        <v>79.25</v>
      </c>
      <c r="N5585" s="17">
        <v>9</v>
      </c>
      <c r="O5585" s="5">
        <v>7.64</v>
      </c>
      <c r="P5585" s="5">
        <v>5.83</v>
      </c>
      <c r="Q5585" s="6">
        <v>-13.25</v>
      </c>
      <c r="R5585" s="37" t="s">
        <v>202</v>
      </c>
      <c r="S5585" s="7">
        <f t="shared" si="481"/>
        <v>7</v>
      </c>
      <c r="T5585" s="15" t="str">
        <f>VLOOKUP(R5585,产品分类!$C$2:$D$1278,2,0)</f>
        <v>办公用品</v>
      </c>
    </row>
    <row r="5586" spans="1:20">
      <c r="A5586" s="8">
        <f>DATE(2012,12,31)-380</f>
        <v>40894</v>
      </c>
      <c r="B5586" s="8">
        <f>DATE(2012,12,31)-380</f>
        <v>40894</v>
      </c>
      <c r="C5586" s="9" t="s">
        <v>811</v>
      </c>
      <c r="D5586">
        <v>10021578583</v>
      </c>
      <c r="E5586" t="s">
        <v>47</v>
      </c>
      <c r="F5586" t="s">
        <v>122</v>
      </c>
      <c r="G5586" t="s">
        <v>123</v>
      </c>
      <c r="H5586" t="s">
        <v>2159</v>
      </c>
      <c r="I5586" t="s">
        <v>2160</v>
      </c>
      <c r="J5586" t="s">
        <v>52</v>
      </c>
      <c r="K5586" s="3">
        <v>100412818974</v>
      </c>
      <c r="L5586" s="10">
        <v>40896</v>
      </c>
      <c r="M5586">
        <v>1283.68</v>
      </c>
      <c r="N5586" s="11">
        <v>33</v>
      </c>
      <c r="O5586" s="12">
        <v>39.98</v>
      </c>
      <c r="P5586" s="12">
        <v>9.2</v>
      </c>
      <c r="Q5586" s="13">
        <v>202.47</v>
      </c>
      <c r="R5586" s="36" t="s">
        <v>1787</v>
      </c>
      <c r="S5586" s="7">
        <f t="shared" si="481"/>
        <v>2</v>
      </c>
      <c r="T5586" s="15" t="str">
        <f>VLOOKUP(R5586,产品分类!$C$2:$D$1278,2,0)</f>
        <v>办公用品</v>
      </c>
    </row>
    <row r="5587" spans="1:20">
      <c r="A5587" s="8">
        <f>DATE(2012,12,31)-380</f>
        <v>40894</v>
      </c>
      <c r="B5587" s="8">
        <f>DATE(2012,12,31)-380</f>
        <v>40894</v>
      </c>
      <c r="C5587" s="9" t="s">
        <v>811</v>
      </c>
      <c r="D5587">
        <v>10021331057</v>
      </c>
      <c r="E5587" t="s">
        <v>47</v>
      </c>
      <c r="F5587" t="s">
        <v>91</v>
      </c>
      <c r="G5587" t="s">
        <v>92</v>
      </c>
      <c r="H5587" t="s">
        <v>2053</v>
      </c>
      <c r="I5587" t="s">
        <v>2054</v>
      </c>
      <c r="J5587" t="s">
        <v>52</v>
      </c>
      <c r="K5587" s="3">
        <v>1003573799</v>
      </c>
      <c r="L5587" s="10">
        <v>40896</v>
      </c>
      <c r="M5587">
        <v>169.46</v>
      </c>
      <c r="N5587" s="11">
        <v>28</v>
      </c>
      <c r="O5587" s="12">
        <v>5.84</v>
      </c>
      <c r="P5587" s="12">
        <v>1.2</v>
      </c>
      <c r="Q5587" s="13">
        <v>34.24</v>
      </c>
      <c r="R5587" s="36" t="s">
        <v>1478</v>
      </c>
      <c r="S5587" s="7">
        <f t="shared" si="481"/>
        <v>2</v>
      </c>
      <c r="T5587" s="15" t="str">
        <f>VLOOKUP(R5587,产品分类!$C$2:$D$1278,2,0)</f>
        <v>办公用品</v>
      </c>
    </row>
    <row r="5588" spans="1:20">
      <c r="A5588" s="8">
        <f>DATE(2012,12,31)-362</f>
        <v>40912</v>
      </c>
      <c r="B5588" s="8">
        <f>DATE(2012,12,31)-362</f>
        <v>40912</v>
      </c>
      <c r="C5588" s="9" t="s">
        <v>916</v>
      </c>
      <c r="D5588">
        <v>10021266553</v>
      </c>
      <c r="E5588" t="s">
        <v>47</v>
      </c>
      <c r="F5588" t="s">
        <v>83</v>
      </c>
      <c r="G5588" t="s">
        <v>84</v>
      </c>
      <c r="H5588" t="s">
        <v>2349</v>
      </c>
      <c r="I5588" t="s">
        <v>2350</v>
      </c>
      <c r="J5588" t="s">
        <v>52</v>
      </c>
      <c r="K5588" s="3">
        <v>100131796987</v>
      </c>
      <c r="L5588" s="10">
        <v>40916</v>
      </c>
      <c r="M5588">
        <v>742.8</v>
      </c>
      <c r="N5588" s="11">
        <v>15</v>
      </c>
      <c r="O5588" s="12">
        <v>49.34</v>
      </c>
      <c r="P5588" s="12">
        <v>10.25</v>
      </c>
      <c r="Q5588" s="13">
        <v>265.87</v>
      </c>
      <c r="R5588" s="36" t="s">
        <v>1349</v>
      </c>
      <c r="S5588" s="7">
        <f t="shared" si="481"/>
        <v>4</v>
      </c>
      <c r="T5588" s="15" t="str">
        <f>VLOOKUP(R5588,产品分类!$C$2:$D$1278,2,0)</f>
        <v>数码电子</v>
      </c>
    </row>
    <row r="5589" spans="1:20">
      <c r="A5589" s="8">
        <f>DATE(2012,12,31)-1169</f>
        <v>40105</v>
      </c>
      <c r="B5589" s="8">
        <f>DATE(2012,12,31)-1169</f>
        <v>40105</v>
      </c>
      <c r="C5589" s="9" t="s">
        <v>373</v>
      </c>
      <c r="D5589">
        <v>10021522302</v>
      </c>
      <c r="E5589" t="s">
        <v>47</v>
      </c>
      <c r="F5589" t="s">
        <v>91</v>
      </c>
      <c r="G5589" t="s">
        <v>92</v>
      </c>
      <c r="H5589" t="s">
        <v>2053</v>
      </c>
      <c r="I5589" t="s">
        <v>2054</v>
      </c>
      <c r="J5589" t="s">
        <v>52</v>
      </c>
      <c r="K5589" s="3">
        <v>10043852633</v>
      </c>
      <c r="L5589" s="10">
        <v>40106</v>
      </c>
      <c r="M5589">
        <v>1351.653</v>
      </c>
      <c r="N5589" s="11">
        <v>10</v>
      </c>
      <c r="O5589" s="12">
        <v>155.99</v>
      </c>
      <c r="P5589" s="12">
        <v>8.99</v>
      </c>
      <c r="Q5589" s="13">
        <v>-202.851</v>
      </c>
      <c r="R5589" s="36" t="s">
        <v>87</v>
      </c>
      <c r="S5589" s="7">
        <f t="shared" si="481"/>
        <v>1</v>
      </c>
      <c r="T5589" s="15" t="str">
        <f>VLOOKUP(R5589,产品分类!$C$2:$D$1278,2,0)</f>
        <v>办公用品</v>
      </c>
    </row>
    <row r="5590" spans="1:20">
      <c r="A5590" s="8">
        <f>DATE(2012,12,31)-1169</f>
        <v>40105</v>
      </c>
      <c r="B5590" s="8">
        <f>DATE(2012,12,31)-1169</f>
        <v>40105</v>
      </c>
      <c r="C5590" s="9" t="s">
        <v>373</v>
      </c>
      <c r="D5590">
        <v>10021510527</v>
      </c>
      <c r="E5590" t="s">
        <v>47</v>
      </c>
      <c r="F5590" t="s">
        <v>122</v>
      </c>
      <c r="G5590" t="s">
        <v>123</v>
      </c>
      <c r="H5590" t="s">
        <v>2458</v>
      </c>
      <c r="I5590" t="s">
        <v>2459</v>
      </c>
      <c r="J5590" t="s">
        <v>52</v>
      </c>
      <c r="K5590" s="3">
        <v>100432684304</v>
      </c>
      <c r="L5590" s="10">
        <v>40107</v>
      </c>
      <c r="M5590">
        <v>63</v>
      </c>
      <c r="N5590" s="11">
        <v>9</v>
      </c>
      <c r="O5590" s="12">
        <v>5.98</v>
      </c>
      <c r="P5590" s="12">
        <v>5.46</v>
      </c>
      <c r="Q5590" s="13">
        <v>-17.48</v>
      </c>
      <c r="R5590" s="36" t="s">
        <v>1990</v>
      </c>
      <c r="S5590" s="7">
        <f t="shared" si="481"/>
        <v>2</v>
      </c>
      <c r="T5590" s="15" t="str">
        <f>VLOOKUP(R5590,产品分类!$C$2:$D$1278,2,0)</f>
        <v>家具产品</v>
      </c>
    </row>
    <row r="5591" spans="1:20">
      <c r="A5591" s="8">
        <f>DATE(2012,12,31)-885</f>
        <v>40389</v>
      </c>
      <c r="B5591" s="8">
        <f>DATE(2012,12,31)-885</f>
        <v>40389</v>
      </c>
      <c r="C5591" s="9" t="s">
        <v>1147</v>
      </c>
      <c r="D5591">
        <v>10021665907</v>
      </c>
      <c r="E5591" t="s">
        <v>47</v>
      </c>
      <c r="F5591" t="s">
        <v>171</v>
      </c>
      <c r="G5591" t="s">
        <v>172</v>
      </c>
      <c r="H5591" t="s">
        <v>2352</v>
      </c>
      <c r="I5591" t="s">
        <v>2353</v>
      </c>
      <c r="J5591" t="s">
        <v>52</v>
      </c>
      <c r="K5591" s="3">
        <v>100426775634</v>
      </c>
      <c r="L5591" s="10">
        <v>40392</v>
      </c>
      <c r="M5591">
        <v>1004.89</v>
      </c>
      <c r="N5591" s="11">
        <v>10</v>
      </c>
      <c r="O5591" s="12">
        <v>89.99</v>
      </c>
      <c r="P5591" s="12">
        <v>42</v>
      </c>
      <c r="Q5591" s="13">
        <v>-189.02</v>
      </c>
      <c r="R5591" s="36" t="s">
        <v>891</v>
      </c>
      <c r="S5591" s="7">
        <f t="shared" si="481"/>
        <v>3</v>
      </c>
      <c r="T5591" s="15" t="str">
        <f>VLOOKUP(R5591,产品分类!$C$2:$D$1278,2,0)</f>
        <v>家具产品</v>
      </c>
    </row>
    <row r="5592" spans="1:20">
      <c r="A5592" s="8">
        <f>DATE(2012,12,31)-885</f>
        <v>40389</v>
      </c>
      <c r="B5592" s="8">
        <f>DATE(2012,12,31)-885</f>
        <v>40389</v>
      </c>
      <c r="C5592" s="9" t="s">
        <v>1147</v>
      </c>
      <c r="D5592">
        <v>10021665273</v>
      </c>
      <c r="E5592" t="s">
        <v>47</v>
      </c>
      <c r="F5592" t="s">
        <v>127</v>
      </c>
      <c r="G5592" t="s">
        <v>128</v>
      </c>
      <c r="H5592" t="s">
        <v>2408</v>
      </c>
      <c r="I5592" t="s">
        <v>2409</v>
      </c>
      <c r="J5592" t="s">
        <v>52</v>
      </c>
      <c r="K5592" s="3">
        <v>10012133786</v>
      </c>
      <c r="L5592" s="10">
        <v>40390</v>
      </c>
      <c r="M5592">
        <v>329.06</v>
      </c>
      <c r="N5592" s="11">
        <v>47</v>
      </c>
      <c r="O5592" s="12">
        <v>7.28</v>
      </c>
      <c r="P5592" s="12">
        <v>7.98</v>
      </c>
      <c r="Q5592" s="13">
        <v>-175.15</v>
      </c>
      <c r="R5592" s="36" t="s">
        <v>156</v>
      </c>
      <c r="S5592" s="7">
        <f t="shared" si="481"/>
        <v>1</v>
      </c>
      <c r="T5592" s="15" t="str">
        <f>VLOOKUP(R5592,产品分类!$C$2:$D$1278,2,0)</f>
        <v>办公用品</v>
      </c>
    </row>
    <row r="5593" spans="1:20">
      <c r="A5593" s="8">
        <f>DATE(2012,12,31)-241</f>
        <v>41033</v>
      </c>
      <c r="B5593" s="8">
        <f>DATE(2012,12,31)-241</f>
        <v>41033</v>
      </c>
      <c r="C5593" s="9" t="s">
        <v>147</v>
      </c>
      <c r="D5593">
        <v>10021500753</v>
      </c>
      <c r="E5593" t="s">
        <v>47</v>
      </c>
      <c r="F5593" t="s">
        <v>132</v>
      </c>
      <c r="G5593" t="s">
        <v>133</v>
      </c>
      <c r="H5593" t="s">
        <v>134</v>
      </c>
      <c r="I5593" t="s">
        <v>133</v>
      </c>
      <c r="J5593" t="s">
        <v>52</v>
      </c>
      <c r="K5593" s="3">
        <v>100126478256</v>
      </c>
      <c r="L5593" s="10">
        <v>41035</v>
      </c>
      <c r="M5593">
        <v>14.61</v>
      </c>
      <c r="N5593" s="11">
        <v>5</v>
      </c>
      <c r="O5593" s="12">
        <v>2.88</v>
      </c>
      <c r="P5593" s="12">
        <v>0.5</v>
      </c>
      <c r="Q5593" s="13">
        <v>1.17</v>
      </c>
      <c r="R5593" s="36" t="s">
        <v>709</v>
      </c>
      <c r="S5593" s="7">
        <f t="shared" si="481"/>
        <v>2</v>
      </c>
      <c r="T5593" s="15" t="str">
        <f>VLOOKUP(R5593,产品分类!$C$2:$D$1278,2,0)</f>
        <v>数码电子</v>
      </c>
    </row>
    <row r="5594" spans="1:20">
      <c r="A5594" s="8">
        <f>DATE(2012,12,31)-241</f>
        <v>41033</v>
      </c>
      <c r="B5594" s="8">
        <f>DATE(2012,12,31)-241</f>
        <v>41033</v>
      </c>
      <c r="C5594" s="9" t="s">
        <v>147</v>
      </c>
      <c r="D5594">
        <v>10021285540</v>
      </c>
      <c r="E5594" t="s">
        <v>47</v>
      </c>
      <c r="F5594" t="s">
        <v>132</v>
      </c>
      <c r="G5594" t="s">
        <v>133</v>
      </c>
      <c r="H5594" t="s">
        <v>134</v>
      </c>
      <c r="I5594" t="s">
        <v>133</v>
      </c>
      <c r="J5594" t="s">
        <v>52</v>
      </c>
      <c r="K5594" s="3">
        <v>100416643613</v>
      </c>
      <c r="L5594" s="10">
        <v>41038</v>
      </c>
      <c r="M5594">
        <v>665.7625</v>
      </c>
      <c r="N5594" s="11">
        <v>4</v>
      </c>
      <c r="O5594" s="12">
        <v>195.99</v>
      </c>
      <c r="P5594" s="12">
        <v>8.99</v>
      </c>
      <c r="Q5594" s="13">
        <v>-773.344</v>
      </c>
      <c r="R5594" s="36" t="s">
        <v>414</v>
      </c>
      <c r="S5594" s="7">
        <f t="shared" si="481"/>
        <v>5</v>
      </c>
      <c r="T5594" s="15" t="str">
        <f>VLOOKUP(R5594,产品分类!$C$2:$D$1278,2,0)</f>
        <v>数码电子</v>
      </c>
    </row>
    <row r="5595" spans="1:20">
      <c r="A5595" s="8">
        <f>DATE(2012,12,31)-92</f>
        <v>41182</v>
      </c>
      <c r="B5595" s="8">
        <f>DATE(2012,12,31)-92</f>
        <v>41182</v>
      </c>
      <c r="C5595" s="9" t="s">
        <v>506</v>
      </c>
      <c r="D5595">
        <v>10021387794</v>
      </c>
      <c r="E5595" t="s">
        <v>47</v>
      </c>
      <c r="F5595" t="s">
        <v>152</v>
      </c>
      <c r="G5595" t="s">
        <v>153</v>
      </c>
      <c r="H5595" t="s">
        <v>2441</v>
      </c>
      <c r="I5595" t="s">
        <v>2442</v>
      </c>
      <c r="J5595" t="s">
        <v>52</v>
      </c>
      <c r="K5595" s="3">
        <v>10093586441</v>
      </c>
      <c r="L5595" s="10">
        <v>41183</v>
      </c>
      <c r="M5595">
        <v>856.15</v>
      </c>
      <c r="N5595" s="11">
        <v>39</v>
      </c>
      <c r="O5595" s="12">
        <v>21.38</v>
      </c>
      <c r="P5595" s="12">
        <v>2.99</v>
      </c>
      <c r="Q5595" s="13">
        <v>330.0295</v>
      </c>
      <c r="R5595" s="36" t="s">
        <v>2210</v>
      </c>
      <c r="S5595" s="7">
        <f t="shared" si="481"/>
        <v>1</v>
      </c>
      <c r="T5595" s="15" t="str">
        <f>VLOOKUP(R5595,产品分类!$C$2:$D$1278,2,0)</f>
        <v>数码电子</v>
      </c>
    </row>
    <row r="5596" spans="1:20">
      <c r="A5596" s="8">
        <f>DATE(2012,12,31)-283</f>
        <v>40991</v>
      </c>
      <c r="B5596" s="8">
        <f>DATE(2012,12,31)-283</f>
        <v>40991</v>
      </c>
      <c r="C5596" s="9" t="s">
        <v>861</v>
      </c>
      <c r="D5596">
        <v>10021334094</v>
      </c>
      <c r="E5596" t="s">
        <v>47</v>
      </c>
      <c r="F5596" t="s">
        <v>97</v>
      </c>
      <c r="G5596" t="s">
        <v>98</v>
      </c>
      <c r="H5596" t="s">
        <v>99</v>
      </c>
      <c r="I5596" t="s">
        <v>98</v>
      </c>
      <c r="J5596" t="s">
        <v>52</v>
      </c>
      <c r="K5596" s="3">
        <v>10037129849</v>
      </c>
      <c r="L5596" s="10">
        <v>40991</v>
      </c>
      <c r="M5596">
        <v>253.15</v>
      </c>
      <c r="N5596" s="11">
        <v>35</v>
      </c>
      <c r="O5596" s="12">
        <v>7.28</v>
      </c>
      <c r="P5596" s="12">
        <v>3.52</v>
      </c>
      <c r="Q5596" s="13">
        <v>-72.43</v>
      </c>
      <c r="R5596" s="36" t="s">
        <v>1013</v>
      </c>
      <c r="S5596" s="7">
        <f t="shared" si="481"/>
        <v>0</v>
      </c>
      <c r="T5596" s="15" t="str">
        <f>VLOOKUP(R5596,产品分类!$C$2:$D$1278,2,0)</f>
        <v>办公用品</v>
      </c>
    </row>
    <row r="5597" spans="1:20">
      <c r="A5597" s="8">
        <f>DATE(2012,12,31)-783</f>
        <v>40491</v>
      </c>
      <c r="B5597" s="8">
        <f>DATE(2012,12,31)-783</f>
        <v>40491</v>
      </c>
      <c r="C5597" s="9" t="s">
        <v>966</v>
      </c>
      <c r="D5597">
        <v>10021265974</v>
      </c>
      <c r="E5597" t="s">
        <v>47</v>
      </c>
      <c r="F5597" t="s">
        <v>97</v>
      </c>
      <c r="G5597" t="s">
        <v>98</v>
      </c>
      <c r="H5597" t="s">
        <v>99</v>
      </c>
      <c r="I5597" t="s">
        <v>98</v>
      </c>
      <c r="J5597" t="s">
        <v>52</v>
      </c>
      <c r="K5597" s="3">
        <v>100131595647</v>
      </c>
      <c r="L5597" s="10">
        <v>40493</v>
      </c>
      <c r="M5597">
        <v>2337.89</v>
      </c>
      <c r="N5597" s="11">
        <v>43</v>
      </c>
      <c r="O5597" s="12">
        <v>55.48</v>
      </c>
      <c r="P5597" s="12">
        <v>14.3</v>
      </c>
      <c r="Q5597" s="13">
        <v>729.34</v>
      </c>
      <c r="R5597" s="36" t="s">
        <v>429</v>
      </c>
      <c r="S5597" s="7">
        <f t="shared" si="481"/>
        <v>2</v>
      </c>
      <c r="T5597" s="15" t="str">
        <f>VLOOKUP(R5597,产品分类!$C$2:$D$1278,2,0)</f>
        <v>办公用品</v>
      </c>
    </row>
    <row r="5598" spans="1:20">
      <c r="A5598" s="8">
        <f t="shared" ref="A5598:B5601" si="483">DATE(2012,12,31)-509</f>
        <v>40765</v>
      </c>
      <c r="B5598" s="8">
        <f t="shared" si="483"/>
        <v>40765</v>
      </c>
      <c r="C5598" s="9" t="s">
        <v>2020</v>
      </c>
      <c r="D5598">
        <v>10021590200</v>
      </c>
      <c r="E5598" t="s">
        <v>47</v>
      </c>
      <c r="F5598" t="s">
        <v>102</v>
      </c>
      <c r="G5598" t="s">
        <v>103</v>
      </c>
      <c r="H5598" t="s">
        <v>2400</v>
      </c>
      <c r="I5598" t="s">
        <v>2401</v>
      </c>
      <c r="J5598" t="s">
        <v>52</v>
      </c>
      <c r="K5598" s="3">
        <v>100131246978</v>
      </c>
      <c r="L5598" s="10">
        <v>40768</v>
      </c>
      <c r="M5598">
        <v>615.58</v>
      </c>
      <c r="N5598" s="11">
        <v>31</v>
      </c>
      <c r="O5598" s="12">
        <v>18.99</v>
      </c>
      <c r="P5598" s="12">
        <v>5.23</v>
      </c>
      <c r="Q5598" s="13">
        <v>168.0025</v>
      </c>
      <c r="R5598" s="36" t="s">
        <v>2140</v>
      </c>
      <c r="S5598" s="7">
        <f t="shared" si="481"/>
        <v>3</v>
      </c>
      <c r="T5598" s="15" t="str">
        <f>VLOOKUP(R5598,产品分类!$C$2:$D$1278,2,0)</f>
        <v>数码电子</v>
      </c>
    </row>
    <row r="5599" spans="1:20">
      <c r="A5599" s="8">
        <f t="shared" si="483"/>
        <v>40765</v>
      </c>
      <c r="B5599" s="8">
        <f t="shared" si="483"/>
        <v>40765</v>
      </c>
      <c r="C5599" s="9" t="s">
        <v>2020</v>
      </c>
      <c r="D5599">
        <v>10021450774</v>
      </c>
      <c r="E5599" t="s">
        <v>47</v>
      </c>
      <c r="F5599" t="s">
        <v>208</v>
      </c>
      <c r="G5599" t="s">
        <v>209</v>
      </c>
      <c r="H5599" t="s">
        <v>2300</v>
      </c>
      <c r="I5599" t="s">
        <v>2301</v>
      </c>
      <c r="J5599" t="s">
        <v>52</v>
      </c>
      <c r="K5599" s="3">
        <v>100426041313</v>
      </c>
      <c r="L5599" s="10">
        <v>40766</v>
      </c>
      <c r="M5599">
        <v>8387.1</v>
      </c>
      <c r="N5599" s="11">
        <v>41</v>
      </c>
      <c r="O5599" s="12">
        <v>218.08</v>
      </c>
      <c r="P5599" s="12">
        <v>18.06</v>
      </c>
      <c r="Q5599" s="13">
        <v>2113.95</v>
      </c>
      <c r="R5599" s="36" t="s">
        <v>272</v>
      </c>
      <c r="S5599" s="7">
        <f t="shared" si="481"/>
        <v>1</v>
      </c>
      <c r="T5599" s="15" t="str">
        <f>VLOOKUP(R5599,产品分类!$C$2:$D$1278,2,0)</f>
        <v>数码电子</v>
      </c>
    </row>
    <row r="5600" spans="1:20">
      <c r="A5600" s="8">
        <f t="shared" si="483"/>
        <v>40765</v>
      </c>
      <c r="B5600" s="8">
        <f t="shared" si="483"/>
        <v>40765</v>
      </c>
      <c r="C5600" s="9" t="s">
        <v>2020</v>
      </c>
      <c r="D5600">
        <v>10021675890</v>
      </c>
      <c r="E5600" t="s">
        <v>47</v>
      </c>
      <c r="F5600" t="s">
        <v>102</v>
      </c>
      <c r="G5600" t="s">
        <v>103</v>
      </c>
      <c r="H5600" t="s">
        <v>2400</v>
      </c>
      <c r="I5600" t="s">
        <v>2401</v>
      </c>
      <c r="J5600" t="s">
        <v>52</v>
      </c>
      <c r="K5600" s="3">
        <v>100132521016</v>
      </c>
      <c r="L5600" s="10">
        <v>40766</v>
      </c>
      <c r="M5600">
        <v>126.02</v>
      </c>
      <c r="N5600" s="11">
        <v>6</v>
      </c>
      <c r="O5600" s="12">
        <v>20.24</v>
      </c>
      <c r="P5600" s="12">
        <v>6.67</v>
      </c>
      <c r="Q5600" s="13">
        <v>66.97</v>
      </c>
      <c r="R5600" s="36" t="s">
        <v>1005</v>
      </c>
      <c r="S5600" s="7">
        <f t="shared" si="481"/>
        <v>1</v>
      </c>
      <c r="T5600" s="15" t="str">
        <f>VLOOKUP(R5600,产品分类!$C$2:$D$1278,2,0)</f>
        <v>办公用品</v>
      </c>
    </row>
    <row r="5601" spans="1:20">
      <c r="A5601" s="8">
        <f t="shared" si="483"/>
        <v>40765</v>
      </c>
      <c r="B5601" s="8">
        <f t="shared" si="483"/>
        <v>40765</v>
      </c>
      <c r="C5601" s="9" t="s">
        <v>2020</v>
      </c>
      <c r="D5601">
        <v>10021666065</v>
      </c>
      <c r="E5601" t="s">
        <v>47</v>
      </c>
      <c r="F5601" t="s">
        <v>137</v>
      </c>
      <c r="G5601" t="s">
        <v>138</v>
      </c>
      <c r="H5601" t="s">
        <v>139</v>
      </c>
      <c r="I5601" t="s">
        <v>140</v>
      </c>
      <c r="J5601" t="s">
        <v>52</v>
      </c>
      <c r="K5601" s="3">
        <v>100827016112</v>
      </c>
      <c r="L5601" s="10">
        <v>40767</v>
      </c>
      <c r="M5601">
        <v>68.14</v>
      </c>
      <c r="N5601" s="11">
        <v>30</v>
      </c>
      <c r="O5601" s="12">
        <v>2.18</v>
      </c>
      <c r="P5601" s="12">
        <v>0.78</v>
      </c>
      <c r="Q5601" s="13">
        <v>6.37</v>
      </c>
      <c r="R5601" s="36" t="s">
        <v>1801</v>
      </c>
      <c r="S5601" s="7">
        <f t="shared" si="481"/>
        <v>2</v>
      </c>
      <c r="T5601" s="15" t="str">
        <f>VLOOKUP(R5601,产品分类!$C$2:$D$1278,2,0)</f>
        <v>办公用品</v>
      </c>
    </row>
    <row r="5602" spans="1:20">
      <c r="A5602" s="16">
        <f>DATE(2012,12,31)-206</f>
        <v>41068</v>
      </c>
      <c r="B5602" s="16">
        <f>DATE(2012,12,31)-206</f>
        <v>41068</v>
      </c>
      <c r="C5602" s="9" t="s">
        <v>1768</v>
      </c>
      <c r="D5602">
        <v>10021656882</v>
      </c>
      <c r="E5602" t="s">
        <v>47</v>
      </c>
      <c r="F5602" t="s">
        <v>304</v>
      </c>
      <c r="G5602" t="s">
        <v>305</v>
      </c>
      <c r="H5602" t="s">
        <v>2383</v>
      </c>
      <c r="I5602" t="s">
        <v>2384</v>
      </c>
      <c r="J5602" t="s">
        <v>52</v>
      </c>
      <c r="K5602" s="3">
        <v>10014027827</v>
      </c>
      <c r="L5602" s="10">
        <v>41069</v>
      </c>
      <c r="M5602">
        <v>738.8</v>
      </c>
      <c r="N5602" s="17">
        <v>2</v>
      </c>
      <c r="O5602" s="5">
        <v>328.14</v>
      </c>
      <c r="P5602" s="5">
        <v>91.05</v>
      </c>
      <c r="Q5602" s="6">
        <v>-473.66</v>
      </c>
      <c r="R5602" s="37" t="s">
        <v>583</v>
      </c>
      <c r="S5602" s="7">
        <f t="shared" si="481"/>
        <v>1</v>
      </c>
      <c r="T5602" s="15" t="str">
        <f>VLOOKUP(R5602,产品分类!$C$2:$D$1278,2,0)</f>
        <v>家具产品</v>
      </c>
    </row>
    <row r="5603" spans="1:20">
      <c r="A5603" s="8">
        <f>DATE(2012,12,31)-206</f>
        <v>41068</v>
      </c>
      <c r="B5603" s="8">
        <f>DATE(2012,12,31)-206</f>
        <v>41068</v>
      </c>
      <c r="C5603" s="9" t="s">
        <v>1768</v>
      </c>
      <c r="D5603">
        <v>10021249424</v>
      </c>
      <c r="E5603" t="s">
        <v>47</v>
      </c>
      <c r="F5603" t="s">
        <v>208</v>
      </c>
      <c r="G5603" t="s">
        <v>209</v>
      </c>
      <c r="H5603" t="s">
        <v>2300</v>
      </c>
      <c r="I5603" t="s">
        <v>2301</v>
      </c>
      <c r="J5603" t="s">
        <v>52</v>
      </c>
      <c r="K5603" s="3">
        <v>10099414571</v>
      </c>
      <c r="L5603" s="10">
        <v>41069</v>
      </c>
      <c r="M5603">
        <v>2750.7105</v>
      </c>
      <c r="N5603" s="11">
        <v>48</v>
      </c>
      <c r="O5603" s="12">
        <v>65.99</v>
      </c>
      <c r="P5603" s="12">
        <v>5.26</v>
      </c>
      <c r="Q5603" s="13">
        <v>791.901</v>
      </c>
      <c r="R5603" s="36" t="s">
        <v>522</v>
      </c>
      <c r="S5603" s="7">
        <f t="shared" si="481"/>
        <v>1</v>
      </c>
      <c r="T5603" s="15" t="str">
        <f>VLOOKUP(R5603,产品分类!$C$2:$D$1278,2,0)</f>
        <v>家具产品</v>
      </c>
    </row>
    <row r="5604" spans="1:20">
      <c r="A5604" s="8">
        <f>DATE(2012,12,31)-1129</f>
        <v>40145</v>
      </c>
      <c r="B5604" s="8">
        <f>DATE(2012,12,31)-1129</f>
        <v>40145</v>
      </c>
      <c r="C5604" s="9" t="s">
        <v>1786</v>
      </c>
      <c r="D5604">
        <v>10021425547</v>
      </c>
      <c r="E5604" t="s">
        <v>47</v>
      </c>
      <c r="F5604" t="s">
        <v>137</v>
      </c>
      <c r="G5604" t="s">
        <v>138</v>
      </c>
      <c r="H5604" t="s">
        <v>139</v>
      </c>
      <c r="I5604" t="s">
        <v>140</v>
      </c>
      <c r="J5604" t="s">
        <v>52</v>
      </c>
      <c r="K5604" s="3">
        <v>100929582851</v>
      </c>
      <c r="L5604" s="10">
        <v>40147</v>
      </c>
      <c r="M5604">
        <v>835.48</v>
      </c>
      <c r="N5604" s="11">
        <v>20</v>
      </c>
      <c r="O5604" s="12">
        <v>43.57</v>
      </c>
      <c r="P5604" s="12">
        <v>16.36</v>
      </c>
      <c r="Q5604" s="13">
        <v>-58.13</v>
      </c>
      <c r="R5604" s="36" t="s">
        <v>1446</v>
      </c>
      <c r="S5604" s="7">
        <f t="shared" si="481"/>
        <v>2</v>
      </c>
      <c r="T5604" s="15" t="str">
        <f>VLOOKUP(R5604,产品分类!$C$2:$D$1278,2,0)</f>
        <v>数码电子</v>
      </c>
    </row>
    <row r="5605" spans="1:20">
      <c r="A5605" s="8">
        <f t="shared" ref="A5605:B5607" si="484">DATE(2012,12,31)-1274</f>
        <v>40000</v>
      </c>
      <c r="B5605" s="8">
        <f t="shared" si="484"/>
        <v>40000</v>
      </c>
      <c r="C5605" s="9" t="s">
        <v>145</v>
      </c>
      <c r="D5605">
        <v>10021454233</v>
      </c>
      <c r="E5605" t="s">
        <v>47</v>
      </c>
      <c r="F5605" t="s">
        <v>102</v>
      </c>
      <c r="G5605" t="s">
        <v>103</v>
      </c>
      <c r="H5605" t="s">
        <v>2400</v>
      </c>
      <c r="I5605" t="s">
        <v>2401</v>
      </c>
      <c r="J5605" t="s">
        <v>52</v>
      </c>
      <c r="K5605" s="3">
        <v>100432920004</v>
      </c>
      <c r="L5605" s="10">
        <v>40002</v>
      </c>
      <c r="M5605">
        <v>63.61</v>
      </c>
      <c r="N5605" s="11">
        <v>6</v>
      </c>
      <c r="O5605" s="12">
        <v>10.06</v>
      </c>
      <c r="P5605" s="12">
        <v>2.06</v>
      </c>
      <c r="Q5605" s="13">
        <v>7.59</v>
      </c>
      <c r="R5605" s="36" t="s">
        <v>880</v>
      </c>
      <c r="S5605" s="7">
        <f t="shared" si="481"/>
        <v>2</v>
      </c>
      <c r="T5605" s="15" t="str">
        <f>VLOOKUP(R5605,产品分类!$C$2:$D$1278,2,0)</f>
        <v>办公用品</v>
      </c>
    </row>
    <row r="5606" spans="1:20">
      <c r="A5606" s="8">
        <f t="shared" si="484"/>
        <v>40000</v>
      </c>
      <c r="B5606" s="8">
        <f t="shared" si="484"/>
        <v>40000</v>
      </c>
      <c r="C5606" s="9" t="s">
        <v>145</v>
      </c>
      <c r="D5606">
        <v>10021477996</v>
      </c>
      <c r="E5606" t="s">
        <v>47</v>
      </c>
      <c r="F5606" t="s">
        <v>102</v>
      </c>
      <c r="G5606" t="s">
        <v>103</v>
      </c>
      <c r="H5606" t="s">
        <v>2400</v>
      </c>
      <c r="I5606" t="s">
        <v>2401</v>
      </c>
      <c r="J5606" t="s">
        <v>52</v>
      </c>
      <c r="K5606" s="3">
        <v>100929959051</v>
      </c>
      <c r="L5606" s="10">
        <v>40002</v>
      </c>
      <c r="M5606">
        <v>519.9535</v>
      </c>
      <c r="N5606" s="11">
        <v>9</v>
      </c>
      <c r="O5606" s="12">
        <v>65.99</v>
      </c>
      <c r="P5606" s="12">
        <v>5.92</v>
      </c>
      <c r="Q5606" s="13">
        <v>-107.987</v>
      </c>
      <c r="R5606" s="36" t="s">
        <v>1189</v>
      </c>
      <c r="S5606" s="7">
        <f t="shared" si="481"/>
        <v>2</v>
      </c>
      <c r="T5606" s="15" t="str">
        <f>VLOOKUP(R5606,产品分类!$C$2:$D$1278,2,0)</f>
        <v>家具产品</v>
      </c>
    </row>
    <row r="5607" spans="1:20">
      <c r="A5607" s="8">
        <f t="shared" si="484"/>
        <v>40000</v>
      </c>
      <c r="B5607" s="8">
        <f t="shared" si="484"/>
        <v>40000</v>
      </c>
      <c r="C5607" s="9" t="s">
        <v>145</v>
      </c>
      <c r="D5607">
        <v>10021430115</v>
      </c>
      <c r="E5607" t="s">
        <v>47</v>
      </c>
      <c r="F5607" t="s">
        <v>102</v>
      </c>
      <c r="G5607" t="s">
        <v>103</v>
      </c>
      <c r="H5607" t="s">
        <v>2400</v>
      </c>
      <c r="I5607" t="s">
        <v>2401</v>
      </c>
      <c r="J5607" t="s">
        <v>52</v>
      </c>
      <c r="K5607" s="3">
        <v>100731900935</v>
      </c>
      <c r="L5607" s="10">
        <v>40001</v>
      </c>
      <c r="M5607">
        <v>5636.3075</v>
      </c>
      <c r="N5607" s="11">
        <v>41</v>
      </c>
      <c r="O5607" s="12">
        <v>155.99</v>
      </c>
      <c r="P5607" s="12">
        <v>8.99</v>
      </c>
      <c r="Q5607" s="13">
        <v>1595.673</v>
      </c>
      <c r="R5607" s="36" t="s">
        <v>87</v>
      </c>
      <c r="S5607" s="7">
        <f t="shared" si="481"/>
        <v>1</v>
      </c>
      <c r="T5607" s="15" t="str">
        <f>VLOOKUP(R5607,产品分类!$C$2:$D$1278,2,0)</f>
        <v>办公用品</v>
      </c>
    </row>
    <row r="5608" spans="1:20">
      <c r="A5608" s="8">
        <f>DATE(2012,12,31)-607</f>
        <v>40667</v>
      </c>
      <c r="B5608" s="8">
        <f>DATE(2012,12,31)-607</f>
        <v>40667</v>
      </c>
      <c r="C5608" s="9" t="s">
        <v>1047</v>
      </c>
      <c r="D5608">
        <v>10021263397</v>
      </c>
      <c r="E5608" t="s">
        <v>47</v>
      </c>
      <c r="F5608" t="s">
        <v>304</v>
      </c>
      <c r="G5608" t="s">
        <v>305</v>
      </c>
      <c r="H5608" t="s">
        <v>2383</v>
      </c>
      <c r="I5608" t="s">
        <v>2384</v>
      </c>
      <c r="J5608" t="s">
        <v>52</v>
      </c>
      <c r="K5608" s="3">
        <v>100130504936</v>
      </c>
      <c r="L5608" s="10">
        <v>40668</v>
      </c>
      <c r="M5608">
        <v>955.29</v>
      </c>
      <c r="N5608" s="11">
        <v>8</v>
      </c>
      <c r="O5608" s="12">
        <v>115.99</v>
      </c>
      <c r="P5608" s="12">
        <v>56.14</v>
      </c>
      <c r="Q5608" s="13">
        <v>-286.1952</v>
      </c>
      <c r="R5608" s="36" t="s">
        <v>329</v>
      </c>
      <c r="S5608" s="7">
        <f t="shared" si="481"/>
        <v>1</v>
      </c>
      <c r="T5608" s="15" t="str">
        <f>VLOOKUP(R5608,产品分类!$C$2:$D$1278,2,0)</f>
        <v>办公用品</v>
      </c>
    </row>
    <row r="5609" spans="1:20">
      <c r="A5609" s="8">
        <f t="shared" ref="A5609:B5611" si="485">DATE(2012,12,31)-918</f>
        <v>40356</v>
      </c>
      <c r="B5609" s="8">
        <f t="shared" si="485"/>
        <v>40356</v>
      </c>
      <c r="C5609" s="9" t="s">
        <v>540</v>
      </c>
      <c r="D5609">
        <v>10021343356</v>
      </c>
      <c r="E5609" t="s">
        <v>47</v>
      </c>
      <c r="F5609" t="s">
        <v>171</v>
      </c>
      <c r="G5609" t="s">
        <v>172</v>
      </c>
      <c r="H5609" t="s">
        <v>2352</v>
      </c>
      <c r="I5609" t="s">
        <v>2353</v>
      </c>
      <c r="J5609" t="s">
        <v>52</v>
      </c>
      <c r="K5609" s="3">
        <v>100928750441</v>
      </c>
      <c r="L5609" s="10">
        <v>40358</v>
      </c>
      <c r="M5609">
        <v>125.31</v>
      </c>
      <c r="N5609" s="11">
        <v>14</v>
      </c>
      <c r="O5609" s="12">
        <v>7.96</v>
      </c>
      <c r="P5609" s="12">
        <v>4.95</v>
      </c>
      <c r="Q5609" s="13">
        <v>26.24</v>
      </c>
      <c r="R5609" s="36" t="s">
        <v>1167</v>
      </c>
      <c r="S5609" s="7">
        <f t="shared" si="481"/>
        <v>2</v>
      </c>
      <c r="T5609" s="15" t="str">
        <f>VLOOKUP(R5609,产品分类!$C$2:$D$1278,2,0)</f>
        <v>家具产品</v>
      </c>
    </row>
    <row r="5610" spans="1:20">
      <c r="A5610" s="8">
        <f t="shared" si="485"/>
        <v>40356</v>
      </c>
      <c r="B5610" s="8">
        <f t="shared" si="485"/>
        <v>40356</v>
      </c>
      <c r="C5610" s="9" t="s">
        <v>540</v>
      </c>
      <c r="D5610">
        <v>10021339327</v>
      </c>
      <c r="E5610" t="s">
        <v>47</v>
      </c>
      <c r="F5610" t="s">
        <v>177</v>
      </c>
      <c r="G5610" t="s">
        <v>178</v>
      </c>
      <c r="H5610" t="s">
        <v>2451</v>
      </c>
      <c r="I5610" t="s">
        <v>2452</v>
      </c>
      <c r="J5610" t="s">
        <v>52</v>
      </c>
      <c r="K5610" s="3">
        <v>100425031504</v>
      </c>
      <c r="L5610" s="10">
        <v>40358</v>
      </c>
      <c r="M5610">
        <v>11277.05</v>
      </c>
      <c r="N5610" s="11">
        <v>45</v>
      </c>
      <c r="O5610" s="12">
        <v>264.98</v>
      </c>
      <c r="P5610" s="12">
        <v>17.86</v>
      </c>
      <c r="Q5610" s="13">
        <v>3497.45</v>
      </c>
      <c r="R5610" s="36" t="s">
        <v>821</v>
      </c>
      <c r="S5610" s="7">
        <f t="shared" si="481"/>
        <v>2</v>
      </c>
      <c r="T5610" s="15" t="str">
        <f>VLOOKUP(R5610,产品分类!$C$2:$D$1278,2,0)</f>
        <v>办公用品</v>
      </c>
    </row>
    <row r="5611" spans="1:20">
      <c r="A5611" s="8">
        <f t="shared" si="485"/>
        <v>40356</v>
      </c>
      <c r="B5611" s="8">
        <f t="shared" si="485"/>
        <v>40356</v>
      </c>
      <c r="C5611" s="9" t="s">
        <v>540</v>
      </c>
      <c r="D5611">
        <v>10021433159</v>
      </c>
      <c r="E5611" t="s">
        <v>47</v>
      </c>
      <c r="F5611" t="s">
        <v>527</v>
      </c>
      <c r="G5611" t="s">
        <v>528</v>
      </c>
      <c r="H5611" t="s">
        <v>2454</v>
      </c>
      <c r="I5611" t="s">
        <v>2455</v>
      </c>
      <c r="J5611" t="s">
        <v>52</v>
      </c>
      <c r="K5611" s="3">
        <v>100432600603</v>
      </c>
      <c r="L5611" s="10">
        <v>40358</v>
      </c>
      <c r="M5611">
        <v>110.64</v>
      </c>
      <c r="N5611" s="11">
        <v>43</v>
      </c>
      <c r="O5611" s="12">
        <v>2.6</v>
      </c>
      <c r="P5611" s="12">
        <v>2.4</v>
      </c>
      <c r="Q5611" s="13">
        <v>-62.6</v>
      </c>
      <c r="R5611" s="36" t="s">
        <v>1884</v>
      </c>
      <c r="S5611" s="7">
        <f t="shared" si="481"/>
        <v>2</v>
      </c>
      <c r="T5611" s="15" t="str">
        <f>VLOOKUP(R5611,产品分类!$C$2:$D$1278,2,0)</f>
        <v>数码电子</v>
      </c>
    </row>
    <row r="5612" spans="1:20">
      <c r="A5612" s="8">
        <f>DATE(2012,12,31)-1375</f>
        <v>39899</v>
      </c>
      <c r="B5612" s="8">
        <f>DATE(2012,12,31)-1375</f>
        <v>39899</v>
      </c>
      <c r="C5612" s="9" t="s">
        <v>1206</v>
      </c>
      <c r="D5612">
        <v>10021577951</v>
      </c>
      <c r="E5612" t="s">
        <v>47</v>
      </c>
      <c r="F5612" t="s">
        <v>171</v>
      </c>
      <c r="G5612" t="s">
        <v>172</v>
      </c>
      <c r="H5612" t="s">
        <v>2352</v>
      </c>
      <c r="I5612" t="s">
        <v>2353</v>
      </c>
      <c r="J5612" t="s">
        <v>52</v>
      </c>
      <c r="K5612" s="3">
        <v>100117341077</v>
      </c>
      <c r="L5612" s="10">
        <v>39900</v>
      </c>
      <c r="M5612">
        <v>140.59</v>
      </c>
      <c r="N5612" s="11">
        <v>7</v>
      </c>
      <c r="O5612" s="12">
        <v>17.98</v>
      </c>
      <c r="P5612" s="12">
        <v>8.51</v>
      </c>
      <c r="Q5612" s="13">
        <v>-35.8788</v>
      </c>
      <c r="R5612" s="36" t="s">
        <v>1430</v>
      </c>
      <c r="S5612" s="7">
        <f t="shared" si="481"/>
        <v>1</v>
      </c>
      <c r="T5612" s="15" t="str">
        <f>VLOOKUP(R5612,产品分类!$C$2:$D$1278,2,0)</f>
        <v>办公用品</v>
      </c>
    </row>
    <row r="5613" spans="1:20">
      <c r="A5613" s="16">
        <f>DATE(2012,12,31)-1303</f>
        <v>39971</v>
      </c>
      <c r="B5613" s="16">
        <f>DATE(2012,12,31)-1303</f>
        <v>39971</v>
      </c>
      <c r="C5613" s="9" t="s">
        <v>1685</v>
      </c>
      <c r="D5613">
        <v>10021496965</v>
      </c>
      <c r="E5613" t="s">
        <v>47</v>
      </c>
      <c r="F5613" t="s">
        <v>171</v>
      </c>
      <c r="G5613" t="s">
        <v>172</v>
      </c>
      <c r="H5613" t="s">
        <v>2352</v>
      </c>
      <c r="I5613" t="s">
        <v>2353</v>
      </c>
      <c r="J5613" t="s">
        <v>52</v>
      </c>
      <c r="K5613" s="3">
        <v>100315970909</v>
      </c>
      <c r="L5613" s="10">
        <v>39978</v>
      </c>
      <c r="M5613">
        <v>1683.69</v>
      </c>
      <c r="N5613" s="17">
        <v>33</v>
      </c>
      <c r="O5613" s="5">
        <v>48.04</v>
      </c>
      <c r="P5613" s="5">
        <v>5.79</v>
      </c>
      <c r="Q5613" s="6">
        <v>809.97</v>
      </c>
      <c r="R5613" s="37" t="s">
        <v>2111</v>
      </c>
      <c r="S5613" s="7">
        <f t="shared" si="481"/>
        <v>7</v>
      </c>
      <c r="T5613" s="15" t="str">
        <f>VLOOKUP(R5613,产品分类!$C$2:$D$1278,2,0)</f>
        <v>数码电子</v>
      </c>
    </row>
    <row r="5614" spans="1:20">
      <c r="A5614" s="8">
        <f>DATE(2012,12,31)-1303</f>
        <v>39971</v>
      </c>
      <c r="B5614" s="8">
        <f>DATE(2012,12,31)-1303</f>
        <v>39971</v>
      </c>
      <c r="C5614" s="9" t="s">
        <v>1685</v>
      </c>
      <c r="D5614">
        <v>10021430821</v>
      </c>
      <c r="E5614" t="s">
        <v>47</v>
      </c>
      <c r="F5614" t="s">
        <v>527</v>
      </c>
      <c r="G5614" t="s">
        <v>528</v>
      </c>
      <c r="H5614" t="s">
        <v>2454</v>
      </c>
      <c r="I5614" t="s">
        <v>2455</v>
      </c>
      <c r="J5614" t="s">
        <v>52</v>
      </c>
      <c r="K5614" s="3">
        <v>100431953063</v>
      </c>
      <c r="L5614" s="10">
        <v>39973</v>
      </c>
      <c r="M5614">
        <v>2208.31</v>
      </c>
      <c r="N5614" s="11">
        <v>48</v>
      </c>
      <c r="O5614" s="12">
        <v>45.98</v>
      </c>
      <c r="P5614" s="12">
        <v>4.8</v>
      </c>
      <c r="Q5614" s="13">
        <v>569.08</v>
      </c>
      <c r="R5614" s="36" t="s">
        <v>1364</v>
      </c>
      <c r="S5614" s="7">
        <f t="shared" si="481"/>
        <v>2</v>
      </c>
      <c r="T5614" s="15" t="str">
        <f>VLOOKUP(R5614,产品分类!$C$2:$D$1278,2,0)</f>
        <v>数码电子</v>
      </c>
    </row>
    <row r="5615" spans="1:20">
      <c r="A5615" s="8">
        <f t="shared" ref="A5615:B5617" si="486">DATE(2012,12,31)-102</f>
        <v>41172</v>
      </c>
      <c r="B5615" s="8">
        <f t="shared" si="486"/>
        <v>41172</v>
      </c>
      <c r="C5615" s="9" t="s">
        <v>1537</v>
      </c>
      <c r="D5615">
        <v>10021349659</v>
      </c>
      <c r="E5615" t="s">
        <v>47</v>
      </c>
      <c r="F5615" t="s">
        <v>171</v>
      </c>
      <c r="G5615" t="s">
        <v>172</v>
      </c>
      <c r="H5615" t="s">
        <v>2352</v>
      </c>
      <c r="I5615" t="s">
        <v>2353</v>
      </c>
      <c r="J5615" t="s">
        <v>52</v>
      </c>
      <c r="K5615" s="3">
        <v>100831885492</v>
      </c>
      <c r="L5615" s="10">
        <v>41174</v>
      </c>
      <c r="M5615">
        <v>82.43</v>
      </c>
      <c r="N5615" s="11">
        <v>19</v>
      </c>
      <c r="O5615" s="12">
        <v>4.06</v>
      </c>
      <c r="P5615" s="12">
        <v>6.89</v>
      </c>
      <c r="Q5615" s="13">
        <v>-94.76</v>
      </c>
      <c r="R5615" s="36" t="s">
        <v>1285</v>
      </c>
      <c r="S5615" s="7">
        <f t="shared" si="481"/>
        <v>2</v>
      </c>
      <c r="T5615" s="15" t="str">
        <f>VLOOKUP(R5615,产品分类!$C$2:$D$1278,2,0)</f>
        <v>办公用品</v>
      </c>
    </row>
    <row r="5616" spans="1:20">
      <c r="A5616" s="8">
        <f t="shared" si="486"/>
        <v>41172</v>
      </c>
      <c r="B5616" s="8">
        <f t="shared" si="486"/>
        <v>41172</v>
      </c>
      <c r="C5616" s="9" t="s">
        <v>1537</v>
      </c>
      <c r="D5616">
        <v>10021446911</v>
      </c>
      <c r="E5616" t="s">
        <v>47</v>
      </c>
      <c r="F5616" t="s">
        <v>171</v>
      </c>
      <c r="G5616" t="s">
        <v>172</v>
      </c>
      <c r="H5616" t="s">
        <v>2352</v>
      </c>
      <c r="I5616" t="s">
        <v>2353</v>
      </c>
      <c r="J5616" t="s">
        <v>52</v>
      </c>
      <c r="K5616" s="3">
        <v>100921662111</v>
      </c>
      <c r="L5616" s="10">
        <v>41174</v>
      </c>
      <c r="M5616">
        <v>295.97</v>
      </c>
      <c r="N5616" s="11">
        <v>31</v>
      </c>
      <c r="O5616" s="12">
        <v>8.85</v>
      </c>
      <c r="P5616" s="12">
        <v>5.6</v>
      </c>
      <c r="Q5616" s="13">
        <v>5.015</v>
      </c>
      <c r="R5616" s="36" t="s">
        <v>1281</v>
      </c>
      <c r="S5616" s="7">
        <f t="shared" si="481"/>
        <v>2</v>
      </c>
      <c r="T5616" s="15" t="str">
        <f>VLOOKUP(R5616,产品分类!$C$2:$D$1278,2,0)</f>
        <v>办公用品</v>
      </c>
    </row>
    <row r="5617" spans="1:20">
      <c r="A5617" s="8">
        <f t="shared" si="486"/>
        <v>41172</v>
      </c>
      <c r="B5617" s="8">
        <f t="shared" si="486"/>
        <v>41172</v>
      </c>
      <c r="C5617" s="9" t="s">
        <v>1537</v>
      </c>
      <c r="D5617">
        <v>10021498485</v>
      </c>
      <c r="E5617" t="s">
        <v>47</v>
      </c>
      <c r="F5617" t="s">
        <v>171</v>
      </c>
      <c r="G5617" t="s">
        <v>172</v>
      </c>
      <c r="H5617" t="s">
        <v>2352</v>
      </c>
      <c r="I5617" t="s">
        <v>2353</v>
      </c>
      <c r="J5617" t="s">
        <v>52</v>
      </c>
      <c r="K5617" s="3">
        <v>100822386342</v>
      </c>
      <c r="L5617" s="10">
        <v>41173</v>
      </c>
      <c r="M5617">
        <v>94.5</v>
      </c>
      <c r="N5617" s="11">
        <v>29</v>
      </c>
      <c r="O5617" s="12">
        <v>3.15</v>
      </c>
      <c r="P5617" s="12">
        <v>0.5</v>
      </c>
      <c r="Q5617" s="13">
        <v>39.9</v>
      </c>
      <c r="R5617" s="36" t="s">
        <v>1815</v>
      </c>
      <c r="S5617" s="7">
        <f t="shared" si="481"/>
        <v>1</v>
      </c>
      <c r="T5617" s="15" t="str">
        <f>VLOOKUP(R5617,产品分类!$C$2:$D$1278,2,0)</f>
        <v>办公用品</v>
      </c>
    </row>
    <row r="5618" spans="1:20">
      <c r="A5618" s="8">
        <f>DATE(2012,12,31)-120</f>
        <v>41154</v>
      </c>
      <c r="B5618" s="8">
        <f>DATE(2012,12,31)-120</f>
        <v>41154</v>
      </c>
      <c r="C5618" s="9" t="s">
        <v>2034</v>
      </c>
      <c r="D5618">
        <v>10021620593</v>
      </c>
      <c r="E5618" t="s">
        <v>47</v>
      </c>
      <c r="F5618" t="s">
        <v>177</v>
      </c>
      <c r="G5618" t="s">
        <v>178</v>
      </c>
      <c r="H5618" t="s">
        <v>2451</v>
      </c>
      <c r="I5618" t="s">
        <v>2452</v>
      </c>
      <c r="J5618" t="s">
        <v>52</v>
      </c>
      <c r="K5618" s="3">
        <v>10044100564</v>
      </c>
      <c r="L5618" s="10">
        <v>41161</v>
      </c>
      <c r="M5618">
        <v>2026.42</v>
      </c>
      <c r="N5618" s="11">
        <v>50</v>
      </c>
      <c r="O5618" s="12">
        <v>39.98</v>
      </c>
      <c r="P5618" s="12">
        <v>9.83</v>
      </c>
      <c r="Q5618" s="13">
        <v>655.36</v>
      </c>
      <c r="R5618" s="36" t="s">
        <v>1705</v>
      </c>
      <c r="S5618" s="7">
        <f t="shared" si="481"/>
        <v>7</v>
      </c>
      <c r="T5618" s="15" t="str">
        <f>VLOOKUP(R5618,产品分类!$C$2:$D$1278,2,0)</f>
        <v>办公用品</v>
      </c>
    </row>
    <row r="5619" spans="1:20">
      <c r="A5619" s="8">
        <f>DATE(2012,12,31)-120</f>
        <v>41154</v>
      </c>
      <c r="B5619" s="8">
        <f>DATE(2012,12,31)-120</f>
        <v>41154</v>
      </c>
      <c r="C5619" s="9" t="s">
        <v>2034</v>
      </c>
      <c r="D5619">
        <v>10021678541</v>
      </c>
      <c r="E5619" t="s">
        <v>47</v>
      </c>
      <c r="F5619" t="s">
        <v>127</v>
      </c>
      <c r="G5619" t="s">
        <v>128</v>
      </c>
      <c r="H5619" t="s">
        <v>2408</v>
      </c>
      <c r="I5619" t="s">
        <v>2409</v>
      </c>
      <c r="J5619" t="s">
        <v>52</v>
      </c>
      <c r="K5619" s="3">
        <v>100932938771</v>
      </c>
      <c r="L5619" s="10">
        <v>41158</v>
      </c>
      <c r="M5619">
        <v>3413.4555</v>
      </c>
      <c r="N5619" s="11">
        <v>31</v>
      </c>
      <c r="O5619" s="12">
        <v>125.99</v>
      </c>
      <c r="P5619" s="12">
        <v>2.5</v>
      </c>
      <c r="Q5619" s="13">
        <v>868.473</v>
      </c>
      <c r="R5619" s="36" t="s">
        <v>1411</v>
      </c>
      <c r="S5619" s="7">
        <f t="shared" si="481"/>
        <v>4</v>
      </c>
      <c r="T5619" s="15" t="str">
        <f>VLOOKUP(R5619,产品分类!$C$2:$D$1278,2,0)</f>
        <v>办公用品</v>
      </c>
    </row>
    <row r="5620" spans="1:20">
      <c r="A5620" s="8">
        <f>DATE(2012,12,31)-1290</f>
        <v>39984</v>
      </c>
      <c r="B5620" s="8">
        <f>DATE(2012,12,31)-1290</f>
        <v>39984</v>
      </c>
      <c r="C5620" s="9" t="s">
        <v>1318</v>
      </c>
      <c r="D5620">
        <v>10021662302</v>
      </c>
      <c r="E5620" t="s">
        <v>47</v>
      </c>
      <c r="F5620" t="s">
        <v>177</v>
      </c>
      <c r="G5620" t="s">
        <v>178</v>
      </c>
      <c r="H5620" t="s">
        <v>2451</v>
      </c>
      <c r="I5620" t="s">
        <v>2452</v>
      </c>
      <c r="J5620" t="s">
        <v>52</v>
      </c>
      <c r="K5620" s="3">
        <v>100410013843</v>
      </c>
      <c r="L5620" s="10">
        <v>39986</v>
      </c>
      <c r="M5620">
        <v>323.63</v>
      </c>
      <c r="N5620" s="11">
        <v>40</v>
      </c>
      <c r="O5620" s="12">
        <v>8.04</v>
      </c>
      <c r="P5620" s="12">
        <v>8.94</v>
      </c>
      <c r="Q5620" s="13">
        <v>-205.4935</v>
      </c>
      <c r="R5620" s="36" t="s">
        <v>1042</v>
      </c>
      <c r="S5620" s="7">
        <f t="shared" si="481"/>
        <v>2</v>
      </c>
      <c r="T5620" s="15" t="str">
        <f>VLOOKUP(R5620,产品分类!$C$2:$D$1278,2,0)</f>
        <v>家具产品</v>
      </c>
    </row>
    <row r="5621" spans="1:20">
      <c r="A5621" s="8">
        <f>DATE(2012,12,31)-333</f>
        <v>40941</v>
      </c>
      <c r="B5621" s="8">
        <f>DATE(2012,12,31)-333</f>
        <v>40941</v>
      </c>
      <c r="C5621" s="9" t="s">
        <v>1080</v>
      </c>
      <c r="D5621">
        <v>10021577992</v>
      </c>
      <c r="E5621" t="s">
        <v>47</v>
      </c>
      <c r="F5621" t="s">
        <v>177</v>
      </c>
      <c r="G5621" t="s">
        <v>178</v>
      </c>
      <c r="H5621" t="s">
        <v>2451</v>
      </c>
      <c r="I5621" t="s">
        <v>2452</v>
      </c>
      <c r="J5621" t="s">
        <v>52</v>
      </c>
      <c r="K5621" s="3">
        <v>100317469599</v>
      </c>
      <c r="L5621" s="10">
        <v>40942</v>
      </c>
      <c r="M5621">
        <v>314.34</v>
      </c>
      <c r="N5621" s="11">
        <v>48</v>
      </c>
      <c r="O5621" s="12">
        <v>6.48</v>
      </c>
      <c r="P5621" s="12">
        <v>6.6</v>
      </c>
      <c r="Q5621" s="13">
        <v>-130.5</v>
      </c>
      <c r="R5621" s="36" t="s">
        <v>784</v>
      </c>
      <c r="S5621" s="7">
        <f t="shared" si="481"/>
        <v>1</v>
      </c>
      <c r="T5621" s="15" t="str">
        <f>VLOOKUP(R5621,产品分类!$C$2:$D$1278,2,0)</f>
        <v>数码电子</v>
      </c>
    </row>
    <row r="5622" spans="1:20">
      <c r="A5622" s="8">
        <f>DATE(2012,12,31)-1362</f>
        <v>39912</v>
      </c>
      <c r="B5622" s="8">
        <f>DATE(2012,12,31)-1362</f>
        <v>39912</v>
      </c>
      <c r="C5622" s="9" t="s">
        <v>328</v>
      </c>
      <c r="D5622">
        <v>10021334621</v>
      </c>
      <c r="E5622" t="s">
        <v>47</v>
      </c>
      <c r="F5622" t="s">
        <v>177</v>
      </c>
      <c r="G5622" t="s">
        <v>178</v>
      </c>
      <c r="H5622" t="s">
        <v>2451</v>
      </c>
      <c r="I5622" t="s">
        <v>2452</v>
      </c>
      <c r="J5622" t="s">
        <v>52</v>
      </c>
      <c r="K5622" s="3">
        <v>100415026844</v>
      </c>
      <c r="L5622" s="10">
        <v>39916</v>
      </c>
      <c r="M5622">
        <v>4075.376</v>
      </c>
      <c r="N5622" s="11">
        <v>43</v>
      </c>
      <c r="O5622" s="12">
        <v>115.99</v>
      </c>
      <c r="P5622" s="12">
        <v>8.99</v>
      </c>
      <c r="Q5622" s="13">
        <v>841.725</v>
      </c>
      <c r="R5622" s="36" t="s">
        <v>2295</v>
      </c>
      <c r="S5622" s="7">
        <f t="shared" si="481"/>
        <v>4</v>
      </c>
      <c r="T5622" s="15" t="str">
        <f>VLOOKUP(R5622,产品分类!$C$2:$D$1278,2,0)</f>
        <v>家具产品</v>
      </c>
    </row>
    <row r="5623" spans="1:20">
      <c r="A5623" s="8">
        <f>DATE(2012,12,31)-1095</f>
        <v>40179</v>
      </c>
      <c r="B5623" s="8">
        <f>DATE(2012,12,31)-1095</f>
        <v>40179</v>
      </c>
      <c r="C5623" s="9" t="s">
        <v>582</v>
      </c>
      <c r="D5623">
        <v>10021331988</v>
      </c>
      <c r="E5623" t="s">
        <v>47</v>
      </c>
      <c r="F5623" t="s">
        <v>183</v>
      </c>
      <c r="G5623" t="s">
        <v>184</v>
      </c>
      <c r="H5623" t="s">
        <v>2436</v>
      </c>
      <c r="I5623" t="s">
        <v>2277</v>
      </c>
      <c r="J5623" t="s">
        <v>52</v>
      </c>
      <c r="K5623" s="3">
        <v>10039590359</v>
      </c>
      <c r="L5623" s="10">
        <v>40181</v>
      </c>
      <c r="M5623">
        <v>294.13</v>
      </c>
      <c r="N5623" s="11">
        <v>43</v>
      </c>
      <c r="O5623" s="12">
        <v>6.68</v>
      </c>
      <c r="P5623" s="12">
        <v>6.92</v>
      </c>
      <c r="Q5623" s="13">
        <v>-123.07</v>
      </c>
      <c r="R5623" s="36" t="s">
        <v>922</v>
      </c>
      <c r="S5623" s="7">
        <f t="shared" si="481"/>
        <v>2</v>
      </c>
      <c r="T5623" s="15" t="str">
        <f>VLOOKUP(R5623,产品分类!$C$2:$D$1278,2,0)</f>
        <v>家具产品</v>
      </c>
    </row>
    <row r="5624" spans="1:20">
      <c r="A5624" s="8">
        <f>DATE(2012,12,31)-743</f>
        <v>40531</v>
      </c>
      <c r="B5624" s="8">
        <f>DATE(2012,12,31)-743</f>
        <v>40531</v>
      </c>
      <c r="C5624" s="9" t="s">
        <v>2086</v>
      </c>
      <c r="D5624">
        <v>10021668599</v>
      </c>
      <c r="E5624" t="s">
        <v>47</v>
      </c>
      <c r="F5624" t="s">
        <v>83</v>
      </c>
      <c r="G5624" t="s">
        <v>84</v>
      </c>
      <c r="H5624" t="s">
        <v>2349</v>
      </c>
      <c r="I5624" t="s">
        <v>2350</v>
      </c>
      <c r="J5624" t="s">
        <v>52</v>
      </c>
      <c r="K5624" s="3">
        <v>100829189632</v>
      </c>
      <c r="L5624" s="10">
        <v>40531</v>
      </c>
      <c r="M5624">
        <v>1554.21</v>
      </c>
      <c r="N5624" s="11">
        <v>38</v>
      </c>
      <c r="O5624" s="12">
        <v>41.32</v>
      </c>
      <c r="P5624" s="12">
        <v>8.66</v>
      </c>
      <c r="Q5624" s="13">
        <v>114.45</v>
      </c>
      <c r="R5624" s="36" t="s">
        <v>321</v>
      </c>
      <c r="S5624" s="7">
        <f t="shared" si="481"/>
        <v>0</v>
      </c>
      <c r="T5624" s="15" t="str">
        <f>VLOOKUP(R5624,产品分类!$C$2:$D$1278,2,0)</f>
        <v>数码电子</v>
      </c>
    </row>
    <row r="5625" spans="1:20">
      <c r="A5625" s="8">
        <f>DATE(2012,12,31)-743</f>
        <v>40531</v>
      </c>
      <c r="B5625" s="8">
        <f>DATE(2012,12,31)-743</f>
        <v>40531</v>
      </c>
      <c r="C5625" s="9" t="s">
        <v>2086</v>
      </c>
      <c r="D5625">
        <v>10021281319</v>
      </c>
      <c r="E5625" t="s">
        <v>47</v>
      </c>
      <c r="F5625" t="s">
        <v>342</v>
      </c>
      <c r="G5625" t="s">
        <v>343</v>
      </c>
      <c r="H5625" t="s">
        <v>2429</v>
      </c>
      <c r="I5625" t="s">
        <v>2430</v>
      </c>
      <c r="J5625" t="s">
        <v>52</v>
      </c>
      <c r="K5625" s="3">
        <v>100421382473</v>
      </c>
      <c r="L5625" s="10">
        <v>40532</v>
      </c>
      <c r="M5625">
        <v>1295.502</v>
      </c>
      <c r="N5625" s="11">
        <v>22</v>
      </c>
      <c r="O5625" s="12">
        <v>65.99</v>
      </c>
      <c r="P5625" s="12">
        <v>3.99</v>
      </c>
      <c r="Q5625" s="13">
        <v>224.856</v>
      </c>
      <c r="R5625" s="36" t="s">
        <v>727</v>
      </c>
      <c r="S5625" s="7">
        <f t="shared" si="481"/>
        <v>1</v>
      </c>
      <c r="T5625" s="15" t="str">
        <f>VLOOKUP(R5625,产品分类!$C$2:$D$1278,2,0)</f>
        <v>家具产品</v>
      </c>
    </row>
    <row r="5626" spans="1:20">
      <c r="A5626" s="16">
        <f>DATE(2012,12,31)-1126</f>
        <v>40148</v>
      </c>
      <c r="B5626" s="16">
        <f>DATE(2012,12,31)-1126</f>
        <v>40148</v>
      </c>
      <c r="C5626" s="9" t="s">
        <v>2043</v>
      </c>
      <c r="D5626">
        <v>10021339568</v>
      </c>
      <c r="E5626" t="s">
        <v>47</v>
      </c>
      <c r="F5626" t="s">
        <v>342</v>
      </c>
      <c r="G5626" t="s">
        <v>343</v>
      </c>
      <c r="H5626" t="s">
        <v>2429</v>
      </c>
      <c r="I5626" t="s">
        <v>2430</v>
      </c>
      <c r="J5626" t="s">
        <v>52</v>
      </c>
      <c r="K5626" s="3">
        <v>100825234112</v>
      </c>
      <c r="L5626" s="10">
        <v>40149</v>
      </c>
      <c r="M5626">
        <v>4387.24</v>
      </c>
      <c r="N5626" s="17">
        <v>47</v>
      </c>
      <c r="O5626" s="5">
        <v>95.43</v>
      </c>
      <c r="P5626" s="5">
        <v>19.99</v>
      </c>
      <c r="Q5626" s="6">
        <v>-286.47</v>
      </c>
      <c r="R5626" s="37" t="s">
        <v>406</v>
      </c>
      <c r="S5626" s="7">
        <f t="shared" si="481"/>
        <v>1</v>
      </c>
      <c r="T5626" s="15" t="str">
        <f>VLOOKUP(R5626,产品分类!$C$2:$D$1278,2,0)</f>
        <v>办公用品</v>
      </c>
    </row>
    <row r="5627" spans="1:20">
      <c r="A5627" s="8">
        <f>DATE(2012,12,31)-1212</f>
        <v>40062</v>
      </c>
      <c r="B5627" s="8">
        <f>DATE(2012,12,31)-1212</f>
        <v>40062</v>
      </c>
      <c r="C5627" s="9" t="s">
        <v>1286</v>
      </c>
      <c r="D5627">
        <v>10021662686</v>
      </c>
      <c r="E5627" t="s">
        <v>47</v>
      </c>
      <c r="F5627" t="s">
        <v>61</v>
      </c>
      <c r="G5627" t="s">
        <v>62</v>
      </c>
      <c r="H5627" t="s">
        <v>2431</v>
      </c>
      <c r="I5627" t="s">
        <v>2432</v>
      </c>
      <c r="J5627" t="s">
        <v>52</v>
      </c>
      <c r="K5627" s="3">
        <v>100722612755</v>
      </c>
      <c r="L5627" s="10">
        <v>40063</v>
      </c>
      <c r="M5627">
        <v>447.42</v>
      </c>
      <c r="N5627" s="11">
        <v>44</v>
      </c>
      <c r="O5627" s="12">
        <v>9.99</v>
      </c>
      <c r="P5627" s="12">
        <v>4.78</v>
      </c>
      <c r="Q5627" s="13">
        <v>41.3</v>
      </c>
      <c r="R5627" s="36" t="s">
        <v>2274</v>
      </c>
      <c r="S5627" s="7">
        <f t="shared" si="481"/>
        <v>1</v>
      </c>
      <c r="T5627" s="15" t="str">
        <f>VLOOKUP(R5627,产品分类!$C$2:$D$1278,2,0)</f>
        <v>办公用品</v>
      </c>
    </row>
    <row r="5628" spans="1:20">
      <c r="A5628" s="8">
        <f>DATE(2012,12,31)-1403</f>
        <v>39871</v>
      </c>
      <c r="B5628" s="8">
        <f>DATE(2012,12,31)-1403</f>
        <v>39871</v>
      </c>
      <c r="C5628" s="9" t="s">
        <v>2084</v>
      </c>
      <c r="D5628">
        <v>10021386507</v>
      </c>
      <c r="E5628" t="s">
        <v>47</v>
      </c>
      <c r="F5628" t="s">
        <v>61</v>
      </c>
      <c r="G5628" t="s">
        <v>62</v>
      </c>
      <c r="H5628" t="s">
        <v>2431</v>
      </c>
      <c r="I5628" t="s">
        <v>2432</v>
      </c>
      <c r="J5628" t="s">
        <v>52</v>
      </c>
      <c r="K5628" s="3">
        <v>100310387849</v>
      </c>
      <c r="L5628" s="10">
        <v>39878</v>
      </c>
      <c r="M5628">
        <v>71.47</v>
      </c>
      <c r="N5628" s="11">
        <v>14</v>
      </c>
      <c r="O5628" s="12">
        <v>4.98</v>
      </c>
      <c r="P5628" s="12">
        <v>4.62</v>
      </c>
      <c r="Q5628" s="13">
        <v>-62.73</v>
      </c>
      <c r="R5628" s="36" t="s">
        <v>146</v>
      </c>
      <c r="S5628" s="7">
        <f t="shared" si="481"/>
        <v>7</v>
      </c>
      <c r="T5628" s="15" t="str">
        <f>VLOOKUP(R5628,产品分类!$C$2:$D$1278,2,0)</f>
        <v>办公用品</v>
      </c>
    </row>
    <row r="5629" spans="1:20">
      <c r="A5629" s="8">
        <f>DATE(2012,12,31)-1403</f>
        <v>39871</v>
      </c>
      <c r="B5629" s="8">
        <f>DATE(2012,12,31)-1403</f>
        <v>39871</v>
      </c>
      <c r="C5629" s="9" t="s">
        <v>2084</v>
      </c>
      <c r="D5629">
        <v>10021496026</v>
      </c>
      <c r="E5629" t="s">
        <v>47</v>
      </c>
      <c r="F5629" t="s">
        <v>253</v>
      </c>
      <c r="G5629" t="s">
        <v>254</v>
      </c>
      <c r="H5629" t="s">
        <v>2438</v>
      </c>
      <c r="I5629" t="s">
        <v>2439</v>
      </c>
      <c r="J5629" t="s">
        <v>52</v>
      </c>
      <c r="K5629" s="3">
        <v>100814729232</v>
      </c>
      <c r="L5629" s="10">
        <v>39878</v>
      </c>
      <c r="M5629">
        <v>1372.14</v>
      </c>
      <c r="N5629" s="11">
        <v>10</v>
      </c>
      <c r="O5629" s="12">
        <v>130.98</v>
      </c>
      <c r="P5629" s="12">
        <v>54.74</v>
      </c>
      <c r="Q5629" s="13">
        <v>-340.98</v>
      </c>
      <c r="R5629" s="36" t="s">
        <v>142</v>
      </c>
      <c r="S5629" s="7">
        <f t="shared" si="481"/>
        <v>7</v>
      </c>
      <c r="T5629" s="15" t="str">
        <f>VLOOKUP(R5629,产品分类!$C$2:$D$1278,2,0)</f>
        <v>数码电子</v>
      </c>
    </row>
    <row r="5630" spans="1:20">
      <c r="A5630" s="8">
        <f t="shared" ref="A5630:B5632" si="487">DATE(2012,12,31)-1002</f>
        <v>40272</v>
      </c>
      <c r="B5630" s="8">
        <f t="shared" si="487"/>
        <v>40272</v>
      </c>
      <c r="C5630" s="9" t="s">
        <v>1414</v>
      </c>
      <c r="D5630">
        <v>10021403190</v>
      </c>
      <c r="E5630" t="s">
        <v>47</v>
      </c>
      <c r="F5630" t="s">
        <v>61</v>
      </c>
      <c r="G5630" t="s">
        <v>62</v>
      </c>
      <c r="H5630" t="s">
        <v>2431</v>
      </c>
      <c r="I5630" t="s">
        <v>2432</v>
      </c>
      <c r="J5630" t="s">
        <v>52</v>
      </c>
      <c r="K5630" s="3">
        <v>100413254014</v>
      </c>
      <c r="L5630" s="10">
        <v>40273</v>
      </c>
      <c r="M5630">
        <v>125.41</v>
      </c>
      <c r="N5630" s="11">
        <v>29</v>
      </c>
      <c r="O5630" s="12">
        <v>4.38</v>
      </c>
      <c r="P5630" s="12">
        <v>6.21</v>
      </c>
      <c r="Q5630" s="13">
        <v>-127.006</v>
      </c>
      <c r="R5630" s="36" t="s">
        <v>2448</v>
      </c>
      <c r="S5630" s="7">
        <f t="shared" si="481"/>
        <v>1</v>
      </c>
      <c r="T5630" s="15" t="str">
        <f>VLOOKUP(R5630,产品分类!$C$2:$D$1278,2,0)</f>
        <v>家具产品</v>
      </c>
    </row>
    <row r="5631" spans="1:20">
      <c r="A5631" s="8">
        <f t="shared" si="487"/>
        <v>40272</v>
      </c>
      <c r="B5631" s="8">
        <f t="shared" si="487"/>
        <v>40272</v>
      </c>
      <c r="C5631" s="9" t="s">
        <v>1414</v>
      </c>
      <c r="D5631">
        <v>10021334199</v>
      </c>
      <c r="E5631" t="s">
        <v>47</v>
      </c>
      <c r="F5631" t="s">
        <v>61</v>
      </c>
      <c r="G5631" t="s">
        <v>62</v>
      </c>
      <c r="H5631" t="s">
        <v>2431</v>
      </c>
      <c r="I5631" t="s">
        <v>2432</v>
      </c>
      <c r="J5631" t="s">
        <v>52</v>
      </c>
      <c r="K5631" s="3">
        <v>10097597921</v>
      </c>
      <c r="L5631" s="10">
        <v>40273</v>
      </c>
      <c r="M5631">
        <v>3170.52</v>
      </c>
      <c r="N5631" s="11">
        <v>49</v>
      </c>
      <c r="O5631" s="12">
        <v>64.98</v>
      </c>
      <c r="P5631" s="12">
        <v>6.88</v>
      </c>
      <c r="Q5631" s="13">
        <v>379.11</v>
      </c>
      <c r="R5631" s="36" t="s">
        <v>765</v>
      </c>
      <c r="S5631" s="7">
        <f t="shared" si="481"/>
        <v>1</v>
      </c>
      <c r="T5631" s="15" t="str">
        <f>VLOOKUP(R5631,产品分类!$C$2:$D$1278,2,0)</f>
        <v>办公用品</v>
      </c>
    </row>
    <row r="5632" spans="1:20">
      <c r="A5632" s="8">
        <f t="shared" si="487"/>
        <v>40272</v>
      </c>
      <c r="B5632" s="8">
        <f t="shared" si="487"/>
        <v>40272</v>
      </c>
      <c r="C5632" s="9" t="s">
        <v>1414</v>
      </c>
      <c r="D5632">
        <v>10021595483</v>
      </c>
      <c r="E5632" t="s">
        <v>47</v>
      </c>
      <c r="F5632" t="s">
        <v>61</v>
      </c>
      <c r="G5632" t="s">
        <v>62</v>
      </c>
      <c r="H5632" t="s">
        <v>2431</v>
      </c>
      <c r="I5632" t="s">
        <v>2432</v>
      </c>
      <c r="J5632" t="s">
        <v>52</v>
      </c>
      <c r="K5632" s="3">
        <v>100132800926</v>
      </c>
      <c r="L5632" s="10">
        <v>40274</v>
      </c>
      <c r="M5632">
        <v>2488.477</v>
      </c>
      <c r="N5632" s="11">
        <v>20</v>
      </c>
      <c r="O5632" s="12">
        <v>155.99</v>
      </c>
      <c r="P5632" s="12">
        <v>8.99</v>
      </c>
      <c r="Q5632" s="13">
        <v>142.551</v>
      </c>
      <c r="R5632" s="36" t="s">
        <v>87</v>
      </c>
      <c r="S5632" s="7">
        <f t="shared" si="481"/>
        <v>2</v>
      </c>
      <c r="T5632" s="15" t="str">
        <f>VLOOKUP(R5632,产品分类!$C$2:$D$1278,2,0)</f>
        <v>办公用品</v>
      </c>
    </row>
    <row r="5633" spans="1:20">
      <c r="A5633" s="8">
        <f>DATE(2012,12,31)-1043</f>
        <v>40231</v>
      </c>
      <c r="B5633" s="8">
        <f>DATE(2012,12,31)-1043</f>
        <v>40231</v>
      </c>
      <c r="C5633" s="9" t="s">
        <v>596</v>
      </c>
      <c r="D5633">
        <v>10021667067</v>
      </c>
      <c r="E5633" t="s">
        <v>47</v>
      </c>
      <c r="F5633" t="s">
        <v>61</v>
      </c>
      <c r="G5633" t="s">
        <v>62</v>
      </c>
      <c r="H5633" t="s">
        <v>2431</v>
      </c>
      <c r="I5633" t="s">
        <v>2432</v>
      </c>
      <c r="J5633" t="s">
        <v>52</v>
      </c>
      <c r="K5633" s="3">
        <v>100827659902</v>
      </c>
      <c r="L5633" s="10">
        <v>40232</v>
      </c>
      <c r="M5633">
        <v>16.24</v>
      </c>
      <c r="N5633" s="11">
        <v>5</v>
      </c>
      <c r="O5633" s="12">
        <v>2.88</v>
      </c>
      <c r="P5633" s="12">
        <v>0.99</v>
      </c>
      <c r="Q5633" s="13">
        <v>0.350000000000001</v>
      </c>
      <c r="R5633" s="36" t="s">
        <v>896</v>
      </c>
      <c r="S5633" s="7">
        <f t="shared" si="481"/>
        <v>1</v>
      </c>
      <c r="T5633" s="15" t="str">
        <f>VLOOKUP(R5633,产品分类!$C$2:$D$1278,2,0)</f>
        <v>办公用品</v>
      </c>
    </row>
    <row r="5634" spans="1:20">
      <c r="A5634" s="8">
        <f t="shared" ref="A5634:B5636" si="488">DATE(2012,12,31)-262</f>
        <v>41012</v>
      </c>
      <c r="B5634" s="8">
        <f t="shared" si="488"/>
        <v>41012</v>
      </c>
      <c r="C5634" s="9" t="s">
        <v>1330</v>
      </c>
      <c r="D5634">
        <v>10021670671</v>
      </c>
      <c r="E5634" t="s">
        <v>47</v>
      </c>
      <c r="F5634" t="s">
        <v>61</v>
      </c>
      <c r="G5634" t="s">
        <v>62</v>
      </c>
      <c r="H5634" t="s">
        <v>2431</v>
      </c>
      <c r="I5634" t="s">
        <v>2432</v>
      </c>
      <c r="J5634" t="s">
        <v>52</v>
      </c>
      <c r="K5634" s="3">
        <v>100830556902</v>
      </c>
      <c r="L5634" s="10">
        <v>41014</v>
      </c>
      <c r="M5634">
        <v>16269.82</v>
      </c>
      <c r="N5634" s="11">
        <v>43</v>
      </c>
      <c r="O5634" s="12">
        <v>387.99</v>
      </c>
      <c r="P5634" s="12">
        <v>19.99</v>
      </c>
      <c r="Q5634" s="13">
        <v>7050.3335</v>
      </c>
      <c r="R5634" s="36" t="s">
        <v>1742</v>
      </c>
      <c r="S5634" s="7">
        <f t="shared" si="481"/>
        <v>2</v>
      </c>
      <c r="T5634" s="15" t="str">
        <f>VLOOKUP(R5634,产品分类!$C$2:$D$1278,2,0)</f>
        <v>家具产品</v>
      </c>
    </row>
    <row r="5635" spans="1:20">
      <c r="A5635" s="8">
        <f t="shared" si="488"/>
        <v>41012</v>
      </c>
      <c r="B5635" s="8">
        <f t="shared" si="488"/>
        <v>41012</v>
      </c>
      <c r="C5635" s="9" t="s">
        <v>1330</v>
      </c>
      <c r="D5635">
        <v>10021574850</v>
      </c>
      <c r="E5635" t="s">
        <v>47</v>
      </c>
      <c r="F5635" t="s">
        <v>61</v>
      </c>
      <c r="G5635" t="s">
        <v>62</v>
      </c>
      <c r="H5635" t="s">
        <v>2431</v>
      </c>
      <c r="I5635" t="s">
        <v>2432</v>
      </c>
      <c r="J5635" t="s">
        <v>52</v>
      </c>
      <c r="K5635" s="3">
        <v>10098136471</v>
      </c>
      <c r="L5635" s="10">
        <v>41014</v>
      </c>
      <c r="M5635">
        <v>876.59</v>
      </c>
      <c r="N5635" s="11">
        <v>46</v>
      </c>
      <c r="O5635" s="12">
        <v>18.99</v>
      </c>
      <c r="P5635" s="12">
        <v>5.23</v>
      </c>
      <c r="Q5635" s="13">
        <v>233.597</v>
      </c>
      <c r="R5635" s="36" t="s">
        <v>2140</v>
      </c>
      <c r="S5635" s="7">
        <f t="shared" ref="S5635:S5698" si="489">+L5635-B5635</f>
        <v>2</v>
      </c>
      <c r="T5635" s="15" t="str">
        <f>VLOOKUP(R5635,产品分类!$C$2:$D$1278,2,0)</f>
        <v>数码电子</v>
      </c>
    </row>
    <row r="5636" spans="1:20">
      <c r="A5636" s="8">
        <f t="shared" si="488"/>
        <v>41012</v>
      </c>
      <c r="B5636" s="8">
        <f t="shared" si="488"/>
        <v>41012</v>
      </c>
      <c r="C5636" s="9" t="s">
        <v>1330</v>
      </c>
      <c r="D5636">
        <v>10021428487</v>
      </c>
      <c r="E5636" t="s">
        <v>47</v>
      </c>
      <c r="F5636" t="s">
        <v>253</v>
      </c>
      <c r="G5636" t="s">
        <v>254</v>
      </c>
      <c r="H5636" t="s">
        <v>2438</v>
      </c>
      <c r="I5636" t="s">
        <v>2439</v>
      </c>
      <c r="J5636" t="s">
        <v>52</v>
      </c>
      <c r="K5636" s="3">
        <v>100419807023</v>
      </c>
      <c r="L5636" s="10">
        <v>41014</v>
      </c>
      <c r="M5636">
        <v>5000.87</v>
      </c>
      <c r="N5636" s="11">
        <v>41</v>
      </c>
      <c r="O5636" s="12">
        <v>124.49</v>
      </c>
      <c r="P5636" s="12">
        <v>51.94</v>
      </c>
      <c r="Q5636" s="13">
        <v>-593.23</v>
      </c>
      <c r="R5636" s="36" t="s">
        <v>237</v>
      </c>
      <c r="S5636" s="7">
        <f t="shared" si="489"/>
        <v>2</v>
      </c>
      <c r="T5636" s="15" t="str">
        <f>VLOOKUP(R5636,产品分类!$C$2:$D$1278,2,0)</f>
        <v>数码电子</v>
      </c>
    </row>
    <row r="5637" spans="1:20">
      <c r="A5637" s="8">
        <f>DATE(2012,12,31)-137</f>
        <v>41137</v>
      </c>
      <c r="B5637" s="8">
        <f>DATE(2012,12,31)-137</f>
        <v>41137</v>
      </c>
      <c r="C5637" s="9" t="s">
        <v>1221</v>
      </c>
      <c r="D5637">
        <v>10021395144</v>
      </c>
      <c r="E5637" t="s">
        <v>47</v>
      </c>
      <c r="F5637" t="s">
        <v>61</v>
      </c>
      <c r="G5637" t="s">
        <v>62</v>
      </c>
      <c r="H5637" t="s">
        <v>2431</v>
      </c>
      <c r="I5637" t="s">
        <v>2432</v>
      </c>
      <c r="J5637" t="s">
        <v>52</v>
      </c>
      <c r="K5637" s="3">
        <v>10017082427</v>
      </c>
      <c r="L5637" s="10">
        <v>41139</v>
      </c>
      <c r="M5637">
        <v>90.88</v>
      </c>
      <c r="N5637" s="11">
        <v>41</v>
      </c>
      <c r="O5637" s="12">
        <v>2.18</v>
      </c>
      <c r="P5637" s="12">
        <v>0.78</v>
      </c>
      <c r="Q5637" s="13">
        <v>8.06</v>
      </c>
      <c r="R5637" s="36" t="s">
        <v>1801</v>
      </c>
      <c r="S5637" s="7">
        <f t="shared" si="489"/>
        <v>2</v>
      </c>
      <c r="T5637" s="15" t="str">
        <f>VLOOKUP(R5637,产品分类!$C$2:$D$1278,2,0)</f>
        <v>办公用品</v>
      </c>
    </row>
    <row r="5638" spans="1:20">
      <c r="A5638" s="8">
        <f>DATE(2012,12,31)-667</f>
        <v>40607</v>
      </c>
      <c r="B5638" s="8">
        <f>DATE(2012,12,31)-667</f>
        <v>40607</v>
      </c>
      <c r="C5638" s="9" t="s">
        <v>1853</v>
      </c>
      <c r="D5638">
        <v>10021338118</v>
      </c>
      <c r="E5638" t="s">
        <v>47</v>
      </c>
      <c r="F5638" t="s">
        <v>61</v>
      </c>
      <c r="G5638" t="s">
        <v>62</v>
      </c>
      <c r="H5638" t="s">
        <v>2431</v>
      </c>
      <c r="I5638" t="s">
        <v>2432</v>
      </c>
      <c r="J5638" t="s">
        <v>52</v>
      </c>
      <c r="K5638" s="3">
        <v>100123281437</v>
      </c>
      <c r="L5638" s="10">
        <v>40609</v>
      </c>
      <c r="M5638">
        <v>7663.74</v>
      </c>
      <c r="N5638" s="11">
        <v>50</v>
      </c>
      <c r="O5638" s="12">
        <v>150.98</v>
      </c>
      <c r="P5638" s="12">
        <v>39.25</v>
      </c>
      <c r="Q5638" s="13">
        <v>-375.3321</v>
      </c>
      <c r="R5638" s="36" t="s">
        <v>986</v>
      </c>
      <c r="S5638" s="7">
        <f t="shared" si="489"/>
        <v>2</v>
      </c>
      <c r="T5638" s="15" t="str">
        <f>VLOOKUP(R5638,产品分类!$C$2:$D$1278,2,0)</f>
        <v>办公用品</v>
      </c>
    </row>
    <row r="5639" spans="1:20">
      <c r="A5639" s="8">
        <f>DATE(2012,12,31)-1428</f>
        <v>39846</v>
      </c>
      <c r="B5639" s="8">
        <f>DATE(2012,12,31)-1428</f>
        <v>39846</v>
      </c>
      <c r="C5639" s="9" t="s">
        <v>586</v>
      </c>
      <c r="D5639">
        <v>10021345511</v>
      </c>
      <c r="E5639" t="s">
        <v>47</v>
      </c>
      <c r="F5639" t="s">
        <v>61</v>
      </c>
      <c r="G5639" t="s">
        <v>62</v>
      </c>
      <c r="H5639" t="s">
        <v>2431</v>
      </c>
      <c r="I5639" t="s">
        <v>2432</v>
      </c>
      <c r="J5639" t="s">
        <v>52</v>
      </c>
      <c r="K5639" s="3">
        <v>100930173791</v>
      </c>
      <c r="L5639" s="10">
        <v>39847</v>
      </c>
      <c r="M5639">
        <v>363.92</v>
      </c>
      <c r="N5639" s="11">
        <v>44</v>
      </c>
      <c r="O5639" s="12">
        <v>8.09</v>
      </c>
      <c r="P5639" s="12">
        <v>7.96</v>
      </c>
      <c r="Q5639" s="13">
        <v>-144.56</v>
      </c>
      <c r="R5639" s="36" t="s">
        <v>1209</v>
      </c>
      <c r="S5639" s="7">
        <f t="shared" si="489"/>
        <v>1</v>
      </c>
      <c r="T5639" s="15" t="str">
        <f>VLOOKUP(R5639,产品分类!$C$2:$D$1278,2,0)</f>
        <v>数码电子</v>
      </c>
    </row>
    <row r="5640" spans="1:20">
      <c r="A5640" s="8">
        <f>DATE(2012,12,31)-1385</f>
        <v>39889</v>
      </c>
      <c r="B5640" s="8">
        <f>DATE(2012,12,31)-1385</f>
        <v>39889</v>
      </c>
      <c r="C5640" s="9" t="s">
        <v>534</v>
      </c>
      <c r="D5640">
        <v>10021340644</v>
      </c>
      <c r="E5640" t="s">
        <v>47</v>
      </c>
      <c r="F5640" t="s">
        <v>253</v>
      </c>
      <c r="G5640" t="s">
        <v>254</v>
      </c>
      <c r="H5640" t="s">
        <v>2438</v>
      </c>
      <c r="I5640" t="s">
        <v>2439</v>
      </c>
      <c r="J5640" t="s">
        <v>52</v>
      </c>
      <c r="K5640" s="3">
        <v>100726303655</v>
      </c>
      <c r="L5640" s="10">
        <v>39891</v>
      </c>
      <c r="M5640">
        <v>82.21</v>
      </c>
      <c r="N5640" s="11">
        <v>25</v>
      </c>
      <c r="O5640" s="12">
        <v>3.38</v>
      </c>
      <c r="P5640" s="12">
        <v>1.09</v>
      </c>
      <c r="Q5640" s="13">
        <v>15.25</v>
      </c>
      <c r="R5640" s="36" t="s">
        <v>2104</v>
      </c>
      <c r="S5640" s="7">
        <f t="shared" si="489"/>
        <v>2</v>
      </c>
      <c r="T5640" s="15" t="str">
        <f>VLOOKUP(R5640,产品分类!$C$2:$D$1278,2,0)</f>
        <v>办公用品</v>
      </c>
    </row>
    <row r="5641" spans="1:20">
      <c r="A5641" s="8">
        <f>DATE(2012,12,31)-855</f>
        <v>40419</v>
      </c>
      <c r="B5641" s="8">
        <f>DATE(2012,12,31)-855</f>
        <v>40419</v>
      </c>
      <c r="C5641" s="9" t="s">
        <v>1414</v>
      </c>
      <c r="D5641">
        <v>10021266912</v>
      </c>
      <c r="E5641" t="s">
        <v>47</v>
      </c>
      <c r="F5641" t="s">
        <v>61</v>
      </c>
      <c r="G5641" t="s">
        <v>62</v>
      </c>
      <c r="H5641" t="s">
        <v>2431</v>
      </c>
      <c r="I5641" t="s">
        <v>2432</v>
      </c>
      <c r="J5641" t="s">
        <v>52</v>
      </c>
      <c r="K5641" s="3">
        <v>100132062818</v>
      </c>
      <c r="L5641" s="10">
        <v>40428</v>
      </c>
      <c r="M5641">
        <v>378.84</v>
      </c>
      <c r="N5641" s="11">
        <v>12</v>
      </c>
      <c r="O5641" s="12">
        <v>30.73</v>
      </c>
      <c r="P5641" s="12">
        <v>4</v>
      </c>
      <c r="Q5641" s="13">
        <v>-99.38</v>
      </c>
      <c r="R5641" s="36" t="s">
        <v>1016</v>
      </c>
      <c r="S5641" s="7">
        <f t="shared" si="489"/>
        <v>9</v>
      </c>
      <c r="T5641" s="15" t="str">
        <f>VLOOKUP(R5641,产品分类!$C$2:$D$1278,2,0)</f>
        <v>办公用品</v>
      </c>
    </row>
    <row r="5642" spans="1:20">
      <c r="A5642" s="8">
        <f>DATE(2012,12,31)-1331</f>
        <v>39943</v>
      </c>
      <c r="B5642" s="8">
        <f>DATE(2012,12,31)-1331</f>
        <v>39943</v>
      </c>
      <c r="C5642" s="9" t="s">
        <v>826</v>
      </c>
      <c r="D5642">
        <v>10021502336</v>
      </c>
      <c r="E5642" t="s">
        <v>47</v>
      </c>
      <c r="F5642" t="s">
        <v>61</v>
      </c>
      <c r="G5642" t="s">
        <v>62</v>
      </c>
      <c r="H5642" t="s">
        <v>2431</v>
      </c>
      <c r="I5642" t="s">
        <v>2432</v>
      </c>
      <c r="J5642" t="s">
        <v>52</v>
      </c>
      <c r="K5642" s="3">
        <v>100728455295</v>
      </c>
      <c r="L5642" s="10">
        <v>39945</v>
      </c>
      <c r="M5642">
        <v>753.75</v>
      </c>
      <c r="N5642" s="11">
        <v>23</v>
      </c>
      <c r="O5642" s="12">
        <v>34.99</v>
      </c>
      <c r="P5642" s="12">
        <v>7.73</v>
      </c>
      <c r="Q5642" s="13">
        <v>31.17</v>
      </c>
      <c r="R5642" s="36" t="s">
        <v>2267</v>
      </c>
      <c r="S5642" s="7">
        <f t="shared" si="489"/>
        <v>2</v>
      </c>
      <c r="T5642" s="15" t="str">
        <f>VLOOKUP(R5642,产品分类!$C$2:$D$1278,2,0)</f>
        <v>数码电子</v>
      </c>
    </row>
    <row r="5643" spans="1:20">
      <c r="A5643" s="8">
        <f>DATE(2012,12,31)-676</f>
        <v>40598</v>
      </c>
      <c r="B5643" s="8">
        <f>DATE(2012,12,31)-676</f>
        <v>40598</v>
      </c>
      <c r="C5643" s="9" t="s">
        <v>1946</v>
      </c>
      <c r="D5643">
        <v>10021333152</v>
      </c>
      <c r="E5643" t="s">
        <v>47</v>
      </c>
      <c r="F5643" t="s">
        <v>253</v>
      </c>
      <c r="G5643" t="s">
        <v>254</v>
      </c>
      <c r="H5643" t="s">
        <v>2438</v>
      </c>
      <c r="I5643" t="s">
        <v>2439</v>
      </c>
      <c r="J5643" t="s">
        <v>52</v>
      </c>
      <c r="K5643" s="3">
        <v>10046156453</v>
      </c>
      <c r="L5643" s="10">
        <v>40606</v>
      </c>
      <c r="M5643">
        <v>7778.758</v>
      </c>
      <c r="N5643" s="11">
        <v>50</v>
      </c>
      <c r="O5643" s="12">
        <v>175.99</v>
      </c>
      <c r="P5643" s="12">
        <v>4.99</v>
      </c>
      <c r="Q5643" s="13">
        <v>2547.297</v>
      </c>
      <c r="R5643" s="36" t="s">
        <v>485</v>
      </c>
      <c r="S5643" s="7">
        <f t="shared" si="489"/>
        <v>8</v>
      </c>
      <c r="T5643" s="15" t="str">
        <f>VLOOKUP(R5643,产品分类!$C$2:$D$1278,2,0)</f>
        <v>数码电子</v>
      </c>
    </row>
    <row r="5644" spans="1:20">
      <c r="A5644" s="8">
        <f>DATE(2012,12,31)-588</f>
        <v>40686</v>
      </c>
      <c r="B5644" s="8">
        <f>DATE(2012,12,31)-588</f>
        <v>40686</v>
      </c>
      <c r="C5644" s="9" t="s">
        <v>823</v>
      </c>
      <c r="D5644">
        <v>10021416018</v>
      </c>
      <c r="E5644" t="s">
        <v>47</v>
      </c>
      <c r="F5644" t="s">
        <v>61</v>
      </c>
      <c r="G5644" t="s">
        <v>62</v>
      </c>
      <c r="H5644" t="s">
        <v>2431</v>
      </c>
      <c r="I5644" t="s">
        <v>2432</v>
      </c>
      <c r="J5644" t="s">
        <v>52</v>
      </c>
      <c r="K5644" s="3">
        <v>100813140542</v>
      </c>
      <c r="L5644" s="10">
        <v>40686</v>
      </c>
      <c r="M5644">
        <v>113.33</v>
      </c>
      <c r="N5644" s="11">
        <v>42</v>
      </c>
      <c r="O5644" s="12">
        <v>2.78</v>
      </c>
      <c r="P5644" s="12">
        <v>1.49</v>
      </c>
      <c r="Q5644" s="13">
        <v>-0.4025</v>
      </c>
      <c r="R5644" s="36" t="s">
        <v>1765</v>
      </c>
      <c r="S5644" s="7">
        <f t="shared" si="489"/>
        <v>0</v>
      </c>
      <c r="T5644" s="15" t="str">
        <f>VLOOKUP(R5644,产品分类!$C$2:$D$1278,2,0)</f>
        <v>家具产品</v>
      </c>
    </row>
    <row r="5645" spans="1:20">
      <c r="A5645" s="8">
        <f>DATE(2012,12,31)-204</f>
        <v>41070</v>
      </c>
      <c r="B5645" s="8">
        <f>DATE(2012,12,31)-204</f>
        <v>41070</v>
      </c>
      <c r="C5645" s="9" t="s">
        <v>697</v>
      </c>
      <c r="D5645">
        <v>10021252596</v>
      </c>
      <c r="E5645" t="s">
        <v>47</v>
      </c>
      <c r="F5645" t="s">
        <v>61</v>
      </c>
      <c r="G5645" t="s">
        <v>62</v>
      </c>
      <c r="H5645" t="s">
        <v>2431</v>
      </c>
      <c r="I5645" t="s">
        <v>2432</v>
      </c>
      <c r="J5645" t="s">
        <v>52</v>
      </c>
      <c r="K5645" s="3">
        <v>100912226981</v>
      </c>
      <c r="L5645" s="10">
        <v>41071</v>
      </c>
      <c r="M5645">
        <v>169.27</v>
      </c>
      <c r="N5645" s="11">
        <v>5</v>
      </c>
      <c r="O5645" s="12">
        <v>34.58</v>
      </c>
      <c r="P5645" s="12">
        <v>8.99</v>
      </c>
      <c r="Q5645" s="13">
        <v>-41.66</v>
      </c>
      <c r="R5645" s="36" t="s">
        <v>260</v>
      </c>
      <c r="S5645" s="7">
        <f t="shared" si="489"/>
        <v>1</v>
      </c>
      <c r="T5645" s="15" t="str">
        <f>VLOOKUP(R5645,产品分类!$C$2:$D$1278,2,0)</f>
        <v>数码电子</v>
      </c>
    </row>
    <row r="5646" spans="1:20">
      <c r="A5646" s="8">
        <f>DATE(2012,12,31)-207</f>
        <v>41067</v>
      </c>
      <c r="B5646" s="8">
        <f>DATE(2012,12,31)-207</f>
        <v>41067</v>
      </c>
      <c r="C5646" s="9" t="s">
        <v>525</v>
      </c>
      <c r="D5646">
        <v>10021523551</v>
      </c>
      <c r="E5646" t="s">
        <v>47</v>
      </c>
      <c r="F5646" t="s">
        <v>61</v>
      </c>
      <c r="G5646" t="s">
        <v>62</v>
      </c>
      <c r="H5646" t="s">
        <v>2431</v>
      </c>
      <c r="I5646" t="s">
        <v>2432</v>
      </c>
      <c r="J5646" t="s">
        <v>52</v>
      </c>
      <c r="K5646" s="3">
        <v>100111305497</v>
      </c>
      <c r="L5646" s="10">
        <v>41068</v>
      </c>
      <c r="M5646">
        <v>28.65</v>
      </c>
      <c r="N5646" s="11">
        <v>16</v>
      </c>
      <c r="O5646" s="12">
        <v>1.7</v>
      </c>
      <c r="P5646" s="12">
        <v>1.99</v>
      </c>
      <c r="Q5646" s="13">
        <v>-23.86</v>
      </c>
      <c r="R5646" s="36" t="s">
        <v>1962</v>
      </c>
      <c r="S5646" s="7">
        <f t="shared" si="489"/>
        <v>1</v>
      </c>
      <c r="T5646" s="15" t="str">
        <f>VLOOKUP(R5646,产品分类!$C$2:$D$1278,2,0)</f>
        <v>数码电子</v>
      </c>
    </row>
    <row r="5647" spans="1:20">
      <c r="A5647" s="8">
        <f>DATE(2012,12,31)-207</f>
        <v>41067</v>
      </c>
      <c r="B5647" s="8">
        <f>DATE(2012,12,31)-207</f>
        <v>41067</v>
      </c>
      <c r="C5647" s="9" t="s">
        <v>525</v>
      </c>
      <c r="D5647">
        <v>10021342026</v>
      </c>
      <c r="E5647" t="s">
        <v>47</v>
      </c>
      <c r="F5647" t="s">
        <v>61</v>
      </c>
      <c r="G5647" t="s">
        <v>62</v>
      </c>
      <c r="H5647" t="s">
        <v>2431</v>
      </c>
      <c r="I5647" t="s">
        <v>2432</v>
      </c>
      <c r="J5647" t="s">
        <v>52</v>
      </c>
      <c r="K5647" s="3">
        <v>10098872231</v>
      </c>
      <c r="L5647" s="10">
        <v>41069</v>
      </c>
      <c r="M5647">
        <v>201.535</v>
      </c>
      <c r="N5647" s="11">
        <v>12</v>
      </c>
      <c r="O5647" s="12">
        <v>20.99</v>
      </c>
      <c r="P5647" s="12">
        <v>3.3</v>
      </c>
      <c r="Q5647" s="13">
        <v>-122.617</v>
      </c>
      <c r="R5647" s="36" t="s">
        <v>810</v>
      </c>
      <c r="S5647" s="7">
        <f t="shared" si="489"/>
        <v>2</v>
      </c>
      <c r="T5647" s="15" t="str">
        <f>VLOOKUP(R5647,产品分类!$C$2:$D$1278,2,0)</f>
        <v>家具产品</v>
      </c>
    </row>
    <row r="5648" spans="1:20">
      <c r="A5648" s="8">
        <f t="shared" ref="A5648:B5650" si="490">DATE(2012,12,31)-97</f>
        <v>41177</v>
      </c>
      <c r="B5648" s="8">
        <f t="shared" si="490"/>
        <v>41177</v>
      </c>
      <c r="C5648" s="9" t="s">
        <v>291</v>
      </c>
      <c r="D5648">
        <v>10021505435</v>
      </c>
      <c r="E5648" t="s">
        <v>47</v>
      </c>
      <c r="F5648" t="s">
        <v>61</v>
      </c>
      <c r="G5648" t="s">
        <v>62</v>
      </c>
      <c r="H5648" t="s">
        <v>2431</v>
      </c>
      <c r="I5648" t="s">
        <v>2432</v>
      </c>
      <c r="J5648" t="s">
        <v>52</v>
      </c>
      <c r="K5648" s="3">
        <v>100430807633</v>
      </c>
      <c r="L5648" s="10">
        <v>41178</v>
      </c>
      <c r="M5648">
        <v>224.58</v>
      </c>
      <c r="N5648" s="11">
        <v>35</v>
      </c>
      <c r="O5648" s="12">
        <v>6.3</v>
      </c>
      <c r="P5648" s="12">
        <v>0.5</v>
      </c>
      <c r="Q5648" s="13">
        <v>108.49</v>
      </c>
      <c r="R5648" s="36" t="s">
        <v>741</v>
      </c>
      <c r="S5648" s="7">
        <f t="shared" si="489"/>
        <v>1</v>
      </c>
      <c r="T5648" s="15" t="str">
        <f>VLOOKUP(R5648,产品分类!$C$2:$D$1278,2,0)</f>
        <v>办公用品</v>
      </c>
    </row>
    <row r="5649" spans="1:20">
      <c r="A5649" s="8">
        <f t="shared" si="490"/>
        <v>41177</v>
      </c>
      <c r="B5649" s="8">
        <f t="shared" si="490"/>
        <v>41177</v>
      </c>
      <c r="C5649" s="9" t="s">
        <v>291</v>
      </c>
      <c r="D5649">
        <v>10021332204</v>
      </c>
      <c r="E5649" t="s">
        <v>47</v>
      </c>
      <c r="F5649" t="s">
        <v>61</v>
      </c>
      <c r="G5649" t="s">
        <v>62</v>
      </c>
      <c r="H5649" t="s">
        <v>2431</v>
      </c>
      <c r="I5649" t="s">
        <v>2432</v>
      </c>
      <c r="J5649" t="s">
        <v>52</v>
      </c>
      <c r="K5649" s="3">
        <v>10014956547</v>
      </c>
      <c r="L5649" s="10">
        <v>41179</v>
      </c>
      <c r="M5649">
        <v>138.59</v>
      </c>
      <c r="N5649" s="11">
        <v>36</v>
      </c>
      <c r="O5649" s="12">
        <v>3.69</v>
      </c>
      <c r="P5649" s="12">
        <v>0.5</v>
      </c>
      <c r="Q5649" s="13">
        <v>62.73</v>
      </c>
      <c r="R5649" s="36" t="s">
        <v>241</v>
      </c>
      <c r="S5649" s="7">
        <f t="shared" si="489"/>
        <v>2</v>
      </c>
      <c r="T5649" s="15" t="str">
        <f>VLOOKUP(R5649,产品分类!$C$2:$D$1278,2,0)</f>
        <v>数码电子</v>
      </c>
    </row>
    <row r="5650" spans="1:20">
      <c r="A5650" s="8">
        <f t="shared" si="490"/>
        <v>41177</v>
      </c>
      <c r="B5650" s="8">
        <f t="shared" si="490"/>
        <v>41177</v>
      </c>
      <c r="C5650" s="9" t="s">
        <v>291</v>
      </c>
      <c r="D5650">
        <v>10021319607</v>
      </c>
      <c r="E5650" t="s">
        <v>47</v>
      </c>
      <c r="F5650" t="s">
        <v>61</v>
      </c>
      <c r="G5650" t="s">
        <v>62</v>
      </c>
      <c r="H5650" t="s">
        <v>2431</v>
      </c>
      <c r="I5650" t="s">
        <v>2432</v>
      </c>
      <c r="J5650" t="s">
        <v>52</v>
      </c>
      <c r="K5650" s="3">
        <v>100715907855</v>
      </c>
      <c r="L5650" s="10">
        <v>41180</v>
      </c>
      <c r="M5650">
        <v>97.06</v>
      </c>
      <c r="N5650" s="11">
        <v>19</v>
      </c>
      <c r="O5650" s="12">
        <v>5.06</v>
      </c>
      <c r="P5650" s="12">
        <v>2.99</v>
      </c>
      <c r="Q5650" s="13">
        <v>-7.36</v>
      </c>
      <c r="R5650" s="36" t="s">
        <v>2460</v>
      </c>
      <c r="S5650" s="7">
        <f t="shared" si="489"/>
        <v>3</v>
      </c>
      <c r="T5650" s="15" t="str">
        <f>VLOOKUP(R5650,产品分类!$C$2:$D$1278,2,0)</f>
        <v>办公用品</v>
      </c>
    </row>
    <row r="5651" spans="1:20">
      <c r="A5651" s="8">
        <f>DATE(2012,12,31)-676</f>
        <v>40598</v>
      </c>
      <c r="B5651" s="8">
        <f>DATE(2012,12,31)-676</f>
        <v>40598</v>
      </c>
      <c r="C5651" s="9" t="s">
        <v>2461</v>
      </c>
      <c r="D5651">
        <v>10021462009</v>
      </c>
      <c r="E5651" t="s">
        <v>47</v>
      </c>
      <c r="F5651" t="s">
        <v>61</v>
      </c>
      <c r="G5651" t="s">
        <v>62</v>
      </c>
      <c r="H5651" t="s">
        <v>2431</v>
      </c>
      <c r="I5651" t="s">
        <v>2432</v>
      </c>
      <c r="J5651" t="s">
        <v>52</v>
      </c>
      <c r="K5651" s="3">
        <v>100918424641</v>
      </c>
      <c r="L5651" s="10">
        <v>40600</v>
      </c>
      <c r="M5651">
        <v>1736.53</v>
      </c>
      <c r="N5651" s="11">
        <v>46</v>
      </c>
      <c r="O5651" s="12">
        <v>39.48</v>
      </c>
      <c r="P5651" s="12">
        <v>3.99</v>
      </c>
      <c r="Q5651" s="13">
        <v>457.03</v>
      </c>
      <c r="R5651" s="36" t="s">
        <v>1727</v>
      </c>
      <c r="S5651" s="7">
        <f t="shared" si="489"/>
        <v>2</v>
      </c>
      <c r="T5651" s="15" t="str">
        <f>VLOOKUP(R5651,产品分类!$C$2:$D$1278,2,0)</f>
        <v>家具产品</v>
      </c>
    </row>
    <row r="5652" spans="1:20">
      <c r="A5652" s="8">
        <f>DATE(2012,12,31)-890</f>
        <v>40384</v>
      </c>
      <c r="B5652" s="8">
        <f>DATE(2012,12,31)-890</f>
        <v>40384</v>
      </c>
      <c r="C5652" s="9" t="s">
        <v>1323</v>
      </c>
      <c r="D5652">
        <v>10021334735</v>
      </c>
      <c r="E5652" t="s">
        <v>47</v>
      </c>
      <c r="F5652" t="s">
        <v>61</v>
      </c>
      <c r="G5652" t="s">
        <v>62</v>
      </c>
      <c r="H5652" t="s">
        <v>2431</v>
      </c>
      <c r="I5652" t="s">
        <v>2432</v>
      </c>
      <c r="J5652" t="s">
        <v>52</v>
      </c>
      <c r="K5652" s="3">
        <v>100416298914</v>
      </c>
      <c r="L5652" s="10">
        <v>40387</v>
      </c>
      <c r="M5652">
        <v>873.82</v>
      </c>
      <c r="N5652" s="11">
        <v>20</v>
      </c>
      <c r="O5652" s="12">
        <v>45.98</v>
      </c>
      <c r="P5652" s="12">
        <v>4.8</v>
      </c>
      <c r="Q5652" s="13">
        <v>244.45</v>
      </c>
      <c r="R5652" s="36" t="s">
        <v>1364</v>
      </c>
      <c r="S5652" s="7">
        <f t="shared" si="489"/>
        <v>3</v>
      </c>
      <c r="T5652" s="15" t="str">
        <f>VLOOKUP(R5652,产品分类!$C$2:$D$1278,2,0)</f>
        <v>数码电子</v>
      </c>
    </row>
    <row r="5653" spans="1:20">
      <c r="A5653" s="16">
        <f>DATE(2012,12,31)-890</f>
        <v>40384</v>
      </c>
      <c r="B5653" s="16">
        <f>DATE(2012,12,31)-890</f>
        <v>40384</v>
      </c>
      <c r="C5653" s="9" t="s">
        <v>1323</v>
      </c>
      <c r="D5653">
        <v>10021524726</v>
      </c>
      <c r="E5653" t="s">
        <v>47</v>
      </c>
      <c r="F5653" t="s">
        <v>61</v>
      </c>
      <c r="G5653" t="s">
        <v>62</v>
      </c>
      <c r="H5653" t="s">
        <v>2431</v>
      </c>
      <c r="I5653" t="s">
        <v>2432</v>
      </c>
      <c r="J5653" t="s">
        <v>52</v>
      </c>
      <c r="K5653" s="3">
        <v>100918700851</v>
      </c>
      <c r="L5653" s="10">
        <v>40384</v>
      </c>
      <c r="M5653">
        <v>130.43</v>
      </c>
      <c r="N5653" s="17">
        <v>9</v>
      </c>
      <c r="O5653" s="5">
        <v>13.48</v>
      </c>
      <c r="P5653" s="5">
        <v>4.51</v>
      </c>
      <c r="Q5653" s="6">
        <v>-8.7</v>
      </c>
      <c r="R5653" s="37" t="s">
        <v>550</v>
      </c>
      <c r="S5653" s="7">
        <f t="shared" si="489"/>
        <v>0</v>
      </c>
      <c r="T5653" s="15" t="str">
        <f>VLOOKUP(R5653,产品分类!$C$2:$D$1278,2,0)</f>
        <v>办公用品</v>
      </c>
    </row>
    <row r="5654" spans="1:20">
      <c r="A5654" s="8">
        <f>DATE(2012,12,31)-1295</f>
        <v>39979</v>
      </c>
      <c r="B5654" s="8">
        <f>DATE(2012,12,31)-1295</f>
        <v>39979</v>
      </c>
      <c r="C5654" s="9" t="s">
        <v>1206</v>
      </c>
      <c r="D5654">
        <v>10021419305</v>
      </c>
      <c r="E5654" t="s">
        <v>47</v>
      </c>
      <c r="F5654" t="s">
        <v>61</v>
      </c>
      <c r="G5654" t="s">
        <v>62</v>
      </c>
      <c r="H5654" t="s">
        <v>2431</v>
      </c>
      <c r="I5654" t="s">
        <v>2432</v>
      </c>
      <c r="J5654" t="s">
        <v>52</v>
      </c>
      <c r="K5654" s="3">
        <v>100723430305</v>
      </c>
      <c r="L5654" s="10">
        <v>39981</v>
      </c>
      <c r="M5654">
        <v>157.99</v>
      </c>
      <c r="N5654" s="11">
        <v>35</v>
      </c>
      <c r="O5654" s="12">
        <v>4.24</v>
      </c>
      <c r="P5654" s="12">
        <v>5.41</v>
      </c>
      <c r="Q5654" s="13">
        <v>-105.547</v>
      </c>
      <c r="R5654" s="36" t="s">
        <v>445</v>
      </c>
      <c r="S5654" s="7">
        <f t="shared" si="489"/>
        <v>2</v>
      </c>
      <c r="T5654" s="15" t="str">
        <f>VLOOKUP(R5654,产品分类!$C$2:$D$1278,2,0)</f>
        <v>数码电子</v>
      </c>
    </row>
    <row r="5655" spans="1:20">
      <c r="A5655" s="8">
        <f>DATE(2012,12,31)-1295</f>
        <v>39979</v>
      </c>
      <c r="B5655" s="8">
        <f>DATE(2012,12,31)-1295</f>
        <v>39979</v>
      </c>
      <c r="C5655" s="9" t="s">
        <v>1206</v>
      </c>
      <c r="D5655">
        <v>10021588980</v>
      </c>
      <c r="E5655" t="s">
        <v>47</v>
      </c>
      <c r="F5655" t="s">
        <v>61</v>
      </c>
      <c r="G5655" t="s">
        <v>62</v>
      </c>
      <c r="H5655" t="s">
        <v>2431</v>
      </c>
      <c r="I5655" t="s">
        <v>2432</v>
      </c>
      <c r="J5655" t="s">
        <v>52</v>
      </c>
      <c r="K5655" s="3">
        <v>100930842661</v>
      </c>
      <c r="L5655" s="10">
        <v>39980</v>
      </c>
      <c r="M5655">
        <v>141.59</v>
      </c>
      <c r="N5655" s="11">
        <v>48</v>
      </c>
      <c r="O5655" s="12">
        <v>2.94</v>
      </c>
      <c r="P5655" s="12">
        <v>0.7</v>
      </c>
      <c r="Q5655" s="13">
        <v>20.26</v>
      </c>
      <c r="R5655" s="36" t="s">
        <v>1032</v>
      </c>
      <c r="S5655" s="7">
        <f t="shared" si="489"/>
        <v>1</v>
      </c>
      <c r="T5655" s="15" t="str">
        <f>VLOOKUP(R5655,产品分类!$C$2:$D$1278,2,0)</f>
        <v>办公用品</v>
      </c>
    </row>
    <row r="5656" spans="1:20">
      <c r="A5656" s="8">
        <f>DATE(2012,12,31)-123</f>
        <v>41151</v>
      </c>
      <c r="B5656" s="8">
        <f>DATE(2012,12,31)-123</f>
        <v>41151</v>
      </c>
      <c r="C5656" s="9" t="s">
        <v>1535</v>
      </c>
      <c r="D5656">
        <v>10021277662</v>
      </c>
      <c r="E5656" t="s">
        <v>47</v>
      </c>
      <c r="F5656" t="s">
        <v>66</v>
      </c>
      <c r="G5656" t="s">
        <v>67</v>
      </c>
      <c r="H5656" t="s">
        <v>2413</v>
      </c>
      <c r="I5656" t="s">
        <v>2414</v>
      </c>
      <c r="J5656" t="s">
        <v>52</v>
      </c>
      <c r="K5656" s="3">
        <v>100132777428</v>
      </c>
      <c r="L5656" s="10">
        <v>41153</v>
      </c>
      <c r="M5656">
        <v>188.77</v>
      </c>
      <c r="N5656" s="11">
        <v>45</v>
      </c>
      <c r="O5656" s="12">
        <v>4.13</v>
      </c>
      <c r="P5656" s="12">
        <v>1.17</v>
      </c>
      <c r="Q5656" s="13">
        <v>21.93</v>
      </c>
      <c r="R5656" s="36" t="s">
        <v>1904</v>
      </c>
      <c r="S5656" s="7">
        <f t="shared" si="489"/>
        <v>2</v>
      </c>
      <c r="T5656" s="15" t="str">
        <f>VLOOKUP(R5656,产品分类!$C$2:$D$1278,2,0)</f>
        <v>办公用品</v>
      </c>
    </row>
    <row r="5657" spans="1:20">
      <c r="A5657" s="8">
        <f>DATE(2012,12,31)-31</f>
        <v>41243</v>
      </c>
      <c r="B5657" s="8">
        <f>DATE(2012,12,31)-31</f>
        <v>41243</v>
      </c>
      <c r="C5657" s="9" t="s">
        <v>1773</v>
      </c>
      <c r="D5657">
        <v>10021313486</v>
      </c>
      <c r="E5657" t="s">
        <v>47</v>
      </c>
      <c r="F5657" t="s">
        <v>91</v>
      </c>
      <c r="G5657" t="s">
        <v>92</v>
      </c>
      <c r="H5657" t="s">
        <v>2053</v>
      </c>
      <c r="I5657" t="s">
        <v>2054</v>
      </c>
      <c r="J5657" t="s">
        <v>52</v>
      </c>
      <c r="K5657" s="3">
        <v>100732814615</v>
      </c>
      <c r="L5657" s="10">
        <v>41250</v>
      </c>
      <c r="M5657">
        <v>23300.12</v>
      </c>
      <c r="N5657" s="11">
        <v>9</v>
      </c>
      <c r="O5657" s="12">
        <v>2550.14</v>
      </c>
      <c r="P5657" s="12">
        <v>29.7</v>
      </c>
      <c r="Q5657" s="13">
        <v>-217.465199999998</v>
      </c>
      <c r="R5657" s="36" t="s">
        <v>769</v>
      </c>
      <c r="S5657" s="7">
        <f t="shared" si="489"/>
        <v>7</v>
      </c>
      <c r="T5657" s="15" t="str">
        <f>VLOOKUP(R5657,产品分类!$C$2:$D$1278,2,0)</f>
        <v>办公用品</v>
      </c>
    </row>
    <row r="5658" spans="1:20">
      <c r="A5658" s="8">
        <f>DATE(2012,12,31)-662</f>
        <v>40612</v>
      </c>
      <c r="B5658" s="8">
        <f>DATE(2012,12,31)-662</f>
        <v>40612</v>
      </c>
      <c r="C5658" s="9" t="s">
        <v>763</v>
      </c>
      <c r="D5658">
        <v>10021326543</v>
      </c>
      <c r="E5658" t="s">
        <v>47</v>
      </c>
      <c r="F5658" t="s">
        <v>171</v>
      </c>
      <c r="G5658" t="s">
        <v>172</v>
      </c>
      <c r="H5658" t="s">
        <v>2352</v>
      </c>
      <c r="I5658" t="s">
        <v>2353</v>
      </c>
      <c r="J5658" t="s">
        <v>52</v>
      </c>
      <c r="K5658" s="3">
        <v>100132846908</v>
      </c>
      <c r="L5658" s="10">
        <v>40613</v>
      </c>
      <c r="M5658">
        <v>603.69</v>
      </c>
      <c r="N5658" s="11">
        <v>47</v>
      </c>
      <c r="O5658" s="12">
        <v>12.28</v>
      </c>
      <c r="P5658" s="12">
        <v>4.86</v>
      </c>
      <c r="Q5658" s="13">
        <v>131.39</v>
      </c>
      <c r="R5658" s="36" t="s">
        <v>2280</v>
      </c>
      <c r="S5658" s="7">
        <f t="shared" si="489"/>
        <v>1</v>
      </c>
      <c r="T5658" s="15" t="str">
        <f>VLOOKUP(R5658,产品分类!$C$2:$D$1278,2,0)</f>
        <v>数码电子</v>
      </c>
    </row>
    <row r="5659" spans="1:20">
      <c r="A5659" s="8">
        <f>DATE(2012,12,31)-938</f>
        <v>40336</v>
      </c>
      <c r="B5659" s="8">
        <f>DATE(2012,12,31)-938</f>
        <v>40336</v>
      </c>
      <c r="C5659" s="9" t="s">
        <v>2118</v>
      </c>
      <c r="D5659">
        <v>10021325751</v>
      </c>
      <c r="E5659" t="s">
        <v>47</v>
      </c>
      <c r="F5659" t="s">
        <v>66</v>
      </c>
      <c r="G5659" t="s">
        <v>67</v>
      </c>
      <c r="H5659" t="s">
        <v>2413</v>
      </c>
      <c r="I5659" t="s">
        <v>2414</v>
      </c>
      <c r="J5659" t="s">
        <v>52</v>
      </c>
      <c r="K5659" s="3">
        <v>100732612475</v>
      </c>
      <c r="L5659" s="10">
        <v>40337</v>
      </c>
      <c r="M5659">
        <v>568.3355</v>
      </c>
      <c r="N5659" s="11">
        <v>10</v>
      </c>
      <c r="O5659" s="12">
        <v>65.99</v>
      </c>
      <c r="P5659" s="12">
        <v>8.99</v>
      </c>
      <c r="Q5659" s="13">
        <v>-147.356</v>
      </c>
      <c r="R5659" s="36" t="s">
        <v>1298</v>
      </c>
      <c r="S5659" s="7">
        <f t="shared" si="489"/>
        <v>1</v>
      </c>
      <c r="T5659" s="15" t="str">
        <f>VLOOKUP(R5659,产品分类!$C$2:$D$1278,2,0)</f>
        <v>办公用品</v>
      </c>
    </row>
    <row r="5660" spans="1:20">
      <c r="A5660" s="8">
        <f t="shared" ref="A5660:B5662" si="491">DATE(2012,12,31)-318</f>
        <v>40956</v>
      </c>
      <c r="B5660" s="8">
        <f t="shared" si="491"/>
        <v>40956</v>
      </c>
      <c r="C5660" s="9" t="s">
        <v>1500</v>
      </c>
      <c r="D5660">
        <v>10021385038</v>
      </c>
      <c r="E5660" t="s">
        <v>47</v>
      </c>
      <c r="F5660" t="s">
        <v>72</v>
      </c>
      <c r="G5660" t="s">
        <v>73</v>
      </c>
      <c r="H5660" t="s">
        <v>2417</v>
      </c>
      <c r="I5660" t="s">
        <v>2418</v>
      </c>
      <c r="J5660" t="s">
        <v>52</v>
      </c>
      <c r="K5660" s="3">
        <v>100332906479</v>
      </c>
      <c r="L5660" s="10">
        <v>40957</v>
      </c>
      <c r="M5660">
        <v>21141.07</v>
      </c>
      <c r="N5660" s="11">
        <v>49</v>
      </c>
      <c r="O5660" s="12">
        <v>449.99</v>
      </c>
      <c r="P5660" s="12">
        <v>24.49</v>
      </c>
      <c r="Q5660" s="13">
        <v>6225.36</v>
      </c>
      <c r="R5660" s="36" t="s">
        <v>545</v>
      </c>
      <c r="S5660" s="7">
        <f t="shared" si="489"/>
        <v>1</v>
      </c>
      <c r="T5660" s="15" t="str">
        <f>VLOOKUP(R5660,产品分类!$C$2:$D$1278,2,0)</f>
        <v>办公用品</v>
      </c>
    </row>
    <row r="5661" spans="1:20">
      <c r="A5661" s="8">
        <f t="shared" si="491"/>
        <v>40956</v>
      </c>
      <c r="B5661" s="8">
        <f t="shared" si="491"/>
        <v>40956</v>
      </c>
      <c r="C5661" s="9" t="s">
        <v>1500</v>
      </c>
      <c r="D5661">
        <v>10021553776</v>
      </c>
      <c r="E5661" t="s">
        <v>47</v>
      </c>
      <c r="F5661" t="s">
        <v>72</v>
      </c>
      <c r="G5661" t="s">
        <v>73</v>
      </c>
      <c r="H5661" t="s">
        <v>2417</v>
      </c>
      <c r="I5661" t="s">
        <v>2418</v>
      </c>
      <c r="J5661" t="s">
        <v>52</v>
      </c>
      <c r="K5661" s="3">
        <v>100733116745</v>
      </c>
      <c r="L5661" s="10">
        <v>40957</v>
      </c>
      <c r="M5661">
        <v>76.8655</v>
      </c>
      <c r="N5661" s="11">
        <v>4</v>
      </c>
      <c r="O5661" s="12">
        <v>20.99</v>
      </c>
      <c r="P5661" s="12">
        <v>0.99</v>
      </c>
      <c r="Q5661" s="13">
        <v>-54.505</v>
      </c>
      <c r="R5661" s="36" t="s">
        <v>1154</v>
      </c>
      <c r="S5661" s="7">
        <f t="shared" si="489"/>
        <v>1</v>
      </c>
      <c r="T5661" s="15" t="str">
        <f>VLOOKUP(R5661,产品分类!$C$2:$D$1278,2,0)</f>
        <v>办公用品</v>
      </c>
    </row>
    <row r="5662" spans="1:20">
      <c r="A5662" s="8">
        <f t="shared" si="491"/>
        <v>40956</v>
      </c>
      <c r="B5662" s="8">
        <f t="shared" si="491"/>
        <v>40956</v>
      </c>
      <c r="C5662" s="9" t="s">
        <v>693</v>
      </c>
      <c r="D5662">
        <v>10021489390</v>
      </c>
      <c r="E5662" t="s">
        <v>47</v>
      </c>
      <c r="F5662" t="s">
        <v>78</v>
      </c>
      <c r="G5662" t="s">
        <v>79</v>
      </c>
      <c r="H5662" t="s">
        <v>2420</v>
      </c>
      <c r="I5662" t="s">
        <v>2421</v>
      </c>
      <c r="J5662" t="s">
        <v>52</v>
      </c>
      <c r="K5662" s="3">
        <v>100133045177</v>
      </c>
      <c r="L5662" s="10">
        <v>40958</v>
      </c>
      <c r="M5662">
        <v>2157.3085</v>
      </c>
      <c r="N5662" s="11">
        <v>38</v>
      </c>
      <c r="O5662" s="12">
        <v>65.99</v>
      </c>
      <c r="P5662" s="12">
        <v>5.31</v>
      </c>
      <c r="Q5662" s="13">
        <v>519.246</v>
      </c>
      <c r="R5662" s="36" t="s">
        <v>1452</v>
      </c>
      <c r="S5662" s="7">
        <f t="shared" si="489"/>
        <v>2</v>
      </c>
      <c r="T5662" s="15" t="str">
        <f>VLOOKUP(R5662,产品分类!$C$2:$D$1278,2,0)</f>
        <v>办公用品</v>
      </c>
    </row>
    <row r="5663" spans="1:20">
      <c r="A5663" s="8">
        <f t="shared" ref="A5663:B5665" si="492">DATE(2012,12,31)-986</f>
        <v>40288</v>
      </c>
      <c r="B5663" s="8">
        <f t="shared" si="492"/>
        <v>40288</v>
      </c>
      <c r="C5663" s="9" t="s">
        <v>1414</v>
      </c>
      <c r="D5663">
        <v>10021402629</v>
      </c>
      <c r="E5663" t="s">
        <v>47</v>
      </c>
      <c r="F5663" t="s">
        <v>55</v>
      </c>
      <c r="G5663" t="s">
        <v>56</v>
      </c>
      <c r="H5663" t="s">
        <v>2425</v>
      </c>
      <c r="I5663" t="s">
        <v>2426</v>
      </c>
      <c r="J5663" t="s">
        <v>52</v>
      </c>
      <c r="K5663" s="3">
        <v>100132935198</v>
      </c>
      <c r="L5663" s="10">
        <v>40290</v>
      </c>
      <c r="M5663">
        <v>200.38</v>
      </c>
      <c r="N5663" s="11">
        <v>1</v>
      </c>
      <c r="O5663" s="12">
        <v>160.98</v>
      </c>
      <c r="P5663" s="12">
        <v>30</v>
      </c>
      <c r="Q5663" s="13">
        <v>-90.41</v>
      </c>
      <c r="R5663" s="36" t="s">
        <v>764</v>
      </c>
      <c r="S5663" s="7">
        <f t="shared" si="489"/>
        <v>2</v>
      </c>
      <c r="T5663" s="15" t="str">
        <f>VLOOKUP(R5663,产品分类!$C$2:$D$1278,2,0)</f>
        <v>家具产品</v>
      </c>
    </row>
    <row r="5664" spans="1:20">
      <c r="A5664" s="8">
        <f t="shared" si="492"/>
        <v>40288</v>
      </c>
      <c r="B5664" s="8">
        <f t="shared" si="492"/>
        <v>40288</v>
      </c>
      <c r="C5664" s="9" t="s">
        <v>1414</v>
      </c>
      <c r="D5664">
        <v>10021570308</v>
      </c>
      <c r="E5664" t="s">
        <v>47</v>
      </c>
      <c r="F5664" t="s">
        <v>97</v>
      </c>
      <c r="G5664" t="s">
        <v>98</v>
      </c>
      <c r="H5664" t="s">
        <v>99</v>
      </c>
      <c r="I5664" t="s">
        <v>98</v>
      </c>
      <c r="J5664" t="s">
        <v>52</v>
      </c>
      <c r="K5664" s="3">
        <v>100133151548</v>
      </c>
      <c r="L5664" s="10">
        <v>40292</v>
      </c>
      <c r="M5664">
        <v>128.52</v>
      </c>
      <c r="N5664" s="11">
        <v>2</v>
      </c>
      <c r="O5664" s="12">
        <v>64.98</v>
      </c>
      <c r="P5664" s="12">
        <v>6.88</v>
      </c>
      <c r="Q5664" s="13">
        <v>-110.07</v>
      </c>
      <c r="R5664" s="36" t="s">
        <v>765</v>
      </c>
      <c r="S5664" s="7">
        <f t="shared" si="489"/>
        <v>4</v>
      </c>
      <c r="T5664" s="15" t="str">
        <f>VLOOKUP(R5664,产品分类!$C$2:$D$1278,2,0)</f>
        <v>办公用品</v>
      </c>
    </row>
    <row r="5665" spans="1:20">
      <c r="A5665" s="8">
        <f t="shared" si="492"/>
        <v>40288</v>
      </c>
      <c r="B5665" s="8">
        <f t="shared" si="492"/>
        <v>40288</v>
      </c>
      <c r="C5665" s="9" t="s">
        <v>1414</v>
      </c>
      <c r="D5665">
        <v>10021597709</v>
      </c>
      <c r="E5665" t="s">
        <v>47</v>
      </c>
      <c r="F5665" t="s">
        <v>527</v>
      </c>
      <c r="G5665" t="s">
        <v>528</v>
      </c>
      <c r="H5665" t="s">
        <v>2454</v>
      </c>
      <c r="I5665" t="s">
        <v>2455</v>
      </c>
      <c r="J5665" t="s">
        <v>52</v>
      </c>
      <c r="K5665" s="3">
        <v>100933165471</v>
      </c>
      <c r="L5665" s="10">
        <v>40288</v>
      </c>
      <c r="M5665">
        <v>6717.784</v>
      </c>
      <c r="N5665" s="11">
        <v>24</v>
      </c>
      <c r="O5665" s="12">
        <v>348.21</v>
      </c>
      <c r="P5665" s="12">
        <v>40.19</v>
      </c>
      <c r="Q5665" s="13">
        <v>1903.1</v>
      </c>
      <c r="R5665" s="36" t="s">
        <v>1195</v>
      </c>
      <c r="S5665" s="7">
        <f t="shared" si="489"/>
        <v>0</v>
      </c>
      <c r="T5665" s="15" t="str">
        <f>VLOOKUP(R5665,产品分类!$C$2:$D$1278,2,0)</f>
        <v>办公用品</v>
      </c>
    </row>
    <row r="5666" spans="1:20">
      <c r="A5666" s="8">
        <f>DATE(2012,12,31)-1452</f>
        <v>39822</v>
      </c>
      <c r="B5666" s="8">
        <f>DATE(2012,12,31)-1452</f>
        <v>39822</v>
      </c>
      <c r="C5666" s="9" t="s">
        <v>356</v>
      </c>
      <c r="D5666">
        <v>10021441707</v>
      </c>
      <c r="E5666" t="s">
        <v>47</v>
      </c>
      <c r="F5666" t="s">
        <v>171</v>
      </c>
      <c r="G5666" t="s">
        <v>172</v>
      </c>
      <c r="H5666" t="s">
        <v>2352</v>
      </c>
      <c r="I5666" t="s">
        <v>2353</v>
      </c>
      <c r="J5666" t="s">
        <v>52</v>
      </c>
      <c r="K5666" s="3">
        <v>100132982277</v>
      </c>
      <c r="L5666" s="10">
        <v>39827</v>
      </c>
      <c r="M5666">
        <v>117.88</v>
      </c>
      <c r="N5666" s="11">
        <v>47</v>
      </c>
      <c r="O5666" s="12">
        <v>2.6</v>
      </c>
      <c r="P5666" s="12">
        <v>2.4</v>
      </c>
      <c r="Q5666" s="13">
        <v>-71</v>
      </c>
      <c r="R5666" s="36" t="s">
        <v>1884</v>
      </c>
      <c r="S5666" s="7">
        <f t="shared" si="489"/>
        <v>5</v>
      </c>
      <c r="T5666" s="15" t="str">
        <f>VLOOKUP(R5666,产品分类!$C$2:$D$1278,2,0)</f>
        <v>数码电子</v>
      </c>
    </row>
    <row r="5667" spans="1:20">
      <c r="A5667" s="8">
        <f>DATE(2012,12,31)-330</f>
        <v>40944</v>
      </c>
      <c r="B5667" s="8">
        <f>DATE(2012,12,31)-330</f>
        <v>40944</v>
      </c>
      <c r="C5667" s="9" t="s">
        <v>1563</v>
      </c>
      <c r="D5667">
        <v>10021491415</v>
      </c>
      <c r="E5667" t="s">
        <v>47</v>
      </c>
      <c r="F5667" t="s">
        <v>127</v>
      </c>
      <c r="G5667" t="s">
        <v>128</v>
      </c>
      <c r="H5667" t="s">
        <v>2462</v>
      </c>
      <c r="I5667" t="s">
        <v>2463</v>
      </c>
      <c r="J5667" t="s">
        <v>52</v>
      </c>
      <c r="K5667" s="3">
        <v>100933051431</v>
      </c>
      <c r="L5667" s="10">
        <v>40946</v>
      </c>
      <c r="M5667">
        <v>557.35</v>
      </c>
      <c r="N5667" s="11">
        <v>46</v>
      </c>
      <c r="O5667" s="12">
        <v>11.5</v>
      </c>
      <c r="P5667" s="12">
        <v>7.19</v>
      </c>
      <c r="Q5667" s="13">
        <v>-9.1885</v>
      </c>
      <c r="R5667" s="36" t="s">
        <v>633</v>
      </c>
      <c r="S5667" s="7">
        <f t="shared" si="489"/>
        <v>2</v>
      </c>
      <c r="T5667" s="15" t="str">
        <f>VLOOKUP(R5667,产品分类!$C$2:$D$1278,2,0)</f>
        <v>家具产品</v>
      </c>
    </row>
    <row r="5668" spans="1:20">
      <c r="A5668" s="8">
        <f>DATE(2012,12,31)-330</f>
        <v>40944</v>
      </c>
      <c r="B5668" s="8">
        <f>DATE(2012,12,31)-330</f>
        <v>40944</v>
      </c>
      <c r="C5668" s="9" t="s">
        <v>1563</v>
      </c>
      <c r="D5668">
        <v>10021410585</v>
      </c>
      <c r="E5668" t="s">
        <v>47</v>
      </c>
      <c r="F5668" t="s">
        <v>342</v>
      </c>
      <c r="G5668" t="s">
        <v>343</v>
      </c>
      <c r="H5668" t="s">
        <v>2429</v>
      </c>
      <c r="I5668" t="s">
        <v>2430</v>
      </c>
      <c r="J5668" t="s">
        <v>52</v>
      </c>
      <c r="K5668" s="3">
        <v>100932952721</v>
      </c>
      <c r="L5668" s="10">
        <v>40948</v>
      </c>
      <c r="M5668">
        <v>490.87</v>
      </c>
      <c r="N5668" s="11">
        <v>50</v>
      </c>
      <c r="O5668" s="12">
        <v>9.68</v>
      </c>
      <c r="P5668" s="12">
        <v>2.03</v>
      </c>
      <c r="Q5668" s="13">
        <v>190.93</v>
      </c>
      <c r="R5668" s="36" t="s">
        <v>1111</v>
      </c>
      <c r="S5668" s="7">
        <f t="shared" si="489"/>
        <v>4</v>
      </c>
      <c r="T5668" s="15" t="str">
        <f>VLOOKUP(R5668,产品分类!$C$2:$D$1278,2,0)</f>
        <v>办公用品</v>
      </c>
    </row>
    <row r="5669" spans="1:20">
      <c r="A5669" s="16">
        <f>DATE(2012,12,31)-331</f>
        <v>40943</v>
      </c>
      <c r="B5669" s="16">
        <f>DATE(2012,12,31)-331</f>
        <v>40943</v>
      </c>
      <c r="C5669" s="9" t="s">
        <v>830</v>
      </c>
      <c r="D5669">
        <v>10021654818</v>
      </c>
      <c r="E5669" t="s">
        <v>47</v>
      </c>
      <c r="F5669" t="s">
        <v>61</v>
      </c>
      <c r="G5669" t="s">
        <v>62</v>
      </c>
      <c r="H5669" t="s">
        <v>2431</v>
      </c>
      <c r="I5669" t="s">
        <v>2432</v>
      </c>
      <c r="J5669" t="s">
        <v>52</v>
      </c>
      <c r="K5669" s="3">
        <v>100933257271</v>
      </c>
      <c r="L5669" s="10">
        <v>40947</v>
      </c>
      <c r="M5669">
        <v>1001.17</v>
      </c>
      <c r="N5669" s="17">
        <v>47</v>
      </c>
      <c r="O5669" s="5">
        <v>19.98</v>
      </c>
      <c r="P5669" s="5">
        <v>5.77</v>
      </c>
      <c r="Q5669" s="6">
        <v>333.18</v>
      </c>
      <c r="R5669" s="37" t="s">
        <v>1619</v>
      </c>
      <c r="S5669" s="7">
        <f t="shared" si="489"/>
        <v>4</v>
      </c>
      <c r="T5669" s="15" t="str">
        <f>VLOOKUP(R5669,产品分类!$C$2:$D$1278,2,0)</f>
        <v>数码电子</v>
      </c>
    </row>
    <row r="5670" spans="1:20">
      <c r="A5670" s="8">
        <f>DATE(2012,12,31)-1430</f>
        <v>39844</v>
      </c>
      <c r="B5670" s="8">
        <f>DATE(2012,12,31)-1430</f>
        <v>39844</v>
      </c>
      <c r="C5670" s="9" t="s">
        <v>1882</v>
      </c>
      <c r="D5670">
        <v>10021685193</v>
      </c>
      <c r="E5670" t="s">
        <v>47</v>
      </c>
      <c r="F5670" t="s">
        <v>132</v>
      </c>
      <c r="G5670" t="s">
        <v>133</v>
      </c>
      <c r="H5670" t="s">
        <v>134</v>
      </c>
      <c r="I5670" t="s">
        <v>133</v>
      </c>
      <c r="J5670" t="s">
        <v>52</v>
      </c>
      <c r="K5670" s="3">
        <v>100933283291</v>
      </c>
      <c r="L5670" s="10">
        <v>39849</v>
      </c>
      <c r="M5670">
        <v>2188.06</v>
      </c>
      <c r="N5670" s="11">
        <v>46</v>
      </c>
      <c r="O5670" s="12">
        <v>49.99</v>
      </c>
      <c r="P5670" s="12">
        <v>19.99</v>
      </c>
      <c r="Q5670" s="13">
        <v>33.77</v>
      </c>
      <c r="R5670" s="36" t="s">
        <v>1328</v>
      </c>
      <c r="S5670" s="7">
        <f t="shared" si="489"/>
        <v>5</v>
      </c>
      <c r="T5670" s="15" t="str">
        <f>VLOOKUP(R5670,产品分类!$C$2:$D$1278,2,0)</f>
        <v>家具产品</v>
      </c>
    </row>
    <row r="5671" spans="1:20">
      <c r="A5671" s="8">
        <f>DATE(2012,12,31)-697</f>
        <v>40577</v>
      </c>
      <c r="B5671" s="8">
        <f>DATE(2012,12,31)-697</f>
        <v>40577</v>
      </c>
      <c r="C5671" s="9" t="s">
        <v>355</v>
      </c>
      <c r="D5671">
        <v>10021601609</v>
      </c>
      <c r="E5671" t="s">
        <v>47</v>
      </c>
      <c r="F5671" t="s">
        <v>230</v>
      </c>
      <c r="G5671" t="s">
        <v>231</v>
      </c>
      <c r="H5671" t="s">
        <v>2372</v>
      </c>
      <c r="I5671" t="s">
        <v>2373</v>
      </c>
      <c r="J5671" t="s">
        <v>52</v>
      </c>
      <c r="K5671" s="3">
        <v>100833181202</v>
      </c>
      <c r="L5671" s="10">
        <v>40579</v>
      </c>
      <c r="M5671">
        <v>412.37</v>
      </c>
      <c r="N5671" s="11">
        <v>46</v>
      </c>
      <c r="O5671" s="12">
        <v>8.67</v>
      </c>
      <c r="P5671" s="12">
        <v>3.5</v>
      </c>
      <c r="Q5671" s="13">
        <v>2.71</v>
      </c>
      <c r="R5671" s="36" t="s">
        <v>884</v>
      </c>
      <c r="S5671" s="7">
        <f t="shared" si="489"/>
        <v>2</v>
      </c>
      <c r="T5671" s="15" t="str">
        <f>VLOOKUP(R5671,产品分类!$C$2:$D$1278,2,0)</f>
        <v>办公用品</v>
      </c>
    </row>
    <row r="5672" spans="1:20">
      <c r="A5672" s="8">
        <f>DATE(2012,12,31)-829</f>
        <v>40445</v>
      </c>
      <c r="B5672" s="8">
        <f>DATE(2012,12,31)-829</f>
        <v>40445</v>
      </c>
      <c r="C5672" s="9" t="s">
        <v>2045</v>
      </c>
      <c r="D5672">
        <v>10021597456</v>
      </c>
      <c r="E5672" t="s">
        <v>47</v>
      </c>
      <c r="F5672" t="s">
        <v>48</v>
      </c>
      <c r="G5672" t="s">
        <v>49</v>
      </c>
      <c r="H5672" t="s">
        <v>2183</v>
      </c>
      <c r="I5672" t="s">
        <v>2184</v>
      </c>
      <c r="J5672" t="s">
        <v>52</v>
      </c>
      <c r="K5672" s="3">
        <v>100133164517</v>
      </c>
      <c r="L5672" s="10">
        <v>40448</v>
      </c>
      <c r="M5672">
        <v>353.02</v>
      </c>
      <c r="N5672" s="11">
        <v>7</v>
      </c>
      <c r="O5672" s="12">
        <v>46.89</v>
      </c>
      <c r="P5672" s="12">
        <v>5.1</v>
      </c>
      <c r="Q5672" s="13">
        <v>72.55</v>
      </c>
      <c r="R5672" s="36" t="s">
        <v>1530</v>
      </c>
      <c r="S5672" s="7">
        <f t="shared" si="489"/>
        <v>3</v>
      </c>
      <c r="T5672" s="15" t="str">
        <f>VLOOKUP(R5672,产品分类!$C$2:$D$1278,2,0)</f>
        <v>数码电子</v>
      </c>
    </row>
    <row r="5673" spans="1:20">
      <c r="A5673" s="8">
        <f>DATE(2012,12,31)-1421</f>
        <v>39853</v>
      </c>
      <c r="B5673" s="8">
        <f>DATE(2012,12,31)-1421</f>
        <v>39853</v>
      </c>
      <c r="C5673" s="9" t="s">
        <v>1094</v>
      </c>
      <c r="D5673">
        <v>10021482132</v>
      </c>
      <c r="E5673" t="s">
        <v>47</v>
      </c>
      <c r="F5673" t="s">
        <v>72</v>
      </c>
      <c r="G5673" t="s">
        <v>73</v>
      </c>
      <c r="H5673" t="s">
        <v>2417</v>
      </c>
      <c r="I5673" t="s">
        <v>2418</v>
      </c>
      <c r="J5673" t="s">
        <v>52</v>
      </c>
      <c r="K5673" s="3">
        <v>100833027852</v>
      </c>
      <c r="L5673" s="10">
        <v>39860</v>
      </c>
      <c r="M5673">
        <v>10318.72</v>
      </c>
      <c r="N5673" s="11">
        <v>43</v>
      </c>
      <c r="O5673" s="12">
        <v>240.98</v>
      </c>
      <c r="P5673" s="12">
        <v>60.2</v>
      </c>
      <c r="Q5673" s="13">
        <v>1445.36</v>
      </c>
      <c r="R5673" s="36" t="s">
        <v>1636</v>
      </c>
      <c r="S5673" s="7">
        <f t="shared" si="489"/>
        <v>7</v>
      </c>
      <c r="T5673" s="15" t="str">
        <f>VLOOKUP(R5673,产品分类!$C$2:$D$1278,2,0)</f>
        <v>家具产品</v>
      </c>
    </row>
    <row r="5674" spans="1:20">
      <c r="A5674" s="8">
        <f>DATE(2012,12,31)-243</f>
        <v>41031</v>
      </c>
      <c r="B5674" s="8">
        <f>DATE(2012,12,31)-243</f>
        <v>41031</v>
      </c>
      <c r="C5674" s="9" t="s">
        <v>589</v>
      </c>
      <c r="D5674">
        <v>10021491395</v>
      </c>
      <c r="E5674" t="s">
        <v>47</v>
      </c>
      <c r="F5674" t="s">
        <v>122</v>
      </c>
      <c r="G5674" t="s">
        <v>123</v>
      </c>
      <c r="H5674" t="s">
        <v>2458</v>
      </c>
      <c r="I5674" t="s">
        <v>2459</v>
      </c>
      <c r="J5674" t="s">
        <v>52</v>
      </c>
      <c r="K5674" s="3">
        <v>100333051639</v>
      </c>
      <c r="L5674" s="10">
        <v>41031</v>
      </c>
      <c r="M5674">
        <v>222.43</v>
      </c>
      <c r="N5674" s="11">
        <v>24</v>
      </c>
      <c r="O5674" s="12">
        <v>9.06</v>
      </c>
      <c r="P5674" s="12">
        <v>9.86</v>
      </c>
      <c r="Q5674" s="13">
        <v>-119.31</v>
      </c>
      <c r="R5674" s="36" t="s">
        <v>2101</v>
      </c>
      <c r="S5674" s="7">
        <f t="shared" si="489"/>
        <v>0</v>
      </c>
      <c r="T5674" s="15" t="str">
        <f>VLOOKUP(R5674,产品分类!$C$2:$D$1278,2,0)</f>
        <v>办公用品</v>
      </c>
    </row>
    <row r="5675" spans="1:20">
      <c r="A5675" s="8">
        <f t="shared" ref="A5675:B5677" si="493">DATE(2012,12,31)-312</f>
        <v>40962</v>
      </c>
      <c r="B5675" s="8">
        <f t="shared" si="493"/>
        <v>40962</v>
      </c>
      <c r="C5675" s="9" t="s">
        <v>1732</v>
      </c>
      <c r="D5675">
        <v>10021373362</v>
      </c>
      <c r="E5675" t="s">
        <v>47</v>
      </c>
      <c r="F5675" t="s">
        <v>171</v>
      </c>
      <c r="G5675" t="s">
        <v>172</v>
      </c>
      <c r="H5675" t="s">
        <v>2352</v>
      </c>
      <c r="I5675" t="s">
        <v>2353</v>
      </c>
      <c r="J5675" t="s">
        <v>52</v>
      </c>
      <c r="K5675" s="3">
        <v>100932892241</v>
      </c>
      <c r="L5675" s="10">
        <v>40968</v>
      </c>
      <c r="M5675">
        <v>1363</v>
      </c>
      <c r="N5675" s="11">
        <v>26</v>
      </c>
      <c r="O5675" s="12">
        <v>50.98</v>
      </c>
      <c r="P5675" s="12">
        <v>14.19</v>
      </c>
      <c r="Q5675" s="13">
        <v>149.83</v>
      </c>
      <c r="R5675" s="36" t="s">
        <v>1170</v>
      </c>
      <c r="S5675" s="7">
        <f t="shared" si="489"/>
        <v>6</v>
      </c>
      <c r="T5675" s="15" t="str">
        <f>VLOOKUP(R5675,产品分类!$C$2:$D$1278,2,0)</f>
        <v>数码电子</v>
      </c>
    </row>
    <row r="5676" spans="1:20">
      <c r="A5676" s="8">
        <f t="shared" si="493"/>
        <v>40962</v>
      </c>
      <c r="B5676" s="8">
        <f t="shared" si="493"/>
        <v>40962</v>
      </c>
      <c r="C5676" s="9" t="s">
        <v>1732</v>
      </c>
      <c r="D5676">
        <v>10021290927</v>
      </c>
      <c r="E5676" t="s">
        <v>47</v>
      </c>
      <c r="F5676" t="s">
        <v>171</v>
      </c>
      <c r="G5676" t="s">
        <v>172</v>
      </c>
      <c r="H5676" t="s">
        <v>2352</v>
      </c>
      <c r="I5676" t="s">
        <v>2353</v>
      </c>
      <c r="J5676" t="s">
        <v>52</v>
      </c>
      <c r="K5676" s="3">
        <v>100832789452</v>
      </c>
      <c r="L5676" s="10">
        <v>40968</v>
      </c>
      <c r="M5676">
        <v>4698.5</v>
      </c>
      <c r="N5676" s="11">
        <v>36</v>
      </c>
      <c r="O5676" s="12">
        <v>124.49</v>
      </c>
      <c r="P5676" s="12">
        <v>51.94</v>
      </c>
      <c r="Q5676" s="13">
        <v>-219.375</v>
      </c>
      <c r="R5676" s="36" t="s">
        <v>237</v>
      </c>
      <c r="S5676" s="7">
        <f t="shared" si="489"/>
        <v>6</v>
      </c>
      <c r="T5676" s="15" t="str">
        <f>VLOOKUP(R5676,产品分类!$C$2:$D$1278,2,0)</f>
        <v>数码电子</v>
      </c>
    </row>
    <row r="5677" spans="1:20">
      <c r="A5677" s="8">
        <f t="shared" si="493"/>
        <v>40962</v>
      </c>
      <c r="B5677" s="8">
        <f t="shared" si="493"/>
        <v>40962</v>
      </c>
      <c r="C5677" s="9" t="s">
        <v>1732</v>
      </c>
      <c r="D5677">
        <v>10021401781</v>
      </c>
      <c r="E5677" t="s">
        <v>47</v>
      </c>
      <c r="F5677" t="s">
        <v>183</v>
      </c>
      <c r="G5677" t="s">
        <v>184</v>
      </c>
      <c r="H5677" t="s">
        <v>2436</v>
      </c>
      <c r="I5677" t="s">
        <v>2277</v>
      </c>
      <c r="J5677" t="s">
        <v>52</v>
      </c>
      <c r="K5677" s="3">
        <v>100132932786</v>
      </c>
      <c r="L5677" s="10">
        <v>40970</v>
      </c>
      <c r="M5677">
        <v>347.47</v>
      </c>
      <c r="N5677" s="11">
        <v>16</v>
      </c>
      <c r="O5677" s="12">
        <v>22.38</v>
      </c>
      <c r="P5677" s="12">
        <v>15.1</v>
      </c>
      <c r="Q5677" s="13">
        <v>-86.204</v>
      </c>
      <c r="R5677" s="36" t="s">
        <v>938</v>
      </c>
      <c r="S5677" s="7">
        <f t="shared" si="489"/>
        <v>8</v>
      </c>
      <c r="T5677" s="15" t="str">
        <f>VLOOKUP(R5677,产品分类!$C$2:$D$1278,2,0)</f>
        <v>办公用品</v>
      </c>
    </row>
    <row r="5678" spans="1:20">
      <c r="A5678" s="8">
        <f t="shared" ref="A5678:B5680" si="494">DATE(2012,12,31)-449</f>
        <v>40825</v>
      </c>
      <c r="B5678" s="8">
        <f t="shared" si="494"/>
        <v>40825</v>
      </c>
      <c r="C5678" s="9" t="s">
        <v>1105</v>
      </c>
      <c r="D5678">
        <v>10021404488</v>
      </c>
      <c r="E5678" t="s">
        <v>47</v>
      </c>
      <c r="F5678" t="s">
        <v>167</v>
      </c>
      <c r="G5678" t="s">
        <v>168</v>
      </c>
      <c r="H5678" t="s">
        <v>169</v>
      </c>
      <c r="I5678" t="s">
        <v>168</v>
      </c>
      <c r="J5678" t="s">
        <v>52</v>
      </c>
      <c r="K5678" s="3">
        <v>100128701967</v>
      </c>
      <c r="L5678" s="10">
        <v>40832</v>
      </c>
      <c r="M5678">
        <v>109.37</v>
      </c>
      <c r="N5678" s="11">
        <v>10</v>
      </c>
      <c r="O5678" s="12">
        <v>10.89</v>
      </c>
      <c r="P5678" s="12">
        <v>4.5</v>
      </c>
      <c r="Q5678" s="13">
        <v>-21.66</v>
      </c>
      <c r="R5678" s="36" t="s">
        <v>269</v>
      </c>
      <c r="S5678" s="7">
        <f t="shared" si="489"/>
        <v>7</v>
      </c>
      <c r="T5678" s="15" t="str">
        <f>VLOOKUP(R5678,产品分类!$C$2:$D$1278,2,0)</f>
        <v>办公用品</v>
      </c>
    </row>
    <row r="5679" spans="1:20">
      <c r="A5679" s="8">
        <f t="shared" si="494"/>
        <v>40825</v>
      </c>
      <c r="B5679" s="8">
        <f t="shared" si="494"/>
        <v>40825</v>
      </c>
      <c r="C5679" s="9" t="s">
        <v>1105</v>
      </c>
      <c r="D5679">
        <v>10021344597</v>
      </c>
      <c r="E5679" t="s">
        <v>47</v>
      </c>
      <c r="F5679" t="s">
        <v>152</v>
      </c>
      <c r="G5679" t="s">
        <v>153</v>
      </c>
      <c r="H5679" t="s">
        <v>2441</v>
      </c>
      <c r="I5679" t="s">
        <v>2442</v>
      </c>
      <c r="J5679" t="s">
        <v>52</v>
      </c>
      <c r="K5679" s="3">
        <v>100429709094</v>
      </c>
      <c r="L5679" s="10">
        <v>40829</v>
      </c>
      <c r="M5679">
        <v>1461.1</v>
      </c>
      <c r="N5679" s="11">
        <v>43</v>
      </c>
      <c r="O5679" s="12">
        <v>31.78</v>
      </c>
      <c r="P5679" s="12">
        <v>1.99</v>
      </c>
      <c r="Q5679" s="13">
        <v>674.46</v>
      </c>
      <c r="R5679" s="36" t="s">
        <v>451</v>
      </c>
      <c r="S5679" s="7">
        <f t="shared" si="489"/>
        <v>4</v>
      </c>
      <c r="T5679" s="15" t="str">
        <f>VLOOKUP(R5679,产品分类!$C$2:$D$1278,2,0)</f>
        <v>家具产品</v>
      </c>
    </row>
    <row r="5680" spans="1:20">
      <c r="A5680" s="8">
        <f t="shared" si="494"/>
        <v>40825</v>
      </c>
      <c r="B5680" s="8">
        <f t="shared" si="494"/>
        <v>40825</v>
      </c>
      <c r="C5680" s="9" t="s">
        <v>1105</v>
      </c>
      <c r="D5680">
        <v>10021531018</v>
      </c>
      <c r="E5680" t="s">
        <v>47</v>
      </c>
      <c r="F5680" t="s">
        <v>72</v>
      </c>
      <c r="G5680" t="s">
        <v>73</v>
      </c>
      <c r="H5680" t="s">
        <v>2417</v>
      </c>
      <c r="I5680" t="s">
        <v>2418</v>
      </c>
      <c r="J5680" t="s">
        <v>52</v>
      </c>
      <c r="K5680" s="3">
        <v>100730627255</v>
      </c>
      <c r="L5680" s="10">
        <v>40830</v>
      </c>
      <c r="M5680">
        <v>9.75</v>
      </c>
      <c r="N5680" s="11">
        <v>1</v>
      </c>
      <c r="O5680" s="12">
        <v>4.98</v>
      </c>
      <c r="P5680" s="12">
        <v>4.72</v>
      </c>
      <c r="Q5680" s="13">
        <v>-6.72</v>
      </c>
      <c r="R5680" s="36" t="s">
        <v>331</v>
      </c>
      <c r="S5680" s="7">
        <f t="shared" si="489"/>
        <v>5</v>
      </c>
      <c r="T5680" s="15" t="str">
        <f>VLOOKUP(R5680,产品分类!$C$2:$D$1278,2,0)</f>
        <v>数码电子</v>
      </c>
    </row>
    <row r="5681" spans="1:20">
      <c r="A5681" s="8">
        <f>DATE(2012,12,31)-1173</f>
        <v>40101</v>
      </c>
      <c r="B5681" s="8">
        <f>DATE(2012,12,31)-1173</f>
        <v>40101</v>
      </c>
      <c r="C5681" s="9" t="s">
        <v>742</v>
      </c>
      <c r="D5681">
        <v>10021583928</v>
      </c>
      <c r="E5681" t="s">
        <v>47</v>
      </c>
      <c r="F5681" t="s">
        <v>78</v>
      </c>
      <c r="G5681" t="s">
        <v>79</v>
      </c>
      <c r="H5681" t="s">
        <v>2420</v>
      </c>
      <c r="I5681" t="s">
        <v>2421</v>
      </c>
      <c r="J5681" t="s">
        <v>52</v>
      </c>
      <c r="K5681" s="3">
        <v>100826986702</v>
      </c>
      <c r="L5681" s="10">
        <v>40102</v>
      </c>
      <c r="M5681">
        <v>1404.22</v>
      </c>
      <c r="N5681" s="11">
        <v>23</v>
      </c>
      <c r="O5681" s="12">
        <v>63.94</v>
      </c>
      <c r="P5681" s="12">
        <v>14.48</v>
      </c>
      <c r="Q5681" s="13">
        <v>202.87</v>
      </c>
      <c r="R5681" s="36" t="s">
        <v>1889</v>
      </c>
      <c r="S5681" s="7">
        <f t="shared" si="489"/>
        <v>1</v>
      </c>
      <c r="T5681" s="15" t="str">
        <f>VLOOKUP(R5681,产品分类!$C$2:$D$1278,2,0)</f>
        <v>家具产品</v>
      </c>
    </row>
    <row r="5682" spans="1:20">
      <c r="A5682" s="8">
        <f>DATE(2012,12,31)-1072</f>
        <v>40202</v>
      </c>
      <c r="B5682" s="8">
        <f>DATE(2012,12,31)-1072</f>
        <v>40202</v>
      </c>
      <c r="C5682" s="9" t="s">
        <v>160</v>
      </c>
      <c r="D5682">
        <v>10021353159</v>
      </c>
      <c r="E5682" t="s">
        <v>47</v>
      </c>
      <c r="F5682" t="s">
        <v>114</v>
      </c>
      <c r="G5682" t="s">
        <v>115</v>
      </c>
      <c r="H5682" t="s">
        <v>2374</v>
      </c>
      <c r="I5682" t="s">
        <v>2375</v>
      </c>
      <c r="J5682" t="s">
        <v>52</v>
      </c>
      <c r="K5682" s="3">
        <v>100932552121</v>
      </c>
      <c r="L5682" s="10">
        <v>40204</v>
      </c>
      <c r="M5682">
        <v>1581.23</v>
      </c>
      <c r="N5682" s="11">
        <v>28</v>
      </c>
      <c r="O5682" s="12">
        <v>55.98</v>
      </c>
      <c r="P5682" s="12">
        <v>5.15</v>
      </c>
      <c r="Q5682" s="13">
        <v>760.79</v>
      </c>
      <c r="R5682" s="36" t="s">
        <v>1743</v>
      </c>
      <c r="S5682" s="7">
        <f t="shared" si="489"/>
        <v>2</v>
      </c>
      <c r="T5682" s="15" t="str">
        <f>VLOOKUP(R5682,产品分类!$C$2:$D$1278,2,0)</f>
        <v>办公用品</v>
      </c>
    </row>
    <row r="5683" spans="1:20">
      <c r="A5683" s="8">
        <f>DATE(2012,12,31)-996</f>
        <v>40278</v>
      </c>
      <c r="B5683" s="8">
        <f>DATE(2012,12,31)-996</f>
        <v>40278</v>
      </c>
      <c r="C5683" s="9" t="s">
        <v>1258</v>
      </c>
      <c r="D5683">
        <v>10021255297</v>
      </c>
      <c r="E5683" t="s">
        <v>47</v>
      </c>
      <c r="F5683" t="s">
        <v>91</v>
      </c>
      <c r="G5683" t="s">
        <v>92</v>
      </c>
      <c r="H5683" t="s">
        <v>2053</v>
      </c>
      <c r="I5683" t="s">
        <v>2054</v>
      </c>
      <c r="J5683" t="s">
        <v>52</v>
      </c>
      <c r="K5683" s="3">
        <v>100423755873</v>
      </c>
      <c r="L5683" s="10">
        <v>40280</v>
      </c>
      <c r="M5683">
        <v>184.07</v>
      </c>
      <c r="N5683" s="11">
        <v>8</v>
      </c>
      <c r="O5683" s="12">
        <v>22.98</v>
      </c>
      <c r="P5683" s="12">
        <v>7.58</v>
      </c>
      <c r="Q5683" s="13">
        <v>75.63</v>
      </c>
      <c r="R5683" s="36" t="s">
        <v>616</v>
      </c>
      <c r="S5683" s="7">
        <f t="shared" si="489"/>
        <v>2</v>
      </c>
      <c r="T5683" s="15" t="str">
        <f>VLOOKUP(R5683,产品分类!$C$2:$D$1278,2,0)</f>
        <v>家具产品</v>
      </c>
    </row>
    <row r="5684" spans="1:20">
      <c r="A5684" s="8">
        <f>DATE(2012,12,31)-670</f>
        <v>40604</v>
      </c>
      <c r="B5684" s="8">
        <f>DATE(2012,12,31)-670</f>
        <v>40604</v>
      </c>
      <c r="C5684" s="9" t="s">
        <v>803</v>
      </c>
      <c r="D5684">
        <v>10021589151</v>
      </c>
      <c r="E5684" t="s">
        <v>47</v>
      </c>
      <c r="F5684" t="s">
        <v>55</v>
      </c>
      <c r="G5684" t="s">
        <v>56</v>
      </c>
      <c r="H5684" t="s">
        <v>2425</v>
      </c>
      <c r="I5684" t="s">
        <v>2426</v>
      </c>
      <c r="J5684" t="s">
        <v>52</v>
      </c>
      <c r="K5684" s="3">
        <v>100330847099</v>
      </c>
      <c r="L5684" s="10">
        <v>40607</v>
      </c>
      <c r="M5684">
        <v>421.36</v>
      </c>
      <c r="N5684" s="11">
        <v>50</v>
      </c>
      <c r="O5684" s="12">
        <v>8.62</v>
      </c>
      <c r="P5684" s="12">
        <v>4.5</v>
      </c>
      <c r="Q5684" s="13">
        <v>-75.17</v>
      </c>
      <c r="R5684" s="36" t="s">
        <v>1431</v>
      </c>
      <c r="S5684" s="7">
        <f t="shared" si="489"/>
        <v>3</v>
      </c>
      <c r="T5684" s="15" t="str">
        <f>VLOOKUP(R5684,产品分类!$C$2:$D$1278,2,0)</f>
        <v>办公用品</v>
      </c>
    </row>
    <row r="5685" spans="1:20">
      <c r="A5685" s="8">
        <f>DATE(2012,12,31)-120</f>
        <v>41154</v>
      </c>
      <c r="B5685" s="8">
        <f>DATE(2012,12,31)-120</f>
        <v>41154</v>
      </c>
      <c r="C5685" s="9" t="s">
        <v>151</v>
      </c>
      <c r="D5685">
        <v>10021672362</v>
      </c>
      <c r="E5685" t="s">
        <v>47</v>
      </c>
      <c r="F5685" t="s">
        <v>55</v>
      </c>
      <c r="G5685" t="s">
        <v>56</v>
      </c>
      <c r="H5685" t="s">
        <v>2425</v>
      </c>
      <c r="I5685" t="s">
        <v>2426</v>
      </c>
      <c r="J5685" t="s">
        <v>52</v>
      </c>
      <c r="K5685" s="3">
        <v>100326753539</v>
      </c>
      <c r="L5685" s="10">
        <v>41154</v>
      </c>
      <c r="M5685">
        <v>3130.2015</v>
      </c>
      <c r="N5685" s="11">
        <v>34</v>
      </c>
      <c r="O5685" s="12">
        <v>115.99</v>
      </c>
      <c r="P5685" s="12">
        <v>2.5</v>
      </c>
      <c r="Q5685" s="13">
        <v>692.775</v>
      </c>
      <c r="R5685" s="36" t="s">
        <v>2221</v>
      </c>
      <c r="S5685" s="7">
        <f t="shared" si="489"/>
        <v>0</v>
      </c>
      <c r="T5685" s="15" t="str">
        <f>VLOOKUP(R5685,产品分类!$C$2:$D$1278,2,0)</f>
        <v>家具产品</v>
      </c>
    </row>
    <row r="5686" spans="1:20">
      <c r="A5686" s="8">
        <f t="shared" ref="A5686:B5688" si="495">DATE(2012,12,31)-817</f>
        <v>40457</v>
      </c>
      <c r="B5686" s="8">
        <f t="shared" si="495"/>
        <v>40457</v>
      </c>
      <c r="C5686" s="9" t="s">
        <v>500</v>
      </c>
      <c r="D5686">
        <v>10021407404</v>
      </c>
      <c r="E5686" t="s">
        <v>47</v>
      </c>
      <c r="F5686" t="s">
        <v>152</v>
      </c>
      <c r="G5686" t="s">
        <v>153</v>
      </c>
      <c r="H5686" t="s">
        <v>2441</v>
      </c>
      <c r="I5686" t="s">
        <v>2442</v>
      </c>
      <c r="J5686" t="s">
        <v>52</v>
      </c>
      <c r="K5686" s="3">
        <v>100131490238</v>
      </c>
      <c r="L5686" s="10">
        <v>40458</v>
      </c>
      <c r="M5686">
        <v>4506.85</v>
      </c>
      <c r="N5686" s="11">
        <v>30</v>
      </c>
      <c r="O5686" s="12">
        <v>160.98</v>
      </c>
      <c r="P5686" s="12">
        <v>30</v>
      </c>
      <c r="Q5686" s="13">
        <v>290.66</v>
      </c>
      <c r="R5686" s="36" t="s">
        <v>764</v>
      </c>
      <c r="S5686" s="7">
        <f t="shared" si="489"/>
        <v>1</v>
      </c>
      <c r="T5686" s="15" t="str">
        <f>VLOOKUP(R5686,产品分类!$C$2:$D$1278,2,0)</f>
        <v>家具产品</v>
      </c>
    </row>
    <row r="5687" spans="1:20">
      <c r="A5687" s="8">
        <f t="shared" si="495"/>
        <v>40457</v>
      </c>
      <c r="B5687" s="8">
        <f t="shared" si="495"/>
        <v>40457</v>
      </c>
      <c r="C5687" s="9" t="s">
        <v>500</v>
      </c>
      <c r="D5687">
        <v>10021701136</v>
      </c>
      <c r="E5687" t="s">
        <v>47</v>
      </c>
      <c r="F5687" t="s">
        <v>66</v>
      </c>
      <c r="G5687" t="s">
        <v>67</v>
      </c>
      <c r="H5687" t="s">
        <v>2413</v>
      </c>
      <c r="I5687" t="s">
        <v>2414</v>
      </c>
      <c r="J5687" t="s">
        <v>52</v>
      </c>
      <c r="K5687" s="3">
        <v>100830080432</v>
      </c>
      <c r="L5687" s="10">
        <v>40459</v>
      </c>
      <c r="M5687">
        <v>2110.37</v>
      </c>
      <c r="N5687" s="11">
        <v>16</v>
      </c>
      <c r="O5687" s="12">
        <v>119.99</v>
      </c>
      <c r="P5687" s="12">
        <v>56.14</v>
      </c>
      <c r="Q5687" s="13">
        <v>-14.4159</v>
      </c>
      <c r="R5687" s="36" t="s">
        <v>1626</v>
      </c>
      <c r="S5687" s="7">
        <f t="shared" si="489"/>
        <v>2</v>
      </c>
      <c r="T5687" s="15" t="str">
        <f>VLOOKUP(R5687,产品分类!$C$2:$D$1278,2,0)</f>
        <v>办公用品</v>
      </c>
    </row>
    <row r="5688" spans="1:20">
      <c r="A5688" s="8">
        <f t="shared" si="495"/>
        <v>40457</v>
      </c>
      <c r="B5688" s="8">
        <f t="shared" si="495"/>
        <v>40457</v>
      </c>
      <c r="C5688" s="9" t="s">
        <v>500</v>
      </c>
      <c r="D5688">
        <v>10021406648</v>
      </c>
      <c r="E5688" t="s">
        <v>47</v>
      </c>
      <c r="F5688" t="s">
        <v>152</v>
      </c>
      <c r="G5688" t="s">
        <v>153</v>
      </c>
      <c r="H5688" t="s">
        <v>2441</v>
      </c>
      <c r="I5688" t="s">
        <v>2442</v>
      </c>
      <c r="J5688" t="s">
        <v>52</v>
      </c>
      <c r="K5688" s="3">
        <v>100114469817</v>
      </c>
      <c r="L5688" s="10">
        <v>40459</v>
      </c>
      <c r="M5688">
        <v>1094.9105</v>
      </c>
      <c r="N5688" s="11">
        <v>34</v>
      </c>
      <c r="O5688" s="12">
        <v>35.99</v>
      </c>
      <c r="P5688" s="12">
        <v>5</v>
      </c>
      <c r="Q5688" s="13">
        <v>-112.123</v>
      </c>
      <c r="R5688" s="36" t="s">
        <v>1843</v>
      </c>
      <c r="S5688" s="7">
        <f t="shared" si="489"/>
        <v>2</v>
      </c>
      <c r="T5688" s="15" t="str">
        <f>VLOOKUP(R5688,产品分类!$C$2:$D$1278,2,0)</f>
        <v>数码电子</v>
      </c>
    </row>
    <row r="5689" spans="1:20">
      <c r="A5689" s="8">
        <f>DATE(2012,12,31)-1280</f>
        <v>39994</v>
      </c>
      <c r="B5689" s="8">
        <f>DATE(2012,12,31)-1280</f>
        <v>39994</v>
      </c>
      <c r="C5689" s="9" t="s">
        <v>675</v>
      </c>
      <c r="D5689">
        <v>10021679175</v>
      </c>
      <c r="E5689" t="s">
        <v>47</v>
      </c>
      <c r="F5689" t="s">
        <v>66</v>
      </c>
      <c r="G5689" t="s">
        <v>67</v>
      </c>
      <c r="H5689" t="s">
        <v>2413</v>
      </c>
      <c r="I5689" t="s">
        <v>2414</v>
      </c>
      <c r="J5689" t="s">
        <v>52</v>
      </c>
      <c r="K5689" s="3">
        <v>100832353392</v>
      </c>
      <c r="L5689" s="10">
        <v>40001</v>
      </c>
      <c r="M5689">
        <v>890.9</v>
      </c>
      <c r="N5689" s="11">
        <v>14</v>
      </c>
      <c r="O5689" s="12">
        <v>63.94</v>
      </c>
      <c r="P5689" s="12">
        <v>14.48</v>
      </c>
      <c r="Q5689" s="13">
        <v>404.29</v>
      </c>
      <c r="R5689" s="36" t="s">
        <v>1889</v>
      </c>
      <c r="S5689" s="7">
        <f t="shared" si="489"/>
        <v>7</v>
      </c>
      <c r="T5689" s="15" t="str">
        <f>VLOOKUP(R5689,产品分类!$C$2:$D$1278,2,0)</f>
        <v>家具产品</v>
      </c>
    </row>
    <row r="5690" spans="1:20">
      <c r="A5690" s="8">
        <f>DATE(2012,12,31)-722</f>
        <v>40552</v>
      </c>
      <c r="B5690" s="8">
        <f>DATE(2012,12,31)-722</f>
        <v>40552</v>
      </c>
      <c r="C5690" s="9" t="s">
        <v>219</v>
      </c>
      <c r="D5690">
        <v>10021619205</v>
      </c>
      <c r="E5690" t="s">
        <v>47</v>
      </c>
      <c r="F5690" t="s">
        <v>78</v>
      </c>
      <c r="G5690" t="s">
        <v>79</v>
      </c>
      <c r="H5690" t="s">
        <v>2420</v>
      </c>
      <c r="I5690" t="s">
        <v>2421</v>
      </c>
      <c r="J5690" t="s">
        <v>52</v>
      </c>
      <c r="K5690" s="3">
        <v>100432850453</v>
      </c>
      <c r="L5690" s="10">
        <v>40559</v>
      </c>
      <c r="M5690">
        <v>839.07</v>
      </c>
      <c r="N5690" s="11">
        <v>50</v>
      </c>
      <c r="O5690" s="12">
        <v>16.74</v>
      </c>
      <c r="P5690" s="12">
        <v>5.08</v>
      </c>
      <c r="Q5690" s="13">
        <v>212.7295</v>
      </c>
      <c r="R5690" s="36" t="s">
        <v>2206</v>
      </c>
      <c r="S5690" s="7">
        <f t="shared" si="489"/>
        <v>7</v>
      </c>
      <c r="T5690" s="15" t="str">
        <f>VLOOKUP(R5690,产品分类!$C$2:$D$1278,2,0)</f>
        <v>办公用品</v>
      </c>
    </row>
    <row r="5691" spans="1:20">
      <c r="A5691" s="8">
        <f>DATE(2012,12,31)-722</f>
        <v>40552</v>
      </c>
      <c r="B5691" s="8">
        <f>DATE(2012,12,31)-722</f>
        <v>40552</v>
      </c>
      <c r="C5691" s="9" t="s">
        <v>219</v>
      </c>
      <c r="D5691">
        <v>10021391577</v>
      </c>
      <c r="E5691" t="s">
        <v>47</v>
      </c>
      <c r="F5691" t="s">
        <v>72</v>
      </c>
      <c r="G5691" t="s">
        <v>73</v>
      </c>
      <c r="H5691" t="s">
        <v>2417</v>
      </c>
      <c r="I5691" t="s">
        <v>2418</v>
      </c>
      <c r="J5691" t="s">
        <v>52</v>
      </c>
      <c r="K5691" s="3">
        <v>100330290989</v>
      </c>
      <c r="L5691" s="10">
        <v>40554</v>
      </c>
      <c r="M5691">
        <v>5643.49</v>
      </c>
      <c r="N5691" s="11">
        <v>45</v>
      </c>
      <c r="O5691" s="12">
        <v>122.99</v>
      </c>
      <c r="P5691" s="12">
        <v>70.2</v>
      </c>
      <c r="Q5691" s="13">
        <v>-1857.06</v>
      </c>
      <c r="R5691" s="36" t="s">
        <v>860</v>
      </c>
      <c r="S5691" s="7">
        <f t="shared" si="489"/>
        <v>2</v>
      </c>
      <c r="T5691" s="15" t="str">
        <f>VLOOKUP(R5691,产品分类!$C$2:$D$1278,2,0)</f>
        <v>办公用品</v>
      </c>
    </row>
    <row r="5692" spans="1:20">
      <c r="A5692" s="8">
        <f>DATE(2012,12,31)-863</f>
        <v>40411</v>
      </c>
      <c r="B5692" s="8">
        <f>DATE(2012,12,31)-863</f>
        <v>40411</v>
      </c>
      <c r="C5692" s="9" t="s">
        <v>2059</v>
      </c>
      <c r="D5692">
        <v>10021321311</v>
      </c>
      <c r="E5692" t="s">
        <v>47</v>
      </c>
      <c r="F5692" t="s">
        <v>230</v>
      </c>
      <c r="G5692" t="s">
        <v>231</v>
      </c>
      <c r="H5692" t="s">
        <v>2372</v>
      </c>
      <c r="I5692" t="s">
        <v>2373</v>
      </c>
      <c r="J5692" t="s">
        <v>52</v>
      </c>
      <c r="K5692" s="3">
        <v>100832590092</v>
      </c>
      <c r="L5692" s="10">
        <v>40412</v>
      </c>
      <c r="M5692">
        <v>3201.16</v>
      </c>
      <c r="N5692" s="11">
        <v>24</v>
      </c>
      <c r="O5692" s="12">
        <v>140.81</v>
      </c>
      <c r="P5692" s="12">
        <v>24.49</v>
      </c>
      <c r="Q5692" s="13">
        <v>405.5</v>
      </c>
      <c r="R5692" s="36" t="s">
        <v>1469</v>
      </c>
      <c r="S5692" s="7">
        <f t="shared" si="489"/>
        <v>1</v>
      </c>
      <c r="T5692" s="15" t="str">
        <f>VLOOKUP(R5692,产品分类!$C$2:$D$1278,2,0)</f>
        <v>办公用品</v>
      </c>
    </row>
    <row r="5693" spans="1:20">
      <c r="A5693" s="8">
        <f>DATE(2012,12,31)-1362</f>
        <v>39912</v>
      </c>
      <c r="B5693" s="8">
        <f>DATE(2012,12,31)-1362</f>
        <v>39912</v>
      </c>
      <c r="C5693" s="9" t="s">
        <v>1380</v>
      </c>
      <c r="D5693">
        <v>10021515661</v>
      </c>
      <c r="E5693" t="s">
        <v>47</v>
      </c>
      <c r="F5693" t="s">
        <v>230</v>
      </c>
      <c r="G5693" t="s">
        <v>231</v>
      </c>
      <c r="H5693" t="s">
        <v>2372</v>
      </c>
      <c r="I5693" t="s">
        <v>2373</v>
      </c>
      <c r="J5693" t="s">
        <v>52</v>
      </c>
      <c r="K5693" s="3">
        <v>10043980974</v>
      </c>
      <c r="L5693" s="10">
        <v>39914</v>
      </c>
      <c r="M5693">
        <v>449.47</v>
      </c>
      <c r="N5693" s="11">
        <v>31</v>
      </c>
      <c r="O5693" s="12">
        <v>14.81</v>
      </c>
      <c r="P5693" s="12">
        <v>13.32</v>
      </c>
      <c r="Q5693" s="13">
        <v>-190.49</v>
      </c>
      <c r="R5693" s="36" t="s">
        <v>676</v>
      </c>
      <c r="S5693" s="7">
        <f t="shared" si="489"/>
        <v>2</v>
      </c>
      <c r="T5693" s="15" t="str">
        <f>VLOOKUP(R5693,产品分类!$C$2:$D$1278,2,0)</f>
        <v>办公用品</v>
      </c>
    </row>
    <row r="5694" spans="1:20">
      <c r="A5694" s="8">
        <f>DATE(2012,12,31)-1362</f>
        <v>39912</v>
      </c>
      <c r="B5694" s="8">
        <f>DATE(2012,12,31)-1362</f>
        <v>39912</v>
      </c>
      <c r="C5694" s="9" t="s">
        <v>1380</v>
      </c>
      <c r="D5694">
        <v>10021686352</v>
      </c>
      <c r="E5694" t="s">
        <v>47</v>
      </c>
      <c r="F5694" t="s">
        <v>114</v>
      </c>
      <c r="G5694" t="s">
        <v>115</v>
      </c>
      <c r="H5694" t="s">
        <v>2374</v>
      </c>
      <c r="I5694" t="s">
        <v>2375</v>
      </c>
      <c r="J5694" t="s">
        <v>52</v>
      </c>
      <c r="K5694" s="3">
        <v>100733284785</v>
      </c>
      <c r="L5694" s="10">
        <v>39913</v>
      </c>
      <c r="M5694">
        <v>80.61</v>
      </c>
      <c r="N5694" s="11">
        <v>29</v>
      </c>
      <c r="O5694" s="12">
        <v>2.78</v>
      </c>
      <c r="P5694" s="12">
        <v>1.25</v>
      </c>
      <c r="Q5694" s="13">
        <v>-8.77</v>
      </c>
      <c r="R5694" s="36" t="s">
        <v>863</v>
      </c>
      <c r="S5694" s="7">
        <f t="shared" si="489"/>
        <v>1</v>
      </c>
      <c r="T5694" s="15" t="str">
        <f>VLOOKUP(R5694,产品分类!$C$2:$D$1278,2,0)</f>
        <v>办公用品</v>
      </c>
    </row>
    <row r="5695" spans="1:20">
      <c r="A5695" s="8">
        <f>DATE(2012,12,31)-811</f>
        <v>40463</v>
      </c>
      <c r="B5695" s="8">
        <f>DATE(2012,12,31)-811</f>
        <v>40463</v>
      </c>
      <c r="C5695" s="9" t="s">
        <v>472</v>
      </c>
      <c r="D5695">
        <v>10021571293</v>
      </c>
      <c r="E5695" t="s">
        <v>47</v>
      </c>
      <c r="F5695" t="s">
        <v>91</v>
      </c>
      <c r="G5695" t="s">
        <v>92</v>
      </c>
      <c r="H5695" t="s">
        <v>2053</v>
      </c>
      <c r="I5695" t="s">
        <v>2054</v>
      </c>
      <c r="J5695" t="s">
        <v>52</v>
      </c>
      <c r="K5695" s="3">
        <v>1007471125</v>
      </c>
      <c r="L5695" s="10">
        <v>40464</v>
      </c>
      <c r="M5695">
        <v>29.05</v>
      </c>
      <c r="N5695" s="11">
        <v>4</v>
      </c>
      <c r="O5695" s="12">
        <v>4.98</v>
      </c>
      <c r="P5695" s="12">
        <v>4.32</v>
      </c>
      <c r="Q5695" s="13">
        <v>-20.9</v>
      </c>
      <c r="R5695" s="36" t="s">
        <v>1901</v>
      </c>
      <c r="S5695" s="7">
        <f t="shared" si="489"/>
        <v>1</v>
      </c>
      <c r="T5695" s="15" t="str">
        <f>VLOOKUP(R5695,产品分类!$C$2:$D$1278,2,0)</f>
        <v>家具产品</v>
      </c>
    </row>
    <row r="5696" spans="1:20">
      <c r="A5696" s="8">
        <f>DATE(2012,12,31)-1153</f>
        <v>40121</v>
      </c>
      <c r="B5696" s="8">
        <f>DATE(2012,12,31)-1153</f>
        <v>40121</v>
      </c>
      <c r="C5696" s="9" t="s">
        <v>1344</v>
      </c>
      <c r="D5696">
        <v>10021601924</v>
      </c>
      <c r="E5696" t="s">
        <v>47</v>
      </c>
      <c r="F5696" t="s">
        <v>91</v>
      </c>
      <c r="G5696" t="s">
        <v>92</v>
      </c>
      <c r="H5696" t="s">
        <v>2053</v>
      </c>
      <c r="I5696" t="s">
        <v>2054</v>
      </c>
      <c r="J5696" t="s">
        <v>52</v>
      </c>
      <c r="K5696" s="3">
        <v>100127059917</v>
      </c>
      <c r="L5696" s="10">
        <v>40123</v>
      </c>
      <c r="M5696">
        <v>331.37</v>
      </c>
      <c r="N5696" s="11">
        <v>36</v>
      </c>
      <c r="O5696" s="12">
        <v>9.06</v>
      </c>
      <c r="P5696" s="12">
        <v>9.86</v>
      </c>
      <c r="Q5696" s="13">
        <v>-172.17</v>
      </c>
      <c r="R5696" s="36" t="s">
        <v>2101</v>
      </c>
      <c r="S5696" s="7">
        <f t="shared" si="489"/>
        <v>2</v>
      </c>
      <c r="T5696" s="15" t="str">
        <f>VLOOKUP(R5696,产品分类!$C$2:$D$1278,2,0)</f>
        <v>办公用品</v>
      </c>
    </row>
    <row r="5697" spans="1:20">
      <c r="A5697" s="8">
        <f>DATE(2012,12,31)-1153</f>
        <v>40121</v>
      </c>
      <c r="B5697" s="8">
        <f>DATE(2012,12,31)-1153</f>
        <v>40121</v>
      </c>
      <c r="C5697" s="9" t="s">
        <v>1344</v>
      </c>
      <c r="D5697">
        <v>10021310164</v>
      </c>
      <c r="E5697" t="s">
        <v>47</v>
      </c>
      <c r="F5697" t="s">
        <v>97</v>
      </c>
      <c r="G5697" t="s">
        <v>98</v>
      </c>
      <c r="H5697" t="s">
        <v>99</v>
      </c>
      <c r="I5697" t="s">
        <v>98</v>
      </c>
      <c r="J5697" t="s">
        <v>52</v>
      </c>
      <c r="K5697" s="3">
        <v>10016625876</v>
      </c>
      <c r="L5697" s="10">
        <v>40123</v>
      </c>
      <c r="M5697">
        <v>78.03</v>
      </c>
      <c r="N5697" s="11">
        <v>26</v>
      </c>
      <c r="O5697" s="12">
        <v>2.94</v>
      </c>
      <c r="P5697" s="12">
        <v>1.05</v>
      </c>
      <c r="Q5697" s="13">
        <v>0.51</v>
      </c>
      <c r="R5697" s="36" t="s">
        <v>2464</v>
      </c>
      <c r="S5697" s="7">
        <f t="shared" si="489"/>
        <v>2</v>
      </c>
      <c r="T5697" s="15" t="str">
        <f>VLOOKUP(R5697,产品分类!$C$2:$D$1278,2,0)</f>
        <v>数码电子</v>
      </c>
    </row>
    <row r="5698" spans="1:20">
      <c r="A5698" s="16">
        <f>DATE(2012,12,31)-35</f>
        <v>41239</v>
      </c>
      <c r="B5698" s="16">
        <f>DATE(2012,12,31)-35</f>
        <v>41239</v>
      </c>
      <c r="C5698" s="9" t="s">
        <v>419</v>
      </c>
      <c r="D5698">
        <v>10021683098</v>
      </c>
      <c r="E5698" t="s">
        <v>47</v>
      </c>
      <c r="F5698" t="s">
        <v>102</v>
      </c>
      <c r="G5698" t="s">
        <v>103</v>
      </c>
      <c r="H5698" t="s">
        <v>2400</v>
      </c>
      <c r="I5698" t="s">
        <v>2401</v>
      </c>
      <c r="J5698" t="s">
        <v>52</v>
      </c>
      <c r="K5698" s="3">
        <v>100111831358</v>
      </c>
      <c r="L5698" s="10">
        <v>41240</v>
      </c>
      <c r="M5698">
        <v>78.09</v>
      </c>
      <c r="N5698" s="17">
        <v>26</v>
      </c>
      <c r="O5698" s="5">
        <v>2.88</v>
      </c>
      <c r="P5698" s="5">
        <v>0.99</v>
      </c>
      <c r="Q5698" s="6">
        <v>19.63</v>
      </c>
      <c r="R5698" s="37" t="s">
        <v>1207</v>
      </c>
      <c r="S5698" s="7">
        <f t="shared" si="489"/>
        <v>1</v>
      </c>
      <c r="T5698" s="15" t="str">
        <f>VLOOKUP(R5698,产品分类!$C$2:$D$1278,2,0)</f>
        <v>数码电子</v>
      </c>
    </row>
    <row r="5699" spans="1:20">
      <c r="A5699" s="16">
        <f>DATE(2012,12,31)-35</f>
        <v>41239</v>
      </c>
      <c r="B5699" s="16">
        <f>DATE(2012,12,31)-35</f>
        <v>41239</v>
      </c>
      <c r="C5699" s="9" t="s">
        <v>419</v>
      </c>
      <c r="D5699">
        <v>10021602548</v>
      </c>
      <c r="E5699" t="s">
        <v>47</v>
      </c>
      <c r="F5699" t="s">
        <v>527</v>
      </c>
      <c r="G5699" t="s">
        <v>528</v>
      </c>
      <c r="H5699" t="s">
        <v>2454</v>
      </c>
      <c r="I5699" t="s">
        <v>2455</v>
      </c>
      <c r="J5699" t="s">
        <v>52</v>
      </c>
      <c r="K5699" s="3">
        <v>100832532212</v>
      </c>
      <c r="L5699" s="10">
        <v>41240</v>
      </c>
      <c r="M5699">
        <v>42.77</v>
      </c>
      <c r="N5699" s="17">
        <v>4</v>
      </c>
      <c r="O5699" s="5">
        <v>10.14</v>
      </c>
      <c r="P5699" s="5">
        <v>2.27</v>
      </c>
      <c r="Q5699" s="6">
        <v>-1.19</v>
      </c>
      <c r="R5699" s="37" t="s">
        <v>1527</v>
      </c>
      <c r="S5699" s="7">
        <f t="shared" ref="S5699:S5762" si="496">+L5699-B5699</f>
        <v>1</v>
      </c>
      <c r="T5699" s="15" t="str">
        <f>VLOOKUP(R5699,产品分类!$C$2:$D$1278,2,0)</f>
        <v>办公用品</v>
      </c>
    </row>
    <row r="5700" spans="1:20">
      <c r="A5700" s="8">
        <f>DATE(2012,12,31)-922</f>
        <v>40352</v>
      </c>
      <c r="B5700" s="8">
        <f>DATE(2012,12,31)-922</f>
        <v>40352</v>
      </c>
      <c r="C5700" s="9" t="s">
        <v>1297</v>
      </c>
      <c r="D5700">
        <v>10021474556</v>
      </c>
      <c r="E5700" t="s">
        <v>47</v>
      </c>
      <c r="F5700" t="s">
        <v>171</v>
      </c>
      <c r="G5700" t="s">
        <v>172</v>
      </c>
      <c r="H5700" t="s">
        <v>2352</v>
      </c>
      <c r="I5700" t="s">
        <v>2353</v>
      </c>
      <c r="J5700" t="s">
        <v>52</v>
      </c>
      <c r="K5700" s="3">
        <v>100832796922</v>
      </c>
      <c r="L5700" s="10">
        <v>40354</v>
      </c>
      <c r="M5700">
        <v>1484.49</v>
      </c>
      <c r="N5700" s="11">
        <v>23</v>
      </c>
      <c r="O5700" s="12">
        <v>67.28</v>
      </c>
      <c r="P5700" s="12">
        <v>19.99</v>
      </c>
      <c r="Q5700" s="13">
        <v>230.503</v>
      </c>
      <c r="R5700" s="36" t="s">
        <v>862</v>
      </c>
      <c r="S5700" s="7">
        <f t="shared" si="496"/>
        <v>2</v>
      </c>
      <c r="T5700" s="15" t="str">
        <f>VLOOKUP(R5700,产品分类!$C$2:$D$1278,2,0)</f>
        <v>办公用品</v>
      </c>
    </row>
    <row r="5701" spans="1:20">
      <c r="A5701" s="8">
        <f>DATE(2012,12,31)-922</f>
        <v>40352</v>
      </c>
      <c r="B5701" s="8">
        <f>DATE(2012,12,31)-922</f>
        <v>40352</v>
      </c>
      <c r="C5701" s="9" t="s">
        <v>1297</v>
      </c>
      <c r="D5701">
        <v>10021474427</v>
      </c>
      <c r="E5701" t="s">
        <v>47</v>
      </c>
      <c r="F5701" t="s">
        <v>171</v>
      </c>
      <c r="G5701" t="s">
        <v>172</v>
      </c>
      <c r="H5701" t="s">
        <v>2352</v>
      </c>
      <c r="I5701" t="s">
        <v>2353</v>
      </c>
      <c r="J5701" t="s">
        <v>52</v>
      </c>
      <c r="K5701" s="3">
        <v>100430216774</v>
      </c>
      <c r="L5701" s="10">
        <v>40353</v>
      </c>
      <c r="M5701">
        <v>740.49</v>
      </c>
      <c r="N5701" s="11">
        <v>18</v>
      </c>
      <c r="O5701" s="12">
        <v>42.76</v>
      </c>
      <c r="P5701" s="12">
        <v>6.22</v>
      </c>
      <c r="Q5701" s="13">
        <v>88.9</v>
      </c>
      <c r="R5701" s="36" t="s">
        <v>296</v>
      </c>
      <c r="S5701" s="7">
        <f t="shared" si="496"/>
        <v>1</v>
      </c>
      <c r="T5701" s="15" t="str">
        <f>VLOOKUP(R5701,产品分类!$C$2:$D$1278,2,0)</f>
        <v>家具产品</v>
      </c>
    </row>
    <row r="5702" spans="1:20">
      <c r="A5702" s="16">
        <f>DATE(2012,12,31)-598</f>
        <v>40676</v>
      </c>
      <c r="B5702" s="16">
        <f>DATE(2012,12,31)-598</f>
        <v>40676</v>
      </c>
      <c r="C5702" s="9" t="s">
        <v>989</v>
      </c>
      <c r="D5702">
        <v>10021573502</v>
      </c>
      <c r="E5702" t="s">
        <v>47</v>
      </c>
      <c r="F5702" t="s">
        <v>171</v>
      </c>
      <c r="G5702" t="s">
        <v>172</v>
      </c>
      <c r="H5702" t="s">
        <v>2352</v>
      </c>
      <c r="I5702" t="s">
        <v>2353</v>
      </c>
      <c r="J5702" t="s">
        <v>52</v>
      </c>
      <c r="K5702" s="3">
        <v>100433155643</v>
      </c>
      <c r="L5702" s="10">
        <v>40678</v>
      </c>
      <c r="M5702">
        <v>152.55</v>
      </c>
      <c r="N5702" s="17">
        <v>42</v>
      </c>
      <c r="O5702" s="5">
        <v>3.69</v>
      </c>
      <c r="P5702" s="5">
        <v>2.5</v>
      </c>
      <c r="Q5702" s="6">
        <v>-20.27</v>
      </c>
      <c r="R5702" s="37" t="s">
        <v>1982</v>
      </c>
      <c r="S5702" s="7">
        <f t="shared" si="496"/>
        <v>2</v>
      </c>
      <c r="T5702" s="15" t="str">
        <f>VLOOKUP(R5702,产品分类!$C$2:$D$1278,2,0)</f>
        <v>办公用品</v>
      </c>
    </row>
    <row r="5703" spans="1:20">
      <c r="A5703" s="16">
        <f>DATE(2012,12,31)-598</f>
        <v>40676</v>
      </c>
      <c r="B5703" s="16">
        <f>DATE(2012,12,31)-598</f>
        <v>40676</v>
      </c>
      <c r="C5703" s="9" t="s">
        <v>989</v>
      </c>
      <c r="D5703">
        <v>10021550414</v>
      </c>
      <c r="E5703" t="s">
        <v>47</v>
      </c>
      <c r="F5703" t="s">
        <v>253</v>
      </c>
      <c r="G5703" t="s">
        <v>254</v>
      </c>
      <c r="H5703" t="s">
        <v>2438</v>
      </c>
      <c r="I5703" t="s">
        <v>2439</v>
      </c>
      <c r="J5703" t="s">
        <v>52</v>
      </c>
      <c r="K5703" s="3">
        <v>100332263419</v>
      </c>
      <c r="L5703" s="10">
        <v>40678</v>
      </c>
      <c r="M5703">
        <v>152.96</v>
      </c>
      <c r="N5703" s="17">
        <v>36</v>
      </c>
      <c r="O5703" s="5">
        <v>4.28</v>
      </c>
      <c r="P5703" s="5">
        <v>5.74</v>
      </c>
      <c r="Q5703" s="6">
        <v>-123.87</v>
      </c>
      <c r="R5703" s="37" t="s">
        <v>1845</v>
      </c>
      <c r="S5703" s="7">
        <f t="shared" si="496"/>
        <v>2</v>
      </c>
      <c r="T5703" s="15" t="str">
        <f>VLOOKUP(R5703,产品分类!$C$2:$D$1278,2,0)</f>
        <v>办公用品</v>
      </c>
    </row>
    <row r="5704" spans="1:20">
      <c r="A5704" s="16">
        <f>DATE(2012,12,31)-1458</f>
        <v>39816</v>
      </c>
      <c r="B5704" s="16">
        <f>DATE(2012,12,31)-1458</f>
        <v>39816</v>
      </c>
      <c r="C5704" s="9" t="s">
        <v>864</v>
      </c>
      <c r="D5704">
        <v>10021329645</v>
      </c>
      <c r="E5704" t="s">
        <v>47</v>
      </c>
      <c r="F5704" t="s">
        <v>61</v>
      </c>
      <c r="G5704" t="s">
        <v>62</v>
      </c>
      <c r="H5704" t="s">
        <v>2431</v>
      </c>
      <c r="I5704" t="s">
        <v>2432</v>
      </c>
      <c r="J5704" t="s">
        <v>52</v>
      </c>
      <c r="K5704" s="3">
        <v>100127052446</v>
      </c>
      <c r="L5704" s="10">
        <v>39817</v>
      </c>
      <c r="M5704">
        <v>172.51</v>
      </c>
      <c r="N5704" s="17">
        <v>29</v>
      </c>
      <c r="O5704" s="5">
        <v>5.58</v>
      </c>
      <c r="P5704" s="5">
        <v>2.99</v>
      </c>
      <c r="Q5704" s="6">
        <v>12.5545</v>
      </c>
      <c r="R5704" s="37" t="s">
        <v>2465</v>
      </c>
      <c r="S5704" s="7">
        <f t="shared" si="496"/>
        <v>1</v>
      </c>
      <c r="T5704" s="15" t="str">
        <f>VLOOKUP(R5704,产品分类!$C$2:$D$1278,2,0)</f>
        <v>办公用品</v>
      </c>
    </row>
    <row r="5705" spans="1:20">
      <c r="A5705" s="8">
        <f>DATE(2012,12,31)-1458</f>
        <v>39816</v>
      </c>
      <c r="B5705" s="8">
        <f>DATE(2012,12,31)-1458</f>
        <v>39816</v>
      </c>
      <c r="C5705" s="9" t="s">
        <v>864</v>
      </c>
      <c r="D5705">
        <v>10021407169</v>
      </c>
      <c r="E5705" t="s">
        <v>47</v>
      </c>
      <c r="F5705" t="s">
        <v>61</v>
      </c>
      <c r="G5705" t="s">
        <v>62</v>
      </c>
      <c r="H5705" t="s">
        <v>2431</v>
      </c>
      <c r="I5705" t="s">
        <v>2432</v>
      </c>
      <c r="J5705" t="s">
        <v>52</v>
      </c>
      <c r="K5705" s="3">
        <v>100430736164</v>
      </c>
      <c r="L5705" s="10">
        <v>39817</v>
      </c>
      <c r="M5705">
        <v>698</v>
      </c>
      <c r="N5705" s="11">
        <v>4</v>
      </c>
      <c r="O5705" s="12">
        <v>212.6</v>
      </c>
      <c r="P5705" s="12">
        <v>52.2</v>
      </c>
      <c r="Q5705" s="13">
        <v>-93.16</v>
      </c>
      <c r="R5705" s="36" t="s">
        <v>652</v>
      </c>
      <c r="S5705" s="7">
        <f t="shared" si="496"/>
        <v>1</v>
      </c>
      <c r="T5705" s="15" t="str">
        <f>VLOOKUP(R5705,产品分类!$C$2:$D$1278,2,0)</f>
        <v>办公用品</v>
      </c>
    </row>
    <row r="5706" spans="1:20">
      <c r="A5706" s="8">
        <f>DATE(2012,12,31)-1108</f>
        <v>40166</v>
      </c>
      <c r="B5706" s="8">
        <f>DATE(2012,12,31)-1108</f>
        <v>40166</v>
      </c>
      <c r="C5706" s="9" t="s">
        <v>425</v>
      </c>
      <c r="D5706">
        <v>10021699446</v>
      </c>
      <c r="E5706" t="s">
        <v>47</v>
      </c>
      <c r="F5706" t="s">
        <v>61</v>
      </c>
      <c r="G5706" t="s">
        <v>62</v>
      </c>
      <c r="H5706" t="s">
        <v>2431</v>
      </c>
      <c r="I5706" t="s">
        <v>2432</v>
      </c>
      <c r="J5706" t="s">
        <v>52</v>
      </c>
      <c r="K5706" s="3">
        <v>100131401696</v>
      </c>
      <c r="L5706" s="10">
        <v>40168</v>
      </c>
      <c r="M5706">
        <v>201.98</v>
      </c>
      <c r="N5706" s="11">
        <v>48</v>
      </c>
      <c r="O5706" s="12">
        <v>4.06</v>
      </c>
      <c r="P5706" s="12">
        <v>6.89</v>
      </c>
      <c r="Q5706" s="13">
        <v>-245.67</v>
      </c>
      <c r="R5706" s="36" t="s">
        <v>1285</v>
      </c>
      <c r="S5706" s="7">
        <f t="shared" si="496"/>
        <v>2</v>
      </c>
      <c r="T5706" s="15" t="str">
        <f>VLOOKUP(R5706,产品分类!$C$2:$D$1278,2,0)</f>
        <v>办公用品</v>
      </c>
    </row>
    <row r="5707" spans="1:20">
      <c r="A5707" s="8">
        <f>DATE(2012,12,31)-163</f>
        <v>41111</v>
      </c>
      <c r="B5707" s="8">
        <f>DATE(2012,12,31)-163</f>
        <v>41111</v>
      </c>
      <c r="C5707" s="9" t="s">
        <v>450</v>
      </c>
      <c r="D5707">
        <v>10021326849</v>
      </c>
      <c r="E5707" t="s">
        <v>47</v>
      </c>
      <c r="F5707" t="s">
        <v>91</v>
      </c>
      <c r="G5707" t="s">
        <v>92</v>
      </c>
      <c r="H5707" t="s">
        <v>2053</v>
      </c>
      <c r="I5707" t="s">
        <v>2054</v>
      </c>
      <c r="J5707" t="s">
        <v>52</v>
      </c>
      <c r="K5707" s="3">
        <v>100129504578</v>
      </c>
      <c r="L5707" s="10">
        <v>41112</v>
      </c>
      <c r="M5707">
        <v>240.49</v>
      </c>
      <c r="N5707" s="11">
        <v>4</v>
      </c>
      <c r="O5707" s="12">
        <v>56.96</v>
      </c>
      <c r="P5707" s="12">
        <v>13.22</v>
      </c>
      <c r="Q5707" s="13">
        <v>-53.9</v>
      </c>
      <c r="R5707" s="36" t="s">
        <v>949</v>
      </c>
      <c r="S5707" s="7">
        <f t="shared" si="496"/>
        <v>1</v>
      </c>
      <c r="T5707" s="15" t="str">
        <f>VLOOKUP(R5707,产品分类!$C$2:$D$1278,2,0)</f>
        <v>家具产品</v>
      </c>
    </row>
    <row r="5708" spans="1:20">
      <c r="A5708" s="8">
        <f>DATE(2012,12,31)-682</f>
        <v>40592</v>
      </c>
      <c r="B5708" s="8">
        <f>DATE(2012,12,31)-682</f>
        <v>40592</v>
      </c>
      <c r="C5708" s="9" t="s">
        <v>1591</v>
      </c>
      <c r="D5708">
        <v>10021443256</v>
      </c>
      <c r="E5708" t="s">
        <v>47</v>
      </c>
      <c r="F5708" t="s">
        <v>83</v>
      </c>
      <c r="G5708" t="s">
        <v>84</v>
      </c>
      <c r="H5708" t="s">
        <v>2349</v>
      </c>
      <c r="I5708" t="s">
        <v>2350</v>
      </c>
      <c r="J5708" t="s">
        <v>52</v>
      </c>
      <c r="K5708" s="3">
        <v>100721713385</v>
      </c>
      <c r="L5708" s="10">
        <v>40594</v>
      </c>
      <c r="M5708">
        <v>2905.3</v>
      </c>
      <c r="N5708" s="11">
        <v>28</v>
      </c>
      <c r="O5708" s="12">
        <v>98.31</v>
      </c>
      <c r="P5708" s="12">
        <v>0.49</v>
      </c>
      <c r="Q5708" s="13">
        <v>1704</v>
      </c>
      <c r="R5708" s="36" t="s">
        <v>2466</v>
      </c>
      <c r="S5708" s="7">
        <f t="shared" si="496"/>
        <v>2</v>
      </c>
      <c r="T5708" s="15" t="str">
        <f>VLOOKUP(R5708,产品分类!$C$2:$D$1278,2,0)</f>
        <v>数码电子</v>
      </c>
    </row>
    <row r="5709" spans="1:20">
      <c r="A5709" s="8">
        <f>DATE(2012,12,31)-160</f>
        <v>41114</v>
      </c>
      <c r="B5709" s="8">
        <f>DATE(2012,12,31)-160</f>
        <v>41114</v>
      </c>
      <c r="C5709" s="9" t="s">
        <v>754</v>
      </c>
      <c r="D5709">
        <v>10021619054</v>
      </c>
      <c r="E5709" t="s">
        <v>47</v>
      </c>
      <c r="F5709" t="s">
        <v>97</v>
      </c>
      <c r="G5709" t="s">
        <v>98</v>
      </c>
      <c r="H5709" t="s">
        <v>99</v>
      </c>
      <c r="I5709" t="s">
        <v>98</v>
      </c>
      <c r="J5709" t="s">
        <v>52</v>
      </c>
      <c r="K5709" s="3">
        <v>100933200011</v>
      </c>
      <c r="L5709" s="10">
        <v>41116</v>
      </c>
      <c r="M5709">
        <v>67.73</v>
      </c>
      <c r="N5709" s="11">
        <v>17</v>
      </c>
      <c r="O5709" s="12">
        <v>4.28</v>
      </c>
      <c r="P5709" s="12">
        <v>0.94</v>
      </c>
      <c r="Q5709" s="13">
        <v>2.44</v>
      </c>
      <c r="R5709" s="36" t="s">
        <v>637</v>
      </c>
      <c r="S5709" s="7">
        <f t="shared" si="496"/>
        <v>2</v>
      </c>
      <c r="T5709" s="15" t="str">
        <f>VLOOKUP(R5709,产品分类!$C$2:$D$1278,2,0)</f>
        <v>数码电子</v>
      </c>
    </row>
    <row r="5710" spans="1:20">
      <c r="A5710" s="8">
        <f>DATE(2012,12,31)-721</f>
        <v>40553</v>
      </c>
      <c r="B5710" s="8">
        <f>DATE(2012,12,31)-721</f>
        <v>40553</v>
      </c>
      <c r="C5710" s="9" t="s">
        <v>1488</v>
      </c>
      <c r="D5710">
        <v>10021326391</v>
      </c>
      <c r="E5710" t="s">
        <v>47</v>
      </c>
      <c r="F5710" t="s">
        <v>97</v>
      </c>
      <c r="G5710" t="s">
        <v>98</v>
      </c>
      <c r="H5710" t="s">
        <v>99</v>
      </c>
      <c r="I5710" t="s">
        <v>98</v>
      </c>
      <c r="J5710" t="s">
        <v>52</v>
      </c>
      <c r="K5710" s="3">
        <v>100730630945</v>
      </c>
      <c r="L5710" s="10">
        <v>40555</v>
      </c>
      <c r="M5710">
        <v>59.08</v>
      </c>
      <c r="N5710" s="11">
        <v>22</v>
      </c>
      <c r="O5710" s="12">
        <v>2.88</v>
      </c>
      <c r="P5710" s="12">
        <v>1.49</v>
      </c>
      <c r="Q5710" s="13">
        <v>-2.6105</v>
      </c>
      <c r="R5710" s="36" t="s">
        <v>847</v>
      </c>
      <c r="S5710" s="7">
        <f t="shared" si="496"/>
        <v>2</v>
      </c>
      <c r="T5710" s="15" t="str">
        <f>VLOOKUP(R5710,产品分类!$C$2:$D$1278,2,0)</f>
        <v>数码电子</v>
      </c>
    </row>
    <row r="5711" spans="1:20">
      <c r="A5711" s="8">
        <f>DATE(2012,12,31)-721</f>
        <v>40553</v>
      </c>
      <c r="B5711" s="8">
        <f>DATE(2012,12,31)-721</f>
        <v>40553</v>
      </c>
      <c r="C5711" s="9" t="s">
        <v>1488</v>
      </c>
      <c r="D5711">
        <v>10021603398</v>
      </c>
      <c r="E5711" t="s">
        <v>47</v>
      </c>
      <c r="F5711" t="s">
        <v>132</v>
      </c>
      <c r="G5711" t="s">
        <v>133</v>
      </c>
      <c r="H5711" t="s">
        <v>134</v>
      </c>
      <c r="I5711" t="s">
        <v>133</v>
      </c>
      <c r="J5711" t="s">
        <v>52</v>
      </c>
      <c r="K5711" s="3">
        <v>100912736281</v>
      </c>
      <c r="L5711" s="10">
        <v>40555</v>
      </c>
      <c r="M5711">
        <v>886.363</v>
      </c>
      <c r="N5711" s="11">
        <v>50</v>
      </c>
      <c r="O5711" s="12">
        <v>20.99</v>
      </c>
      <c r="P5711" s="12">
        <v>0.99</v>
      </c>
      <c r="Q5711" s="13">
        <v>450.018</v>
      </c>
      <c r="R5711" s="36" t="s">
        <v>1154</v>
      </c>
      <c r="S5711" s="7">
        <f t="shared" si="496"/>
        <v>2</v>
      </c>
      <c r="T5711" s="15" t="str">
        <f>VLOOKUP(R5711,产品分类!$C$2:$D$1278,2,0)</f>
        <v>办公用品</v>
      </c>
    </row>
    <row r="5712" spans="1:20">
      <c r="A5712" s="8">
        <f>DATE(2012,12,31)-532</f>
        <v>40742</v>
      </c>
      <c r="B5712" s="8">
        <f>DATE(2012,12,31)-532</f>
        <v>40742</v>
      </c>
      <c r="C5712" s="9" t="s">
        <v>386</v>
      </c>
      <c r="D5712">
        <v>10021288766</v>
      </c>
      <c r="E5712" t="s">
        <v>47</v>
      </c>
      <c r="F5712" t="s">
        <v>137</v>
      </c>
      <c r="G5712" t="s">
        <v>138</v>
      </c>
      <c r="H5712" t="s">
        <v>139</v>
      </c>
      <c r="I5712" t="s">
        <v>140</v>
      </c>
      <c r="J5712" t="s">
        <v>52</v>
      </c>
      <c r="K5712" s="3">
        <v>10046265263</v>
      </c>
      <c r="L5712" s="10">
        <v>40744</v>
      </c>
      <c r="M5712">
        <v>2192.439</v>
      </c>
      <c r="N5712" s="11">
        <v>39</v>
      </c>
      <c r="O5712" s="12">
        <v>65.99</v>
      </c>
      <c r="P5712" s="12">
        <v>3.99</v>
      </c>
      <c r="Q5712" s="13">
        <v>517.815</v>
      </c>
      <c r="R5712" s="36" t="s">
        <v>727</v>
      </c>
      <c r="S5712" s="7">
        <f t="shared" si="496"/>
        <v>2</v>
      </c>
      <c r="T5712" s="15" t="str">
        <f>VLOOKUP(R5712,产品分类!$C$2:$D$1278,2,0)</f>
        <v>家具产品</v>
      </c>
    </row>
    <row r="5713" spans="1:20">
      <c r="A5713" s="8">
        <f>DATE(2012,12,31)-620</f>
        <v>40654</v>
      </c>
      <c r="B5713" s="8">
        <f>DATE(2012,12,31)-620</f>
        <v>40654</v>
      </c>
      <c r="C5713" s="9" t="s">
        <v>1643</v>
      </c>
      <c r="D5713">
        <v>10021412218</v>
      </c>
      <c r="E5713" t="s">
        <v>47</v>
      </c>
      <c r="F5713" t="s">
        <v>171</v>
      </c>
      <c r="G5713" t="s">
        <v>172</v>
      </c>
      <c r="H5713" t="s">
        <v>2352</v>
      </c>
      <c r="I5713" t="s">
        <v>2353</v>
      </c>
      <c r="J5713" t="s">
        <v>52</v>
      </c>
      <c r="K5713" s="3">
        <v>100920865091</v>
      </c>
      <c r="L5713" s="10">
        <v>40657</v>
      </c>
      <c r="M5713">
        <v>1243.88</v>
      </c>
      <c r="N5713" s="11">
        <v>43</v>
      </c>
      <c r="O5713" s="12">
        <v>30.98</v>
      </c>
      <c r="P5713" s="12">
        <v>8.99</v>
      </c>
      <c r="Q5713" s="13">
        <v>22.71</v>
      </c>
      <c r="R5713" s="36" t="s">
        <v>533</v>
      </c>
      <c r="S5713" s="7">
        <f t="shared" si="496"/>
        <v>3</v>
      </c>
      <c r="T5713" s="15" t="str">
        <f>VLOOKUP(R5713,产品分类!$C$2:$D$1278,2,0)</f>
        <v>办公用品</v>
      </c>
    </row>
    <row r="5714" spans="1:20">
      <c r="A5714" s="16">
        <f>DATE(2012,12,31)-390</f>
        <v>40884</v>
      </c>
      <c r="B5714" s="16">
        <f>DATE(2012,12,31)-390</f>
        <v>40884</v>
      </c>
      <c r="C5714" s="9" t="s">
        <v>311</v>
      </c>
      <c r="D5714">
        <v>10021376242</v>
      </c>
      <c r="E5714" t="s">
        <v>47</v>
      </c>
      <c r="F5714" t="s">
        <v>127</v>
      </c>
      <c r="G5714" t="s">
        <v>128</v>
      </c>
      <c r="H5714" t="s">
        <v>2462</v>
      </c>
      <c r="I5714" t="s">
        <v>2463</v>
      </c>
      <c r="J5714" t="s">
        <v>52</v>
      </c>
      <c r="K5714" s="3">
        <v>100417221124</v>
      </c>
      <c r="L5714" s="10">
        <v>40884</v>
      </c>
      <c r="M5714">
        <v>7608.88</v>
      </c>
      <c r="N5714" s="17">
        <v>19</v>
      </c>
      <c r="O5714" s="5">
        <v>420.98</v>
      </c>
      <c r="P5714" s="5">
        <v>19.99</v>
      </c>
      <c r="Q5714" s="6">
        <v>3049.4515</v>
      </c>
      <c r="R5714" s="37" t="s">
        <v>498</v>
      </c>
      <c r="S5714" s="7">
        <f t="shared" si="496"/>
        <v>0</v>
      </c>
      <c r="T5714" s="15" t="str">
        <f>VLOOKUP(R5714,产品分类!$C$2:$D$1278,2,0)</f>
        <v>家具产品</v>
      </c>
    </row>
    <row r="5715" spans="1:20">
      <c r="A5715" s="8">
        <f>DATE(2012,12,31)-390</f>
        <v>40884</v>
      </c>
      <c r="B5715" s="8">
        <f>DATE(2012,12,31)-390</f>
        <v>40884</v>
      </c>
      <c r="C5715" s="9" t="s">
        <v>311</v>
      </c>
      <c r="D5715">
        <v>10021405039</v>
      </c>
      <c r="E5715" t="s">
        <v>47</v>
      </c>
      <c r="F5715" t="s">
        <v>61</v>
      </c>
      <c r="G5715" t="s">
        <v>62</v>
      </c>
      <c r="H5715" t="s">
        <v>2431</v>
      </c>
      <c r="I5715" t="s">
        <v>2432</v>
      </c>
      <c r="J5715" t="s">
        <v>52</v>
      </c>
      <c r="K5715" s="3">
        <v>100832719332</v>
      </c>
      <c r="L5715" s="10">
        <v>40886</v>
      </c>
      <c r="M5715">
        <v>1270.03</v>
      </c>
      <c r="N5715" s="11">
        <v>50</v>
      </c>
      <c r="O5715" s="12">
        <v>26.48</v>
      </c>
      <c r="P5715" s="12">
        <v>6.93</v>
      </c>
      <c r="Q5715" s="13">
        <v>221.81</v>
      </c>
      <c r="R5715" s="36" t="s">
        <v>1313</v>
      </c>
      <c r="S5715" s="7">
        <f t="shared" si="496"/>
        <v>2</v>
      </c>
      <c r="T5715" s="15" t="str">
        <f>VLOOKUP(R5715,产品分类!$C$2:$D$1278,2,0)</f>
        <v>数码电子</v>
      </c>
    </row>
    <row r="5716" spans="1:20">
      <c r="A5716" s="8">
        <f>DATE(2012,12,31)-1100</f>
        <v>40174</v>
      </c>
      <c r="B5716" s="8">
        <f>DATE(2012,12,31)-1100</f>
        <v>40174</v>
      </c>
      <c r="C5716" s="9" t="s">
        <v>1781</v>
      </c>
      <c r="D5716">
        <v>10021269105</v>
      </c>
      <c r="E5716" t="s">
        <v>47</v>
      </c>
      <c r="F5716" t="s">
        <v>66</v>
      </c>
      <c r="G5716" t="s">
        <v>67</v>
      </c>
      <c r="H5716" t="s">
        <v>2413</v>
      </c>
      <c r="I5716" t="s">
        <v>2414</v>
      </c>
      <c r="J5716" t="s">
        <v>52</v>
      </c>
      <c r="K5716" s="3">
        <v>100932429721</v>
      </c>
      <c r="L5716" s="10">
        <v>40174</v>
      </c>
      <c r="M5716">
        <v>222.25</v>
      </c>
      <c r="N5716" s="11">
        <v>36</v>
      </c>
      <c r="O5716" s="12">
        <v>5.98</v>
      </c>
      <c r="P5716" s="12">
        <v>5.46</v>
      </c>
      <c r="Q5716" s="13">
        <v>-63.77</v>
      </c>
      <c r="R5716" s="36" t="s">
        <v>1990</v>
      </c>
      <c r="S5716" s="7">
        <f t="shared" si="496"/>
        <v>0</v>
      </c>
      <c r="T5716" s="15" t="str">
        <f>VLOOKUP(R5716,产品分类!$C$2:$D$1278,2,0)</f>
        <v>家具产品</v>
      </c>
    </row>
    <row r="5717" spans="1:20">
      <c r="A5717" s="8">
        <f>DATE(2012,12,31)-1100</f>
        <v>40174</v>
      </c>
      <c r="B5717" s="8">
        <f>DATE(2012,12,31)-1100</f>
        <v>40174</v>
      </c>
      <c r="C5717" s="9" t="s">
        <v>1781</v>
      </c>
      <c r="D5717">
        <v>10021664618</v>
      </c>
      <c r="E5717" t="s">
        <v>47</v>
      </c>
      <c r="F5717" t="s">
        <v>97</v>
      </c>
      <c r="G5717" t="s">
        <v>98</v>
      </c>
      <c r="H5717" t="s">
        <v>99</v>
      </c>
      <c r="I5717" t="s">
        <v>98</v>
      </c>
      <c r="J5717" t="s">
        <v>52</v>
      </c>
      <c r="K5717" s="3">
        <v>100325383559</v>
      </c>
      <c r="L5717" s="10">
        <v>40175</v>
      </c>
      <c r="M5717">
        <v>388.7135</v>
      </c>
      <c r="N5717" s="11">
        <v>7</v>
      </c>
      <c r="O5717" s="12">
        <v>65.99</v>
      </c>
      <c r="P5717" s="12">
        <v>3.99</v>
      </c>
      <c r="Q5717" s="13">
        <v>-190.421</v>
      </c>
      <c r="R5717" s="36" t="s">
        <v>727</v>
      </c>
      <c r="S5717" s="7">
        <f t="shared" si="496"/>
        <v>1</v>
      </c>
      <c r="T5717" s="15" t="str">
        <f>VLOOKUP(R5717,产品分类!$C$2:$D$1278,2,0)</f>
        <v>家具产品</v>
      </c>
    </row>
    <row r="5718" spans="1:20">
      <c r="A5718" s="8">
        <f>DATE(2012,12,31)-836</f>
        <v>40438</v>
      </c>
      <c r="B5718" s="8">
        <f>DATE(2012,12,31)-836</f>
        <v>40438</v>
      </c>
      <c r="C5718" s="9" t="s">
        <v>2346</v>
      </c>
      <c r="D5718">
        <v>10021417262</v>
      </c>
      <c r="E5718" t="s">
        <v>47</v>
      </c>
      <c r="F5718" t="s">
        <v>66</v>
      </c>
      <c r="G5718" t="s">
        <v>67</v>
      </c>
      <c r="H5718" t="s">
        <v>2413</v>
      </c>
      <c r="I5718" t="s">
        <v>2414</v>
      </c>
      <c r="J5718" t="s">
        <v>52</v>
      </c>
      <c r="K5718" s="3">
        <v>100116393017</v>
      </c>
      <c r="L5718" s="10">
        <v>40439</v>
      </c>
      <c r="M5718">
        <v>405.83</v>
      </c>
      <c r="N5718" s="11">
        <v>41</v>
      </c>
      <c r="O5718" s="12">
        <v>9.9</v>
      </c>
      <c r="P5718" s="12">
        <v>1.39</v>
      </c>
      <c r="Q5718" s="13">
        <v>178.86</v>
      </c>
      <c r="R5718" s="36" t="s">
        <v>203</v>
      </c>
      <c r="S5718" s="7">
        <f t="shared" si="496"/>
        <v>1</v>
      </c>
      <c r="T5718" s="15" t="str">
        <f>VLOOKUP(R5718,产品分类!$C$2:$D$1278,2,0)</f>
        <v>办公用品</v>
      </c>
    </row>
    <row r="5719" spans="1:20">
      <c r="A5719" s="8">
        <f>DATE(2012,12,31)-1389</f>
        <v>39885</v>
      </c>
      <c r="B5719" s="8">
        <f>DATE(2012,12,31)-1389</f>
        <v>39885</v>
      </c>
      <c r="C5719" s="9" t="s">
        <v>361</v>
      </c>
      <c r="D5719">
        <v>10021428911</v>
      </c>
      <c r="E5719" t="s">
        <v>47</v>
      </c>
      <c r="F5719" t="s">
        <v>66</v>
      </c>
      <c r="G5719" t="s">
        <v>67</v>
      </c>
      <c r="H5719" t="s">
        <v>2467</v>
      </c>
      <c r="I5719" t="s">
        <v>2468</v>
      </c>
      <c r="J5719" t="s">
        <v>52</v>
      </c>
      <c r="K5719" s="3">
        <v>100331348029</v>
      </c>
      <c r="L5719" s="10">
        <v>39886</v>
      </c>
      <c r="M5719">
        <v>17.52</v>
      </c>
      <c r="N5719" s="11">
        <v>3</v>
      </c>
      <c r="O5719" s="12">
        <v>4.13</v>
      </c>
      <c r="P5719" s="12">
        <v>5.04</v>
      </c>
      <c r="Q5719" s="13">
        <v>-12.1555</v>
      </c>
      <c r="R5719" s="36" t="s">
        <v>554</v>
      </c>
      <c r="S5719" s="7">
        <f t="shared" si="496"/>
        <v>1</v>
      </c>
      <c r="T5719" s="15" t="str">
        <f>VLOOKUP(R5719,产品分类!$C$2:$D$1278,2,0)</f>
        <v>办公用品</v>
      </c>
    </row>
    <row r="5720" spans="1:20">
      <c r="A5720" s="8">
        <f>DATE(2012,12,31)-741</f>
        <v>40533</v>
      </c>
      <c r="B5720" s="8">
        <f>DATE(2012,12,31)-741</f>
        <v>40533</v>
      </c>
      <c r="C5720" s="9" t="s">
        <v>382</v>
      </c>
      <c r="D5720">
        <v>10021668022</v>
      </c>
      <c r="E5720" t="s">
        <v>47</v>
      </c>
      <c r="F5720" t="s">
        <v>97</v>
      </c>
      <c r="G5720" t="s">
        <v>98</v>
      </c>
      <c r="H5720" t="s">
        <v>99</v>
      </c>
      <c r="I5720" t="s">
        <v>98</v>
      </c>
      <c r="J5720" t="s">
        <v>52</v>
      </c>
      <c r="K5720" s="3">
        <v>100128736068</v>
      </c>
      <c r="L5720" s="10">
        <v>40535</v>
      </c>
      <c r="M5720">
        <v>82.93</v>
      </c>
      <c r="N5720" s="11">
        <v>38</v>
      </c>
      <c r="O5720" s="12">
        <v>2.18</v>
      </c>
      <c r="P5720" s="12">
        <v>1.38</v>
      </c>
      <c r="Q5720" s="13">
        <v>-10.32</v>
      </c>
      <c r="R5720" s="36" t="s">
        <v>1839</v>
      </c>
      <c r="S5720" s="7">
        <f t="shared" si="496"/>
        <v>2</v>
      </c>
      <c r="T5720" s="15" t="str">
        <f>VLOOKUP(R5720,产品分类!$C$2:$D$1278,2,0)</f>
        <v>办公用品</v>
      </c>
    </row>
    <row r="5721" spans="1:20">
      <c r="A5721" s="8">
        <f>DATE(2012,12,31)-1365</f>
        <v>39909</v>
      </c>
      <c r="B5721" s="8">
        <f>DATE(2012,12,31)-1365</f>
        <v>39909</v>
      </c>
      <c r="C5721" s="9" t="s">
        <v>1380</v>
      </c>
      <c r="D5721">
        <v>10021444974</v>
      </c>
      <c r="E5721" t="s">
        <v>47</v>
      </c>
      <c r="F5721" t="s">
        <v>66</v>
      </c>
      <c r="G5721" t="s">
        <v>67</v>
      </c>
      <c r="H5721" t="s">
        <v>2467</v>
      </c>
      <c r="I5721" t="s">
        <v>2468</v>
      </c>
      <c r="J5721" t="s">
        <v>52</v>
      </c>
      <c r="K5721" s="3">
        <v>100310497559</v>
      </c>
      <c r="L5721" s="10">
        <v>39911</v>
      </c>
      <c r="M5721">
        <v>2413.53</v>
      </c>
      <c r="N5721" s="11">
        <v>39</v>
      </c>
      <c r="O5721" s="12">
        <v>60.65</v>
      </c>
      <c r="P5721" s="12">
        <v>12.23</v>
      </c>
      <c r="Q5721" s="13">
        <v>544.04</v>
      </c>
      <c r="R5721" s="36" t="s">
        <v>1387</v>
      </c>
      <c r="S5721" s="7">
        <f t="shared" si="496"/>
        <v>2</v>
      </c>
      <c r="T5721" s="15" t="str">
        <f>VLOOKUP(R5721,产品分类!$C$2:$D$1278,2,0)</f>
        <v>家具产品</v>
      </c>
    </row>
    <row r="5722" spans="1:20">
      <c r="A5722" s="8">
        <f>DATE(2012,12,31)-1271</f>
        <v>40003</v>
      </c>
      <c r="B5722" s="8">
        <f>DATE(2012,12,31)-1271</f>
        <v>40003</v>
      </c>
      <c r="C5722" s="9" t="s">
        <v>2018</v>
      </c>
      <c r="D5722">
        <v>10021549109</v>
      </c>
      <c r="E5722" t="s">
        <v>47</v>
      </c>
      <c r="F5722" t="s">
        <v>66</v>
      </c>
      <c r="G5722" t="s">
        <v>67</v>
      </c>
      <c r="H5722" t="s">
        <v>2467</v>
      </c>
      <c r="I5722" t="s">
        <v>2468</v>
      </c>
      <c r="J5722" t="s">
        <v>52</v>
      </c>
      <c r="K5722" s="3">
        <v>100825572342</v>
      </c>
      <c r="L5722" s="10">
        <v>40005</v>
      </c>
      <c r="M5722">
        <v>6944.092</v>
      </c>
      <c r="N5722" s="11">
        <v>45</v>
      </c>
      <c r="O5722" s="12">
        <v>179.99</v>
      </c>
      <c r="P5722" s="12">
        <v>13.99</v>
      </c>
      <c r="Q5722" s="13">
        <v>1820.952</v>
      </c>
      <c r="R5722" s="36" t="s">
        <v>220</v>
      </c>
      <c r="S5722" s="7">
        <f t="shared" si="496"/>
        <v>2</v>
      </c>
      <c r="T5722" s="15" t="str">
        <f>VLOOKUP(R5722,产品分类!$C$2:$D$1278,2,0)</f>
        <v>办公用品</v>
      </c>
    </row>
    <row r="5723" spans="1:20">
      <c r="A5723" s="8">
        <f>DATE(2012,12,31)-134</f>
        <v>41140</v>
      </c>
      <c r="B5723" s="8">
        <f>DATE(2012,12,31)-134</f>
        <v>41140</v>
      </c>
      <c r="C5723" s="9" t="s">
        <v>309</v>
      </c>
      <c r="D5723">
        <v>10021470432</v>
      </c>
      <c r="E5723" t="s">
        <v>47</v>
      </c>
      <c r="F5723" t="s">
        <v>152</v>
      </c>
      <c r="G5723" t="s">
        <v>153</v>
      </c>
      <c r="H5723" t="s">
        <v>2441</v>
      </c>
      <c r="I5723" t="s">
        <v>2442</v>
      </c>
      <c r="J5723" t="s">
        <v>52</v>
      </c>
      <c r="K5723" s="3">
        <v>100822647702</v>
      </c>
      <c r="L5723" s="10">
        <v>41142</v>
      </c>
      <c r="M5723">
        <v>573.97</v>
      </c>
      <c r="N5723" s="11">
        <v>29</v>
      </c>
      <c r="O5723" s="12">
        <v>18.97</v>
      </c>
      <c r="P5723" s="12">
        <v>9.54</v>
      </c>
      <c r="Q5723" s="13">
        <v>55.82</v>
      </c>
      <c r="R5723" s="36" t="s">
        <v>302</v>
      </c>
      <c r="S5723" s="7">
        <f t="shared" si="496"/>
        <v>2</v>
      </c>
      <c r="T5723" s="15" t="str">
        <f>VLOOKUP(R5723,产品分类!$C$2:$D$1278,2,0)</f>
        <v>家具产品</v>
      </c>
    </row>
    <row r="5724" spans="1:20">
      <c r="A5724" s="8">
        <f>DATE(2012,12,31)-134</f>
        <v>41140</v>
      </c>
      <c r="B5724" s="8">
        <f>DATE(2012,12,31)-134</f>
        <v>41140</v>
      </c>
      <c r="C5724" s="9" t="s">
        <v>309</v>
      </c>
      <c r="D5724">
        <v>10021388328</v>
      </c>
      <c r="E5724" t="s">
        <v>47</v>
      </c>
      <c r="F5724" t="s">
        <v>66</v>
      </c>
      <c r="G5724" t="s">
        <v>67</v>
      </c>
      <c r="H5724" t="s">
        <v>2467</v>
      </c>
      <c r="I5724" t="s">
        <v>2468</v>
      </c>
      <c r="J5724" t="s">
        <v>52</v>
      </c>
      <c r="K5724" s="3">
        <v>100127621688</v>
      </c>
      <c r="L5724" s="10">
        <v>41141</v>
      </c>
      <c r="M5724">
        <v>223.79</v>
      </c>
      <c r="N5724" s="11">
        <v>39</v>
      </c>
      <c r="O5724" s="12">
        <v>5.28</v>
      </c>
      <c r="P5724" s="12">
        <v>5.66</v>
      </c>
      <c r="Q5724" s="13">
        <v>-89.88</v>
      </c>
      <c r="R5724" s="36" t="s">
        <v>2318</v>
      </c>
      <c r="S5724" s="7">
        <f t="shared" si="496"/>
        <v>1</v>
      </c>
      <c r="T5724" s="15" t="str">
        <f>VLOOKUP(R5724,产品分类!$C$2:$D$1278,2,0)</f>
        <v>家具产品</v>
      </c>
    </row>
    <row r="5725" spans="1:20">
      <c r="A5725" s="8">
        <f>DATE(2012,12,31)-278</f>
        <v>40996</v>
      </c>
      <c r="B5725" s="8">
        <f>DATE(2012,12,31)-278</f>
        <v>40996</v>
      </c>
      <c r="C5725" s="9" t="s">
        <v>330</v>
      </c>
      <c r="D5725">
        <v>10021611115</v>
      </c>
      <c r="E5725" t="s">
        <v>47</v>
      </c>
      <c r="F5725" t="s">
        <v>152</v>
      </c>
      <c r="G5725" t="s">
        <v>153</v>
      </c>
      <c r="H5725" t="s">
        <v>2441</v>
      </c>
      <c r="I5725" t="s">
        <v>2442</v>
      </c>
      <c r="J5725" t="s">
        <v>52</v>
      </c>
      <c r="K5725" s="3">
        <v>100112190647</v>
      </c>
      <c r="L5725" s="10">
        <v>40998</v>
      </c>
      <c r="M5725">
        <v>66.83</v>
      </c>
      <c r="N5725" s="11">
        <v>12</v>
      </c>
      <c r="O5725" s="12">
        <v>4.28</v>
      </c>
      <c r="P5725" s="12">
        <v>5.17</v>
      </c>
      <c r="Q5725" s="13">
        <v>-24.31</v>
      </c>
      <c r="R5725" s="36" t="s">
        <v>1993</v>
      </c>
      <c r="S5725" s="7">
        <f t="shared" si="496"/>
        <v>2</v>
      </c>
      <c r="T5725" s="15" t="str">
        <f>VLOOKUP(R5725,产品分类!$C$2:$D$1278,2,0)</f>
        <v>家具产品</v>
      </c>
    </row>
    <row r="5726" spans="1:20">
      <c r="A5726" s="8">
        <f>DATE(2012,12,31)-278</f>
        <v>40996</v>
      </c>
      <c r="B5726" s="8">
        <f>DATE(2012,12,31)-278</f>
        <v>40996</v>
      </c>
      <c r="C5726" s="9" t="s">
        <v>330</v>
      </c>
      <c r="D5726">
        <v>10021470404</v>
      </c>
      <c r="E5726" t="s">
        <v>47</v>
      </c>
      <c r="F5726" t="s">
        <v>66</v>
      </c>
      <c r="G5726" t="s">
        <v>67</v>
      </c>
      <c r="H5726" t="s">
        <v>2467</v>
      </c>
      <c r="I5726" t="s">
        <v>2468</v>
      </c>
      <c r="J5726" t="s">
        <v>52</v>
      </c>
      <c r="K5726" s="3">
        <v>100810822142</v>
      </c>
      <c r="L5726" s="10">
        <v>40998</v>
      </c>
      <c r="M5726">
        <v>1407.515</v>
      </c>
      <c r="N5726" s="11">
        <v>43</v>
      </c>
      <c r="O5726" s="12">
        <v>35.99</v>
      </c>
      <c r="P5726" s="12">
        <v>3.3</v>
      </c>
      <c r="Q5726" s="13">
        <v>657.45</v>
      </c>
      <c r="R5726" s="36" t="s">
        <v>1817</v>
      </c>
      <c r="S5726" s="7">
        <f t="shared" si="496"/>
        <v>2</v>
      </c>
      <c r="T5726" s="15" t="str">
        <f>VLOOKUP(R5726,产品分类!$C$2:$D$1278,2,0)</f>
        <v>数码电子</v>
      </c>
    </row>
    <row r="5727" spans="1:20">
      <c r="A5727" s="8">
        <f>DATE(2012,12,31)-672</f>
        <v>40602</v>
      </c>
      <c r="B5727" s="8">
        <f>DATE(2012,12,31)-672</f>
        <v>40602</v>
      </c>
      <c r="C5727" s="9" t="s">
        <v>2285</v>
      </c>
      <c r="D5727">
        <v>10021501135</v>
      </c>
      <c r="E5727" t="s">
        <v>47</v>
      </c>
      <c r="F5727" t="s">
        <v>66</v>
      </c>
      <c r="G5727" t="s">
        <v>67</v>
      </c>
      <c r="H5727" t="s">
        <v>2467</v>
      </c>
      <c r="I5727" t="s">
        <v>2468</v>
      </c>
      <c r="J5727" t="s">
        <v>52</v>
      </c>
      <c r="K5727" s="3">
        <v>100327060339</v>
      </c>
      <c r="L5727" s="10">
        <v>40603</v>
      </c>
      <c r="M5727">
        <v>19.2</v>
      </c>
      <c r="N5727" s="11">
        <v>9</v>
      </c>
      <c r="O5727" s="12">
        <v>2.21</v>
      </c>
      <c r="P5727" s="12">
        <v>1.12</v>
      </c>
      <c r="Q5727" s="13">
        <v>-6.84</v>
      </c>
      <c r="R5727" s="36" t="s">
        <v>1892</v>
      </c>
      <c r="S5727" s="7">
        <f t="shared" si="496"/>
        <v>1</v>
      </c>
      <c r="T5727" s="15" t="str">
        <f>VLOOKUP(R5727,产品分类!$C$2:$D$1278,2,0)</f>
        <v>办公用品</v>
      </c>
    </row>
    <row r="5728" spans="1:20">
      <c r="A5728" s="8">
        <f>DATE(2012,12,31)-636</f>
        <v>40638</v>
      </c>
      <c r="B5728" s="8">
        <f>DATE(2012,12,31)-636</f>
        <v>40638</v>
      </c>
      <c r="C5728" s="9" t="s">
        <v>1034</v>
      </c>
      <c r="D5728">
        <v>10021620152</v>
      </c>
      <c r="E5728" t="s">
        <v>47</v>
      </c>
      <c r="F5728" t="s">
        <v>152</v>
      </c>
      <c r="G5728" t="s">
        <v>153</v>
      </c>
      <c r="H5728" t="s">
        <v>2441</v>
      </c>
      <c r="I5728" t="s">
        <v>2442</v>
      </c>
      <c r="J5728" t="s">
        <v>52</v>
      </c>
      <c r="K5728" s="3">
        <v>10094888561</v>
      </c>
      <c r="L5728" s="10">
        <v>40640</v>
      </c>
      <c r="M5728">
        <v>258.74</v>
      </c>
      <c r="N5728" s="11">
        <v>23</v>
      </c>
      <c r="O5728" s="12">
        <v>11.58</v>
      </c>
      <c r="P5728" s="12">
        <v>5.72</v>
      </c>
      <c r="Q5728" s="13">
        <v>10.8</v>
      </c>
      <c r="R5728" s="36" t="s">
        <v>1022</v>
      </c>
      <c r="S5728" s="7">
        <f t="shared" si="496"/>
        <v>2</v>
      </c>
      <c r="T5728" s="15" t="str">
        <f>VLOOKUP(R5728,产品分类!$C$2:$D$1278,2,0)</f>
        <v>办公用品</v>
      </c>
    </row>
    <row r="5729" spans="1:20">
      <c r="A5729" s="8">
        <f>DATE(2012,12,31)-1232</f>
        <v>40042</v>
      </c>
      <c r="B5729" s="8">
        <f>DATE(2012,12,31)-1232</f>
        <v>40042</v>
      </c>
      <c r="C5729" s="9" t="s">
        <v>1922</v>
      </c>
      <c r="D5729">
        <v>10021297185</v>
      </c>
      <c r="E5729" t="s">
        <v>47</v>
      </c>
      <c r="F5729" t="s">
        <v>152</v>
      </c>
      <c r="G5729" t="s">
        <v>153</v>
      </c>
      <c r="H5729" t="s">
        <v>2441</v>
      </c>
      <c r="I5729" t="s">
        <v>2442</v>
      </c>
      <c r="J5729" t="s">
        <v>52</v>
      </c>
      <c r="K5729" s="3">
        <v>100123976238</v>
      </c>
      <c r="L5729" s="10">
        <v>40043</v>
      </c>
      <c r="M5729">
        <v>1982.16</v>
      </c>
      <c r="N5729" s="11">
        <v>47</v>
      </c>
      <c r="O5729" s="12">
        <v>40.99</v>
      </c>
      <c r="P5729" s="12">
        <v>19.99</v>
      </c>
      <c r="Q5729" s="13">
        <v>267.1</v>
      </c>
      <c r="R5729" s="36" t="s">
        <v>656</v>
      </c>
      <c r="S5729" s="7">
        <f t="shared" si="496"/>
        <v>1</v>
      </c>
      <c r="T5729" s="15" t="str">
        <f>VLOOKUP(R5729,产品分类!$C$2:$D$1278,2,0)</f>
        <v>家具产品</v>
      </c>
    </row>
    <row r="5730" spans="1:20">
      <c r="A5730" s="8">
        <f>DATE(2012,12,31)-63</f>
        <v>41211</v>
      </c>
      <c r="B5730" s="8">
        <f>DATE(2012,12,31)-63</f>
        <v>41211</v>
      </c>
      <c r="C5730" s="9" t="s">
        <v>500</v>
      </c>
      <c r="D5730">
        <v>10021264310</v>
      </c>
      <c r="E5730" t="s">
        <v>47</v>
      </c>
      <c r="F5730" t="s">
        <v>152</v>
      </c>
      <c r="G5730" t="s">
        <v>153</v>
      </c>
      <c r="H5730" t="s">
        <v>2441</v>
      </c>
      <c r="I5730" t="s">
        <v>2442</v>
      </c>
      <c r="J5730" t="s">
        <v>52</v>
      </c>
      <c r="K5730" s="3">
        <v>100430901584</v>
      </c>
      <c r="L5730" s="10">
        <v>41213</v>
      </c>
      <c r="M5730">
        <v>1617.91</v>
      </c>
      <c r="N5730" s="11">
        <v>16</v>
      </c>
      <c r="O5730" s="12">
        <v>100.98</v>
      </c>
      <c r="P5730" s="12">
        <v>35.84</v>
      </c>
      <c r="Q5730" s="13">
        <v>-159.21</v>
      </c>
      <c r="R5730" s="36" t="s">
        <v>471</v>
      </c>
      <c r="S5730" s="7">
        <f t="shared" si="496"/>
        <v>2</v>
      </c>
      <c r="T5730" s="15" t="str">
        <f>VLOOKUP(R5730,产品分类!$C$2:$D$1278,2,0)</f>
        <v>办公用品</v>
      </c>
    </row>
    <row r="5731" spans="1:20">
      <c r="A5731" s="8">
        <f>DATE(2012,12,31)-318</f>
        <v>40956</v>
      </c>
      <c r="B5731" s="8">
        <f>DATE(2012,12,31)-318</f>
        <v>40956</v>
      </c>
      <c r="C5731" s="9" t="s">
        <v>264</v>
      </c>
      <c r="D5731">
        <v>10021423180</v>
      </c>
      <c r="E5731" t="s">
        <v>47</v>
      </c>
      <c r="F5731" t="s">
        <v>72</v>
      </c>
      <c r="G5731" t="s">
        <v>73</v>
      </c>
      <c r="H5731" t="s">
        <v>2417</v>
      </c>
      <c r="I5731" t="s">
        <v>2418</v>
      </c>
      <c r="J5731" t="s">
        <v>52</v>
      </c>
      <c r="K5731" s="3">
        <v>100127725818</v>
      </c>
      <c r="L5731" s="10">
        <v>40961</v>
      </c>
      <c r="M5731">
        <v>157.49</v>
      </c>
      <c r="N5731" s="11">
        <v>14</v>
      </c>
      <c r="O5731" s="12">
        <v>10.94</v>
      </c>
      <c r="P5731" s="12">
        <v>1.39</v>
      </c>
      <c r="Q5731" s="13">
        <v>62.54</v>
      </c>
      <c r="R5731" s="36" t="s">
        <v>2264</v>
      </c>
      <c r="S5731" s="7">
        <f t="shared" si="496"/>
        <v>5</v>
      </c>
      <c r="T5731" s="15" t="str">
        <f>VLOOKUP(R5731,产品分类!$C$2:$D$1278,2,0)</f>
        <v>家具产品</v>
      </c>
    </row>
    <row r="5732" spans="1:20">
      <c r="A5732" s="8">
        <f>DATE(2012,12,31)-978</f>
        <v>40296</v>
      </c>
      <c r="B5732" s="8">
        <f>DATE(2012,12,31)-978</f>
        <v>40296</v>
      </c>
      <c r="C5732" s="9" t="s">
        <v>1775</v>
      </c>
      <c r="D5732">
        <v>10021311578</v>
      </c>
      <c r="E5732" t="s">
        <v>47</v>
      </c>
      <c r="F5732" t="s">
        <v>72</v>
      </c>
      <c r="G5732" t="s">
        <v>73</v>
      </c>
      <c r="H5732" t="s">
        <v>2417</v>
      </c>
      <c r="I5732" t="s">
        <v>2418</v>
      </c>
      <c r="J5732" t="s">
        <v>52</v>
      </c>
      <c r="K5732" s="3">
        <v>100121564138</v>
      </c>
      <c r="L5732" s="10">
        <v>40303</v>
      </c>
      <c r="M5732">
        <v>2753.07</v>
      </c>
      <c r="N5732" s="11">
        <v>42</v>
      </c>
      <c r="O5732" s="12">
        <v>67.28</v>
      </c>
      <c r="P5732" s="12">
        <v>19.99</v>
      </c>
      <c r="Q5732" s="13">
        <v>551.3355</v>
      </c>
      <c r="R5732" s="36" t="s">
        <v>862</v>
      </c>
      <c r="S5732" s="7">
        <f t="shared" si="496"/>
        <v>7</v>
      </c>
      <c r="T5732" s="15" t="str">
        <f>VLOOKUP(R5732,产品分类!$C$2:$D$1278,2,0)</f>
        <v>办公用品</v>
      </c>
    </row>
    <row r="5733" spans="1:20">
      <c r="A5733" s="8">
        <f>DATE(2012,12,31)-1454</f>
        <v>39820</v>
      </c>
      <c r="B5733" s="8">
        <f>DATE(2012,12,31)-1454</f>
        <v>39820</v>
      </c>
      <c r="C5733" s="9" t="s">
        <v>2404</v>
      </c>
      <c r="D5733">
        <v>10021465450</v>
      </c>
      <c r="E5733" t="s">
        <v>47</v>
      </c>
      <c r="F5733" t="s">
        <v>72</v>
      </c>
      <c r="G5733" t="s">
        <v>73</v>
      </c>
      <c r="H5733" t="s">
        <v>2417</v>
      </c>
      <c r="I5733" t="s">
        <v>2418</v>
      </c>
      <c r="J5733" t="s">
        <v>52</v>
      </c>
      <c r="K5733" s="3">
        <v>100818983092</v>
      </c>
      <c r="L5733" s="10">
        <v>39825</v>
      </c>
      <c r="M5733">
        <v>11.57</v>
      </c>
      <c r="N5733" s="11">
        <v>6</v>
      </c>
      <c r="O5733" s="12">
        <v>1.76</v>
      </c>
      <c r="P5733" s="12">
        <v>0.7</v>
      </c>
      <c r="Q5733" s="13">
        <v>-2.06</v>
      </c>
      <c r="R5733" s="36" t="s">
        <v>561</v>
      </c>
      <c r="S5733" s="7">
        <f t="shared" si="496"/>
        <v>5</v>
      </c>
      <c r="T5733" s="15" t="str">
        <f>VLOOKUP(R5733,产品分类!$C$2:$D$1278,2,0)</f>
        <v>数码电子</v>
      </c>
    </row>
    <row r="5734" spans="1:20">
      <c r="A5734" s="8">
        <f>DATE(2012,12,31)-345</f>
        <v>40929</v>
      </c>
      <c r="B5734" s="8">
        <f>DATE(2012,12,31)-345</f>
        <v>40929</v>
      </c>
      <c r="C5734" s="9" t="s">
        <v>2007</v>
      </c>
      <c r="D5734">
        <v>10021592365</v>
      </c>
      <c r="E5734" t="s">
        <v>47</v>
      </c>
      <c r="F5734" t="s">
        <v>72</v>
      </c>
      <c r="G5734" t="s">
        <v>73</v>
      </c>
      <c r="H5734" t="s">
        <v>2417</v>
      </c>
      <c r="I5734" t="s">
        <v>2418</v>
      </c>
      <c r="J5734" t="s">
        <v>52</v>
      </c>
      <c r="K5734" s="3">
        <v>100332108349</v>
      </c>
      <c r="L5734" s="10">
        <v>40930</v>
      </c>
      <c r="M5734">
        <v>111.04</v>
      </c>
      <c r="N5734" s="11">
        <v>40</v>
      </c>
      <c r="O5734" s="12">
        <v>2.61</v>
      </c>
      <c r="P5734" s="12">
        <v>0.5</v>
      </c>
      <c r="Q5734" s="13">
        <v>45.1</v>
      </c>
      <c r="R5734" s="36" t="s">
        <v>630</v>
      </c>
      <c r="S5734" s="7">
        <f t="shared" si="496"/>
        <v>1</v>
      </c>
      <c r="T5734" s="15" t="str">
        <f>VLOOKUP(R5734,产品分类!$C$2:$D$1278,2,0)</f>
        <v>数码电子</v>
      </c>
    </row>
    <row r="5735" spans="1:20">
      <c r="A5735" s="8">
        <f>DATE(2012,12,31)-1299</f>
        <v>39975</v>
      </c>
      <c r="B5735" s="8">
        <f>DATE(2012,12,31)-1299</f>
        <v>39975</v>
      </c>
      <c r="C5735" s="9" t="s">
        <v>2052</v>
      </c>
      <c r="D5735">
        <v>10021367056</v>
      </c>
      <c r="E5735" t="s">
        <v>47</v>
      </c>
      <c r="F5735" t="s">
        <v>72</v>
      </c>
      <c r="G5735" t="s">
        <v>73</v>
      </c>
      <c r="H5735" t="s">
        <v>2417</v>
      </c>
      <c r="I5735" t="s">
        <v>2418</v>
      </c>
      <c r="J5735" t="s">
        <v>52</v>
      </c>
      <c r="K5735" s="3">
        <v>100326835439</v>
      </c>
      <c r="L5735" s="10">
        <v>39977</v>
      </c>
      <c r="M5735">
        <v>1495.184</v>
      </c>
      <c r="N5735" s="11">
        <v>26</v>
      </c>
      <c r="O5735" s="12">
        <v>65.99</v>
      </c>
      <c r="P5735" s="12">
        <v>8.99</v>
      </c>
      <c r="Q5735" s="13">
        <v>211.086</v>
      </c>
      <c r="R5735" s="36" t="s">
        <v>730</v>
      </c>
      <c r="S5735" s="7">
        <f t="shared" si="496"/>
        <v>2</v>
      </c>
      <c r="T5735" s="15" t="str">
        <f>VLOOKUP(R5735,产品分类!$C$2:$D$1278,2,0)</f>
        <v>办公用品</v>
      </c>
    </row>
    <row r="5736" spans="1:20">
      <c r="A5736" s="8">
        <f>DATE(2012,12,31)-1176</f>
        <v>40098</v>
      </c>
      <c r="B5736" s="8">
        <f>DATE(2012,12,31)-1176</f>
        <v>40098</v>
      </c>
      <c r="C5736" s="9" t="s">
        <v>1895</v>
      </c>
      <c r="D5736">
        <v>10021502875</v>
      </c>
      <c r="E5736" t="s">
        <v>47</v>
      </c>
      <c r="F5736" t="s">
        <v>72</v>
      </c>
      <c r="G5736" t="s">
        <v>73</v>
      </c>
      <c r="H5736" t="s">
        <v>2417</v>
      </c>
      <c r="I5736" t="s">
        <v>2418</v>
      </c>
      <c r="J5736" t="s">
        <v>52</v>
      </c>
      <c r="K5736" s="3">
        <v>100429014833</v>
      </c>
      <c r="L5736" s="10">
        <v>40099</v>
      </c>
      <c r="M5736">
        <v>103.55</v>
      </c>
      <c r="N5736" s="11">
        <v>15</v>
      </c>
      <c r="O5736" s="12">
        <v>6.68</v>
      </c>
      <c r="P5736" s="12">
        <v>1.5</v>
      </c>
      <c r="Q5736" s="13">
        <v>19.59</v>
      </c>
      <c r="R5736" s="36" t="s">
        <v>900</v>
      </c>
      <c r="S5736" s="7">
        <f t="shared" si="496"/>
        <v>1</v>
      </c>
      <c r="T5736" s="15" t="str">
        <f>VLOOKUP(R5736,产品分类!$C$2:$D$1278,2,0)</f>
        <v>数码电子</v>
      </c>
    </row>
    <row r="5737" spans="1:20">
      <c r="A5737" s="8">
        <f>DATE(2012,12,31)-625</f>
        <v>40649</v>
      </c>
      <c r="B5737" s="8">
        <f>DATE(2012,12,31)-625</f>
        <v>40649</v>
      </c>
      <c r="C5737" s="9" t="s">
        <v>2038</v>
      </c>
      <c r="D5737">
        <v>10021540048</v>
      </c>
      <c r="E5737" t="s">
        <v>47</v>
      </c>
      <c r="F5737" t="s">
        <v>72</v>
      </c>
      <c r="G5737" t="s">
        <v>73</v>
      </c>
      <c r="H5737" t="s">
        <v>2417</v>
      </c>
      <c r="I5737" t="s">
        <v>2418</v>
      </c>
      <c r="J5737" t="s">
        <v>52</v>
      </c>
      <c r="K5737" s="3">
        <v>100313828549</v>
      </c>
      <c r="L5737" s="10">
        <v>40654</v>
      </c>
      <c r="M5737">
        <v>217.69</v>
      </c>
      <c r="N5737" s="11">
        <v>19</v>
      </c>
      <c r="O5737" s="12">
        <v>11.33</v>
      </c>
      <c r="P5737" s="12">
        <v>6.12</v>
      </c>
      <c r="Q5737" s="13">
        <v>-11.66</v>
      </c>
      <c r="R5737" s="36" t="s">
        <v>1093</v>
      </c>
      <c r="S5737" s="7">
        <f t="shared" si="496"/>
        <v>5</v>
      </c>
      <c r="T5737" s="15" t="str">
        <f>VLOOKUP(R5737,产品分类!$C$2:$D$1278,2,0)</f>
        <v>家具产品</v>
      </c>
    </row>
    <row r="5738" spans="1:20">
      <c r="A5738" s="8">
        <f>DATE(2012,12,31)-322</f>
        <v>40952</v>
      </c>
      <c r="B5738" s="8">
        <f>DATE(2012,12,31)-322</f>
        <v>40952</v>
      </c>
      <c r="C5738" s="9" t="s">
        <v>1976</v>
      </c>
      <c r="D5738">
        <v>10021331314</v>
      </c>
      <c r="E5738" t="s">
        <v>47</v>
      </c>
      <c r="F5738" t="s">
        <v>72</v>
      </c>
      <c r="G5738" t="s">
        <v>73</v>
      </c>
      <c r="H5738" t="s">
        <v>2417</v>
      </c>
      <c r="I5738" t="s">
        <v>2418</v>
      </c>
      <c r="J5738" t="s">
        <v>52</v>
      </c>
      <c r="K5738" s="3">
        <v>10042321363</v>
      </c>
      <c r="L5738" s="10">
        <v>40953</v>
      </c>
      <c r="M5738">
        <v>128.27</v>
      </c>
      <c r="N5738" s="11">
        <v>15</v>
      </c>
      <c r="O5738" s="12">
        <v>7.89</v>
      </c>
      <c r="P5738" s="12">
        <v>2.82</v>
      </c>
      <c r="Q5738" s="13">
        <v>22.85</v>
      </c>
      <c r="R5738" s="36" t="s">
        <v>2155</v>
      </c>
      <c r="S5738" s="7">
        <f t="shared" si="496"/>
        <v>1</v>
      </c>
      <c r="T5738" s="15" t="str">
        <f>VLOOKUP(R5738,产品分类!$C$2:$D$1278,2,0)</f>
        <v>数码电子</v>
      </c>
    </row>
    <row r="5739" spans="1:20">
      <c r="A5739" s="8">
        <f>DATE(2012,12,31)-775</f>
        <v>40499</v>
      </c>
      <c r="B5739" s="8">
        <f>DATE(2012,12,31)-775</f>
        <v>40499</v>
      </c>
      <c r="C5739" s="9" t="s">
        <v>523</v>
      </c>
      <c r="D5739">
        <v>10021576829</v>
      </c>
      <c r="E5739" t="s">
        <v>47</v>
      </c>
      <c r="F5739" t="s">
        <v>78</v>
      </c>
      <c r="G5739" t="s">
        <v>79</v>
      </c>
      <c r="H5739" t="s">
        <v>2420</v>
      </c>
      <c r="I5739" t="s">
        <v>2421</v>
      </c>
      <c r="J5739" t="s">
        <v>52</v>
      </c>
      <c r="K5739" s="3">
        <v>100716279465</v>
      </c>
      <c r="L5739" s="10">
        <v>40504</v>
      </c>
      <c r="M5739">
        <v>279.63</v>
      </c>
      <c r="N5739" s="11">
        <v>23</v>
      </c>
      <c r="O5739" s="12">
        <v>12.58</v>
      </c>
      <c r="P5739" s="12">
        <v>5.16</v>
      </c>
      <c r="Q5739" s="13">
        <v>61.69</v>
      </c>
      <c r="R5739" s="36" t="s">
        <v>883</v>
      </c>
      <c r="S5739" s="7">
        <f t="shared" si="496"/>
        <v>5</v>
      </c>
      <c r="T5739" s="15" t="str">
        <f>VLOOKUP(R5739,产品分类!$C$2:$D$1278,2,0)</f>
        <v>家具产品</v>
      </c>
    </row>
    <row r="5740" spans="1:20">
      <c r="A5740" s="16">
        <f>DATE(2012,12,31)-758</f>
        <v>40516</v>
      </c>
      <c r="B5740" s="16">
        <f>DATE(2012,12,31)-758</f>
        <v>40516</v>
      </c>
      <c r="C5740" s="9" t="s">
        <v>2043</v>
      </c>
      <c r="D5740">
        <v>10021589365</v>
      </c>
      <c r="E5740" t="s">
        <v>47</v>
      </c>
      <c r="F5740" t="s">
        <v>78</v>
      </c>
      <c r="G5740" t="s">
        <v>79</v>
      </c>
      <c r="H5740" t="s">
        <v>2420</v>
      </c>
      <c r="I5740" t="s">
        <v>2421</v>
      </c>
      <c r="J5740" t="s">
        <v>52</v>
      </c>
      <c r="K5740" s="3">
        <v>100930884421</v>
      </c>
      <c r="L5740" s="10">
        <v>40516</v>
      </c>
      <c r="M5740">
        <v>260.31</v>
      </c>
      <c r="N5740" s="17">
        <v>41</v>
      </c>
      <c r="O5740" s="5">
        <v>6.48</v>
      </c>
      <c r="P5740" s="5">
        <v>7.91</v>
      </c>
      <c r="Q5740" s="6">
        <v>-175.26</v>
      </c>
      <c r="R5740" s="37" t="s">
        <v>581</v>
      </c>
      <c r="S5740" s="7">
        <f t="shared" si="496"/>
        <v>0</v>
      </c>
      <c r="T5740" s="15" t="str">
        <f>VLOOKUP(R5740,产品分类!$C$2:$D$1278,2,0)</f>
        <v>办公用品</v>
      </c>
    </row>
    <row r="5741" spans="1:20">
      <c r="A5741" s="16">
        <f>DATE(2012,12,31)-758</f>
        <v>40516</v>
      </c>
      <c r="B5741" s="16">
        <f>DATE(2012,12,31)-758</f>
        <v>40516</v>
      </c>
      <c r="C5741" s="9" t="s">
        <v>2043</v>
      </c>
      <c r="D5741">
        <v>10021450802</v>
      </c>
      <c r="E5741" t="s">
        <v>47</v>
      </c>
      <c r="F5741" t="s">
        <v>72</v>
      </c>
      <c r="G5741" t="s">
        <v>73</v>
      </c>
      <c r="H5741" t="s">
        <v>2417</v>
      </c>
      <c r="I5741" t="s">
        <v>2418</v>
      </c>
      <c r="J5741" t="s">
        <v>52</v>
      </c>
      <c r="K5741" s="3">
        <v>100927554601</v>
      </c>
      <c r="L5741" s="10">
        <v>40518</v>
      </c>
      <c r="M5741">
        <v>101.34</v>
      </c>
      <c r="N5741" s="17">
        <v>18</v>
      </c>
      <c r="O5741" s="5">
        <v>5.68</v>
      </c>
      <c r="P5741" s="5">
        <v>1.39</v>
      </c>
      <c r="Q5741" s="6">
        <v>26.11</v>
      </c>
      <c r="R5741" s="37" t="s">
        <v>217</v>
      </c>
      <c r="S5741" s="7">
        <f t="shared" si="496"/>
        <v>2</v>
      </c>
      <c r="T5741" s="15" t="str">
        <f>VLOOKUP(R5741,产品分类!$C$2:$D$1278,2,0)</f>
        <v>办公用品</v>
      </c>
    </row>
    <row r="5742" spans="1:20">
      <c r="A5742" s="8">
        <f>DATE(2012,12,31)-183</f>
        <v>41091</v>
      </c>
      <c r="B5742" s="8">
        <f>DATE(2012,12,31)-183</f>
        <v>41091</v>
      </c>
      <c r="C5742" s="9" t="s">
        <v>1667</v>
      </c>
      <c r="D5742">
        <v>10021332796</v>
      </c>
      <c r="E5742" t="s">
        <v>47</v>
      </c>
      <c r="F5742" t="s">
        <v>78</v>
      </c>
      <c r="G5742" t="s">
        <v>79</v>
      </c>
      <c r="H5742" t="s">
        <v>2420</v>
      </c>
      <c r="I5742" t="s">
        <v>2421</v>
      </c>
      <c r="J5742" t="s">
        <v>52</v>
      </c>
      <c r="K5742" s="3">
        <v>100912896131</v>
      </c>
      <c r="L5742" s="10">
        <v>41091</v>
      </c>
      <c r="M5742">
        <v>129.16</v>
      </c>
      <c r="N5742" s="11">
        <v>20</v>
      </c>
      <c r="O5742" s="12">
        <v>6.48</v>
      </c>
      <c r="P5742" s="12">
        <v>6.22</v>
      </c>
      <c r="Q5742" s="13">
        <v>-56.15</v>
      </c>
      <c r="R5742" s="36" t="s">
        <v>1393</v>
      </c>
      <c r="S5742" s="7">
        <f t="shared" si="496"/>
        <v>0</v>
      </c>
      <c r="T5742" s="15" t="str">
        <f>VLOOKUP(R5742,产品分类!$C$2:$D$1278,2,0)</f>
        <v>家具产品</v>
      </c>
    </row>
    <row r="5743" spans="1:20">
      <c r="A5743" s="8">
        <f>DATE(2012,12,31)-119</f>
        <v>41155</v>
      </c>
      <c r="B5743" s="8">
        <f>DATE(2012,12,31)-119</f>
        <v>41155</v>
      </c>
      <c r="C5743" s="9" t="s">
        <v>991</v>
      </c>
      <c r="D5743">
        <v>10021352864</v>
      </c>
      <c r="E5743" t="s">
        <v>47</v>
      </c>
      <c r="F5743" t="s">
        <v>72</v>
      </c>
      <c r="G5743" t="s">
        <v>73</v>
      </c>
      <c r="H5743" t="s">
        <v>2417</v>
      </c>
      <c r="I5743" t="s">
        <v>2418</v>
      </c>
      <c r="J5743" t="s">
        <v>52</v>
      </c>
      <c r="K5743" s="3">
        <v>100332545939</v>
      </c>
      <c r="L5743" s="10">
        <v>41156</v>
      </c>
      <c r="M5743">
        <v>3361.02</v>
      </c>
      <c r="N5743" s="11">
        <v>28</v>
      </c>
      <c r="O5743" s="12">
        <v>115.99</v>
      </c>
      <c r="P5743" s="12">
        <v>56.14</v>
      </c>
      <c r="Q5743" s="13">
        <v>26.05</v>
      </c>
      <c r="R5743" s="36" t="s">
        <v>329</v>
      </c>
      <c r="S5743" s="7">
        <f t="shared" si="496"/>
        <v>1</v>
      </c>
      <c r="T5743" s="15" t="str">
        <f>VLOOKUP(R5743,产品分类!$C$2:$D$1278,2,0)</f>
        <v>办公用品</v>
      </c>
    </row>
    <row r="5744" spans="1:20">
      <c r="A5744" s="8">
        <f>DATE(2012,12,31)-628</f>
        <v>40646</v>
      </c>
      <c r="B5744" s="8">
        <f>DATE(2012,12,31)-628</f>
        <v>40646</v>
      </c>
      <c r="C5744" s="9" t="s">
        <v>1336</v>
      </c>
      <c r="D5744">
        <v>10021345095</v>
      </c>
      <c r="E5744" t="s">
        <v>47</v>
      </c>
      <c r="F5744" t="s">
        <v>78</v>
      </c>
      <c r="G5744" t="s">
        <v>79</v>
      </c>
      <c r="H5744" t="s">
        <v>2420</v>
      </c>
      <c r="I5744" t="s">
        <v>2421</v>
      </c>
      <c r="J5744" t="s">
        <v>52</v>
      </c>
      <c r="K5744" s="3">
        <v>100729851195</v>
      </c>
      <c r="L5744" s="10">
        <v>40651</v>
      </c>
      <c r="M5744">
        <v>83.02</v>
      </c>
      <c r="N5744" s="11">
        <v>22</v>
      </c>
      <c r="O5744" s="12">
        <v>3.8</v>
      </c>
      <c r="P5744" s="12">
        <v>1.49</v>
      </c>
      <c r="Q5744" s="13">
        <v>9.2395</v>
      </c>
      <c r="R5744" s="36" t="s">
        <v>648</v>
      </c>
      <c r="S5744" s="7">
        <f t="shared" si="496"/>
        <v>5</v>
      </c>
      <c r="T5744" s="15" t="str">
        <f>VLOOKUP(R5744,产品分类!$C$2:$D$1278,2,0)</f>
        <v>家具产品</v>
      </c>
    </row>
    <row r="5745" spans="1:20">
      <c r="A5745" s="8">
        <f>DATE(2012,12,31)-628</f>
        <v>40646</v>
      </c>
      <c r="B5745" s="8">
        <f>DATE(2012,12,31)-628</f>
        <v>40646</v>
      </c>
      <c r="C5745" s="9" t="s">
        <v>1336</v>
      </c>
      <c r="D5745">
        <v>10021334244</v>
      </c>
      <c r="E5745" t="s">
        <v>47</v>
      </c>
      <c r="F5745" t="s">
        <v>230</v>
      </c>
      <c r="G5745" t="s">
        <v>231</v>
      </c>
      <c r="H5745" t="s">
        <v>2372</v>
      </c>
      <c r="I5745" t="s">
        <v>2373</v>
      </c>
      <c r="J5745" t="s">
        <v>52</v>
      </c>
      <c r="K5745" s="3">
        <v>10087788802</v>
      </c>
      <c r="L5745" s="10">
        <v>40648</v>
      </c>
      <c r="M5745">
        <v>10278.79</v>
      </c>
      <c r="N5745" s="11">
        <v>35</v>
      </c>
      <c r="O5745" s="12">
        <v>300.98</v>
      </c>
      <c r="P5745" s="12">
        <v>64.73</v>
      </c>
      <c r="Q5745" s="13">
        <v>1512.07</v>
      </c>
      <c r="R5745" s="36" t="s">
        <v>1063</v>
      </c>
      <c r="S5745" s="7">
        <f t="shared" si="496"/>
        <v>2</v>
      </c>
      <c r="T5745" s="15" t="str">
        <f>VLOOKUP(R5745,产品分类!$C$2:$D$1278,2,0)</f>
        <v>办公用品</v>
      </c>
    </row>
    <row r="5746" spans="1:20">
      <c r="A5746" s="8">
        <f>DATE(2012,12,31)-1025</f>
        <v>40249</v>
      </c>
      <c r="B5746" s="8">
        <f>DATE(2012,12,31)-1025</f>
        <v>40249</v>
      </c>
      <c r="C5746" s="9" t="s">
        <v>204</v>
      </c>
      <c r="D5746">
        <v>10021333655</v>
      </c>
      <c r="E5746" t="s">
        <v>47</v>
      </c>
      <c r="F5746" t="s">
        <v>114</v>
      </c>
      <c r="G5746" t="s">
        <v>115</v>
      </c>
      <c r="H5746" t="s">
        <v>2374</v>
      </c>
      <c r="I5746" t="s">
        <v>2375</v>
      </c>
      <c r="J5746" t="s">
        <v>52</v>
      </c>
      <c r="K5746" s="3">
        <v>100113746748</v>
      </c>
      <c r="L5746" s="10">
        <v>40251</v>
      </c>
      <c r="M5746">
        <v>4273.8</v>
      </c>
      <c r="N5746" s="11">
        <v>36</v>
      </c>
      <c r="O5746" s="12">
        <v>122.99</v>
      </c>
      <c r="P5746" s="12">
        <v>70.2</v>
      </c>
      <c r="Q5746" s="13">
        <v>-1775.83</v>
      </c>
      <c r="R5746" s="36" t="s">
        <v>860</v>
      </c>
      <c r="S5746" s="7">
        <f t="shared" si="496"/>
        <v>2</v>
      </c>
      <c r="T5746" s="15" t="str">
        <f>VLOOKUP(R5746,产品分类!$C$2:$D$1278,2,0)</f>
        <v>办公用品</v>
      </c>
    </row>
    <row r="5747" spans="1:20">
      <c r="A5747" s="8">
        <f>DATE(2012,12,31)-482</f>
        <v>40792</v>
      </c>
      <c r="B5747" s="8">
        <f>DATE(2012,12,31)-482</f>
        <v>40792</v>
      </c>
      <c r="C5747" s="9" t="s">
        <v>1432</v>
      </c>
      <c r="D5747">
        <v>10021631413</v>
      </c>
      <c r="E5747" t="s">
        <v>47</v>
      </c>
      <c r="F5747" t="s">
        <v>114</v>
      </c>
      <c r="G5747" t="s">
        <v>115</v>
      </c>
      <c r="H5747" t="s">
        <v>2469</v>
      </c>
      <c r="I5747" t="s">
        <v>2470</v>
      </c>
      <c r="J5747" t="s">
        <v>52</v>
      </c>
      <c r="K5747" s="3">
        <v>100132520206</v>
      </c>
      <c r="L5747" s="10">
        <v>40793</v>
      </c>
      <c r="M5747">
        <v>53.14</v>
      </c>
      <c r="N5747" s="11">
        <v>8</v>
      </c>
      <c r="O5747" s="12">
        <v>5.4</v>
      </c>
      <c r="P5747" s="12">
        <v>7.78</v>
      </c>
      <c r="Q5747" s="13">
        <v>-41.262</v>
      </c>
      <c r="R5747" s="36" t="s">
        <v>200</v>
      </c>
      <c r="S5747" s="7">
        <f t="shared" si="496"/>
        <v>1</v>
      </c>
      <c r="T5747" s="15" t="str">
        <f>VLOOKUP(R5747,产品分类!$C$2:$D$1278,2,0)</f>
        <v>数码电子</v>
      </c>
    </row>
    <row r="5748" spans="1:20">
      <c r="A5748" s="8">
        <f>DATE(2012,12,31)-1008</f>
        <v>40266</v>
      </c>
      <c r="B5748" s="8">
        <f>DATE(2012,12,31)-1008</f>
        <v>40266</v>
      </c>
      <c r="C5748" s="9" t="s">
        <v>1930</v>
      </c>
      <c r="D5748">
        <v>10021414568</v>
      </c>
      <c r="E5748" t="s">
        <v>47</v>
      </c>
      <c r="F5748" t="s">
        <v>434</v>
      </c>
      <c r="G5748" t="s">
        <v>435</v>
      </c>
      <c r="H5748" t="s">
        <v>436</v>
      </c>
      <c r="I5748" t="s">
        <v>437</v>
      </c>
      <c r="J5748" t="s">
        <v>52</v>
      </c>
      <c r="K5748" s="3">
        <v>10094575811</v>
      </c>
      <c r="L5748" s="10">
        <v>40267</v>
      </c>
      <c r="M5748">
        <v>447.23</v>
      </c>
      <c r="N5748" s="11">
        <v>22</v>
      </c>
      <c r="O5748" s="12">
        <v>20.24</v>
      </c>
      <c r="P5748" s="12">
        <v>6.67</v>
      </c>
      <c r="Q5748" s="13">
        <v>122.78</v>
      </c>
      <c r="R5748" s="36" t="s">
        <v>1005</v>
      </c>
      <c r="S5748" s="7">
        <f t="shared" si="496"/>
        <v>1</v>
      </c>
      <c r="T5748" s="15" t="str">
        <f>VLOOKUP(R5748,产品分类!$C$2:$D$1278,2,0)</f>
        <v>办公用品</v>
      </c>
    </row>
    <row r="5749" spans="1:20">
      <c r="A5749" s="8">
        <f>DATE(2012,12,31)-900</f>
        <v>40374</v>
      </c>
      <c r="B5749" s="8">
        <f>DATE(2012,12,31)-900</f>
        <v>40374</v>
      </c>
      <c r="C5749" s="9" t="s">
        <v>2355</v>
      </c>
      <c r="D5749">
        <v>10021353171</v>
      </c>
      <c r="E5749" t="s">
        <v>47</v>
      </c>
      <c r="F5749" t="s">
        <v>277</v>
      </c>
      <c r="G5749" t="s">
        <v>278</v>
      </c>
      <c r="H5749" t="s">
        <v>279</v>
      </c>
      <c r="I5749" t="s">
        <v>280</v>
      </c>
      <c r="J5749" t="s">
        <v>52</v>
      </c>
      <c r="K5749" s="3">
        <v>100132552986</v>
      </c>
      <c r="L5749" s="10">
        <v>40383</v>
      </c>
      <c r="M5749">
        <v>2688.0825</v>
      </c>
      <c r="N5749" s="11">
        <v>48</v>
      </c>
      <c r="O5749" s="12">
        <v>65.99</v>
      </c>
      <c r="P5749" s="12">
        <v>2.5</v>
      </c>
      <c r="Q5749" s="13">
        <v>844.821</v>
      </c>
      <c r="R5749" s="36" t="s">
        <v>2029</v>
      </c>
      <c r="S5749" s="7">
        <f t="shared" si="496"/>
        <v>9</v>
      </c>
      <c r="T5749" s="15" t="str">
        <f>VLOOKUP(R5749,产品分类!$C$2:$D$1278,2,0)</f>
        <v>数码电子</v>
      </c>
    </row>
    <row r="5750" spans="1:20">
      <c r="A5750" s="16">
        <f t="shared" ref="A5750:B5752" si="497">DATE(2012,12,31)-1133</f>
        <v>40141</v>
      </c>
      <c r="B5750" s="16">
        <f t="shared" si="497"/>
        <v>40141</v>
      </c>
      <c r="C5750" s="9" t="s">
        <v>671</v>
      </c>
      <c r="D5750">
        <v>10021506693</v>
      </c>
      <c r="E5750" t="s">
        <v>47</v>
      </c>
      <c r="F5750" t="s">
        <v>114</v>
      </c>
      <c r="G5750" t="s">
        <v>115</v>
      </c>
      <c r="H5750" t="s">
        <v>2469</v>
      </c>
      <c r="I5750" t="s">
        <v>2470</v>
      </c>
      <c r="J5750" t="s">
        <v>52</v>
      </c>
      <c r="K5750" s="3">
        <v>100331488709</v>
      </c>
      <c r="L5750" s="10">
        <v>40143</v>
      </c>
      <c r="M5750">
        <v>393.59</v>
      </c>
      <c r="N5750" s="17">
        <v>26</v>
      </c>
      <c r="O5750" s="5">
        <v>15.01</v>
      </c>
      <c r="P5750" s="5">
        <v>8.4</v>
      </c>
      <c r="Q5750" s="6">
        <v>-8.0845</v>
      </c>
      <c r="R5750" s="37" t="s">
        <v>1374</v>
      </c>
      <c r="S5750" s="7">
        <f t="shared" si="496"/>
        <v>2</v>
      </c>
      <c r="T5750" s="15" t="str">
        <f>VLOOKUP(R5750,产品分类!$C$2:$D$1278,2,0)</f>
        <v>办公用品</v>
      </c>
    </row>
    <row r="5751" spans="1:20">
      <c r="A5751" s="8">
        <f t="shared" si="497"/>
        <v>40141</v>
      </c>
      <c r="B5751" s="8">
        <f t="shared" si="497"/>
        <v>40141</v>
      </c>
      <c r="C5751" s="9" t="s">
        <v>671</v>
      </c>
      <c r="D5751">
        <v>10021255561</v>
      </c>
      <c r="E5751" t="s">
        <v>47</v>
      </c>
      <c r="F5751" t="s">
        <v>114</v>
      </c>
      <c r="G5751" t="s">
        <v>115</v>
      </c>
      <c r="H5751" t="s">
        <v>2469</v>
      </c>
      <c r="I5751" t="s">
        <v>2470</v>
      </c>
      <c r="J5751" t="s">
        <v>52</v>
      </c>
      <c r="K5751" s="3">
        <v>100424303594</v>
      </c>
      <c r="L5751" s="10">
        <v>40143</v>
      </c>
      <c r="M5751">
        <v>551.18</v>
      </c>
      <c r="N5751" s="11">
        <v>14</v>
      </c>
      <c r="O5751" s="12">
        <v>40.48</v>
      </c>
      <c r="P5751" s="12">
        <v>19.99</v>
      </c>
      <c r="Q5751" s="13">
        <v>-326.97</v>
      </c>
      <c r="R5751" s="36" t="s">
        <v>1312</v>
      </c>
      <c r="S5751" s="7">
        <f t="shared" si="496"/>
        <v>2</v>
      </c>
      <c r="T5751" s="15" t="str">
        <f>VLOOKUP(R5751,产品分类!$C$2:$D$1278,2,0)</f>
        <v>办公用品</v>
      </c>
    </row>
    <row r="5752" spans="1:20">
      <c r="A5752" s="16">
        <f t="shared" si="497"/>
        <v>40141</v>
      </c>
      <c r="B5752" s="16">
        <f t="shared" si="497"/>
        <v>40141</v>
      </c>
      <c r="C5752" s="9" t="s">
        <v>671</v>
      </c>
      <c r="D5752">
        <v>10021287327</v>
      </c>
      <c r="E5752" t="s">
        <v>47</v>
      </c>
      <c r="F5752" t="s">
        <v>473</v>
      </c>
      <c r="G5752" t="s">
        <v>474</v>
      </c>
      <c r="H5752" t="s">
        <v>2406</v>
      </c>
      <c r="I5752" t="s">
        <v>2407</v>
      </c>
      <c r="J5752" t="s">
        <v>52</v>
      </c>
      <c r="K5752" s="3">
        <v>100131581967</v>
      </c>
      <c r="L5752" s="10">
        <v>40142</v>
      </c>
      <c r="M5752">
        <v>18.73</v>
      </c>
      <c r="N5752" s="17">
        <v>1</v>
      </c>
      <c r="O5752" s="5">
        <v>12.28</v>
      </c>
      <c r="P5752" s="5">
        <v>6.13</v>
      </c>
      <c r="Q5752" s="6">
        <v>-6.68</v>
      </c>
      <c r="R5752" s="37" t="s">
        <v>1802</v>
      </c>
      <c r="S5752" s="7">
        <f t="shared" si="496"/>
        <v>1</v>
      </c>
      <c r="T5752" s="15" t="str">
        <f>VLOOKUP(R5752,产品分类!$C$2:$D$1278,2,0)</f>
        <v>办公用品</v>
      </c>
    </row>
    <row r="5753" spans="1:20">
      <c r="A5753" s="8">
        <f>DATE(2012,12,31)-35</f>
        <v>41239</v>
      </c>
      <c r="B5753" s="8">
        <f>DATE(2012,12,31)-35</f>
        <v>41239</v>
      </c>
      <c r="C5753" s="9" t="s">
        <v>2341</v>
      </c>
      <c r="D5753">
        <v>10021293030</v>
      </c>
      <c r="E5753" t="s">
        <v>47</v>
      </c>
      <c r="F5753" t="s">
        <v>114</v>
      </c>
      <c r="G5753" t="s">
        <v>115</v>
      </c>
      <c r="H5753" t="s">
        <v>2469</v>
      </c>
      <c r="I5753" t="s">
        <v>2470</v>
      </c>
      <c r="J5753" t="s">
        <v>52</v>
      </c>
      <c r="K5753" s="3">
        <v>10013968437</v>
      </c>
      <c r="L5753" s="10">
        <v>41242</v>
      </c>
      <c r="M5753">
        <v>323.96</v>
      </c>
      <c r="N5753" s="11">
        <v>40</v>
      </c>
      <c r="O5753" s="12">
        <v>8.09</v>
      </c>
      <c r="P5753" s="12">
        <v>7.96</v>
      </c>
      <c r="Q5753" s="13">
        <v>-136.82</v>
      </c>
      <c r="R5753" s="36" t="s">
        <v>1209</v>
      </c>
      <c r="S5753" s="7">
        <f t="shared" si="496"/>
        <v>3</v>
      </c>
      <c r="T5753" s="15" t="str">
        <f>VLOOKUP(R5753,产品分类!$C$2:$D$1278,2,0)</f>
        <v>数码电子</v>
      </c>
    </row>
    <row r="5754" spans="1:20">
      <c r="A5754" s="8">
        <f>DATE(2012,12,31)-35</f>
        <v>41239</v>
      </c>
      <c r="B5754" s="8">
        <f>DATE(2012,12,31)-35</f>
        <v>41239</v>
      </c>
      <c r="C5754" s="9" t="s">
        <v>2341</v>
      </c>
      <c r="D5754">
        <v>10021659356</v>
      </c>
      <c r="E5754" t="s">
        <v>47</v>
      </c>
      <c r="F5754" t="s">
        <v>91</v>
      </c>
      <c r="G5754" t="s">
        <v>92</v>
      </c>
      <c r="H5754" t="s">
        <v>2053</v>
      </c>
      <c r="I5754" t="s">
        <v>2054</v>
      </c>
      <c r="J5754" t="s">
        <v>52</v>
      </c>
      <c r="K5754" s="3">
        <v>10037350429</v>
      </c>
      <c r="L5754" s="10">
        <v>41240</v>
      </c>
      <c r="M5754">
        <v>175.8565</v>
      </c>
      <c r="N5754" s="11">
        <v>10</v>
      </c>
      <c r="O5754" s="12">
        <v>20.99</v>
      </c>
      <c r="P5754" s="12">
        <v>1.25</v>
      </c>
      <c r="Q5754" s="13">
        <v>-93.258</v>
      </c>
      <c r="R5754" s="36" t="s">
        <v>1326</v>
      </c>
      <c r="S5754" s="7">
        <f t="shared" si="496"/>
        <v>1</v>
      </c>
      <c r="T5754" s="15" t="str">
        <f>VLOOKUP(R5754,产品分类!$C$2:$D$1278,2,0)</f>
        <v>家具产品</v>
      </c>
    </row>
    <row r="5755" spans="1:20">
      <c r="A5755" s="8">
        <f>DATE(2012,12,31)-275</f>
        <v>40999</v>
      </c>
      <c r="B5755" s="8">
        <f>DATE(2012,12,31)-275</f>
        <v>40999</v>
      </c>
      <c r="C5755" s="9" t="s">
        <v>1589</v>
      </c>
      <c r="D5755">
        <v>10021286559</v>
      </c>
      <c r="E5755" t="s">
        <v>47</v>
      </c>
      <c r="F5755" t="s">
        <v>91</v>
      </c>
      <c r="G5755" t="s">
        <v>92</v>
      </c>
      <c r="H5755" t="s">
        <v>2053</v>
      </c>
      <c r="I5755" t="s">
        <v>2054</v>
      </c>
      <c r="J5755" t="s">
        <v>52</v>
      </c>
      <c r="K5755" s="3">
        <v>100921180071</v>
      </c>
      <c r="L5755" s="10">
        <v>41000</v>
      </c>
      <c r="M5755">
        <v>2732.01</v>
      </c>
      <c r="N5755" s="11">
        <v>23</v>
      </c>
      <c r="O5755" s="12">
        <v>119.99</v>
      </c>
      <c r="P5755" s="12">
        <v>56.14</v>
      </c>
      <c r="Q5755" s="13">
        <v>-100.4676</v>
      </c>
      <c r="R5755" s="36" t="s">
        <v>1626</v>
      </c>
      <c r="S5755" s="7">
        <f t="shared" si="496"/>
        <v>1</v>
      </c>
      <c r="T5755" s="15" t="str">
        <f>VLOOKUP(R5755,产品分类!$C$2:$D$1278,2,0)</f>
        <v>办公用品</v>
      </c>
    </row>
    <row r="5756" spans="1:20">
      <c r="A5756" s="8">
        <f>DATE(2012,12,31)-953</f>
        <v>40321</v>
      </c>
      <c r="B5756" s="8">
        <f>DATE(2012,12,31)-953</f>
        <v>40321</v>
      </c>
      <c r="C5756" s="9" t="s">
        <v>1857</v>
      </c>
      <c r="D5756">
        <v>10021498954</v>
      </c>
      <c r="E5756" t="s">
        <v>47</v>
      </c>
      <c r="F5756" t="s">
        <v>55</v>
      </c>
      <c r="G5756" t="s">
        <v>56</v>
      </c>
      <c r="H5756" t="s">
        <v>2425</v>
      </c>
      <c r="I5756" t="s">
        <v>2426</v>
      </c>
      <c r="J5756" t="s">
        <v>52</v>
      </c>
      <c r="K5756" s="3">
        <v>100423669374</v>
      </c>
      <c r="L5756" s="10">
        <v>40322</v>
      </c>
      <c r="M5756">
        <v>907.18</v>
      </c>
      <c r="N5756" s="11">
        <v>3</v>
      </c>
      <c r="O5756" s="12">
        <v>300.65</v>
      </c>
      <c r="P5756" s="12">
        <v>24.49</v>
      </c>
      <c r="Q5756" s="13">
        <v>-236.6</v>
      </c>
      <c r="R5756" s="36" t="s">
        <v>979</v>
      </c>
      <c r="S5756" s="7">
        <f t="shared" si="496"/>
        <v>1</v>
      </c>
      <c r="T5756" s="15" t="str">
        <f>VLOOKUP(R5756,产品分类!$C$2:$D$1278,2,0)</f>
        <v>办公用品</v>
      </c>
    </row>
    <row r="5757" spans="1:20">
      <c r="A5757" s="8">
        <f>DATE(2012,12,31)-386</f>
        <v>40888</v>
      </c>
      <c r="B5757" s="8">
        <f>DATE(2012,12,31)-386</f>
        <v>40888</v>
      </c>
      <c r="C5757" s="9" t="s">
        <v>2095</v>
      </c>
      <c r="D5757">
        <v>10021387236</v>
      </c>
      <c r="E5757" t="s">
        <v>47</v>
      </c>
      <c r="F5757" t="s">
        <v>91</v>
      </c>
      <c r="G5757" t="s">
        <v>92</v>
      </c>
      <c r="H5757" t="s">
        <v>2053</v>
      </c>
      <c r="I5757" t="s">
        <v>2054</v>
      </c>
      <c r="J5757" t="s">
        <v>52</v>
      </c>
      <c r="K5757" s="3">
        <v>100917378581</v>
      </c>
      <c r="L5757" s="10">
        <v>40888</v>
      </c>
      <c r="M5757">
        <v>12858.88</v>
      </c>
      <c r="N5757" s="11">
        <v>43</v>
      </c>
      <c r="O5757" s="12">
        <v>300.97</v>
      </c>
      <c r="P5757" s="12">
        <v>7.18</v>
      </c>
      <c r="Q5757" s="13">
        <v>4833.27</v>
      </c>
      <c r="R5757" s="36" t="s">
        <v>755</v>
      </c>
      <c r="S5757" s="7">
        <f t="shared" si="496"/>
        <v>0</v>
      </c>
      <c r="T5757" s="15" t="str">
        <f>VLOOKUP(R5757,产品分类!$C$2:$D$1278,2,0)</f>
        <v>办公用品</v>
      </c>
    </row>
    <row r="5758" spans="1:20">
      <c r="A5758" s="8">
        <f>DATE(2012,12,31)-386</f>
        <v>40888</v>
      </c>
      <c r="B5758" s="8">
        <f>DATE(2012,12,31)-386</f>
        <v>40888</v>
      </c>
      <c r="C5758" s="9" t="s">
        <v>2095</v>
      </c>
      <c r="D5758">
        <v>10021608321</v>
      </c>
      <c r="E5758" t="s">
        <v>47</v>
      </c>
      <c r="F5758" t="s">
        <v>83</v>
      </c>
      <c r="G5758" t="s">
        <v>84</v>
      </c>
      <c r="H5758" t="s">
        <v>2349</v>
      </c>
      <c r="I5758" t="s">
        <v>2350</v>
      </c>
      <c r="J5758" t="s">
        <v>52</v>
      </c>
      <c r="K5758" s="3">
        <v>100425639294</v>
      </c>
      <c r="L5758" s="10">
        <v>40890</v>
      </c>
      <c r="M5758">
        <v>146.69</v>
      </c>
      <c r="N5758" s="11">
        <v>28</v>
      </c>
      <c r="O5758" s="12">
        <v>4.95</v>
      </c>
      <c r="P5758" s="12">
        <v>5.32</v>
      </c>
      <c r="Q5758" s="13">
        <v>-64.05</v>
      </c>
      <c r="R5758" s="36" t="s">
        <v>1832</v>
      </c>
      <c r="S5758" s="7">
        <f t="shared" si="496"/>
        <v>2</v>
      </c>
      <c r="T5758" s="15" t="str">
        <f>VLOOKUP(R5758,产品分类!$C$2:$D$1278,2,0)</f>
        <v>办公用品</v>
      </c>
    </row>
    <row r="5759" spans="1:20">
      <c r="A5759" s="16">
        <f>DATE(2012,12,31)-475</f>
        <v>40799</v>
      </c>
      <c r="B5759" s="16">
        <f>DATE(2012,12,31)-475</f>
        <v>40799</v>
      </c>
      <c r="C5759" s="9" t="s">
        <v>1517</v>
      </c>
      <c r="D5759">
        <v>10021444695</v>
      </c>
      <c r="E5759" t="s">
        <v>47</v>
      </c>
      <c r="F5759" t="s">
        <v>55</v>
      </c>
      <c r="G5759" t="s">
        <v>56</v>
      </c>
      <c r="H5759" t="s">
        <v>2425</v>
      </c>
      <c r="I5759" t="s">
        <v>2426</v>
      </c>
      <c r="J5759" t="s">
        <v>52</v>
      </c>
      <c r="K5759" s="3">
        <v>10016707046</v>
      </c>
      <c r="L5759" s="10">
        <v>40801</v>
      </c>
      <c r="M5759">
        <v>294.04</v>
      </c>
      <c r="N5759" s="17">
        <v>32</v>
      </c>
      <c r="O5759" s="5">
        <v>8.85</v>
      </c>
      <c r="P5759" s="5">
        <v>5.6</v>
      </c>
      <c r="Q5759" s="6">
        <v>-5.5315</v>
      </c>
      <c r="R5759" s="37" t="s">
        <v>1281</v>
      </c>
      <c r="S5759" s="7">
        <f t="shared" si="496"/>
        <v>2</v>
      </c>
      <c r="T5759" s="15" t="str">
        <f>VLOOKUP(R5759,产品分类!$C$2:$D$1278,2,0)</f>
        <v>办公用品</v>
      </c>
    </row>
    <row r="5760" spans="1:20">
      <c r="A5760" s="8">
        <f>DATE(2012,12,31)-475</f>
        <v>40799</v>
      </c>
      <c r="B5760" s="8">
        <f>DATE(2012,12,31)-475</f>
        <v>40799</v>
      </c>
      <c r="C5760" s="9" t="s">
        <v>1517</v>
      </c>
      <c r="D5760">
        <v>10021418547</v>
      </c>
      <c r="E5760" t="s">
        <v>47</v>
      </c>
      <c r="F5760" t="s">
        <v>91</v>
      </c>
      <c r="G5760" t="s">
        <v>92</v>
      </c>
      <c r="H5760" t="s">
        <v>2053</v>
      </c>
      <c r="I5760" t="s">
        <v>2054</v>
      </c>
      <c r="J5760" t="s">
        <v>52</v>
      </c>
      <c r="K5760" s="3">
        <v>100121032228</v>
      </c>
      <c r="L5760" s="10">
        <v>40801</v>
      </c>
      <c r="M5760">
        <v>2022.65</v>
      </c>
      <c r="N5760" s="11">
        <v>18</v>
      </c>
      <c r="O5760" s="12">
        <v>110.98</v>
      </c>
      <c r="P5760" s="12">
        <v>30</v>
      </c>
      <c r="Q5760" s="13">
        <v>-157.63</v>
      </c>
      <c r="R5760" s="36" t="s">
        <v>1988</v>
      </c>
      <c r="S5760" s="7">
        <f t="shared" si="496"/>
        <v>2</v>
      </c>
      <c r="T5760" s="15" t="str">
        <f>VLOOKUP(R5760,产品分类!$C$2:$D$1278,2,0)</f>
        <v>办公用品</v>
      </c>
    </row>
    <row r="5761" spans="1:20">
      <c r="A5761" s="16">
        <f>DATE(2012,12,31)-486</f>
        <v>40788</v>
      </c>
      <c r="B5761" s="16">
        <f>DATE(2012,12,31)-486</f>
        <v>40788</v>
      </c>
      <c r="C5761" s="9" t="s">
        <v>240</v>
      </c>
      <c r="D5761">
        <v>10021338413</v>
      </c>
      <c r="E5761" t="s">
        <v>47</v>
      </c>
      <c r="F5761" t="s">
        <v>55</v>
      </c>
      <c r="G5761" t="s">
        <v>56</v>
      </c>
      <c r="H5761" t="s">
        <v>2425</v>
      </c>
      <c r="I5761" t="s">
        <v>2426</v>
      </c>
      <c r="J5761" t="s">
        <v>52</v>
      </c>
      <c r="K5761" s="3">
        <v>100123898578</v>
      </c>
      <c r="L5761" s="10">
        <v>40789</v>
      </c>
      <c r="M5761">
        <v>155.73</v>
      </c>
      <c r="N5761" s="17">
        <v>21</v>
      </c>
      <c r="O5761" s="5">
        <v>7.4</v>
      </c>
      <c r="P5761" s="5">
        <v>1.71</v>
      </c>
      <c r="Q5761" s="6">
        <v>42.86</v>
      </c>
      <c r="R5761" s="37" t="s">
        <v>1645</v>
      </c>
      <c r="S5761" s="7">
        <f t="shared" si="496"/>
        <v>1</v>
      </c>
      <c r="T5761" s="15" t="str">
        <f>VLOOKUP(R5761,产品分类!$C$2:$D$1278,2,0)</f>
        <v>办公用品</v>
      </c>
    </row>
    <row r="5762" spans="1:20">
      <c r="A5762" s="8">
        <f>DATE(2012,12,31)-155</f>
        <v>41119</v>
      </c>
      <c r="B5762" s="8">
        <f>DATE(2012,12,31)-155</f>
        <v>41119</v>
      </c>
      <c r="C5762" s="9" t="s">
        <v>330</v>
      </c>
      <c r="D5762">
        <v>10021420209</v>
      </c>
      <c r="E5762" t="s">
        <v>47</v>
      </c>
      <c r="F5762" t="s">
        <v>55</v>
      </c>
      <c r="G5762" t="s">
        <v>56</v>
      </c>
      <c r="H5762" t="s">
        <v>2425</v>
      </c>
      <c r="I5762" t="s">
        <v>2426</v>
      </c>
      <c r="J5762" t="s">
        <v>52</v>
      </c>
      <c r="K5762" s="3">
        <v>100824670812</v>
      </c>
      <c r="L5762" s="10">
        <v>41121</v>
      </c>
      <c r="M5762">
        <v>273.14</v>
      </c>
      <c r="N5762" s="11">
        <v>40</v>
      </c>
      <c r="O5762" s="12">
        <v>6.6</v>
      </c>
      <c r="P5762" s="12">
        <v>4.07</v>
      </c>
      <c r="Q5762" s="13">
        <v>-96.9</v>
      </c>
      <c r="R5762" s="36" t="s">
        <v>1680</v>
      </c>
      <c r="S5762" s="7">
        <f t="shared" si="496"/>
        <v>2</v>
      </c>
      <c r="T5762" s="15" t="str">
        <f>VLOOKUP(R5762,产品分类!$C$2:$D$1278,2,0)</f>
        <v>家具产品</v>
      </c>
    </row>
    <row r="5763" spans="1:20">
      <c r="A5763" s="8">
        <f>DATE(2012,12,31)-155</f>
        <v>41119</v>
      </c>
      <c r="B5763" s="8">
        <f>DATE(2012,12,31)-155</f>
        <v>41119</v>
      </c>
      <c r="C5763" s="9" t="s">
        <v>330</v>
      </c>
      <c r="D5763">
        <v>10021251822</v>
      </c>
      <c r="E5763" t="s">
        <v>47</v>
      </c>
      <c r="F5763" t="s">
        <v>91</v>
      </c>
      <c r="G5763" t="s">
        <v>92</v>
      </c>
      <c r="H5763" t="s">
        <v>2053</v>
      </c>
      <c r="I5763" t="s">
        <v>2054</v>
      </c>
      <c r="J5763" t="s">
        <v>52</v>
      </c>
      <c r="K5763" s="3">
        <v>100714818035</v>
      </c>
      <c r="L5763" s="10">
        <v>41121</v>
      </c>
      <c r="M5763">
        <v>3100.1115</v>
      </c>
      <c r="N5763" s="11">
        <v>22</v>
      </c>
      <c r="O5763" s="12">
        <v>155.99</v>
      </c>
      <c r="P5763" s="12">
        <v>8.08</v>
      </c>
      <c r="Q5763" s="13">
        <v>567.369</v>
      </c>
      <c r="R5763" s="36" t="s">
        <v>2055</v>
      </c>
      <c r="S5763" s="7">
        <f t="shared" ref="S5763:S5826" si="498">+L5763-B5763</f>
        <v>2</v>
      </c>
      <c r="T5763" s="15" t="str">
        <f>VLOOKUP(R5763,产品分类!$C$2:$D$1278,2,0)</f>
        <v>数码电子</v>
      </c>
    </row>
    <row r="5764" spans="1:20">
      <c r="A5764" s="8">
        <f>DATE(2012,12,31)-1273</f>
        <v>40001</v>
      </c>
      <c r="B5764" s="8">
        <f>DATE(2012,12,31)-1273</f>
        <v>40001</v>
      </c>
      <c r="C5764" s="9" t="s">
        <v>562</v>
      </c>
      <c r="D5764">
        <v>10021319765</v>
      </c>
      <c r="E5764" t="s">
        <v>47</v>
      </c>
      <c r="F5764" t="s">
        <v>91</v>
      </c>
      <c r="G5764" t="s">
        <v>92</v>
      </c>
      <c r="H5764" t="s">
        <v>2053</v>
      </c>
      <c r="I5764" t="s">
        <v>2054</v>
      </c>
      <c r="J5764" t="s">
        <v>52</v>
      </c>
      <c r="K5764" s="3">
        <v>100317024439</v>
      </c>
      <c r="L5764" s="10">
        <v>40003</v>
      </c>
      <c r="M5764">
        <v>192.18</v>
      </c>
      <c r="N5764" s="11">
        <v>25</v>
      </c>
      <c r="O5764" s="12">
        <v>7.1</v>
      </c>
      <c r="P5764" s="12">
        <v>6.05</v>
      </c>
      <c r="Q5764" s="13">
        <v>-48.875</v>
      </c>
      <c r="R5764" s="36" t="s">
        <v>958</v>
      </c>
      <c r="S5764" s="7">
        <f t="shared" si="498"/>
        <v>2</v>
      </c>
      <c r="T5764" s="15" t="str">
        <f>VLOOKUP(R5764,产品分类!$C$2:$D$1278,2,0)</f>
        <v>办公用品</v>
      </c>
    </row>
    <row r="5765" spans="1:20">
      <c r="A5765" s="8">
        <f>DATE(2012,12,31)-1206</f>
        <v>40068</v>
      </c>
      <c r="B5765" s="8">
        <f>DATE(2012,12,31)-1206</f>
        <v>40068</v>
      </c>
      <c r="C5765" s="9" t="s">
        <v>712</v>
      </c>
      <c r="D5765">
        <v>10021656359</v>
      </c>
      <c r="E5765" t="s">
        <v>47</v>
      </c>
      <c r="F5765" t="s">
        <v>91</v>
      </c>
      <c r="G5765" t="s">
        <v>92</v>
      </c>
      <c r="H5765" t="s">
        <v>2053</v>
      </c>
      <c r="I5765" t="s">
        <v>2054</v>
      </c>
      <c r="J5765" t="s">
        <v>52</v>
      </c>
      <c r="K5765" s="3">
        <v>1001721776</v>
      </c>
      <c r="L5765" s="10">
        <v>40073</v>
      </c>
      <c r="M5765">
        <v>292.3405</v>
      </c>
      <c r="N5765" s="11">
        <v>4</v>
      </c>
      <c r="O5765" s="12">
        <v>85.99</v>
      </c>
      <c r="P5765" s="12">
        <v>0.99</v>
      </c>
      <c r="Q5765" s="13">
        <v>-420.585</v>
      </c>
      <c r="R5765" s="36" t="s">
        <v>228</v>
      </c>
      <c r="S5765" s="7">
        <f t="shared" si="498"/>
        <v>5</v>
      </c>
      <c r="T5765" s="15" t="str">
        <f>VLOOKUP(R5765,产品分类!$C$2:$D$1278,2,0)</f>
        <v>数码电子</v>
      </c>
    </row>
    <row r="5766" spans="1:20">
      <c r="A5766" s="8">
        <f>DATE(2012,12,31)-218</f>
        <v>41056</v>
      </c>
      <c r="B5766" s="8">
        <f>DATE(2012,12,31)-218</f>
        <v>41056</v>
      </c>
      <c r="C5766" s="9" t="s">
        <v>1621</v>
      </c>
      <c r="D5766">
        <v>10021283001</v>
      </c>
      <c r="E5766" t="s">
        <v>47</v>
      </c>
      <c r="F5766" t="s">
        <v>55</v>
      </c>
      <c r="G5766" t="s">
        <v>56</v>
      </c>
      <c r="H5766" t="s">
        <v>2425</v>
      </c>
      <c r="I5766" t="s">
        <v>2426</v>
      </c>
      <c r="J5766" t="s">
        <v>52</v>
      </c>
      <c r="K5766" s="3">
        <v>100926411241</v>
      </c>
      <c r="L5766" s="10">
        <v>41057</v>
      </c>
      <c r="M5766">
        <v>95.43</v>
      </c>
      <c r="N5766" s="11">
        <v>37</v>
      </c>
      <c r="O5766" s="12">
        <v>2.52</v>
      </c>
      <c r="P5766" s="12">
        <v>4.28</v>
      </c>
      <c r="Q5766" s="13">
        <v>-103.96</v>
      </c>
      <c r="R5766" s="36" t="s">
        <v>1653</v>
      </c>
      <c r="S5766" s="7">
        <f t="shared" si="498"/>
        <v>1</v>
      </c>
      <c r="T5766" s="15" t="str">
        <f>VLOOKUP(R5766,产品分类!$C$2:$D$1278,2,0)</f>
        <v>办公用品</v>
      </c>
    </row>
    <row r="5767" spans="1:20">
      <c r="A5767" s="8">
        <f>DATE(2012,12,31)-414</f>
        <v>40860</v>
      </c>
      <c r="B5767" s="8">
        <f>DATE(2012,12,31)-414</f>
        <v>40860</v>
      </c>
      <c r="C5767" s="9" t="s">
        <v>2066</v>
      </c>
      <c r="D5767">
        <v>10021333456</v>
      </c>
      <c r="E5767" t="s">
        <v>47</v>
      </c>
      <c r="F5767" t="s">
        <v>122</v>
      </c>
      <c r="G5767" t="s">
        <v>123</v>
      </c>
      <c r="H5767" t="s">
        <v>2458</v>
      </c>
      <c r="I5767" t="s">
        <v>2459</v>
      </c>
      <c r="J5767" t="s">
        <v>52</v>
      </c>
      <c r="K5767" s="3">
        <v>100110560936</v>
      </c>
      <c r="L5767" s="10">
        <v>40861</v>
      </c>
      <c r="M5767">
        <v>49.49</v>
      </c>
      <c r="N5767" s="11">
        <v>28</v>
      </c>
      <c r="O5767" s="12">
        <v>1.76</v>
      </c>
      <c r="P5767" s="12">
        <v>0.7</v>
      </c>
      <c r="Q5767" s="13">
        <v>-1.23</v>
      </c>
      <c r="R5767" s="36" t="s">
        <v>318</v>
      </c>
      <c r="S5767" s="7">
        <f t="shared" si="498"/>
        <v>1</v>
      </c>
      <c r="T5767" s="15" t="str">
        <f>VLOOKUP(R5767,产品分类!$C$2:$D$1278,2,0)</f>
        <v>办公用品</v>
      </c>
    </row>
    <row r="5768" spans="1:20">
      <c r="A5768" s="8">
        <f>DATE(2012,12,31)-414</f>
        <v>40860</v>
      </c>
      <c r="B5768" s="8">
        <f>DATE(2012,12,31)-414</f>
        <v>40860</v>
      </c>
      <c r="C5768" s="9" t="s">
        <v>2066</v>
      </c>
      <c r="D5768">
        <v>10021669959</v>
      </c>
      <c r="E5768" t="s">
        <v>47</v>
      </c>
      <c r="F5768" t="s">
        <v>55</v>
      </c>
      <c r="G5768" t="s">
        <v>56</v>
      </c>
      <c r="H5768" t="s">
        <v>2425</v>
      </c>
      <c r="I5768" t="s">
        <v>2426</v>
      </c>
      <c r="J5768" t="s">
        <v>52</v>
      </c>
      <c r="K5768" s="3">
        <v>100430157464</v>
      </c>
      <c r="L5768" s="10">
        <v>40862</v>
      </c>
      <c r="M5768">
        <v>404.1495</v>
      </c>
      <c r="N5768" s="11">
        <v>11</v>
      </c>
      <c r="O5768" s="12">
        <v>45.99</v>
      </c>
      <c r="P5768" s="12">
        <v>4.99</v>
      </c>
      <c r="Q5768" s="13">
        <v>-107.503</v>
      </c>
      <c r="R5768" s="36" t="s">
        <v>1623</v>
      </c>
      <c r="S5768" s="7">
        <f t="shared" si="498"/>
        <v>2</v>
      </c>
      <c r="T5768" s="15" t="str">
        <f>VLOOKUP(R5768,产品分类!$C$2:$D$1278,2,0)</f>
        <v>办公用品</v>
      </c>
    </row>
    <row r="5769" spans="1:20">
      <c r="A5769" s="16">
        <f>DATE(2012,12,31)-642</f>
        <v>40632</v>
      </c>
      <c r="B5769" s="16">
        <f>DATE(2012,12,31)-642</f>
        <v>40632</v>
      </c>
      <c r="C5769" s="9" t="s">
        <v>1678</v>
      </c>
      <c r="D5769">
        <v>10021248264</v>
      </c>
      <c r="E5769" t="s">
        <v>47</v>
      </c>
      <c r="F5769" t="s">
        <v>91</v>
      </c>
      <c r="G5769" t="s">
        <v>92</v>
      </c>
      <c r="H5769" t="s">
        <v>2053</v>
      </c>
      <c r="I5769" t="s">
        <v>2054</v>
      </c>
      <c r="J5769" t="s">
        <v>52</v>
      </c>
      <c r="K5769" s="3">
        <v>10031014149</v>
      </c>
      <c r="L5769" s="10">
        <v>40633</v>
      </c>
      <c r="M5769">
        <v>23.84</v>
      </c>
      <c r="N5769" s="17">
        <v>7</v>
      </c>
      <c r="O5769" s="5">
        <v>3.15</v>
      </c>
      <c r="P5769" s="5">
        <v>0.5</v>
      </c>
      <c r="Q5769" s="6">
        <v>5.88</v>
      </c>
      <c r="R5769" s="37" t="s">
        <v>1815</v>
      </c>
      <c r="S5769" s="7">
        <f t="shared" si="498"/>
        <v>1</v>
      </c>
      <c r="T5769" s="15" t="str">
        <f>VLOOKUP(R5769,产品分类!$C$2:$D$1278,2,0)</f>
        <v>办公用品</v>
      </c>
    </row>
    <row r="5770" spans="1:20">
      <c r="A5770" s="8">
        <f>DATE(2012,12,31)-680</f>
        <v>40594</v>
      </c>
      <c r="B5770" s="8">
        <f>DATE(2012,12,31)-680</f>
        <v>40594</v>
      </c>
      <c r="C5770" s="9" t="s">
        <v>1306</v>
      </c>
      <c r="D5770">
        <v>10021664515</v>
      </c>
      <c r="E5770" t="s">
        <v>47</v>
      </c>
      <c r="F5770" t="s">
        <v>55</v>
      </c>
      <c r="G5770" t="s">
        <v>56</v>
      </c>
      <c r="H5770" t="s">
        <v>2425</v>
      </c>
      <c r="I5770" t="s">
        <v>2426</v>
      </c>
      <c r="J5770" t="s">
        <v>52</v>
      </c>
      <c r="K5770" s="3">
        <v>100325122369</v>
      </c>
      <c r="L5770" s="10">
        <v>40595</v>
      </c>
      <c r="M5770">
        <v>1553.66</v>
      </c>
      <c r="N5770" s="11">
        <v>28</v>
      </c>
      <c r="O5770" s="12">
        <v>54.48</v>
      </c>
      <c r="P5770" s="12">
        <v>0.99</v>
      </c>
      <c r="Q5770" s="13">
        <v>547.48</v>
      </c>
      <c r="R5770" s="36" t="s">
        <v>1425</v>
      </c>
      <c r="S5770" s="7">
        <f t="shared" si="498"/>
        <v>1</v>
      </c>
      <c r="T5770" s="15" t="str">
        <f>VLOOKUP(R5770,产品分类!$C$2:$D$1278,2,0)</f>
        <v>家具产品</v>
      </c>
    </row>
    <row r="5771" spans="1:20">
      <c r="A5771" s="8">
        <f>DATE(2012,12,31)-680</f>
        <v>40594</v>
      </c>
      <c r="B5771" s="8">
        <f>DATE(2012,12,31)-680</f>
        <v>40594</v>
      </c>
      <c r="C5771" s="9" t="s">
        <v>1306</v>
      </c>
      <c r="D5771">
        <v>10021252697</v>
      </c>
      <c r="E5771" t="s">
        <v>47</v>
      </c>
      <c r="F5771" t="s">
        <v>55</v>
      </c>
      <c r="G5771" t="s">
        <v>56</v>
      </c>
      <c r="H5771" t="s">
        <v>2471</v>
      </c>
      <c r="I5771" t="s">
        <v>2472</v>
      </c>
      <c r="J5771" t="s">
        <v>52</v>
      </c>
      <c r="K5771" s="3">
        <v>100112671427</v>
      </c>
      <c r="L5771" s="10">
        <v>40595</v>
      </c>
      <c r="M5771">
        <v>3276.9965</v>
      </c>
      <c r="N5771" s="11">
        <v>30</v>
      </c>
      <c r="O5771" s="12">
        <v>125.99</v>
      </c>
      <c r="P5771" s="12">
        <v>8.99</v>
      </c>
      <c r="Q5771" s="13">
        <v>653.058</v>
      </c>
      <c r="R5771" s="36" t="s">
        <v>1637</v>
      </c>
      <c r="S5771" s="7">
        <f t="shared" si="498"/>
        <v>1</v>
      </c>
      <c r="T5771" s="15" t="str">
        <f>VLOOKUP(R5771,产品分类!$C$2:$D$1278,2,0)</f>
        <v>数码电子</v>
      </c>
    </row>
    <row r="5772" spans="1:20">
      <c r="A5772" s="8">
        <f>DATE(2012,12,31)-588</f>
        <v>40686</v>
      </c>
      <c r="B5772" s="8">
        <f>DATE(2012,12,31)-588</f>
        <v>40686</v>
      </c>
      <c r="C5772" s="9" t="s">
        <v>1127</v>
      </c>
      <c r="D5772">
        <v>10021352312</v>
      </c>
      <c r="E5772" t="s">
        <v>47</v>
      </c>
      <c r="F5772" t="s">
        <v>55</v>
      </c>
      <c r="G5772" t="s">
        <v>56</v>
      </c>
      <c r="H5772" t="s">
        <v>2471</v>
      </c>
      <c r="I5772" t="s">
        <v>2472</v>
      </c>
      <c r="J5772" t="s">
        <v>52</v>
      </c>
      <c r="K5772" s="3">
        <v>100432520044</v>
      </c>
      <c r="L5772" s="10">
        <v>40689</v>
      </c>
      <c r="M5772">
        <v>301.12</v>
      </c>
      <c r="N5772" s="11">
        <v>40</v>
      </c>
      <c r="O5772" s="12">
        <v>6.84</v>
      </c>
      <c r="P5772" s="12">
        <v>8.37</v>
      </c>
      <c r="Q5772" s="13">
        <v>-206.05</v>
      </c>
      <c r="R5772" s="36" t="s">
        <v>1239</v>
      </c>
      <c r="S5772" s="7">
        <f t="shared" si="498"/>
        <v>3</v>
      </c>
      <c r="T5772" s="15" t="str">
        <f>VLOOKUP(R5772,产品分类!$C$2:$D$1278,2,0)</f>
        <v>办公用品</v>
      </c>
    </row>
    <row r="5773" spans="1:20">
      <c r="A5773" s="8">
        <f t="shared" ref="A5773:B5775" si="499">DATE(2012,12,31)-1137</f>
        <v>40137</v>
      </c>
      <c r="B5773" s="8">
        <f t="shared" si="499"/>
        <v>40137</v>
      </c>
      <c r="C5773" s="9" t="s">
        <v>1696</v>
      </c>
      <c r="D5773">
        <v>10021249544</v>
      </c>
      <c r="E5773" t="s">
        <v>47</v>
      </c>
      <c r="F5773" t="s">
        <v>132</v>
      </c>
      <c r="G5773" t="s">
        <v>133</v>
      </c>
      <c r="H5773" t="s">
        <v>134</v>
      </c>
      <c r="I5773" t="s">
        <v>133</v>
      </c>
      <c r="J5773" t="s">
        <v>52</v>
      </c>
      <c r="K5773" s="3">
        <v>10099779711</v>
      </c>
      <c r="L5773" s="10">
        <v>40139</v>
      </c>
      <c r="M5773">
        <v>7227.42</v>
      </c>
      <c r="N5773" s="11">
        <v>48</v>
      </c>
      <c r="O5773" s="12">
        <v>159.31</v>
      </c>
      <c r="P5773" s="12">
        <v>60</v>
      </c>
      <c r="Q5773" s="13">
        <v>-385.004477</v>
      </c>
      <c r="R5773" s="36" t="s">
        <v>717</v>
      </c>
      <c r="S5773" s="7">
        <f t="shared" si="498"/>
        <v>2</v>
      </c>
      <c r="T5773" s="15" t="str">
        <f>VLOOKUP(R5773,产品分类!$C$2:$D$1278,2,0)</f>
        <v>办公用品</v>
      </c>
    </row>
    <row r="5774" spans="1:20">
      <c r="A5774" s="8">
        <f t="shared" si="499"/>
        <v>40137</v>
      </c>
      <c r="B5774" s="8">
        <f t="shared" si="499"/>
        <v>40137</v>
      </c>
      <c r="C5774" s="9" t="s">
        <v>1696</v>
      </c>
      <c r="D5774">
        <v>10021333154</v>
      </c>
      <c r="E5774" t="s">
        <v>47</v>
      </c>
      <c r="F5774" t="s">
        <v>132</v>
      </c>
      <c r="G5774" t="s">
        <v>133</v>
      </c>
      <c r="H5774" t="s">
        <v>134</v>
      </c>
      <c r="I5774" t="s">
        <v>133</v>
      </c>
      <c r="J5774" t="s">
        <v>52</v>
      </c>
      <c r="K5774" s="3">
        <v>10076210885</v>
      </c>
      <c r="L5774" s="10">
        <v>40139</v>
      </c>
      <c r="M5774">
        <v>1836.187</v>
      </c>
      <c r="N5774" s="11">
        <v>39</v>
      </c>
      <c r="O5774" s="12">
        <v>55.99</v>
      </c>
      <c r="P5774" s="12">
        <v>5</v>
      </c>
      <c r="Q5774" s="13">
        <v>-139.843</v>
      </c>
      <c r="R5774" s="36" t="s">
        <v>1453</v>
      </c>
      <c r="S5774" s="7">
        <f t="shared" si="498"/>
        <v>2</v>
      </c>
      <c r="T5774" s="15" t="str">
        <f>VLOOKUP(R5774,产品分类!$C$2:$D$1278,2,0)</f>
        <v>办公用品</v>
      </c>
    </row>
    <row r="5775" spans="1:20">
      <c r="A5775" s="8">
        <f t="shared" si="499"/>
        <v>40137</v>
      </c>
      <c r="B5775" s="8">
        <f t="shared" si="499"/>
        <v>40137</v>
      </c>
      <c r="C5775" s="9" t="s">
        <v>1696</v>
      </c>
      <c r="D5775">
        <v>10021339904</v>
      </c>
      <c r="E5775" t="s">
        <v>47</v>
      </c>
      <c r="F5775" t="s">
        <v>97</v>
      </c>
      <c r="G5775" t="s">
        <v>98</v>
      </c>
      <c r="H5775" t="s">
        <v>99</v>
      </c>
      <c r="I5775" t="s">
        <v>98</v>
      </c>
      <c r="J5775" t="s">
        <v>52</v>
      </c>
      <c r="K5775" s="3">
        <v>100925633651</v>
      </c>
      <c r="L5775" s="10">
        <v>40138</v>
      </c>
      <c r="M5775">
        <v>843.55</v>
      </c>
      <c r="N5775" s="11">
        <v>29</v>
      </c>
      <c r="O5775" s="12">
        <v>30.98</v>
      </c>
      <c r="P5775" s="12">
        <v>8.74</v>
      </c>
      <c r="Q5775" s="13">
        <v>168.76</v>
      </c>
      <c r="R5775" s="36" t="s">
        <v>496</v>
      </c>
      <c r="S5775" s="7">
        <f t="shared" si="498"/>
        <v>1</v>
      </c>
      <c r="T5775" s="15" t="str">
        <f>VLOOKUP(R5775,产品分类!$C$2:$D$1278,2,0)</f>
        <v>办公用品</v>
      </c>
    </row>
    <row r="5776" spans="1:20">
      <c r="A5776" s="16">
        <f>DATE(2012,12,31)-83</f>
        <v>41191</v>
      </c>
      <c r="B5776" s="16">
        <f>DATE(2012,12,31)-83</f>
        <v>41191</v>
      </c>
      <c r="C5776" s="9" t="s">
        <v>995</v>
      </c>
      <c r="D5776">
        <v>10021507980</v>
      </c>
      <c r="E5776" t="s">
        <v>47</v>
      </c>
      <c r="F5776" t="s">
        <v>102</v>
      </c>
      <c r="G5776" t="s">
        <v>103</v>
      </c>
      <c r="H5776" t="s">
        <v>2400</v>
      </c>
      <c r="I5776" t="s">
        <v>2401</v>
      </c>
      <c r="J5776" t="s">
        <v>52</v>
      </c>
      <c r="K5776" s="3">
        <v>100432033063</v>
      </c>
      <c r="L5776" s="10">
        <v>41193</v>
      </c>
      <c r="M5776">
        <v>793.04</v>
      </c>
      <c r="N5776" s="17">
        <v>42</v>
      </c>
      <c r="O5776" s="5">
        <v>20.98</v>
      </c>
      <c r="P5776" s="5">
        <v>1.49</v>
      </c>
      <c r="Q5776" s="6">
        <v>323.0765</v>
      </c>
      <c r="R5776" s="37" t="s">
        <v>1155</v>
      </c>
      <c r="S5776" s="7">
        <f t="shared" si="498"/>
        <v>2</v>
      </c>
      <c r="T5776" s="15" t="str">
        <f>VLOOKUP(R5776,产品分类!$C$2:$D$1278,2,0)</f>
        <v>家具产品</v>
      </c>
    </row>
    <row r="5777" spans="1:20">
      <c r="A5777" s="16">
        <f t="shared" ref="A5777:B5780" si="500">DATE(2012,12,31)-1350</f>
        <v>39924</v>
      </c>
      <c r="B5777" s="16">
        <f t="shared" si="500"/>
        <v>39924</v>
      </c>
      <c r="C5777" s="9" t="s">
        <v>1010</v>
      </c>
      <c r="D5777">
        <v>10021434315</v>
      </c>
      <c r="E5777" t="s">
        <v>47</v>
      </c>
      <c r="F5777" t="s">
        <v>603</v>
      </c>
      <c r="G5777" t="s">
        <v>604</v>
      </c>
      <c r="H5777" t="s">
        <v>605</v>
      </c>
      <c r="I5777" t="s">
        <v>606</v>
      </c>
      <c r="J5777" t="s">
        <v>52</v>
      </c>
      <c r="K5777" s="3">
        <v>100932657511</v>
      </c>
      <c r="L5777" s="10">
        <v>39924</v>
      </c>
      <c r="M5777">
        <v>382.29</v>
      </c>
      <c r="N5777" s="17">
        <v>12</v>
      </c>
      <c r="O5777" s="5">
        <v>30.98</v>
      </c>
      <c r="P5777" s="5">
        <v>9.18</v>
      </c>
      <c r="Q5777" s="6">
        <v>61.47</v>
      </c>
      <c r="R5777" s="37" t="s">
        <v>2019</v>
      </c>
      <c r="S5777" s="7">
        <f t="shared" si="498"/>
        <v>0</v>
      </c>
      <c r="T5777" s="15" t="str">
        <f>VLOOKUP(R5777,产品分类!$C$2:$D$1278,2,0)</f>
        <v>办公用品</v>
      </c>
    </row>
    <row r="5778" spans="1:20">
      <c r="A5778" s="16">
        <f t="shared" si="500"/>
        <v>39924</v>
      </c>
      <c r="B5778" s="16">
        <f t="shared" si="500"/>
        <v>39924</v>
      </c>
      <c r="C5778" s="9" t="s">
        <v>1010</v>
      </c>
      <c r="D5778">
        <v>10021628783</v>
      </c>
      <c r="E5778" t="s">
        <v>47</v>
      </c>
      <c r="F5778" t="s">
        <v>102</v>
      </c>
      <c r="G5778" t="s">
        <v>103</v>
      </c>
      <c r="H5778" t="s">
        <v>2400</v>
      </c>
      <c r="I5778" t="s">
        <v>2401</v>
      </c>
      <c r="J5778" t="s">
        <v>52</v>
      </c>
      <c r="K5778" s="3">
        <v>100428078573</v>
      </c>
      <c r="L5778" s="10">
        <v>39931</v>
      </c>
      <c r="M5778">
        <v>881.74</v>
      </c>
      <c r="N5778" s="17">
        <v>37</v>
      </c>
      <c r="O5778" s="5">
        <v>22.99</v>
      </c>
      <c r="P5778" s="5">
        <v>8.99</v>
      </c>
      <c r="Q5778" s="6">
        <v>18.27</v>
      </c>
      <c r="R5778" s="37" t="s">
        <v>1582</v>
      </c>
      <c r="S5778" s="7">
        <f t="shared" si="498"/>
        <v>7</v>
      </c>
      <c r="T5778" s="15" t="str">
        <f>VLOOKUP(R5778,产品分类!$C$2:$D$1278,2,0)</f>
        <v>数码电子</v>
      </c>
    </row>
    <row r="5779" spans="1:20">
      <c r="A5779" s="16">
        <f t="shared" si="500"/>
        <v>39924</v>
      </c>
      <c r="B5779" s="16">
        <f t="shared" si="500"/>
        <v>39924</v>
      </c>
      <c r="C5779" s="9" t="s">
        <v>1010</v>
      </c>
      <c r="D5779">
        <v>10021526085</v>
      </c>
      <c r="E5779" t="s">
        <v>47</v>
      </c>
      <c r="F5779" t="s">
        <v>208</v>
      </c>
      <c r="G5779" t="s">
        <v>209</v>
      </c>
      <c r="H5779" t="s">
        <v>2300</v>
      </c>
      <c r="I5779" t="s">
        <v>2301</v>
      </c>
      <c r="J5779" t="s">
        <v>52</v>
      </c>
      <c r="K5779" s="3">
        <v>100923718811</v>
      </c>
      <c r="L5779" s="10">
        <v>39926</v>
      </c>
      <c r="M5779">
        <v>22.61</v>
      </c>
      <c r="N5779" s="17">
        <v>1</v>
      </c>
      <c r="O5779" s="5">
        <v>14.97</v>
      </c>
      <c r="P5779" s="5">
        <v>7.51</v>
      </c>
      <c r="Q5779" s="6">
        <v>-8.4</v>
      </c>
      <c r="R5779" s="37" t="s">
        <v>1733</v>
      </c>
      <c r="S5779" s="7">
        <f t="shared" si="498"/>
        <v>2</v>
      </c>
      <c r="T5779" s="15" t="str">
        <f>VLOOKUP(R5779,产品分类!$C$2:$D$1278,2,0)</f>
        <v>办公用品</v>
      </c>
    </row>
    <row r="5780" spans="1:20">
      <c r="A5780" s="8">
        <f t="shared" si="500"/>
        <v>39924</v>
      </c>
      <c r="B5780" s="8">
        <f t="shared" si="500"/>
        <v>39924</v>
      </c>
      <c r="C5780" s="9" t="s">
        <v>1010</v>
      </c>
      <c r="D5780">
        <v>10021673639</v>
      </c>
      <c r="E5780" t="s">
        <v>47</v>
      </c>
      <c r="F5780" t="s">
        <v>102</v>
      </c>
      <c r="G5780" t="s">
        <v>103</v>
      </c>
      <c r="H5780" t="s">
        <v>2400</v>
      </c>
      <c r="I5780" t="s">
        <v>2401</v>
      </c>
      <c r="J5780" t="s">
        <v>52</v>
      </c>
      <c r="K5780" s="3">
        <v>100931861281</v>
      </c>
      <c r="L5780" s="10">
        <v>39928</v>
      </c>
      <c r="M5780">
        <v>7384.18</v>
      </c>
      <c r="N5780" s="11">
        <v>33</v>
      </c>
      <c r="O5780" s="12">
        <v>212.6</v>
      </c>
      <c r="P5780" s="12">
        <v>110.2</v>
      </c>
      <c r="Q5780" s="13">
        <v>-513.79042</v>
      </c>
      <c r="R5780" s="36" t="s">
        <v>652</v>
      </c>
      <c r="S5780" s="7">
        <f t="shared" si="498"/>
        <v>4</v>
      </c>
      <c r="T5780" s="15" t="str">
        <f>VLOOKUP(R5780,产品分类!$C$2:$D$1278,2,0)</f>
        <v>办公用品</v>
      </c>
    </row>
    <row r="5781" spans="1:20">
      <c r="A5781" s="8">
        <f>DATE(2012,12,31)-1339</f>
        <v>39935</v>
      </c>
      <c r="B5781" s="8">
        <f>DATE(2012,12,31)-1339</f>
        <v>39935</v>
      </c>
      <c r="C5781" s="9" t="s">
        <v>617</v>
      </c>
      <c r="D5781">
        <v>10021497389</v>
      </c>
      <c r="E5781" t="s">
        <v>47</v>
      </c>
      <c r="F5781" t="s">
        <v>208</v>
      </c>
      <c r="G5781" t="s">
        <v>209</v>
      </c>
      <c r="H5781" t="s">
        <v>2300</v>
      </c>
      <c r="I5781" t="s">
        <v>2301</v>
      </c>
      <c r="J5781" t="s">
        <v>52</v>
      </c>
      <c r="K5781" s="3">
        <v>100317372019</v>
      </c>
      <c r="L5781" s="10">
        <v>39936</v>
      </c>
      <c r="M5781">
        <v>1233.22</v>
      </c>
      <c r="N5781" s="11">
        <v>43</v>
      </c>
      <c r="O5781" s="12">
        <v>29.89</v>
      </c>
      <c r="P5781" s="12">
        <v>1.99</v>
      </c>
      <c r="Q5781" s="13">
        <v>385.46</v>
      </c>
      <c r="R5781" s="36" t="s">
        <v>866</v>
      </c>
      <c r="S5781" s="7">
        <f t="shared" si="498"/>
        <v>1</v>
      </c>
      <c r="T5781" s="15" t="str">
        <f>VLOOKUP(R5781,产品分类!$C$2:$D$1278,2,0)</f>
        <v>办公用品</v>
      </c>
    </row>
    <row r="5782" spans="1:20">
      <c r="A5782" s="8">
        <f>DATE(2012,12,31)-1339</f>
        <v>39935</v>
      </c>
      <c r="B5782" s="8">
        <f>DATE(2012,12,31)-1339</f>
        <v>39935</v>
      </c>
      <c r="C5782" s="9" t="s">
        <v>617</v>
      </c>
      <c r="D5782">
        <v>10021494978</v>
      </c>
      <c r="E5782" t="s">
        <v>47</v>
      </c>
      <c r="F5782" t="s">
        <v>304</v>
      </c>
      <c r="G5782" t="s">
        <v>305</v>
      </c>
      <c r="H5782" t="s">
        <v>2383</v>
      </c>
      <c r="I5782" t="s">
        <v>2384</v>
      </c>
      <c r="J5782" t="s">
        <v>52</v>
      </c>
      <c r="K5782" s="3">
        <v>100813344492</v>
      </c>
      <c r="L5782" s="10">
        <v>39937</v>
      </c>
      <c r="M5782">
        <v>144.82</v>
      </c>
      <c r="N5782" s="11">
        <v>39</v>
      </c>
      <c r="O5782" s="12">
        <v>4</v>
      </c>
      <c r="P5782" s="12">
        <v>1.3</v>
      </c>
      <c r="Q5782" s="13">
        <v>28.4</v>
      </c>
      <c r="R5782" s="36" t="s">
        <v>1003</v>
      </c>
      <c r="S5782" s="7">
        <f t="shared" si="498"/>
        <v>2</v>
      </c>
      <c r="T5782" s="15" t="str">
        <f>VLOOKUP(R5782,产品分类!$C$2:$D$1278,2,0)</f>
        <v>数码电子</v>
      </c>
    </row>
    <row r="5783" spans="1:20">
      <c r="A5783" s="8">
        <f>DATE(2012,12,31)-622</f>
        <v>40652</v>
      </c>
      <c r="B5783" s="8">
        <f>DATE(2012,12,31)-622</f>
        <v>40652</v>
      </c>
      <c r="C5783" s="9" t="s">
        <v>1987</v>
      </c>
      <c r="D5783">
        <v>10021395110</v>
      </c>
      <c r="E5783" t="s">
        <v>47</v>
      </c>
      <c r="F5783" t="s">
        <v>137</v>
      </c>
      <c r="G5783" t="s">
        <v>138</v>
      </c>
      <c r="H5783" t="s">
        <v>139</v>
      </c>
      <c r="I5783" t="s">
        <v>140</v>
      </c>
      <c r="J5783" t="s">
        <v>52</v>
      </c>
      <c r="K5783" s="3">
        <v>10096471831</v>
      </c>
      <c r="L5783" s="10">
        <v>40653</v>
      </c>
      <c r="M5783">
        <v>709.37</v>
      </c>
      <c r="N5783" s="11">
        <v>8</v>
      </c>
      <c r="O5783" s="12">
        <v>89.99</v>
      </c>
      <c r="P5783" s="12">
        <v>42</v>
      </c>
      <c r="Q5783" s="13">
        <v>-281.76</v>
      </c>
      <c r="R5783" s="36" t="s">
        <v>891</v>
      </c>
      <c r="S5783" s="7">
        <f t="shared" si="498"/>
        <v>1</v>
      </c>
      <c r="T5783" s="15" t="str">
        <f>VLOOKUP(R5783,产品分类!$C$2:$D$1278,2,0)</f>
        <v>家具产品</v>
      </c>
    </row>
    <row r="5784" spans="1:20">
      <c r="A5784" s="16">
        <f>DATE(2012,12,31)-622</f>
        <v>40652</v>
      </c>
      <c r="B5784" s="16">
        <f>DATE(2012,12,31)-622</f>
        <v>40652</v>
      </c>
      <c r="C5784" s="9" t="s">
        <v>1987</v>
      </c>
      <c r="D5784">
        <v>10021656623</v>
      </c>
      <c r="E5784" t="s">
        <v>47</v>
      </c>
      <c r="F5784" t="s">
        <v>171</v>
      </c>
      <c r="G5784" t="s">
        <v>172</v>
      </c>
      <c r="H5784" t="s">
        <v>2352</v>
      </c>
      <c r="I5784" t="s">
        <v>2353</v>
      </c>
      <c r="J5784" t="s">
        <v>52</v>
      </c>
      <c r="K5784" s="3">
        <v>10072415585</v>
      </c>
      <c r="L5784" s="10">
        <v>40652</v>
      </c>
      <c r="M5784">
        <v>59.76</v>
      </c>
      <c r="N5784" s="17">
        <v>19</v>
      </c>
      <c r="O5784" s="5">
        <v>3.14</v>
      </c>
      <c r="P5784" s="5">
        <v>1.92</v>
      </c>
      <c r="Q5784" s="6">
        <v>-33.11</v>
      </c>
      <c r="R5784" s="37" t="s">
        <v>157</v>
      </c>
      <c r="S5784" s="7">
        <f t="shared" si="498"/>
        <v>0</v>
      </c>
      <c r="T5784" s="15" t="str">
        <f>VLOOKUP(R5784,产品分类!$C$2:$D$1278,2,0)</f>
        <v>数码电子</v>
      </c>
    </row>
    <row r="5785" spans="1:20">
      <c r="A5785" s="8">
        <f>DATE(2012,12,31)-280</f>
        <v>40994</v>
      </c>
      <c r="B5785" s="8">
        <f>DATE(2012,12,31)-280</f>
        <v>40994</v>
      </c>
      <c r="C5785" s="9" t="s">
        <v>216</v>
      </c>
      <c r="D5785">
        <v>10021295777</v>
      </c>
      <c r="E5785" t="s">
        <v>47</v>
      </c>
      <c r="F5785" t="s">
        <v>527</v>
      </c>
      <c r="G5785" t="s">
        <v>528</v>
      </c>
      <c r="H5785" t="s">
        <v>2454</v>
      </c>
      <c r="I5785" t="s">
        <v>2455</v>
      </c>
      <c r="J5785" t="s">
        <v>52</v>
      </c>
      <c r="K5785" s="3">
        <v>100718214905</v>
      </c>
      <c r="L5785" s="10">
        <v>40997</v>
      </c>
      <c r="M5785">
        <v>137.54</v>
      </c>
      <c r="N5785" s="11">
        <v>4</v>
      </c>
      <c r="O5785" s="12">
        <v>34.98</v>
      </c>
      <c r="P5785" s="12">
        <v>7.53</v>
      </c>
      <c r="Q5785" s="13">
        <v>-138.84</v>
      </c>
      <c r="R5785" s="36" t="s">
        <v>1788</v>
      </c>
      <c r="S5785" s="7">
        <f t="shared" si="498"/>
        <v>3</v>
      </c>
      <c r="T5785" s="15" t="str">
        <f>VLOOKUP(R5785,产品分类!$C$2:$D$1278,2,0)</f>
        <v>办公用品</v>
      </c>
    </row>
    <row r="5786" spans="1:20">
      <c r="A5786" s="8">
        <f t="shared" ref="A5786:B5789" si="501">DATE(2012,12,31)-839</f>
        <v>40435</v>
      </c>
      <c r="B5786" s="8">
        <f t="shared" si="501"/>
        <v>40435</v>
      </c>
      <c r="C5786" s="9" t="s">
        <v>743</v>
      </c>
      <c r="D5786">
        <v>10021286428</v>
      </c>
      <c r="E5786" t="s">
        <v>47</v>
      </c>
      <c r="F5786" t="s">
        <v>527</v>
      </c>
      <c r="G5786" t="s">
        <v>528</v>
      </c>
      <c r="H5786" t="s">
        <v>2454</v>
      </c>
      <c r="I5786" t="s">
        <v>2455</v>
      </c>
      <c r="J5786" t="s">
        <v>52</v>
      </c>
      <c r="K5786" s="3">
        <v>1001624387</v>
      </c>
      <c r="L5786" s="10">
        <v>40435</v>
      </c>
      <c r="M5786">
        <v>363.16</v>
      </c>
      <c r="N5786" s="11">
        <v>26</v>
      </c>
      <c r="O5786" s="12">
        <v>14.27</v>
      </c>
      <c r="P5786" s="12">
        <v>7.27</v>
      </c>
      <c r="Q5786" s="13">
        <v>3.9185</v>
      </c>
      <c r="R5786" s="36" t="s">
        <v>1287</v>
      </c>
      <c r="S5786" s="7">
        <f t="shared" si="498"/>
        <v>0</v>
      </c>
      <c r="T5786" s="15" t="str">
        <f>VLOOKUP(R5786,产品分类!$C$2:$D$1278,2,0)</f>
        <v>家具产品</v>
      </c>
    </row>
    <row r="5787" spans="1:20">
      <c r="A5787" s="8">
        <f t="shared" si="501"/>
        <v>40435</v>
      </c>
      <c r="B5787" s="8">
        <f t="shared" si="501"/>
        <v>40435</v>
      </c>
      <c r="C5787" s="9" t="s">
        <v>743</v>
      </c>
      <c r="D5787">
        <v>10021588945</v>
      </c>
      <c r="E5787" t="s">
        <v>47</v>
      </c>
      <c r="F5787" t="s">
        <v>171</v>
      </c>
      <c r="G5787" t="s">
        <v>172</v>
      </c>
      <c r="H5787" t="s">
        <v>2352</v>
      </c>
      <c r="I5787" t="s">
        <v>2353</v>
      </c>
      <c r="J5787" t="s">
        <v>52</v>
      </c>
      <c r="K5787" s="3">
        <v>100130834976</v>
      </c>
      <c r="L5787" s="10">
        <v>40436</v>
      </c>
      <c r="M5787">
        <v>12571.63</v>
      </c>
      <c r="N5787" s="11">
        <v>45</v>
      </c>
      <c r="O5787" s="12">
        <v>300.98</v>
      </c>
      <c r="P5787" s="12">
        <v>13.99</v>
      </c>
      <c r="Q5787" s="13">
        <v>5455.96</v>
      </c>
      <c r="R5787" s="36" t="s">
        <v>1978</v>
      </c>
      <c r="S5787" s="7">
        <f t="shared" si="498"/>
        <v>1</v>
      </c>
      <c r="T5787" s="15" t="str">
        <f>VLOOKUP(R5787,产品分类!$C$2:$D$1278,2,0)</f>
        <v>家具产品</v>
      </c>
    </row>
    <row r="5788" spans="1:20">
      <c r="A5788" s="8">
        <f t="shared" si="501"/>
        <v>40435</v>
      </c>
      <c r="B5788" s="8">
        <f t="shared" si="501"/>
        <v>40435</v>
      </c>
      <c r="C5788" s="9" t="s">
        <v>743</v>
      </c>
      <c r="D5788">
        <v>10021351597</v>
      </c>
      <c r="E5788" t="s">
        <v>47</v>
      </c>
      <c r="F5788" t="s">
        <v>527</v>
      </c>
      <c r="G5788" t="s">
        <v>528</v>
      </c>
      <c r="H5788" t="s">
        <v>2454</v>
      </c>
      <c r="I5788" t="s">
        <v>2455</v>
      </c>
      <c r="J5788" t="s">
        <v>52</v>
      </c>
      <c r="K5788" s="3">
        <v>100732492965</v>
      </c>
      <c r="L5788" s="10">
        <v>40437</v>
      </c>
      <c r="M5788">
        <v>128.86</v>
      </c>
      <c r="N5788" s="11">
        <v>21</v>
      </c>
      <c r="O5788" s="12">
        <v>5.84</v>
      </c>
      <c r="P5788" s="12">
        <v>1.2</v>
      </c>
      <c r="Q5788" s="13">
        <v>24.53</v>
      </c>
      <c r="R5788" s="36" t="s">
        <v>1478</v>
      </c>
      <c r="S5788" s="7">
        <f t="shared" si="498"/>
        <v>2</v>
      </c>
      <c r="T5788" s="15" t="str">
        <f>VLOOKUP(R5788,产品分类!$C$2:$D$1278,2,0)</f>
        <v>办公用品</v>
      </c>
    </row>
    <row r="5789" spans="1:20">
      <c r="A5789" s="8">
        <f t="shared" si="501"/>
        <v>40435</v>
      </c>
      <c r="B5789" s="8">
        <f t="shared" si="501"/>
        <v>40435</v>
      </c>
      <c r="C5789" s="9" t="s">
        <v>743</v>
      </c>
      <c r="D5789">
        <v>10021295961</v>
      </c>
      <c r="E5789" t="s">
        <v>47</v>
      </c>
      <c r="F5789" t="s">
        <v>171</v>
      </c>
      <c r="G5789" t="s">
        <v>172</v>
      </c>
      <c r="H5789" t="s">
        <v>2352</v>
      </c>
      <c r="I5789" t="s">
        <v>2353</v>
      </c>
      <c r="J5789" t="s">
        <v>52</v>
      </c>
      <c r="K5789" s="3">
        <v>100919424811</v>
      </c>
      <c r="L5789" s="10">
        <v>40436</v>
      </c>
      <c r="M5789">
        <v>17884.53</v>
      </c>
      <c r="N5789" s="11">
        <v>45</v>
      </c>
      <c r="O5789" s="12">
        <v>400.98</v>
      </c>
      <c r="P5789" s="12">
        <v>42.52</v>
      </c>
      <c r="Q5789" s="13">
        <v>2357.86</v>
      </c>
      <c r="R5789" s="36" t="s">
        <v>1048</v>
      </c>
      <c r="S5789" s="7">
        <f t="shared" si="498"/>
        <v>1</v>
      </c>
      <c r="T5789" s="15" t="str">
        <f>VLOOKUP(R5789,产品分类!$C$2:$D$1278,2,0)</f>
        <v>办公用品</v>
      </c>
    </row>
    <row r="5790" spans="1:20">
      <c r="A5790" s="8">
        <f t="shared" ref="A5790:B5792" si="502">DATE(2012,12,31)-40</f>
        <v>41234</v>
      </c>
      <c r="B5790" s="8">
        <f t="shared" si="502"/>
        <v>41234</v>
      </c>
      <c r="C5790" s="9" t="s">
        <v>294</v>
      </c>
      <c r="D5790">
        <v>10021677698</v>
      </c>
      <c r="E5790" t="s">
        <v>47</v>
      </c>
      <c r="F5790" t="s">
        <v>527</v>
      </c>
      <c r="G5790" t="s">
        <v>528</v>
      </c>
      <c r="H5790" t="s">
        <v>2454</v>
      </c>
      <c r="I5790" t="s">
        <v>2455</v>
      </c>
      <c r="J5790" t="s">
        <v>52</v>
      </c>
      <c r="K5790" s="3">
        <v>100132907748</v>
      </c>
      <c r="L5790" s="10">
        <v>41236</v>
      </c>
      <c r="M5790">
        <v>483.96</v>
      </c>
      <c r="N5790" s="11">
        <v>22</v>
      </c>
      <c r="O5790" s="12">
        <v>21.38</v>
      </c>
      <c r="P5790" s="12">
        <v>8.99</v>
      </c>
      <c r="Q5790" s="13">
        <v>-34.09</v>
      </c>
      <c r="R5790" s="36" t="s">
        <v>993</v>
      </c>
      <c r="S5790" s="7">
        <f t="shared" si="498"/>
        <v>2</v>
      </c>
      <c r="T5790" s="15" t="str">
        <f>VLOOKUP(R5790,产品分类!$C$2:$D$1278,2,0)</f>
        <v>数码电子</v>
      </c>
    </row>
    <row r="5791" spans="1:20">
      <c r="A5791" s="8">
        <f t="shared" si="502"/>
        <v>41234</v>
      </c>
      <c r="B5791" s="8">
        <f t="shared" si="502"/>
        <v>41234</v>
      </c>
      <c r="C5791" s="9" t="s">
        <v>294</v>
      </c>
      <c r="D5791">
        <v>10021461566</v>
      </c>
      <c r="E5791" t="s">
        <v>47</v>
      </c>
      <c r="F5791" t="s">
        <v>127</v>
      </c>
      <c r="G5791" t="s">
        <v>128</v>
      </c>
      <c r="H5791" t="s">
        <v>2462</v>
      </c>
      <c r="I5791" t="s">
        <v>2463</v>
      </c>
      <c r="J5791" t="s">
        <v>52</v>
      </c>
      <c r="K5791" s="3">
        <v>100415768283</v>
      </c>
      <c r="L5791" s="10">
        <v>41241</v>
      </c>
      <c r="M5791">
        <v>308.363</v>
      </c>
      <c r="N5791" s="11">
        <v>10</v>
      </c>
      <c r="O5791" s="12">
        <v>35.99</v>
      </c>
      <c r="P5791" s="12">
        <v>0.99</v>
      </c>
      <c r="Q5791" s="13">
        <v>42.273</v>
      </c>
      <c r="R5791" s="36" t="s">
        <v>685</v>
      </c>
      <c r="S5791" s="7">
        <f t="shared" si="498"/>
        <v>7</v>
      </c>
      <c r="T5791" s="15" t="str">
        <f>VLOOKUP(R5791,产品分类!$C$2:$D$1278,2,0)</f>
        <v>办公用品</v>
      </c>
    </row>
    <row r="5792" spans="1:20">
      <c r="A5792" s="8">
        <f t="shared" si="502"/>
        <v>41234</v>
      </c>
      <c r="B5792" s="8">
        <f t="shared" si="502"/>
        <v>41234</v>
      </c>
      <c r="C5792" s="9" t="s">
        <v>294</v>
      </c>
      <c r="D5792">
        <v>10021281451</v>
      </c>
      <c r="E5792" t="s">
        <v>47</v>
      </c>
      <c r="F5792" t="s">
        <v>177</v>
      </c>
      <c r="G5792" t="s">
        <v>178</v>
      </c>
      <c r="H5792" t="s">
        <v>2451</v>
      </c>
      <c r="I5792" t="s">
        <v>2452</v>
      </c>
      <c r="J5792" t="s">
        <v>52</v>
      </c>
      <c r="K5792" s="3">
        <v>10048766544</v>
      </c>
      <c r="L5792" s="10">
        <v>41241</v>
      </c>
      <c r="M5792">
        <v>1911.4035</v>
      </c>
      <c r="N5792" s="11">
        <v>26</v>
      </c>
      <c r="O5792" s="12">
        <v>85.99</v>
      </c>
      <c r="P5792" s="12">
        <v>1.25</v>
      </c>
      <c r="Q5792" s="13">
        <v>822.888</v>
      </c>
      <c r="R5792" s="36" t="s">
        <v>723</v>
      </c>
      <c r="S5792" s="7">
        <f t="shared" si="498"/>
        <v>7</v>
      </c>
      <c r="T5792" s="15" t="str">
        <f>VLOOKUP(R5792,产品分类!$C$2:$D$1278,2,0)</f>
        <v>办公用品</v>
      </c>
    </row>
    <row r="5793" spans="1:20">
      <c r="A5793" s="8">
        <f>DATE(2012,12,31)-1317</f>
        <v>39957</v>
      </c>
      <c r="B5793" s="8">
        <f>DATE(2012,12,31)-1317</f>
        <v>39957</v>
      </c>
      <c r="C5793" s="9" t="s">
        <v>417</v>
      </c>
      <c r="D5793">
        <v>10021675967</v>
      </c>
      <c r="E5793" t="s">
        <v>47</v>
      </c>
      <c r="F5793" t="s">
        <v>83</v>
      </c>
      <c r="G5793" t="s">
        <v>84</v>
      </c>
      <c r="H5793" t="s">
        <v>2349</v>
      </c>
      <c r="I5793" t="s">
        <v>2350</v>
      </c>
      <c r="J5793" t="s">
        <v>52</v>
      </c>
      <c r="K5793" s="3">
        <v>100132525986</v>
      </c>
      <c r="L5793" s="10">
        <v>39958</v>
      </c>
      <c r="M5793">
        <v>6310.69</v>
      </c>
      <c r="N5793" s="11">
        <v>32</v>
      </c>
      <c r="O5793" s="12">
        <v>218.08</v>
      </c>
      <c r="P5793" s="12">
        <v>18.06</v>
      </c>
      <c r="Q5793" s="13">
        <v>1318.83</v>
      </c>
      <c r="R5793" s="36" t="s">
        <v>272</v>
      </c>
      <c r="S5793" s="7">
        <f t="shared" si="498"/>
        <v>1</v>
      </c>
      <c r="T5793" s="15" t="str">
        <f>VLOOKUP(R5793,产品分类!$C$2:$D$1278,2,0)</f>
        <v>数码电子</v>
      </c>
    </row>
    <row r="5794" spans="1:20">
      <c r="A5794" s="16">
        <f>DATE(2012,12,31)-1455</f>
        <v>39819</v>
      </c>
      <c r="B5794" s="16">
        <f>DATE(2012,12,31)-1455</f>
        <v>39819</v>
      </c>
      <c r="C5794" s="9" t="s">
        <v>502</v>
      </c>
      <c r="D5794">
        <v>10021261049</v>
      </c>
      <c r="E5794" t="s">
        <v>47</v>
      </c>
      <c r="F5794" t="s">
        <v>72</v>
      </c>
      <c r="G5794" t="s">
        <v>73</v>
      </c>
      <c r="H5794" t="s">
        <v>2417</v>
      </c>
      <c r="I5794" t="s">
        <v>2418</v>
      </c>
      <c r="J5794" t="s">
        <v>52</v>
      </c>
      <c r="K5794" s="3">
        <v>100429115994</v>
      </c>
      <c r="L5794" s="10">
        <v>39821</v>
      </c>
      <c r="M5794">
        <v>298.97</v>
      </c>
      <c r="N5794" s="17">
        <v>46</v>
      </c>
      <c r="O5794" s="5">
        <v>6.48</v>
      </c>
      <c r="P5794" s="5">
        <v>8.73</v>
      </c>
      <c r="Q5794" s="6">
        <v>-225.86</v>
      </c>
      <c r="R5794" s="37" t="s">
        <v>924</v>
      </c>
      <c r="S5794" s="7">
        <f t="shared" si="498"/>
        <v>2</v>
      </c>
      <c r="T5794" s="15" t="str">
        <f>VLOOKUP(R5794,产品分类!$C$2:$D$1278,2,0)</f>
        <v>数码电子</v>
      </c>
    </row>
    <row r="5795" spans="1:20">
      <c r="A5795" s="16">
        <f>DATE(2012,12,31)-1455</f>
        <v>39819</v>
      </c>
      <c r="B5795" s="16">
        <f>DATE(2012,12,31)-1455</f>
        <v>39819</v>
      </c>
      <c r="C5795" s="9" t="s">
        <v>502</v>
      </c>
      <c r="D5795">
        <v>10021531481</v>
      </c>
      <c r="E5795" t="s">
        <v>47</v>
      </c>
      <c r="F5795" t="s">
        <v>61</v>
      </c>
      <c r="G5795" t="s">
        <v>62</v>
      </c>
      <c r="H5795" t="s">
        <v>2431</v>
      </c>
      <c r="I5795" t="s">
        <v>2432</v>
      </c>
      <c r="J5795" t="s">
        <v>52</v>
      </c>
      <c r="K5795" s="3">
        <v>100929810721</v>
      </c>
      <c r="L5795" s="10">
        <v>39823</v>
      </c>
      <c r="M5795">
        <v>159.05</v>
      </c>
      <c r="N5795" s="17">
        <v>6</v>
      </c>
      <c r="O5795" s="5">
        <v>20.34</v>
      </c>
      <c r="P5795" s="5">
        <v>35</v>
      </c>
      <c r="Q5795" s="6">
        <v>-153.46</v>
      </c>
      <c r="R5795" s="37" t="s">
        <v>1783</v>
      </c>
      <c r="S5795" s="7">
        <f t="shared" si="498"/>
        <v>4</v>
      </c>
      <c r="T5795" s="15" t="str">
        <f>VLOOKUP(R5795,产品分类!$C$2:$D$1278,2,0)</f>
        <v>办公用品</v>
      </c>
    </row>
    <row r="5796" spans="1:20">
      <c r="A5796" s="8">
        <f>DATE(2012,12,31)-177</f>
        <v>41097</v>
      </c>
      <c r="B5796" s="8">
        <f>DATE(2012,12,31)-177</f>
        <v>41097</v>
      </c>
      <c r="C5796" s="9" t="s">
        <v>1348</v>
      </c>
      <c r="D5796">
        <v>10021341485</v>
      </c>
      <c r="E5796" t="s">
        <v>47</v>
      </c>
      <c r="F5796" t="s">
        <v>61</v>
      </c>
      <c r="G5796" t="s">
        <v>62</v>
      </c>
      <c r="H5796" t="s">
        <v>2431</v>
      </c>
      <c r="I5796" t="s">
        <v>2432</v>
      </c>
      <c r="J5796" t="s">
        <v>52</v>
      </c>
      <c r="K5796" s="3">
        <v>100427065163</v>
      </c>
      <c r="L5796" s="10">
        <v>41099</v>
      </c>
      <c r="M5796">
        <v>870.75</v>
      </c>
      <c r="N5796" s="11">
        <v>35</v>
      </c>
      <c r="O5796" s="12">
        <v>26.64</v>
      </c>
      <c r="P5796" s="12">
        <v>5.3</v>
      </c>
      <c r="Q5796" s="13">
        <v>100.5</v>
      </c>
      <c r="R5796" s="36" t="s">
        <v>2289</v>
      </c>
      <c r="S5796" s="7">
        <f t="shared" si="498"/>
        <v>2</v>
      </c>
      <c r="T5796" s="15" t="str">
        <f>VLOOKUP(R5796,产品分类!$C$2:$D$1278,2,0)</f>
        <v>家具产品</v>
      </c>
    </row>
    <row r="5797" spans="1:20">
      <c r="A5797" s="8">
        <f>DATE(2012,12,31)-177</f>
        <v>41097</v>
      </c>
      <c r="B5797" s="8">
        <f>DATE(2012,12,31)-177</f>
        <v>41097</v>
      </c>
      <c r="C5797" s="9" t="s">
        <v>1348</v>
      </c>
      <c r="D5797">
        <v>10021279545</v>
      </c>
      <c r="E5797" t="s">
        <v>47</v>
      </c>
      <c r="F5797" t="s">
        <v>61</v>
      </c>
      <c r="G5797" t="s">
        <v>62</v>
      </c>
      <c r="H5797" t="s">
        <v>2431</v>
      </c>
      <c r="I5797" t="s">
        <v>2432</v>
      </c>
      <c r="J5797" t="s">
        <v>52</v>
      </c>
      <c r="K5797" s="3">
        <v>10042782173</v>
      </c>
      <c r="L5797" s="10">
        <v>41099</v>
      </c>
      <c r="M5797">
        <v>43.37</v>
      </c>
      <c r="N5797" s="11">
        <v>13</v>
      </c>
      <c r="O5797" s="12">
        <v>3.08</v>
      </c>
      <c r="P5797" s="12">
        <v>0.99</v>
      </c>
      <c r="Q5797" s="13">
        <v>9.53</v>
      </c>
      <c r="R5797" s="36" t="s">
        <v>1227</v>
      </c>
      <c r="S5797" s="7">
        <f t="shared" si="498"/>
        <v>2</v>
      </c>
      <c r="T5797" s="15" t="str">
        <f>VLOOKUP(R5797,产品分类!$C$2:$D$1278,2,0)</f>
        <v>办公用品</v>
      </c>
    </row>
    <row r="5798" spans="1:20">
      <c r="A5798" s="8">
        <f>DATE(2012,12,31)-1044</f>
        <v>40230</v>
      </c>
      <c r="B5798" s="8">
        <f>DATE(2012,12,31)-1044</f>
        <v>40230</v>
      </c>
      <c r="C5798" s="9" t="s">
        <v>1348</v>
      </c>
      <c r="D5798">
        <v>10021594280</v>
      </c>
      <c r="E5798" t="s">
        <v>47</v>
      </c>
      <c r="F5798" t="s">
        <v>61</v>
      </c>
      <c r="G5798" t="s">
        <v>62</v>
      </c>
      <c r="H5798" t="s">
        <v>2431</v>
      </c>
      <c r="I5798" t="s">
        <v>2432</v>
      </c>
      <c r="J5798" t="s">
        <v>52</v>
      </c>
      <c r="K5798" s="3">
        <v>100132478907</v>
      </c>
      <c r="L5798" s="10">
        <v>40232</v>
      </c>
      <c r="M5798">
        <v>61.22</v>
      </c>
      <c r="N5798" s="11">
        <v>29</v>
      </c>
      <c r="O5798" s="12">
        <v>1.74</v>
      </c>
      <c r="P5798" s="12">
        <v>4.08</v>
      </c>
      <c r="Q5798" s="13">
        <v>-76.88</v>
      </c>
      <c r="R5798" s="36" t="s">
        <v>980</v>
      </c>
      <c r="S5798" s="7">
        <f t="shared" si="498"/>
        <v>2</v>
      </c>
      <c r="T5798" s="15" t="str">
        <f>VLOOKUP(R5798,产品分类!$C$2:$D$1278,2,0)</f>
        <v>办公用品</v>
      </c>
    </row>
    <row r="5799" spans="1:20">
      <c r="A5799" s="8">
        <f>DATE(2012,12,31)-756</f>
        <v>40518</v>
      </c>
      <c r="B5799" s="8">
        <f>DATE(2012,12,31)-756</f>
        <v>40518</v>
      </c>
      <c r="C5799" s="9" t="s">
        <v>219</v>
      </c>
      <c r="D5799">
        <v>10021493755</v>
      </c>
      <c r="E5799" t="s">
        <v>47</v>
      </c>
      <c r="F5799" t="s">
        <v>61</v>
      </c>
      <c r="G5799" t="s">
        <v>62</v>
      </c>
      <c r="H5799" t="s">
        <v>2431</v>
      </c>
      <c r="I5799" t="s">
        <v>2432</v>
      </c>
      <c r="J5799" t="s">
        <v>52</v>
      </c>
      <c r="K5799" s="3">
        <v>10084639242</v>
      </c>
      <c r="L5799" s="10">
        <v>40523</v>
      </c>
      <c r="M5799">
        <v>322.46</v>
      </c>
      <c r="N5799" s="11">
        <v>27</v>
      </c>
      <c r="O5799" s="12">
        <v>11.34</v>
      </c>
      <c r="P5799" s="12">
        <v>5.01</v>
      </c>
      <c r="Q5799" s="13">
        <v>54.29</v>
      </c>
      <c r="R5799" s="36" t="s">
        <v>1504</v>
      </c>
      <c r="S5799" s="7">
        <f t="shared" si="498"/>
        <v>5</v>
      </c>
      <c r="T5799" s="15" t="str">
        <f>VLOOKUP(R5799,产品分类!$C$2:$D$1278,2,0)</f>
        <v>家具产品</v>
      </c>
    </row>
    <row r="5800" spans="1:20">
      <c r="A5800" s="8">
        <f>DATE(2012,12,31)-485</f>
        <v>40789</v>
      </c>
      <c r="B5800" s="8">
        <f>DATE(2012,12,31)-485</f>
        <v>40789</v>
      </c>
      <c r="C5800" s="9" t="s">
        <v>1846</v>
      </c>
      <c r="D5800">
        <v>10021500373</v>
      </c>
      <c r="E5800" t="s">
        <v>47</v>
      </c>
      <c r="F5800" t="s">
        <v>61</v>
      </c>
      <c r="G5800" t="s">
        <v>62</v>
      </c>
      <c r="H5800" t="s">
        <v>2431</v>
      </c>
      <c r="I5800" t="s">
        <v>2432</v>
      </c>
      <c r="J5800" t="s">
        <v>52</v>
      </c>
      <c r="K5800" s="3">
        <v>100125865428</v>
      </c>
      <c r="L5800" s="10">
        <v>40790</v>
      </c>
      <c r="M5800">
        <v>3702.92</v>
      </c>
      <c r="N5800" s="11">
        <v>49</v>
      </c>
      <c r="O5800" s="12">
        <v>76.72</v>
      </c>
      <c r="P5800" s="12">
        <v>19.95</v>
      </c>
      <c r="Q5800" s="13">
        <v>541.92</v>
      </c>
      <c r="R5800" s="36" t="s">
        <v>1064</v>
      </c>
      <c r="S5800" s="7">
        <f t="shared" si="498"/>
        <v>1</v>
      </c>
      <c r="T5800" s="15" t="str">
        <f>VLOOKUP(R5800,产品分类!$C$2:$D$1278,2,0)</f>
        <v>数码电子</v>
      </c>
    </row>
    <row r="5801" spans="1:20">
      <c r="A5801" s="8">
        <f>DATE(2012,12,31)-485</f>
        <v>40789</v>
      </c>
      <c r="B5801" s="8">
        <f>DATE(2012,12,31)-485</f>
        <v>40789</v>
      </c>
      <c r="C5801" s="9" t="s">
        <v>1846</v>
      </c>
      <c r="D5801">
        <v>10021284564</v>
      </c>
      <c r="E5801" t="s">
        <v>47</v>
      </c>
      <c r="F5801" t="s">
        <v>61</v>
      </c>
      <c r="G5801" t="s">
        <v>62</v>
      </c>
      <c r="H5801" t="s">
        <v>2431</v>
      </c>
      <c r="I5801" t="s">
        <v>2432</v>
      </c>
      <c r="J5801" t="s">
        <v>52</v>
      </c>
      <c r="K5801" s="3">
        <v>100125952836</v>
      </c>
      <c r="L5801" s="10">
        <v>40791</v>
      </c>
      <c r="M5801">
        <v>53.99</v>
      </c>
      <c r="N5801" s="11">
        <v>29</v>
      </c>
      <c r="O5801" s="12">
        <v>1.88</v>
      </c>
      <c r="P5801" s="12">
        <v>1.49</v>
      </c>
      <c r="Q5801" s="13">
        <v>-15.1225</v>
      </c>
      <c r="R5801" s="36" t="s">
        <v>1426</v>
      </c>
      <c r="S5801" s="7">
        <f t="shared" si="498"/>
        <v>2</v>
      </c>
      <c r="T5801" s="15" t="str">
        <f>VLOOKUP(R5801,产品分类!$C$2:$D$1278,2,0)</f>
        <v>办公用品</v>
      </c>
    </row>
    <row r="5802" spans="1:20">
      <c r="A5802" s="8">
        <f>DATE(2012,12,31)-1400</f>
        <v>39874</v>
      </c>
      <c r="B5802" s="8">
        <f>DATE(2012,12,31)-1400</f>
        <v>39874</v>
      </c>
      <c r="C5802" s="9" t="s">
        <v>693</v>
      </c>
      <c r="D5802">
        <v>10021508379</v>
      </c>
      <c r="E5802" t="s">
        <v>47</v>
      </c>
      <c r="F5802" t="s">
        <v>61</v>
      </c>
      <c r="G5802" t="s">
        <v>62</v>
      </c>
      <c r="H5802" t="s">
        <v>2431</v>
      </c>
      <c r="I5802" t="s">
        <v>2432</v>
      </c>
      <c r="J5802" t="s">
        <v>52</v>
      </c>
      <c r="K5802" s="3">
        <v>100132051667</v>
      </c>
      <c r="L5802" s="10">
        <v>39875</v>
      </c>
      <c r="M5802">
        <v>862.2</v>
      </c>
      <c r="N5802" s="11">
        <v>29</v>
      </c>
      <c r="O5802" s="12">
        <v>30.73</v>
      </c>
      <c r="P5802" s="12">
        <v>4</v>
      </c>
      <c r="Q5802" s="13">
        <v>-45.1</v>
      </c>
      <c r="R5802" s="36" t="s">
        <v>1016</v>
      </c>
      <c r="S5802" s="7">
        <f t="shared" si="498"/>
        <v>1</v>
      </c>
      <c r="T5802" s="15" t="str">
        <f>VLOOKUP(R5802,产品分类!$C$2:$D$1278,2,0)</f>
        <v>办公用品</v>
      </c>
    </row>
    <row r="5803" spans="1:20">
      <c r="A5803" s="8">
        <f>DATE(2012,12,31)-1341</f>
        <v>39933</v>
      </c>
      <c r="B5803" s="8">
        <f>DATE(2012,12,31)-1341</f>
        <v>39933</v>
      </c>
      <c r="C5803" s="9" t="s">
        <v>549</v>
      </c>
      <c r="D5803">
        <v>10021605067</v>
      </c>
      <c r="E5803" t="s">
        <v>47</v>
      </c>
      <c r="F5803" t="s">
        <v>61</v>
      </c>
      <c r="G5803" t="s">
        <v>62</v>
      </c>
      <c r="H5803" t="s">
        <v>2431</v>
      </c>
      <c r="I5803" t="s">
        <v>2432</v>
      </c>
      <c r="J5803" t="s">
        <v>52</v>
      </c>
      <c r="K5803" s="3">
        <v>1003767019</v>
      </c>
      <c r="L5803" s="10">
        <v>39935</v>
      </c>
      <c r="M5803">
        <v>938.37</v>
      </c>
      <c r="N5803" s="11">
        <v>43</v>
      </c>
      <c r="O5803" s="12">
        <v>21.98</v>
      </c>
      <c r="P5803" s="12">
        <v>2.87</v>
      </c>
      <c r="Q5803" s="13">
        <v>251.17</v>
      </c>
      <c r="R5803" s="36" t="s">
        <v>753</v>
      </c>
      <c r="S5803" s="7">
        <f t="shared" si="498"/>
        <v>2</v>
      </c>
      <c r="T5803" s="15" t="str">
        <f>VLOOKUP(R5803,产品分类!$C$2:$D$1278,2,0)</f>
        <v>家具产品</v>
      </c>
    </row>
    <row r="5804" spans="1:20">
      <c r="A5804" s="8">
        <f>DATE(2012,12,31)-625</f>
        <v>40649</v>
      </c>
      <c r="B5804" s="8">
        <f>DATE(2012,12,31)-625</f>
        <v>40649</v>
      </c>
      <c r="C5804" s="9" t="s">
        <v>446</v>
      </c>
      <c r="D5804">
        <v>10021605637</v>
      </c>
      <c r="E5804" t="s">
        <v>47</v>
      </c>
      <c r="F5804" t="s">
        <v>61</v>
      </c>
      <c r="G5804" t="s">
        <v>62</v>
      </c>
      <c r="H5804" t="s">
        <v>2431</v>
      </c>
      <c r="I5804" t="s">
        <v>2432</v>
      </c>
      <c r="J5804" t="s">
        <v>52</v>
      </c>
      <c r="K5804" s="3">
        <v>10039864409</v>
      </c>
      <c r="L5804" s="10">
        <v>40651</v>
      </c>
      <c r="M5804">
        <v>3854.4</v>
      </c>
      <c r="N5804" s="11">
        <v>39</v>
      </c>
      <c r="O5804" s="12">
        <v>107.53</v>
      </c>
      <c r="P5804" s="12">
        <v>5.81</v>
      </c>
      <c r="Q5804" s="13">
        <v>1116.98</v>
      </c>
      <c r="R5804" s="36" t="s">
        <v>65</v>
      </c>
      <c r="S5804" s="7">
        <f t="shared" si="498"/>
        <v>2</v>
      </c>
      <c r="T5804" s="15" t="str">
        <f>VLOOKUP(R5804,产品分类!$C$2:$D$1278,2,0)</f>
        <v>家具产品</v>
      </c>
    </row>
    <row r="5805" spans="1:20">
      <c r="A5805" s="8">
        <f>DATE(2012,12,31)-466</f>
        <v>40808</v>
      </c>
      <c r="B5805" s="8">
        <f>DATE(2012,12,31)-466</f>
        <v>40808</v>
      </c>
      <c r="C5805" s="9" t="s">
        <v>2259</v>
      </c>
      <c r="D5805">
        <v>10021432650</v>
      </c>
      <c r="E5805" t="s">
        <v>47</v>
      </c>
      <c r="F5805" t="s">
        <v>61</v>
      </c>
      <c r="G5805" t="s">
        <v>62</v>
      </c>
      <c r="H5805" t="s">
        <v>2431</v>
      </c>
      <c r="I5805" t="s">
        <v>2432</v>
      </c>
      <c r="J5805" t="s">
        <v>52</v>
      </c>
      <c r="K5805" s="3">
        <v>100132554308</v>
      </c>
      <c r="L5805" s="10">
        <v>40810</v>
      </c>
      <c r="M5805">
        <v>120.03</v>
      </c>
      <c r="N5805" s="11">
        <v>7</v>
      </c>
      <c r="O5805" s="12">
        <v>15.7</v>
      </c>
      <c r="P5805" s="12">
        <v>11.25</v>
      </c>
      <c r="Q5805" s="13">
        <v>-56.06</v>
      </c>
      <c r="R5805" s="36" t="s">
        <v>261</v>
      </c>
      <c r="S5805" s="7">
        <f t="shared" si="498"/>
        <v>2</v>
      </c>
      <c r="T5805" s="15" t="str">
        <f>VLOOKUP(R5805,产品分类!$C$2:$D$1278,2,0)</f>
        <v>家具产品</v>
      </c>
    </row>
    <row r="5806" spans="1:20">
      <c r="A5806" s="16">
        <f>DATE(2012,12,31)-1121</f>
        <v>40153</v>
      </c>
      <c r="B5806" s="16">
        <f>DATE(2012,12,31)-1121</f>
        <v>40153</v>
      </c>
      <c r="C5806" s="9" t="s">
        <v>1780</v>
      </c>
      <c r="D5806">
        <v>10021657963</v>
      </c>
      <c r="E5806" t="s">
        <v>47</v>
      </c>
      <c r="F5806" t="s">
        <v>61</v>
      </c>
      <c r="G5806" t="s">
        <v>62</v>
      </c>
      <c r="H5806" t="s">
        <v>2431</v>
      </c>
      <c r="I5806" t="s">
        <v>2432</v>
      </c>
      <c r="J5806" t="s">
        <v>52</v>
      </c>
      <c r="K5806" s="3">
        <v>100410314704</v>
      </c>
      <c r="L5806" s="10">
        <v>40154</v>
      </c>
      <c r="M5806">
        <v>18.81</v>
      </c>
      <c r="N5806" s="17">
        <v>2</v>
      </c>
      <c r="O5806" s="5">
        <v>5.78</v>
      </c>
      <c r="P5806" s="5">
        <v>7.96</v>
      </c>
      <c r="Q5806" s="6">
        <v>-12.83</v>
      </c>
      <c r="R5806" s="37" t="s">
        <v>1065</v>
      </c>
      <c r="S5806" s="7">
        <f t="shared" si="498"/>
        <v>1</v>
      </c>
      <c r="T5806" s="15" t="str">
        <f>VLOOKUP(R5806,产品分类!$C$2:$D$1278,2,0)</f>
        <v>办公用品</v>
      </c>
    </row>
    <row r="5807" spans="1:20">
      <c r="A5807" s="8">
        <f>DATE(2012,12,31)-770</f>
        <v>40504</v>
      </c>
      <c r="B5807" s="8">
        <f>DATE(2012,12,31)-770</f>
        <v>40504</v>
      </c>
      <c r="C5807" s="9" t="s">
        <v>526</v>
      </c>
      <c r="D5807">
        <v>10021286468</v>
      </c>
      <c r="E5807" t="s">
        <v>47</v>
      </c>
      <c r="F5807" t="s">
        <v>61</v>
      </c>
      <c r="G5807" t="s">
        <v>62</v>
      </c>
      <c r="H5807" t="s">
        <v>2431</v>
      </c>
      <c r="I5807" t="s">
        <v>2432</v>
      </c>
      <c r="J5807" t="s">
        <v>52</v>
      </c>
      <c r="K5807" s="3">
        <v>10017474008</v>
      </c>
      <c r="L5807" s="10">
        <v>40505</v>
      </c>
      <c r="M5807">
        <v>553.3415</v>
      </c>
      <c r="N5807" s="11">
        <v>33</v>
      </c>
      <c r="O5807" s="12">
        <v>20.99</v>
      </c>
      <c r="P5807" s="12">
        <v>0.99</v>
      </c>
      <c r="Q5807" s="13">
        <v>-67.705</v>
      </c>
      <c r="R5807" s="36" t="s">
        <v>1915</v>
      </c>
      <c r="S5807" s="7">
        <f t="shared" si="498"/>
        <v>1</v>
      </c>
      <c r="T5807" s="15" t="str">
        <f>VLOOKUP(R5807,产品分类!$C$2:$D$1278,2,0)</f>
        <v>办公用品</v>
      </c>
    </row>
    <row r="5808" spans="1:20">
      <c r="A5808" s="16">
        <f>DATE(2012,12,31)-770</f>
        <v>40504</v>
      </c>
      <c r="B5808" s="16">
        <f>DATE(2012,12,31)-770</f>
        <v>40504</v>
      </c>
      <c r="C5808" s="9" t="s">
        <v>526</v>
      </c>
      <c r="D5808">
        <v>10021348672</v>
      </c>
      <c r="E5808" t="s">
        <v>47</v>
      </c>
      <c r="F5808" t="s">
        <v>61</v>
      </c>
      <c r="G5808" t="s">
        <v>62</v>
      </c>
      <c r="H5808" t="s">
        <v>2431</v>
      </c>
      <c r="I5808" t="s">
        <v>2432</v>
      </c>
      <c r="J5808" t="s">
        <v>52</v>
      </c>
      <c r="K5808" s="3">
        <v>100931603251</v>
      </c>
      <c r="L5808" s="10">
        <v>40506</v>
      </c>
      <c r="M5808">
        <v>142.12</v>
      </c>
      <c r="N5808" s="17">
        <v>13</v>
      </c>
      <c r="O5808" s="5">
        <v>9.78</v>
      </c>
      <c r="P5808" s="5">
        <v>1.39</v>
      </c>
      <c r="Q5808" s="6">
        <v>54.91</v>
      </c>
      <c r="R5808" s="37" t="s">
        <v>962</v>
      </c>
      <c r="S5808" s="7">
        <f t="shared" si="498"/>
        <v>2</v>
      </c>
      <c r="T5808" s="15" t="str">
        <f>VLOOKUP(R5808,产品分类!$C$2:$D$1278,2,0)</f>
        <v>家具产品</v>
      </c>
    </row>
    <row r="5809" spans="1:20">
      <c r="A5809" s="8">
        <f>DATE(2012,12,31)-823</f>
        <v>40451</v>
      </c>
      <c r="B5809" s="8">
        <f>DATE(2012,12,31)-823</f>
        <v>40451</v>
      </c>
      <c r="C5809" s="9" t="s">
        <v>369</v>
      </c>
      <c r="D5809">
        <v>10021596453</v>
      </c>
      <c r="E5809" t="s">
        <v>47</v>
      </c>
      <c r="F5809" t="s">
        <v>253</v>
      </c>
      <c r="G5809" t="s">
        <v>254</v>
      </c>
      <c r="H5809" t="s">
        <v>2438</v>
      </c>
      <c r="I5809" t="s">
        <v>2439</v>
      </c>
      <c r="J5809" t="s">
        <v>52</v>
      </c>
      <c r="K5809" s="3">
        <v>100932849581</v>
      </c>
      <c r="L5809" s="10">
        <v>40451</v>
      </c>
      <c r="M5809">
        <v>52.93</v>
      </c>
      <c r="N5809" s="11">
        <v>9</v>
      </c>
      <c r="O5809" s="12">
        <v>5.58</v>
      </c>
      <c r="P5809" s="12">
        <v>0.7</v>
      </c>
      <c r="Q5809" s="13">
        <v>5.34</v>
      </c>
      <c r="R5809" s="36" t="s">
        <v>170</v>
      </c>
      <c r="S5809" s="7">
        <f t="shared" si="498"/>
        <v>0</v>
      </c>
      <c r="T5809" s="15" t="str">
        <f>VLOOKUP(R5809,产品分类!$C$2:$D$1278,2,0)</f>
        <v>数码电子</v>
      </c>
    </row>
    <row r="5810" spans="1:20">
      <c r="A5810" s="8">
        <f>DATE(2012,12,31)-823</f>
        <v>40451</v>
      </c>
      <c r="B5810" s="8">
        <f>DATE(2012,12,31)-823</f>
        <v>40451</v>
      </c>
      <c r="C5810" s="9" t="s">
        <v>369</v>
      </c>
      <c r="D5810">
        <v>10021479480</v>
      </c>
      <c r="E5810" t="s">
        <v>47</v>
      </c>
      <c r="F5810" t="s">
        <v>177</v>
      </c>
      <c r="G5810" t="s">
        <v>178</v>
      </c>
      <c r="H5810" t="s">
        <v>2451</v>
      </c>
      <c r="I5810" t="s">
        <v>2452</v>
      </c>
      <c r="J5810" t="s">
        <v>52</v>
      </c>
      <c r="K5810" s="3">
        <v>100132830248</v>
      </c>
      <c r="L5810" s="10">
        <v>40455</v>
      </c>
      <c r="M5810">
        <v>145.13</v>
      </c>
      <c r="N5810" s="11">
        <v>25</v>
      </c>
      <c r="O5810" s="12">
        <v>5.78</v>
      </c>
      <c r="P5810" s="12">
        <v>4.96</v>
      </c>
      <c r="Q5810" s="13">
        <v>-42.45</v>
      </c>
      <c r="R5810" s="36" t="s">
        <v>674</v>
      </c>
      <c r="S5810" s="7">
        <f t="shared" si="498"/>
        <v>4</v>
      </c>
      <c r="T5810" s="15" t="str">
        <f>VLOOKUP(R5810,产品分类!$C$2:$D$1278,2,0)</f>
        <v>家具产品</v>
      </c>
    </row>
    <row r="5811" spans="1:20">
      <c r="A5811" s="8">
        <f>DATE(2012,12,31)-1266</f>
        <v>40008</v>
      </c>
      <c r="B5811" s="8">
        <f>DATE(2012,12,31)-1266</f>
        <v>40008</v>
      </c>
      <c r="C5811" s="9" t="s">
        <v>931</v>
      </c>
      <c r="D5811">
        <v>10021504807</v>
      </c>
      <c r="E5811" t="s">
        <v>47</v>
      </c>
      <c r="F5811" t="s">
        <v>66</v>
      </c>
      <c r="G5811" t="s">
        <v>67</v>
      </c>
      <c r="H5811" t="s">
        <v>2467</v>
      </c>
      <c r="I5811" t="s">
        <v>2468</v>
      </c>
      <c r="J5811" t="s">
        <v>52</v>
      </c>
      <c r="K5811" s="3">
        <v>100930718471</v>
      </c>
      <c r="L5811" s="10">
        <v>40013</v>
      </c>
      <c r="M5811">
        <v>189.04</v>
      </c>
      <c r="N5811" s="11">
        <v>30</v>
      </c>
      <c r="O5811" s="12">
        <v>6.45</v>
      </c>
      <c r="P5811" s="12">
        <v>1.34</v>
      </c>
      <c r="Q5811" s="13">
        <v>66.28</v>
      </c>
      <c r="R5811" s="36" t="s">
        <v>1991</v>
      </c>
      <c r="S5811" s="7">
        <f t="shared" si="498"/>
        <v>5</v>
      </c>
      <c r="T5811" s="15" t="str">
        <f>VLOOKUP(R5811,产品分类!$C$2:$D$1278,2,0)</f>
        <v>办公用品</v>
      </c>
    </row>
    <row r="5812" spans="1:20">
      <c r="A5812" s="8">
        <f>DATE(2012,12,31)-1279</f>
        <v>39995</v>
      </c>
      <c r="B5812" s="8">
        <f>DATE(2012,12,31)-1279</f>
        <v>39995</v>
      </c>
      <c r="C5812" s="9" t="s">
        <v>2262</v>
      </c>
      <c r="D5812">
        <v>10021673245</v>
      </c>
      <c r="E5812" t="s">
        <v>47</v>
      </c>
      <c r="F5812" t="s">
        <v>78</v>
      </c>
      <c r="G5812" t="s">
        <v>79</v>
      </c>
      <c r="H5812" t="s">
        <v>2420</v>
      </c>
      <c r="I5812" t="s">
        <v>2421</v>
      </c>
      <c r="J5812" t="s">
        <v>52</v>
      </c>
      <c r="K5812" s="3">
        <v>100731832445</v>
      </c>
      <c r="L5812" s="10">
        <v>39996</v>
      </c>
      <c r="M5812">
        <v>253.26</v>
      </c>
      <c r="N5812" s="11">
        <v>8</v>
      </c>
      <c r="O5812" s="12">
        <v>29.17</v>
      </c>
      <c r="P5812" s="12">
        <v>6.27</v>
      </c>
      <c r="Q5812" s="13">
        <v>49.657</v>
      </c>
      <c r="R5812" s="36" t="s">
        <v>1115</v>
      </c>
      <c r="S5812" s="7">
        <f t="shared" si="498"/>
        <v>1</v>
      </c>
      <c r="T5812" s="15" t="str">
        <f>VLOOKUP(R5812,产品分类!$C$2:$D$1278,2,0)</f>
        <v>家具产品</v>
      </c>
    </row>
    <row r="5813" spans="1:20">
      <c r="A5813" s="8">
        <f>DATE(2012,12,31)-1279</f>
        <v>39995</v>
      </c>
      <c r="B5813" s="8">
        <f>DATE(2012,12,31)-1279</f>
        <v>39995</v>
      </c>
      <c r="C5813" s="9" t="s">
        <v>2262</v>
      </c>
      <c r="D5813">
        <v>10021584611</v>
      </c>
      <c r="E5813" t="s">
        <v>47</v>
      </c>
      <c r="F5813" t="s">
        <v>78</v>
      </c>
      <c r="G5813" t="s">
        <v>79</v>
      </c>
      <c r="H5813" t="s">
        <v>2420</v>
      </c>
      <c r="I5813" t="s">
        <v>2421</v>
      </c>
      <c r="J5813" t="s">
        <v>52</v>
      </c>
      <c r="K5813" s="3">
        <v>100327459959</v>
      </c>
      <c r="L5813" s="10">
        <v>39997</v>
      </c>
      <c r="M5813">
        <v>6865.072</v>
      </c>
      <c r="N5813" s="11">
        <v>45</v>
      </c>
      <c r="O5813" s="12">
        <v>179.29</v>
      </c>
      <c r="P5813" s="12">
        <v>29.21</v>
      </c>
      <c r="Q5813" s="13">
        <v>1117.24</v>
      </c>
      <c r="R5813" s="36" t="s">
        <v>629</v>
      </c>
      <c r="S5813" s="7">
        <f t="shared" si="498"/>
        <v>2</v>
      </c>
      <c r="T5813" s="15" t="str">
        <f>VLOOKUP(R5813,产品分类!$C$2:$D$1278,2,0)</f>
        <v>办公用品</v>
      </c>
    </row>
    <row r="5814" spans="1:20">
      <c r="A5814" s="8">
        <f>DATE(2012,12,31)-537</f>
        <v>40737</v>
      </c>
      <c r="B5814" s="8">
        <f>DATE(2012,12,31)-537</f>
        <v>40737</v>
      </c>
      <c r="C5814" s="9" t="s">
        <v>716</v>
      </c>
      <c r="D5814">
        <v>10021671151</v>
      </c>
      <c r="E5814" t="s">
        <v>47</v>
      </c>
      <c r="F5814" t="s">
        <v>230</v>
      </c>
      <c r="G5814" t="s">
        <v>231</v>
      </c>
      <c r="H5814" t="s">
        <v>2372</v>
      </c>
      <c r="I5814" t="s">
        <v>2373</v>
      </c>
      <c r="J5814" t="s">
        <v>52</v>
      </c>
      <c r="K5814" s="3">
        <v>100930928171</v>
      </c>
      <c r="L5814" s="10">
        <v>40739</v>
      </c>
      <c r="M5814">
        <v>1314.64</v>
      </c>
      <c r="N5814" s="11">
        <v>23</v>
      </c>
      <c r="O5814" s="12">
        <v>55.48</v>
      </c>
      <c r="P5814" s="12">
        <v>6.79</v>
      </c>
      <c r="Q5814" s="13">
        <v>575.38</v>
      </c>
      <c r="R5814" s="36" t="s">
        <v>1562</v>
      </c>
      <c r="S5814" s="7">
        <f t="shared" si="498"/>
        <v>2</v>
      </c>
      <c r="T5814" s="15" t="str">
        <f>VLOOKUP(R5814,产品分类!$C$2:$D$1278,2,0)</f>
        <v>办公用品</v>
      </c>
    </row>
    <row r="5815" spans="1:20">
      <c r="A5815" s="8">
        <f>DATE(2012,12,31)-1206</f>
        <v>40068</v>
      </c>
      <c r="B5815" s="8">
        <f>DATE(2012,12,31)-1206</f>
        <v>40068</v>
      </c>
      <c r="C5815" s="9" t="s">
        <v>1529</v>
      </c>
      <c r="D5815">
        <v>10021264301</v>
      </c>
      <c r="E5815" t="s">
        <v>47</v>
      </c>
      <c r="F5815" t="s">
        <v>132</v>
      </c>
      <c r="G5815" t="s">
        <v>133</v>
      </c>
      <c r="H5815" t="s">
        <v>134</v>
      </c>
      <c r="I5815" t="s">
        <v>133</v>
      </c>
      <c r="J5815" t="s">
        <v>52</v>
      </c>
      <c r="K5815" s="3">
        <v>100130900486</v>
      </c>
      <c r="L5815" s="10">
        <v>40069</v>
      </c>
      <c r="M5815">
        <v>345.57</v>
      </c>
      <c r="N5815" s="11">
        <v>4</v>
      </c>
      <c r="O5815" s="12">
        <v>80.98</v>
      </c>
      <c r="P5815" s="12">
        <v>35</v>
      </c>
      <c r="Q5815" s="13">
        <v>-218.77</v>
      </c>
      <c r="R5815" s="36" t="s">
        <v>1459</v>
      </c>
      <c r="S5815" s="7">
        <f t="shared" si="498"/>
        <v>1</v>
      </c>
      <c r="T5815" s="15" t="str">
        <f>VLOOKUP(R5815,产品分类!$C$2:$D$1278,2,0)</f>
        <v>办公用品</v>
      </c>
    </row>
    <row r="5816" spans="1:20">
      <c r="A5816" s="8">
        <f>DATE(2012,12,31)-1334</f>
        <v>39940</v>
      </c>
      <c r="B5816" s="8">
        <f>DATE(2012,12,31)-1334</f>
        <v>39940</v>
      </c>
      <c r="C5816" s="9" t="s">
        <v>853</v>
      </c>
      <c r="D5816">
        <v>10021430548</v>
      </c>
      <c r="E5816" t="s">
        <v>47</v>
      </c>
      <c r="F5816" t="s">
        <v>167</v>
      </c>
      <c r="G5816" t="s">
        <v>168</v>
      </c>
      <c r="H5816" t="s">
        <v>169</v>
      </c>
      <c r="I5816" t="s">
        <v>168</v>
      </c>
      <c r="J5816" t="s">
        <v>52</v>
      </c>
      <c r="K5816" s="3">
        <v>100328144489</v>
      </c>
      <c r="L5816" s="10">
        <v>39942</v>
      </c>
      <c r="M5816">
        <v>1455.49</v>
      </c>
      <c r="N5816" s="11">
        <v>5</v>
      </c>
      <c r="O5816" s="12">
        <v>300.97</v>
      </c>
      <c r="P5816" s="12">
        <v>7.18</v>
      </c>
      <c r="Q5816" s="13">
        <v>-807.59</v>
      </c>
      <c r="R5816" s="36" t="s">
        <v>755</v>
      </c>
      <c r="S5816" s="7">
        <f t="shared" si="498"/>
        <v>2</v>
      </c>
      <c r="T5816" s="15" t="str">
        <f>VLOOKUP(R5816,产品分类!$C$2:$D$1278,2,0)</f>
        <v>办公用品</v>
      </c>
    </row>
    <row r="5817" spans="1:20">
      <c r="A5817" s="8">
        <f>DATE(2012,12,31)-721</f>
        <v>40553</v>
      </c>
      <c r="B5817" s="8">
        <f>DATE(2012,12,31)-721</f>
        <v>40553</v>
      </c>
      <c r="C5817" s="9" t="s">
        <v>2056</v>
      </c>
      <c r="D5817">
        <v>10021289150</v>
      </c>
      <c r="E5817" t="s">
        <v>47</v>
      </c>
      <c r="F5817" t="s">
        <v>72</v>
      </c>
      <c r="G5817" t="s">
        <v>73</v>
      </c>
      <c r="H5817" t="s">
        <v>2417</v>
      </c>
      <c r="I5817" t="s">
        <v>2418</v>
      </c>
      <c r="J5817" t="s">
        <v>52</v>
      </c>
      <c r="K5817" s="3">
        <v>100127079276</v>
      </c>
      <c r="L5817" s="10">
        <v>40555</v>
      </c>
      <c r="M5817">
        <v>1782.68</v>
      </c>
      <c r="N5817" s="11">
        <v>17</v>
      </c>
      <c r="O5817" s="12">
        <v>107.53</v>
      </c>
      <c r="P5817" s="12">
        <v>5.81</v>
      </c>
      <c r="Q5817" s="13">
        <v>280.64</v>
      </c>
      <c r="R5817" s="36" t="s">
        <v>65</v>
      </c>
      <c r="S5817" s="7">
        <f t="shared" si="498"/>
        <v>2</v>
      </c>
      <c r="T5817" s="15" t="str">
        <f>VLOOKUP(R5817,产品分类!$C$2:$D$1278,2,0)</f>
        <v>家具产品</v>
      </c>
    </row>
    <row r="5818" spans="1:20">
      <c r="A5818" s="8">
        <f>DATE(2012,12,31)-1170</f>
        <v>40104</v>
      </c>
      <c r="B5818" s="8">
        <f>DATE(2012,12,31)-1170</f>
        <v>40104</v>
      </c>
      <c r="C5818" s="9" t="s">
        <v>1094</v>
      </c>
      <c r="D5818">
        <v>10021490766</v>
      </c>
      <c r="E5818" t="s">
        <v>47</v>
      </c>
      <c r="F5818" t="s">
        <v>230</v>
      </c>
      <c r="G5818" t="s">
        <v>231</v>
      </c>
      <c r="H5818" t="s">
        <v>2372</v>
      </c>
      <c r="I5818" t="s">
        <v>2373</v>
      </c>
      <c r="J5818" t="s">
        <v>52</v>
      </c>
      <c r="K5818" s="3">
        <v>100832418552</v>
      </c>
      <c r="L5818" s="10">
        <v>40111</v>
      </c>
      <c r="M5818">
        <v>1333.19</v>
      </c>
      <c r="N5818" s="11">
        <v>22</v>
      </c>
      <c r="O5818" s="12">
        <v>60.65</v>
      </c>
      <c r="P5818" s="12">
        <v>12.23</v>
      </c>
      <c r="Q5818" s="13">
        <v>331.48</v>
      </c>
      <c r="R5818" s="36" t="s">
        <v>1387</v>
      </c>
      <c r="S5818" s="7">
        <f t="shared" si="498"/>
        <v>7</v>
      </c>
      <c r="T5818" s="15" t="str">
        <f>VLOOKUP(R5818,产品分类!$C$2:$D$1278,2,0)</f>
        <v>家具产品</v>
      </c>
    </row>
    <row r="5819" spans="1:20">
      <c r="A5819" s="8">
        <f>DATE(2012,12,31)-1276</f>
        <v>39998</v>
      </c>
      <c r="B5819" s="8">
        <f>DATE(2012,12,31)-1276</f>
        <v>39998</v>
      </c>
      <c r="C5819" s="9" t="s">
        <v>710</v>
      </c>
      <c r="D5819">
        <v>10021358071</v>
      </c>
      <c r="E5819" t="s">
        <v>47</v>
      </c>
      <c r="F5819" t="s">
        <v>122</v>
      </c>
      <c r="G5819" t="s">
        <v>123</v>
      </c>
      <c r="H5819" t="s">
        <v>2458</v>
      </c>
      <c r="I5819" t="s">
        <v>2459</v>
      </c>
      <c r="J5819" t="s">
        <v>52</v>
      </c>
      <c r="K5819" s="3">
        <v>100830806832</v>
      </c>
      <c r="L5819" s="10">
        <v>40000</v>
      </c>
      <c r="M5819">
        <v>916.05</v>
      </c>
      <c r="N5819" s="11">
        <v>39</v>
      </c>
      <c r="O5819" s="12">
        <v>24.92</v>
      </c>
      <c r="P5819" s="12">
        <v>12.98</v>
      </c>
      <c r="Q5819" s="13">
        <v>-21.896</v>
      </c>
      <c r="R5819" s="36" t="s">
        <v>187</v>
      </c>
      <c r="S5819" s="7">
        <f t="shared" si="498"/>
        <v>2</v>
      </c>
      <c r="T5819" s="15" t="str">
        <f>VLOOKUP(R5819,产品分类!$C$2:$D$1278,2,0)</f>
        <v>数码电子</v>
      </c>
    </row>
    <row r="5820" spans="1:20">
      <c r="A5820" s="8">
        <f>DATE(2012,12,31)-106</f>
        <v>41168</v>
      </c>
      <c r="B5820" s="8">
        <f>DATE(2012,12,31)-106</f>
        <v>41168</v>
      </c>
      <c r="C5820" s="9" t="s">
        <v>1867</v>
      </c>
      <c r="D5820">
        <v>10021475277</v>
      </c>
      <c r="E5820" t="s">
        <v>47</v>
      </c>
      <c r="F5820" t="s">
        <v>91</v>
      </c>
      <c r="G5820" t="s">
        <v>92</v>
      </c>
      <c r="H5820" t="s">
        <v>2053</v>
      </c>
      <c r="I5820" t="s">
        <v>2054</v>
      </c>
      <c r="J5820" t="s">
        <v>52</v>
      </c>
      <c r="K5820" s="3">
        <v>10081814222</v>
      </c>
      <c r="L5820" s="10">
        <v>41169</v>
      </c>
      <c r="M5820">
        <v>260.96</v>
      </c>
      <c r="N5820" s="11">
        <v>40</v>
      </c>
      <c r="O5820" s="12">
        <v>6.48</v>
      </c>
      <c r="P5820" s="12">
        <v>6.22</v>
      </c>
      <c r="Q5820" s="13">
        <v>-96.7</v>
      </c>
      <c r="R5820" s="36" t="s">
        <v>1393</v>
      </c>
      <c r="S5820" s="7">
        <f t="shared" si="498"/>
        <v>1</v>
      </c>
      <c r="T5820" s="15" t="str">
        <f>VLOOKUP(R5820,产品分类!$C$2:$D$1278,2,0)</f>
        <v>家具产品</v>
      </c>
    </row>
    <row r="5821" spans="1:20">
      <c r="A5821" s="8">
        <f>DATE(2012,12,31)-335</f>
        <v>40939</v>
      </c>
      <c r="B5821" s="8">
        <f>DATE(2012,12,31)-335</f>
        <v>40939</v>
      </c>
      <c r="C5821" s="9" t="s">
        <v>2011</v>
      </c>
      <c r="D5821">
        <v>10021571642</v>
      </c>
      <c r="E5821" t="s">
        <v>47</v>
      </c>
      <c r="F5821" t="s">
        <v>91</v>
      </c>
      <c r="G5821" t="s">
        <v>92</v>
      </c>
      <c r="H5821" t="s">
        <v>2053</v>
      </c>
      <c r="I5821" t="s">
        <v>2054</v>
      </c>
      <c r="J5821" t="s">
        <v>52</v>
      </c>
      <c r="K5821" s="3">
        <v>1004764814</v>
      </c>
      <c r="L5821" s="10">
        <v>40940</v>
      </c>
      <c r="M5821">
        <v>787.63</v>
      </c>
      <c r="N5821" s="11">
        <v>21</v>
      </c>
      <c r="O5821" s="12">
        <v>39.48</v>
      </c>
      <c r="P5821" s="12">
        <v>1.99</v>
      </c>
      <c r="Q5821" s="13">
        <v>140.22</v>
      </c>
      <c r="R5821" s="36" t="s">
        <v>235</v>
      </c>
      <c r="S5821" s="7">
        <f t="shared" si="498"/>
        <v>1</v>
      </c>
      <c r="T5821" s="15" t="str">
        <f>VLOOKUP(R5821,产品分类!$C$2:$D$1278,2,0)</f>
        <v>办公用品</v>
      </c>
    </row>
    <row r="5822" spans="1:20">
      <c r="A5822" s="16">
        <f>DATE(2012,12,31)-1259</f>
        <v>40015</v>
      </c>
      <c r="B5822" s="16">
        <f>DATE(2012,12,31)-1259</f>
        <v>40015</v>
      </c>
      <c r="C5822" s="9" t="s">
        <v>1071</v>
      </c>
      <c r="D5822">
        <v>10021687264</v>
      </c>
      <c r="E5822" t="s">
        <v>47</v>
      </c>
      <c r="F5822" t="s">
        <v>132</v>
      </c>
      <c r="G5822" t="s">
        <v>133</v>
      </c>
      <c r="H5822" t="s">
        <v>134</v>
      </c>
      <c r="I5822" t="s">
        <v>133</v>
      </c>
      <c r="J5822" t="s">
        <v>52</v>
      </c>
      <c r="K5822" s="3">
        <v>100833287142</v>
      </c>
      <c r="L5822" s="10">
        <v>40016</v>
      </c>
      <c r="M5822">
        <v>121.74</v>
      </c>
      <c r="N5822" s="17">
        <v>8</v>
      </c>
      <c r="O5822" s="5">
        <v>14.28</v>
      </c>
      <c r="P5822" s="5">
        <v>2.99</v>
      </c>
      <c r="Q5822" s="6">
        <v>21.0035</v>
      </c>
      <c r="R5822" s="37" t="s">
        <v>2361</v>
      </c>
      <c r="S5822" s="7">
        <f t="shared" si="498"/>
        <v>1</v>
      </c>
      <c r="T5822" s="15" t="str">
        <f>VLOOKUP(R5822,产品分类!$C$2:$D$1278,2,0)</f>
        <v>数码电子</v>
      </c>
    </row>
    <row r="5823" spans="1:20">
      <c r="A5823" s="8">
        <f>DATE(2012,12,31)-1259</f>
        <v>40015</v>
      </c>
      <c r="B5823" s="8">
        <f>DATE(2012,12,31)-1259</f>
        <v>40015</v>
      </c>
      <c r="C5823" s="9" t="s">
        <v>1071</v>
      </c>
      <c r="D5823">
        <v>10021480520</v>
      </c>
      <c r="E5823" t="s">
        <v>47</v>
      </c>
      <c r="F5823" t="s">
        <v>132</v>
      </c>
      <c r="G5823" t="s">
        <v>133</v>
      </c>
      <c r="H5823" t="s">
        <v>134</v>
      </c>
      <c r="I5823" t="s">
        <v>133</v>
      </c>
      <c r="J5823" t="s">
        <v>52</v>
      </c>
      <c r="K5823" s="3">
        <v>10019699287</v>
      </c>
      <c r="L5823" s="10">
        <v>40018</v>
      </c>
      <c r="M5823">
        <v>700.366</v>
      </c>
      <c r="N5823" s="11">
        <v>4</v>
      </c>
      <c r="O5823" s="12">
        <v>205.99</v>
      </c>
      <c r="P5823" s="12">
        <v>5.99</v>
      </c>
      <c r="Q5823" s="13">
        <v>-787.699</v>
      </c>
      <c r="R5823" s="36" t="s">
        <v>110</v>
      </c>
      <c r="S5823" s="7">
        <f t="shared" si="498"/>
        <v>3</v>
      </c>
      <c r="T5823" s="15" t="str">
        <f>VLOOKUP(R5823,产品分类!$C$2:$D$1278,2,0)</f>
        <v>数码电子</v>
      </c>
    </row>
    <row r="5824" spans="1:20">
      <c r="A5824" s="8">
        <f>DATE(2012,12,31)-449</f>
        <v>40825</v>
      </c>
      <c r="B5824" s="8">
        <f>DATE(2012,12,31)-449</f>
        <v>40825</v>
      </c>
      <c r="C5824" s="9" t="s">
        <v>1560</v>
      </c>
      <c r="D5824">
        <v>10021697044</v>
      </c>
      <c r="E5824" t="s">
        <v>47</v>
      </c>
      <c r="F5824" t="s">
        <v>132</v>
      </c>
      <c r="G5824" t="s">
        <v>133</v>
      </c>
      <c r="H5824" t="s">
        <v>134</v>
      </c>
      <c r="I5824" t="s">
        <v>133</v>
      </c>
      <c r="J5824" t="s">
        <v>52</v>
      </c>
      <c r="K5824" s="3">
        <v>100132402757</v>
      </c>
      <c r="L5824" s="10">
        <v>40834</v>
      </c>
      <c r="M5824">
        <v>1223.11</v>
      </c>
      <c r="N5824" s="11">
        <v>21</v>
      </c>
      <c r="O5824" s="12">
        <v>56.96</v>
      </c>
      <c r="P5824" s="12">
        <v>13.22</v>
      </c>
      <c r="Q5824" s="13">
        <v>161.72</v>
      </c>
      <c r="R5824" s="36" t="s">
        <v>949</v>
      </c>
      <c r="S5824" s="7">
        <f t="shared" si="498"/>
        <v>9</v>
      </c>
      <c r="T5824" s="15" t="str">
        <f>VLOOKUP(R5824,产品分类!$C$2:$D$1278,2,0)</f>
        <v>家具产品</v>
      </c>
    </row>
    <row r="5825" spans="1:20">
      <c r="A5825" s="8">
        <f>DATE(2012,12,31)-333</f>
        <v>40941</v>
      </c>
      <c r="B5825" s="8">
        <f>DATE(2012,12,31)-333</f>
        <v>40941</v>
      </c>
      <c r="C5825" s="9" t="s">
        <v>1934</v>
      </c>
      <c r="D5825">
        <v>10021394701</v>
      </c>
      <c r="E5825" t="s">
        <v>47</v>
      </c>
      <c r="F5825" t="s">
        <v>102</v>
      </c>
      <c r="G5825" t="s">
        <v>103</v>
      </c>
      <c r="H5825" t="s">
        <v>2400</v>
      </c>
      <c r="I5825" t="s">
        <v>2401</v>
      </c>
      <c r="J5825" t="s">
        <v>52</v>
      </c>
      <c r="K5825" s="3">
        <v>100131216188</v>
      </c>
      <c r="L5825" s="10">
        <v>40941</v>
      </c>
      <c r="M5825">
        <v>66.41</v>
      </c>
      <c r="N5825" s="11">
        <v>36</v>
      </c>
      <c r="O5825" s="12">
        <v>1.88</v>
      </c>
      <c r="P5825" s="12">
        <v>0.79</v>
      </c>
      <c r="Q5825" s="13">
        <v>0.37</v>
      </c>
      <c r="R5825" s="36" t="s">
        <v>2473</v>
      </c>
      <c r="S5825" s="7">
        <f t="shared" si="498"/>
        <v>0</v>
      </c>
      <c r="T5825" s="15" t="str">
        <f>VLOOKUP(R5825,产品分类!$C$2:$D$1278,2,0)</f>
        <v>办公用品</v>
      </c>
    </row>
    <row r="5826" spans="1:20">
      <c r="A5826" s="8">
        <f t="shared" ref="A5826:B5828" si="503">DATE(2012,12,31)-380</f>
        <v>40894</v>
      </c>
      <c r="B5826" s="8">
        <f t="shared" si="503"/>
        <v>40894</v>
      </c>
      <c r="C5826" s="9" t="s">
        <v>1414</v>
      </c>
      <c r="D5826">
        <v>10021354926</v>
      </c>
      <c r="E5826" t="s">
        <v>47</v>
      </c>
      <c r="F5826" t="s">
        <v>102</v>
      </c>
      <c r="G5826" t="s">
        <v>103</v>
      </c>
      <c r="H5826" t="s">
        <v>2400</v>
      </c>
      <c r="I5826" t="s">
        <v>2401</v>
      </c>
      <c r="J5826" t="s">
        <v>52</v>
      </c>
      <c r="K5826" s="3">
        <v>100815432672</v>
      </c>
      <c r="L5826" s="10">
        <v>40895</v>
      </c>
      <c r="M5826">
        <v>346.2</v>
      </c>
      <c r="N5826" s="11">
        <v>44</v>
      </c>
      <c r="O5826" s="12">
        <v>7.38</v>
      </c>
      <c r="P5826" s="12">
        <v>11.51</v>
      </c>
      <c r="Q5826" s="13">
        <v>-335.685</v>
      </c>
      <c r="R5826" s="36" t="s">
        <v>1739</v>
      </c>
      <c r="S5826" s="7">
        <f t="shared" si="498"/>
        <v>1</v>
      </c>
      <c r="T5826" s="15" t="str">
        <f>VLOOKUP(R5826,产品分类!$C$2:$D$1278,2,0)</f>
        <v>家具产品</v>
      </c>
    </row>
    <row r="5827" spans="1:20">
      <c r="A5827" s="8">
        <f t="shared" si="503"/>
        <v>40894</v>
      </c>
      <c r="B5827" s="8">
        <f t="shared" si="503"/>
        <v>40894</v>
      </c>
      <c r="C5827" s="9" t="s">
        <v>1414</v>
      </c>
      <c r="D5827">
        <v>10021408722</v>
      </c>
      <c r="E5827" t="s">
        <v>47</v>
      </c>
      <c r="F5827" t="s">
        <v>171</v>
      </c>
      <c r="G5827" t="s">
        <v>172</v>
      </c>
      <c r="H5827" t="s">
        <v>2352</v>
      </c>
      <c r="I5827" t="s">
        <v>2353</v>
      </c>
      <c r="J5827" t="s">
        <v>52</v>
      </c>
      <c r="K5827" s="3">
        <v>100112976726</v>
      </c>
      <c r="L5827" s="10">
        <v>40896</v>
      </c>
      <c r="M5827">
        <v>85.96</v>
      </c>
      <c r="N5827" s="11">
        <v>4</v>
      </c>
      <c r="O5827" s="12">
        <v>20.24</v>
      </c>
      <c r="P5827" s="12">
        <v>8.99</v>
      </c>
      <c r="Q5827" s="13">
        <v>-7.48</v>
      </c>
      <c r="R5827" s="36" t="s">
        <v>2368</v>
      </c>
      <c r="S5827" s="7">
        <f t="shared" ref="S5827:S5890" si="504">+L5827-B5827</f>
        <v>2</v>
      </c>
      <c r="T5827" s="15" t="str">
        <f>VLOOKUP(R5827,产品分类!$C$2:$D$1278,2,0)</f>
        <v>数码电子</v>
      </c>
    </row>
    <row r="5828" spans="1:20">
      <c r="A5828" s="8">
        <f t="shared" si="503"/>
        <v>40894</v>
      </c>
      <c r="B5828" s="8">
        <f t="shared" si="503"/>
        <v>40894</v>
      </c>
      <c r="C5828" s="9" t="s">
        <v>1414</v>
      </c>
      <c r="D5828">
        <v>10021682791</v>
      </c>
      <c r="E5828" t="s">
        <v>47</v>
      </c>
      <c r="F5828" t="s">
        <v>127</v>
      </c>
      <c r="G5828" t="s">
        <v>128</v>
      </c>
      <c r="H5828" t="s">
        <v>2462</v>
      </c>
      <c r="I5828" t="s">
        <v>2463</v>
      </c>
      <c r="J5828" t="s">
        <v>52</v>
      </c>
      <c r="K5828" s="3">
        <v>100133275046</v>
      </c>
      <c r="L5828" s="10">
        <v>40896</v>
      </c>
      <c r="M5828">
        <v>475.52</v>
      </c>
      <c r="N5828" s="11">
        <v>39</v>
      </c>
      <c r="O5828" s="12">
        <v>12.44</v>
      </c>
      <c r="P5828" s="12">
        <v>6.27</v>
      </c>
      <c r="Q5828" s="13">
        <v>-70.43</v>
      </c>
      <c r="R5828" s="36" t="s">
        <v>150</v>
      </c>
      <c r="S5828" s="7">
        <f t="shared" si="504"/>
        <v>2</v>
      </c>
      <c r="T5828" s="15" t="str">
        <f>VLOOKUP(R5828,产品分类!$C$2:$D$1278,2,0)</f>
        <v>家具产品</v>
      </c>
    </row>
    <row r="5829" spans="1:20">
      <c r="A5829" s="16">
        <f>DATE(2012,12,31)-968</f>
        <v>40306</v>
      </c>
      <c r="B5829" s="16">
        <f>DATE(2012,12,31)-968</f>
        <v>40306</v>
      </c>
      <c r="C5829" s="9" t="s">
        <v>1885</v>
      </c>
      <c r="D5829">
        <v>10021699853</v>
      </c>
      <c r="E5829" t="s">
        <v>47</v>
      </c>
      <c r="F5829" t="s">
        <v>177</v>
      </c>
      <c r="G5829" t="s">
        <v>178</v>
      </c>
      <c r="H5829" t="s">
        <v>2451</v>
      </c>
      <c r="I5829" t="s">
        <v>2452</v>
      </c>
      <c r="J5829" t="s">
        <v>52</v>
      </c>
      <c r="K5829" s="3">
        <v>100724420765</v>
      </c>
      <c r="L5829" s="10">
        <v>40307</v>
      </c>
      <c r="M5829">
        <v>423.3</v>
      </c>
      <c r="N5829" s="17">
        <v>1</v>
      </c>
      <c r="O5829" s="5">
        <v>419.19</v>
      </c>
      <c r="P5829" s="5">
        <v>19.99</v>
      </c>
      <c r="Q5829" s="6">
        <v>-259.01</v>
      </c>
      <c r="R5829" s="37" t="s">
        <v>1223</v>
      </c>
      <c r="S5829" s="7">
        <f t="shared" si="504"/>
        <v>1</v>
      </c>
      <c r="T5829" s="15" t="str">
        <f>VLOOKUP(R5829,产品分类!$C$2:$D$1278,2,0)</f>
        <v>办公用品</v>
      </c>
    </row>
    <row r="5830" spans="1:20">
      <c r="A5830" s="8">
        <f>DATE(2012,12,31)-830</f>
        <v>40444</v>
      </c>
      <c r="B5830" s="8">
        <f>DATE(2012,12,31)-830</f>
        <v>40444</v>
      </c>
      <c r="C5830" s="9" t="s">
        <v>1935</v>
      </c>
      <c r="D5830">
        <v>10021392905</v>
      </c>
      <c r="E5830" t="s">
        <v>47</v>
      </c>
      <c r="F5830" t="s">
        <v>167</v>
      </c>
      <c r="G5830" t="s">
        <v>168</v>
      </c>
      <c r="H5830" t="s">
        <v>169</v>
      </c>
      <c r="I5830" t="s">
        <v>168</v>
      </c>
      <c r="J5830" t="s">
        <v>52</v>
      </c>
      <c r="K5830" s="3">
        <v>100431812023</v>
      </c>
      <c r="L5830" s="10">
        <v>40445</v>
      </c>
      <c r="M5830">
        <v>8273.2795</v>
      </c>
      <c r="N5830" s="11">
        <v>48</v>
      </c>
      <c r="O5830" s="12">
        <v>205.99</v>
      </c>
      <c r="P5830" s="12">
        <v>8.99</v>
      </c>
      <c r="Q5830" s="13">
        <v>2461.311</v>
      </c>
      <c r="R5830" s="36" t="s">
        <v>1543</v>
      </c>
      <c r="S5830" s="7">
        <f t="shared" si="504"/>
        <v>1</v>
      </c>
      <c r="T5830" s="15" t="str">
        <f>VLOOKUP(R5830,产品分类!$C$2:$D$1278,2,0)</f>
        <v>家具产品</v>
      </c>
    </row>
    <row r="5831" spans="1:20">
      <c r="A5831" s="8">
        <f>DATE(2012,12,31)-63</f>
        <v>41211</v>
      </c>
      <c r="B5831" s="8">
        <f>DATE(2012,12,31)-63</f>
        <v>41211</v>
      </c>
      <c r="C5831" s="9" t="s">
        <v>504</v>
      </c>
      <c r="D5831">
        <v>10021490740</v>
      </c>
      <c r="E5831" t="s">
        <v>47</v>
      </c>
      <c r="F5831" t="s">
        <v>55</v>
      </c>
      <c r="G5831" t="s">
        <v>56</v>
      </c>
      <c r="H5831" t="s">
        <v>2471</v>
      </c>
      <c r="I5831" t="s">
        <v>2472</v>
      </c>
      <c r="J5831" t="s">
        <v>52</v>
      </c>
      <c r="K5831" s="3">
        <v>10089489532</v>
      </c>
      <c r="L5831" s="10">
        <v>41214</v>
      </c>
      <c r="M5831">
        <v>5454.51</v>
      </c>
      <c r="N5831" s="11">
        <v>30</v>
      </c>
      <c r="O5831" s="12">
        <v>180.98</v>
      </c>
      <c r="P5831" s="12">
        <v>30</v>
      </c>
      <c r="Q5831" s="13">
        <v>446.26</v>
      </c>
      <c r="R5831" s="36" t="s">
        <v>1627</v>
      </c>
      <c r="S5831" s="7">
        <f t="shared" si="504"/>
        <v>3</v>
      </c>
      <c r="T5831" s="15" t="str">
        <f>VLOOKUP(R5831,产品分类!$C$2:$D$1278,2,0)</f>
        <v>办公用品</v>
      </c>
    </row>
    <row r="5832" spans="1:20">
      <c r="A5832" s="8">
        <f>DATE(2012,12,31)-63</f>
        <v>41211</v>
      </c>
      <c r="B5832" s="8">
        <f>DATE(2012,12,31)-63</f>
        <v>41211</v>
      </c>
      <c r="C5832" s="9" t="s">
        <v>504</v>
      </c>
      <c r="D5832">
        <v>10021305065</v>
      </c>
      <c r="E5832" t="s">
        <v>47</v>
      </c>
      <c r="F5832" t="s">
        <v>61</v>
      </c>
      <c r="G5832" t="s">
        <v>62</v>
      </c>
      <c r="H5832" t="s">
        <v>2431</v>
      </c>
      <c r="I5832" t="s">
        <v>2432</v>
      </c>
      <c r="J5832" t="s">
        <v>52</v>
      </c>
      <c r="K5832" s="3">
        <v>1007868765</v>
      </c>
      <c r="L5832" s="10">
        <v>41213</v>
      </c>
      <c r="M5832">
        <v>1264.17</v>
      </c>
      <c r="N5832" s="11">
        <v>42</v>
      </c>
      <c r="O5832" s="12">
        <v>29.89</v>
      </c>
      <c r="P5832" s="12">
        <v>1.99</v>
      </c>
      <c r="Q5832" s="13">
        <v>433.34</v>
      </c>
      <c r="R5832" s="36" t="s">
        <v>866</v>
      </c>
      <c r="S5832" s="7">
        <f t="shared" si="504"/>
        <v>2</v>
      </c>
      <c r="T5832" s="15" t="str">
        <f>VLOOKUP(R5832,产品分类!$C$2:$D$1278,2,0)</f>
        <v>办公用品</v>
      </c>
    </row>
    <row r="5833" spans="1:20">
      <c r="A5833" s="8">
        <f>DATE(2012,12,31)-964</f>
        <v>40310</v>
      </c>
      <c r="B5833" s="8">
        <f>DATE(2012,12,31)-964</f>
        <v>40310</v>
      </c>
      <c r="C5833" s="9" t="s">
        <v>1429</v>
      </c>
      <c r="D5833">
        <v>10021655843</v>
      </c>
      <c r="E5833" t="s">
        <v>47</v>
      </c>
      <c r="F5833" t="s">
        <v>61</v>
      </c>
      <c r="G5833" t="s">
        <v>62</v>
      </c>
      <c r="H5833" t="s">
        <v>2431</v>
      </c>
      <c r="I5833" t="s">
        <v>2432</v>
      </c>
      <c r="J5833" t="s">
        <v>52</v>
      </c>
      <c r="K5833" s="3">
        <v>100930597501</v>
      </c>
      <c r="L5833" s="10">
        <v>40317</v>
      </c>
      <c r="M5833">
        <v>1449.45</v>
      </c>
      <c r="N5833" s="11">
        <v>36</v>
      </c>
      <c r="O5833" s="12">
        <v>41.94</v>
      </c>
      <c r="P5833" s="12">
        <v>2.99</v>
      </c>
      <c r="Q5833" s="13">
        <v>620.0665</v>
      </c>
      <c r="R5833" s="36" t="s">
        <v>1548</v>
      </c>
      <c r="S5833" s="7">
        <f t="shared" si="504"/>
        <v>7</v>
      </c>
      <c r="T5833" s="15" t="str">
        <f>VLOOKUP(R5833,产品分类!$C$2:$D$1278,2,0)</f>
        <v>办公用品</v>
      </c>
    </row>
    <row r="5834" spans="1:20">
      <c r="A5834" s="8">
        <f>DATE(2012,12,31)-964</f>
        <v>40310</v>
      </c>
      <c r="B5834" s="8">
        <f>DATE(2012,12,31)-964</f>
        <v>40310</v>
      </c>
      <c r="C5834" s="9" t="s">
        <v>1429</v>
      </c>
      <c r="D5834">
        <v>10021536659</v>
      </c>
      <c r="E5834" t="s">
        <v>47</v>
      </c>
      <c r="F5834" t="s">
        <v>61</v>
      </c>
      <c r="G5834" t="s">
        <v>62</v>
      </c>
      <c r="H5834" t="s">
        <v>2431</v>
      </c>
      <c r="I5834" t="s">
        <v>2432</v>
      </c>
      <c r="J5834" t="s">
        <v>52</v>
      </c>
      <c r="K5834" s="3">
        <v>10099488291</v>
      </c>
      <c r="L5834" s="10">
        <v>40314</v>
      </c>
      <c r="M5834">
        <v>2702.3</v>
      </c>
      <c r="N5834" s="11">
        <v>38</v>
      </c>
      <c r="O5834" s="12">
        <v>70.98</v>
      </c>
      <c r="P5834" s="12">
        <v>59.81</v>
      </c>
      <c r="Q5834" s="13">
        <v>-1330.78</v>
      </c>
      <c r="R5834" s="36" t="s">
        <v>2449</v>
      </c>
      <c r="S5834" s="7">
        <f t="shared" si="504"/>
        <v>4</v>
      </c>
      <c r="T5834" s="15" t="str">
        <f>VLOOKUP(R5834,产品分类!$C$2:$D$1278,2,0)</f>
        <v>办公用品</v>
      </c>
    </row>
    <row r="5835" spans="1:20">
      <c r="A5835" s="8">
        <f>DATE(2012,12,31)-529</f>
        <v>40745</v>
      </c>
      <c r="B5835" s="8">
        <f>DATE(2012,12,31)-529</f>
        <v>40745</v>
      </c>
      <c r="C5835" s="9" t="s">
        <v>1109</v>
      </c>
      <c r="D5835">
        <v>10021291487</v>
      </c>
      <c r="E5835" t="s">
        <v>47</v>
      </c>
      <c r="F5835" t="s">
        <v>66</v>
      </c>
      <c r="G5835" t="s">
        <v>67</v>
      </c>
      <c r="H5835" t="s">
        <v>2467</v>
      </c>
      <c r="I5835" t="s">
        <v>2468</v>
      </c>
      <c r="J5835" t="s">
        <v>52</v>
      </c>
      <c r="K5835" s="3">
        <v>10049376753</v>
      </c>
      <c r="L5835" s="10">
        <v>40747</v>
      </c>
      <c r="M5835">
        <v>18.92</v>
      </c>
      <c r="N5835" s="11">
        <v>1</v>
      </c>
      <c r="O5835" s="12">
        <v>11.5</v>
      </c>
      <c r="P5835" s="12">
        <v>7.19</v>
      </c>
      <c r="Q5835" s="13">
        <v>-18.2505</v>
      </c>
      <c r="R5835" s="36" t="s">
        <v>633</v>
      </c>
      <c r="S5835" s="7">
        <f t="shared" si="504"/>
        <v>2</v>
      </c>
      <c r="T5835" s="15" t="str">
        <f>VLOOKUP(R5835,产品分类!$C$2:$D$1278,2,0)</f>
        <v>家具产品</v>
      </c>
    </row>
    <row r="5836" spans="1:20">
      <c r="A5836" s="8">
        <f>DATE(2012,12,31)-1201</f>
        <v>40073</v>
      </c>
      <c r="B5836" s="8">
        <f>DATE(2012,12,31)-1201</f>
        <v>40073</v>
      </c>
      <c r="C5836" s="9" t="s">
        <v>497</v>
      </c>
      <c r="D5836">
        <v>10021560124</v>
      </c>
      <c r="E5836" t="s">
        <v>47</v>
      </c>
      <c r="F5836" t="s">
        <v>78</v>
      </c>
      <c r="G5836" t="s">
        <v>79</v>
      </c>
      <c r="H5836" t="s">
        <v>2420</v>
      </c>
      <c r="I5836" t="s">
        <v>2421</v>
      </c>
      <c r="J5836" t="s">
        <v>52</v>
      </c>
      <c r="K5836" s="3">
        <v>100828085052</v>
      </c>
      <c r="L5836" s="10">
        <v>40075</v>
      </c>
      <c r="M5836">
        <v>263.81</v>
      </c>
      <c r="N5836" s="11">
        <v>47</v>
      </c>
      <c r="O5836" s="12">
        <v>5.4</v>
      </c>
      <c r="P5836" s="12">
        <v>7.78</v>
      </c>
      <c r="Q5836" s="13">
        <v>-237.544</v>
      </c>
      <c r="R5836" s="36" t="s">
        <v>200</v>
      </c>
      <c r="S5836" s="7">
        <f t="shared" si="504"/>
        <v>2</v>
      </c>
      <c r="T5836" s="15" t="str">
        <f>VLOOKUP(R5836,产品分类!$C$2:$D$1278,2,0)</f>
        <v>数码电子</v>
      </c>
    </row>
    <row r="5837" spans="1:20">
      <c r="A5837" s="8">
        <f t="shared" ref="A5837:B5839" si="505">DATE(2012,12,31)-411</f>
        <v>40863</v>
      </c>
      <c r="B5837" s="8">
        <f t="shared" si="505"/>
        <v>40863</v>
      </c>
      <c r="C5837" s="9" t="s">
        <v>705</v>
      </c>
      <c r="D5837">
        <v>10021361570</v>
      </c>
      <c r="E5837" t="s">
        <v>47</v>
      </c>
      <c r="F5837" t="s">
        <v>122</v>
      </c>
      <c r="G5837" t="s">
        <v>123</v>
      </c>
      <c r="H5837" t="s">
        <v>2458</v>
      </c>
      <c r="I5837" t="s">
        <v>2459</v>
      </c>
      <c r="J5837" t="s">
        <v>52</v>
      </c>
      <c r="K5837" s="3">
        <v>10037374829</v>
      </c>
      <c r="L5837" s="10">
        <v>40870</v>
      </c>
      <c r="M5837">
        <v>10134.55</v>
      </c>
      <c r="N5837" s="11">
        <v>17</v>
      </c>
      <c r="O5837" s="12">
        <v>599.99</v>
      </c>
      <c r="P5837" s="12">
        <v>24.49</v>
      </c>
      <c r="Q5837" s="13">
        <v>-597.21</v>
      </c>
      <c r="R5837" s="36" t="s">
        <v>634</v>
      </c>
      <c r="S5837" s="7">
        <f t="shared" si="504"/>
        <v>7</v>
      </c>
      <c r="T5837" s="15" t="str">
        <f>VLOOKUP(R5837,产品分类!$C$2:$D$1278,2,0)</f>
        <v>办公用品</v>
      </c>
    </row>
    <row r="5838" spans="1:20">
      <c r="A5838" s="8">
        <f t="shared" si="505"/>
        <v>40863</v>
      </c>
      <c r="B5838" s="8">
        <f t="shared" si="505"/>
        <v>40863</v>
      </c>
      <c r="C5838" s="9" t="s">
        <v>705</v>
      </c>
      <c r="D5838">
        <v>10021315724</v>
      </c>
      <c r="E5838" t="s">
        <v>47</v>
      </c>
      <c r="F5838" t="s">
        <v>122</v>
      </c>
      <c r="G5838" t="s">
        <v>123</v>
      </c>
      <c r="H5838" t="s">
        <v>2458</v>
      </c>
      <c r="I5838" t="s">
        <v>2459</v>
      </c>
      <c r="J5838" t="s">
        <v>52</v>
      </c>
      <c r="K5838" s="3">
        <v>100930216711</v>
      </c>
      <c r="L5838" s="10">
        <v>40865</v>
      </c>
      <c r="M5838">
        <v>1765.64</v>
      </c>
      <c r="N5838" s="11">
        <v>46</v>
      </c>
      <c r="O5838" s="12">
        <v>40.97</v>
      </c>
      <c r="P5838" s="12">
        <v>14.45</v>
      </c>
      <c r="Q5838" s="13">
        <v>108.65</v>
      </c>
      <c r="R5838" s="36" t="s">
        <v>542</v>
      </c>
      <c r="S5838" s="7">
        <f t="shared" si="504"/>
        <v>2</v>
      </c>
      <c r="T5838" s="15" t="str">
        <f>VLOOKUP(R5838,产品分类!$C$2:$D$1278,2,0)</f>
        <v>办公用品</v>
      </c>
    </row>
    <row r="5839" spans="1:20">
      <c r="A5839" s="8">
        <f t="shared" si="505"/>
        <v>40863</v>
      </c>
      <c r="B5839" s="8">
        <f t="shared" si="505"/>
        <v>40863</v>
      </c>
      <c r="C5839" s="9" t="s">
        <v>705</v>
      </c>
      <c r="D5839">
        <v>10021291617</v>
      </c>
      <c r="E5839" t="s">
        <v>47</v>
      </c>
      <c r="F5839" t="s">
        <v>132</v>
      </c>
      <c r="G5839" t="s">
        <v>133</v>
      </c>
      <c r="H5839" t="s">
        <v>134</v>
      </c>
      <c r="I5839" t="s">
        <v>133</v>
      </c>
      <c r="J5839" t="s">
        <v>52</v>
      </c>
      <c r="K5839" s="3">
        <v>100132473678</v>
      </c>
      <c r="L5839" s="10">
        <v>40867</v>
      </c>
      <c r="M5839">
        <v>156.5</v>
      </c>
      <c r="N5839" s="11">
        <v>23</v>
      </c>
      <c r="O5839" s="12">
        <v>6.48</v>
      </c>
      <c r="P5839" s="12">
        <v>6</v>
      </c>
      <c r="Q5839" s="13">
        <v>-49.6</v>
      </c>
      <c r="R5839" s="36" t="s">
        <v>905</v>
      </c>
      <c r="S5839" s="7">
        <f t="shared" si="504"/>
        <v>4</v>
      </c>
      <c r="T5839" s="15" t="str">
        <f>VLOOKUP(R5839,产品分类!$C$2:$D$1278,2,0)</f>
        <v>办公用品</v>
      </c>
    </row>
    <row r="5840" spans="1:20">
      <c r="A5840" s="8">
        <f>DATE(2012,12,31)-1147</f>
        <v>40127</v>
      </c>
      <c r="B5840" s="8">
        <f>DATE(2012,12,31)-1147</f>
        <v>40127</v>
      </c>
      <c r="C5840" s="9" t="s">
        <v>1301</v>
      </c>
      <c r="D5840">
        <v>10021457716</v>
      </c>
      <c r="E5840" t="s">
        <v>47</v>
      </c>
      <c r="F5840" t="s">
        <v>171</v>
      </c>
      <c r="G5840" t="s">
        <v>172</v>
      </c>
      <c r="H5840" t="s">
        <v>2352</v>
      </c>
      <c r="I5840" t="s">
        <v>2353</v>
      </c>
      <c r="J5840" t="s">
        <v>52</v>
      </c>
      <c r="K5840" s="3">
        <v>100326964229</v>
      </c>
      <c r="L5840" s="10">
        <v>40132</v>
      </c>
      <c r="M5840">
        <v>80.92</v>
      </c>
      <c r="N5840" s="11">
        <v>10</v>
      </c>
      <c r="O5840" s="12">
        <v>7.64</v>
      </c>
      <c r="P5840" s="12">
        <v>5.83</v>
      </c>
      <c r="Q5840" s="13">
        <v>-20.16</v>
      </c>
      <c r="R5840" s="36" t="s">
        <v>202</v>
      </c>
      <c r="S5840" s="7">
        <f t="shared" si="504"/>
        <v>5</v>
      </c>
      <c r="T5840" s="15" t="str">
        <f>VLOOKUP(R5840,产品分类!$C$2:$D$1278,2,0)</f>
        <v>办公用品</v>
      </c>
    </row>
    <row r="5841" spans="1:20">
      <c r="A5841" s="8">
        <f>DATE(2012,12,31)-1196</f>
        <v>40078</v>
      </c>
      <c r="B5841" s="8">
        <f>DATE(2012,12,31)-1196</f>
        <v>40078</v>
      </c>
      <c r="C5841" s="9" t="s">
        <v>1784</v>
      </c>
      <c r="D5841">
        <v>10021603878</v>
      </c>
      <c r="E5841" t="s">
        <v>47</v>
      </c>
      <c r="F5841" t="s">
        <v>61</v>
      </c>
      <c r="G5841" t="s">
        <v>62</v>
      </c>
      <c r="H5841" t="s">
        <v>2431</v>
      </c>
      <c r="I5841" t="s">
        <v>2432</v>
      </c>
      <c r="J5841" t="s">
        <v>52</v>
      </c>
      <c r="K5841" s="3">
        <v>100315563389</v>
      </c>
      <c r="L5841" s="10">
        <v>40079</v>
      </c>
      <c r="M5841">
        <v>92.94</v>
      </c>
      <c r="N5841" s="11">
        <v>20</v>
      </c>
      <c r="O5841" s="12">
        <v>4.91</v>
      </c>
      <c r="P5841" s="12">
        <v>0.5</v>
      </c>
      <c r="Q5841" s="13">
        <v>37.77</v>
      </c>
      <c r="R5841" s="36" t="s">
        <v>427</v>
      </c>
      <c r="S5841" s="7">
        <f t="shared" si="504"/>
        <v>1</v>
      </c>
      <c r="T5841" s="15" t="str">
        <f>VLOOKUP(R5841,产品分类!$C$2:$D$1278,2,0)</f>
        <v>数码电子</v>
      </c>
    </row>
    <row r="5842" spans="1:20">
      <c r="A5842" s="8">
        <f>DATE(2012,12,31)-1196</f>
        <v>40078</v>
      </c>
      <c r="B5842" s="8">
        <f>DATE(2012,12,31)-1196</f>
        <v>40078</v>
      </c>
      <c r="C5842" s="9" t="s">
        <v>1784</v>
      </c>
      <c r="D5842">
        <v>10021386370</v>
      </c>
      <c r="E5842" t="s">
        <v>47</v>
      </c>
      <c r="F5842" t="s">
        <v>66</v>
      </c>
      <c r="G5842" t="s">
        <v>67</v>
      </c>
      <c r="H5842" t="s">
        <v>2467</v>
      </c>
      <c r="I5842" t="s">
        <v>2468</v>
      </c>
      <c r="J5842" t="s">
        <v>52</v>
      </c>
      <c r="K5842" s="3">
        <v>10099409701</v>
      </c>
      <c r="L5842" s="10">
        <v>40081</v>
      </c>
      <c r="M5842">
        <v>6070.96</v>
      </c>
      <c r="N5842" s="11">
        <v>19</v>
      </c>
      <c r="O5842" s="12">
        <v>296.18</v>
      </c>
      <c r="P5842" s="12">
        <v>54.12</v>
      </c>
      <c r="Q5842" s="13">
        <v>173.48</v>
      </c>
      <c r="R5842" s="36" t="s">
        <v>372</v>
      </c>
      <c r="S5842" s="7">
        <f t="shared" si="504"/>
        <v>3</v>
      </c>
      <c r="T5842" s="15" t="str">
        <f>VLOOKUP(R5842,产品分类!$C$2:$D$1278,2,0)</f>
        <v>办公用品</v>
      </c>
    </row>
    <row r="5843" spans="1:20">
      <c r="A5843" s="8">
        <f>DATE(2012,12,31)-343</f>
        <v>40931</v>
      </c>
      <c r="B5843" s="8">
        <f>DATE(2012,12,31)-343</f>
        <v>40931</v>
      </c>
      <c r="C5843" s="9" t="s">
        <v>564</v>
      </c>
      <c r="D5843">
        <v>10021340976</v>
      </c>
      <c r="E5843" t="s">
        <v>47</v>
      </c>
      <c r="F5843" t="s">
        <v>66</v>
      </c>
      <c r="G5843" t="s">
        <v>67</v>
      </c>
      <c r="H5843" t="s">
        <v>2467</v>
      </c>
      <c r="I5843" t="s">
        <v>2468</v>
      </c>
      <c r="J5843" t="s">
        <v>52</v>
      </c>
      <c r="K5843" s="3">
        <v>100126777867</v>
      </c>
      <c r="L5843" s="10">
        <v>40932</v>
      </c>
      <c r="M5843">
        <v>221.08</v>
      </c>
      <c r="N5843" s="11">
        <v>41</v>
      </c>
      <c r="O5843" s="12">
        <v>4.91</v>
      </c>
      <c r="P5843" s="12">
        <v>5.68</v>
      </c>
      <c r="Q5843" s="13">
        <v>-108.2035</v>
      </c>
      <c r="R5843" s="36" t="s">
        <v>1350</v>
      </c>
      <c r="S5843" s="7">
        <f t="shared" si="504"/>
        <v>1</v>
      </c>
      <c r="T5843" s="15" t="str">
        <f>VLOOKUP(R5843,产品分类!$C$2:$D$1278,2,0)</f>
        <v>办公用品</v>
      </c>
    </row>
    <row r="5844" spans="1:20">
      <c r="A5844" s="8">
        <f>DATE(2012,12,31)-1073</f>
        <v>40201</v>
      </c>
      <c r="B5844" s="8">
        <f>DATE(2012,12,31)-1073</f>
        <v>40201</v>
      </c>
      <c r="C5844" s="9" t="s">
        <v>108</v>
      </c>
      <c r="D5844">
        <v>10021508897</v>
      </c>
      <c r="E5844" t="s">
        <v>47</v>
      </c>
      <c r="F5844" t="s">
        <v>152</v>
      </c>
      <c r="G5844" t="s">
        <v>153</v>
      </c>
      <c r="H5844" t="s">
        <v>2441</v>
      </c>
      <c r="I5844" t="s">
        <v>2442</v>
      </c>
      <c r="J5844" t="s">
        <v>52</v>
      </c>
      <c r="K5844" s="3">
        <v>100332325609</v>
      </c>
      <c r="L5844" s="10">
        <v>40208</v>
      </c>
      <c r="M5844">
        <v>280.87</v>
      </c>
      <c r="N5844" s="11">
        <v>48</v>
      </c>
      <c r="O5844" s="12">
        <v>5.38</v>
      </c>
      <c r="P5844" s="12">
        <v>7.57</v>
      </c>
      <c r="Q5844" s="13">
        <v>-214.153</v>
      </c>
      <c r="R5844" s="36" t="s">
        <v>2166</v>
      </c>
      <c r="S5844" s="7">
        <f t="shared" si="504"/>
        <v>7</v>
      </c>
      <c r="T5844" s="15" t="str">
        <f>VLOOKUP(R5844,产品分类!$C$2:$D$1278,2,0)</f>
        <v>数码电子</v>
      </c>
    </row>
    <row r="5845" spans="1:20">
      <c r="A5845" s="8">
        <f>DATE(2012,12,31)-1351</f>
        <v>39923</v>
      </c>
      <c r="B5845" s="8">
        <f>DATE(2012,12,31)-1351</f>
        <v>39923</v>
      </c>
      <c r="C5845" s="9" t="s">
        <v>1669</v>
      </c>
      <c r="D5845">
        <v>10021413683</v>
      </c>
      <c r="E5845" t="s">
        <v>47</v>
      </c>
      <c r="F5845" t="s">
        <v>48</v>
      </c>
      <c r="G5845" t="s">
        <v>49</v>
      </c>
      <c r="H5845" t="s">
        <v>2474</v>
      </c>
      <c r="I5845" t="s">
        <v>2475</v>
      </c>
      <c r="J5845" t="s">
        <v>52</v>
      </c>
      <c r="K5845" s="3">
        <v>10041740143</v>
      </c>
      <c r="L5845" s="10">
        <v>39925</v>
      </c>
      <c r="M5845">
        <v>3640.83</v>
      </c>
      <c r="N5845" s="11">
        <v>35</v>
      </c>
      <c r="O5845" s="12">
        <v>100.98</v>
      </c>
      <c r="P5845" s="12">
        <v>35.84</v>
      </c>
      <c r="Q5845" s="13">
        <v>-6.80000000000001</v>
      </c>
      <c r="R5845" s="36" t="s">
        <v>471</v>
      </c>
      <c r="S5845" s="7">
        <f t="shared" si="504"/>
        <v>2</v>
      </c>
      <c r="T5845" s="15" t="str">
        <f>VLOOKUP(R5845,产品分类!$C$2:$D$1278,2,0)</f>
        <v>办公用品</v>
      </c>
    </row>
    <row r="5846" spans="1:20">
      <c r="A5846" s="8">
        <f>DATE(2012,12,31)-1351</f>
        <v>39923</v>
      </c>
      <c r="B5846" s="8">
        <f>DATE(2012,12,31)-1351</f>
        <v>39923</v>
      </c>
      <c r="C5846" s="9" t="s">
        <v>1669</v>
      </c>
      <c r="D5846">
        <v>10021448868</v>
      </c>
      <c r="E5846" t="s">
        <v>47</v>
      </c>
      <c r="F5846" t="s">
        <v>48</v>
      </c>
      <c r="G5846" t="s">
        <v>49</v>
      </c>
      <c r="H5846" t="s">
        <v>2474</v>
      </c>
      <c r="I5846" t="s">
        <v>2475</v>
      </c>
      <c r="J5846" t="s">
        <v>52</v>
      </c>
      <c r="K5846" s="3">
        <v>100426797054</v>
      </c>
      <c r="L5846" s="10">
        <v>39925</v>
      </c>
      <c r="M5846">
        <v>225.94</v>
      </c>
      <c r="N5846" s="11">
        <v>50</v>
      </c>
      <c r="O5846" s="12">
        <v>4.77</v>
      </c>
      <c r="P5846" s="12">
        <v>2.39</v>
      </c>
      <c r="Q5846" s="13">
        <v>-89.13</v>
      </c>
      <c r="R5846" s="36" t="s">
        <v>1398</v>
      </c>
      <c r="S5846" s="7">
        <f t="shared" si="504"/>
        <v>2</v>
      </c>
      <c r="T5846" s="15" t="str">
        <f>VLOOKUP(R5846,产品分类!$C$2:$D$1278,2,0)</f>
        <v>办公用品</v>
      </c>
    </row>
    <row r="5847" spans="1:20">
      <c r="A5847" s="16">
        <f>DATE(2012,12,31)-945</f>
        <v>40329</v>
      </c>
      <c r="B5847" s="16">
        <f>DATE(2012,12,31)-945</f>
        <v>40329</v>
      </c>
      <c r="C5847" s="9" t="s">
        <v>1696</v>
      </c>
      <c r="D5847">
        <v>10021585979</v>
      </c>
      <c r="E5847" t="s">
        <v>47</v>
      </c>
      <c r="F5847" t="s">
        <v>152</v>
      </c>
      <c r="G5847" t="s">
        <v>153</v>
      </c>
      <c r="H5847" t="s">
        <v>2441</v>
      </c>
      <c r="I5847" t="s">
        <v>2442</v>
      </c>
      <c r="J5847" t="s">
        <v>52</v>
      </c>
      <c r="K5847" s="3">
        <v>100428664464</v>
      </c>
      <c r="L5847" s="10">
        <v>40330</v>
      </c>
      <c r="M5847">
        <v>92.25</v>
      </c>
      <c r="N5847" s="17">
        <v>48</v>
      </c>
      <c r="O5847" s="5">
        <v>1.86</v>
      </c>
      <c r="P5847" s="5">
        <v>2.58</v>
      </c>
      <c r="Q5847" s="6">
        <v>-104.8</v>
      </c>
      <c r="R5847" s="37" t="s">
        <v>109</v>
      </c>
      <c r="S5847" s="7">
        <f t="shared" si="504"/>
        <v>1</v>
      </c>
      <c r="T5847" s="15" t="str">
        <f>VLOOKUP(R5847,产品分类!$C$2:$D$1278,2,0)</f>
        <v>数码电子</v>
      </c>
    </row>
    <row r="5848" spans="1:20">
      <c r="A5848" s="8">
        <f>DATE(2012,12,31)-64</f>
        <v>41210</v>
      </c>
      <c r="B5848" s="8">
        <f>DATE(2012,12,31)-64</f>
        <v>41210</v>
      </c>
      <c r="C5848" s="9" t="s">
        <v>592</v>
      </c>
      <c r="D5848">
        <v>10021261518</v>
      </c>
      <c r="E5848" t="s">
        <v>47</v>
      </c>
      <c r="F5848" t="s">
        <v>152</v>
      </c>
      <c r="G5848" t="s">
        <v>153</v>
      </c>
      <c r="H5848" t="s">
        <v>2441</v>
      </c>
      <c r="I5848" t="s">
        <v>2442</v>
      </c>
      <c r="J5848" t="s">
        <v>52</v>
      </c>
      <c r="K5848" s="3">
        <v>100829457102</v>
      </c>
      <c r="L5848" s="10">
        <v>41212</v>
      </c>
      <c r="M5848">
        <v>302.94</v>
      </c>
      <c r="N5848" s="11">
        <v>20</v>
      </c>
      <c r="O5848" s="12">
        <v>15.51</v>
      </c>
      <c r="P5848" s="12">
        <v>5.8</v>
      </c>
      <c r="Q5848" s="13">
        <v>-30.2</v>
      </c>
      <c r="R5848" s="36" t="s">
        <v>2381</v>
      </c>
      <c r="S5848" s="7">
        <f t="shared" si="504"/>
        <v>2</v>
      </c>
      <c r="T5848" s="15" t="str">
        <f>VLOOKUP(R5848,产品分类!$C$2:$D$1278,2,0)</f>
        <v>家具产品</v>
      </c>
    </row>
    <row r="5849" spans="1:20">
      <c r="A5849" s="8">
        <f>DATE(2012,12,31)-829</f>
        <v>40445</v>
      </c>
      <c r="B5849" s="8">
        <f>DATE(2012,12,31)-829</f>
        <v>40445</v>
      </c>
      <c r="C5849" s="9" t="s">
        <v>193</v>
      </c>
      <c r="D5849">
        <v>10021264329</v>
      </c>
      <c r="E5849" t="s">
        <v>47</v>
      </c>
      <c r="F5849" t="s">
        <v>48</v>
      </c>
      <c r="G5849" t="s">
        <v>49</v>
      </c>
      <c r="H5849" t="s">
        <v>2474</v>
      </c>
      <c r="I5849" t="s">
        <v>2475</v>
      </c>
      <c r="J5849" t="s">
        <v>52</v>
      </c>
      <c r="K5849" s="3">
        <v>100430903104</v>
      </c>
      <c r="L5849" s="10">
        <v>40447</v>
      </c>
      <c r="M5849">
        <v>18561.31</v>
      </c>
      <c r="N5849" s="11">
        <v>39</v>
      </c>
      <c r="O5849" s="12">
        <v>500.98</v>
      </c>
      <c r="P5849" s="12">
        <v>26</v>
      </c>
      <c r="Q5849" s="13">
        <v>4822.42</v>
      </c>
      <c r="R5849" s="36" t="s">
        <v>614</v>
      </c>
      <c r="S5849" s="7">
        <f t="shared" si="504"/>
        <v>2</v>
      </c>
      <c r="T5849" s="15" t="str">
        <f>VLOOKUP(R5849,产品分类!$C$2:$D$1278,2,0)</f>
        <v>办公用品</v>
      </c>
    </row>
    <row r="5850" spans="1:20">
      <c r="A5850" s="8">
        <f>DATE(2012,12,31)-608</f>
        <v>40666</v>
      </c>
      <c r="B5850" s="8">
        <f>DATE(2012,12,31)-608</f>
        <v>40666</v>
      </c>
      <c r="C5850" s="9" t="s">
        <v>780</v>
      </c>
      <c r="D5850">
        <v>10021414909</v>
      </c>
      <c r="E5850" t="s">
        <v>47</v>
      </c>
      <c r="F5850" t="s">
        <v>66</v>
      </c>
      <c r="G5850" t="s">
        <v>67</v>
      </c>
      <c r="H5850" t="s">
        <v>2467</v>
      </c>
      <c r="I5850" t="s">
        <v>2468</v>
      </c>
      <c r="J5850" t="s">
        <v>52</v>
      </c>
      <c r="K5850" s="3">
        <v>10039689729</v>
      </c>
      <c r="L5850" s="10">
        <v>40668</v>
      </c>
      <c r="M5850">
        <v>41.85</v>
      </c>
      <c r="N5850" s="11">
        <v>24</v>
      </c>
      <c r="O5850" s="12">
        <v>1.6</v>
      </c>
      <c r="P5850" s="12">
        <v>1.29</v>
      </c>
      <c r="Q5850" s="13">
        <v>-8.44</v>
      </c>
      <c r="R5850" s="36" t="s">
        <v>2253</v>
      </c>
      <c r="S5850" s="7">
        <f t="shared" si="504"/>
        <v>2</v>
      </c>
      <c r="T5850" s="15" t="str">
        <f>VLOOKUP(R5850,产品分类!$C$2:$D$1278,2,0)</f>
        <v>办公用品</v>
      </c>
    </row>
    <row r="5851" spans="1:20">
      <c r="A5851" s="8">
        <f>DATE(2012,12,31)-608</f>
        <v>40666</v>
      </c>
      <c r="B5851" s="8">
        <f>DATE(2012,12,31)-608</f>
        <v>40666</v>
      </c>
      <c r="C5851" s="9" t="s">
        <v>780</v>
      </c>
      <c r="D5851">
        <v>10021288054</v>
      </c>
      <c r="E5851" t="s">
        <v>47</v>
      </c>
      <c r="F5851" t="s">
        <v>152</v>
      </c>
      <c r="G5851" t="s">
        <v>153</v>
      </c>
      <c r="H5851" t="s">
        <v>2441</v>
      </c>
      <c r="I5851" t="s">
        <v>2442</v>
      </c>
      <c r="J5851" t="s">
        <v>52</v>
      </c>
      <c r="K5851" s="3">
        <v>100132427778</v>
      </c>
      <c r="L5851" s="10">
        <v>40667</v>
      </c>
      <c r="M5851">
        <v>2303.7125</v>
      </c>
      <c r="N5851" s="11">
        <v>41</v>
      </c>
      <c r="O5851" s="12">
        <v>65.99</v>
      </c>
      <c r="P5851" s="12">
        <v>8.99</v>
      </c>
      <c r="Q5851" s="13">
        <v>398.223</v>
      </c>
      <c r="R5851" s="36" t="s">
        <v>1486</v>
      </c>
      <c r="S5851" s="7">
        <f t="shared" si="504"/>
        <v>1</v>
      </c>
      <c r="T5851" s="15" t="str">
        <f>VLOOKUP(R5851,产品分类!$C$2:$D$1278,2,0)</f>
        <v>办公用品</v>
      </c>
    </row>
    <row r="5852" spans="1:20">
      <c r="A5852" s="8">
        <f>DATE(2012,12,31)-1192</f>
        <v>40082</v>
      </c>
      <c r="B5852" s="8">
        <f>DATE(2012,12,31)-1192</f>
        <v>40082</v>
      </c>
      <c r="C5852" s="9" t="s">
        <v>1404</v>
      </c>
      <c r="D5852">
        <v>10021255731</v>
      </c>
      <c r="E5852" t="s">
        <v>47</v>
      </c>
      <c r="F5852" t="s">
        <v>66</v>
      </c>
      <c r="G5852" t="s">
        <v>67</v>
      </c>
      <c r="H5852" t="s">
        <v>2467</v>
      </c>
      <c r="I5852" t="s">
        <v>2468</v>
      </c>
      <c r="J5852" t="s">
        <v>52</v>
      </c>
      <c r="K5852" s="3">
        <v>100124393036</v>
      </c>
      <c r="L5852" s="10">
        <v>40083</v>
      </c>
      <c r="M5852">
        <v>6181.48</v>
      </c>
      <c r="N5852" s="11">
        <v>47</v>
      </c>
      <c r="O5852" s="12">
        <v>124.49</v>
      </c>
      <c r="P5852" s="12">
        <v>51.94</v>
      </c>
      <c r="Q5852" s="13">
        <v>-194.83</v>
      </c>
      <c r="R5852" s="36" t="s">
        <v>237</v>
      </c>
      <c r="S5852" s="7">
        <f t="shared" si="504"/>
        <v>1</v>
      </c>
      <c r="T5852" s="15" t="str">
        <f>VLOOKUP(R5852,产品分类!$C$2:$D$1278,2,0)</f>
        <v>数码电子</v>
      </c>
    </row>
    <row r="5853" spans="1:20">
      <c r="A5853" s="8">
        <f>DATE(2012,12,31)-1424</f>
        <v>39850</v>
      </c>
      <c r="B5853" s="8">
        <f>DATE(2012,12,31)-1424</f>
        <v>39850</v>
      </c>
      <c r="C5853" s="9" t="s">
        <v>1678</v>
      </c>
      <c r="D5853">
        <v>10021511187</v>
      </c>
      <c r="E5853" t="s">
        <v>47</v>
      </c>
      <c r="F5853" t="s">
        <v>66</v>
      </c>
      <c r="G5853" t="s">
        <v>67</v>
      </c>
      <c r="H5853" t="s">
        <v>2467</v>
      </c>
      <c r="I5853" t="s">
        <v>2468</v>
      </c>
      <c r="J5853" t="s">
        <v>52</v>
      </c>
      <c r="K5853" s="3">
        <v>100410151453</v>
      </c>
      <c r="L5853" s="10">
        <v>39854</v>
      </c>
      <c r="M5853">
        <v>7548.65</v>
      </c>
      <c r="N5853" s="11">
        <v>45</v>
      </c>
      <c r="O5853" s="12">
        <v>160.98</v>
      </c>
      <c r="P5853" s="12">
        <v>30</v>
      </c>
      <c r="Q5853" s="13">
        <v>1385.35</v>
      </c>
      <c r="R5853" s="36" t="s">
        <v>764</v>
      </c>
      <c r="S5853" s="7">
        <f t="shared" si="504"/>
        <v>4</v>
      </c>
      <c r="T5853" s="15" t="str">
        <f>VLOOKUP(R5853,产品分类!$C$2:$D$1278,2,0)</f>
        <v>家具产品</v>
      </c>
    </row>
    <row r="5854" spans="1:20">
      <c r="A5854" s="8">
        <f>DATE(2012,12,31)-1424</f>
        <v>39850</v>
      </c>
      <c r="B5854" s="8">
        <f>DATE(2012,12,31)-1424</f>
        <v>39850</v>
      </c>
      <c r="C5854" s="9" t="s">
        <v>1678</v>
      </c>
      <c r="D5854">
        <v>10021386652</v>
      </c>
      <c r="E5854" t="s">
        <v>47</v>
      </c>
      <c r="F5854" t="s">
        <v>66</v>
      </c>
      <c r="G5854" t="s">
        <v>67</v>
      </c>
      <c r="H5854" t="s">
        <v>2467</v>
      </c>
      <c r="I5854" t="s">
        <v>2468</v>
      </c>
      <c r="J5854" t="s">
        <v>52</v>
      </c>
      <c r="K5854" s="3">
        <v>100112141407</v>
      </c>
      <c r="L5854" s="10">
        <v>39854</v>
      </c>
      <c r="M5854">
        <v>1318.8685</v>
      </c>
      <c r="N5854" s="11">
        <v>24</v>
      </c>
      <c r="O5854" s="12">
        <v>65.99</v>
      </c>
      <c r="P5854" s="12">
        <v>3.99</v>
      </c>
      <c r="Q5854" s="13">
        <v>172.332</v>
      </c>
      <c r="R5854" s="36" t="s">
        <v>727</v>
      </c>
      <c r="S5854" s="7">
        <f t="shared" si="504"/>
        <v>4</v>
      </c>
      <c r="T5854" s="15" t="str">
        <f>VLOOKUP(R5854,产品分类!$C$2:$D$1278,2,0)</f>
        <v>家具产品</v>
      </c>
    </row>
    <row r="5855" spans="1:20">
      <c r="A5855" s="16">
        <f>DATE(2012,12,31)-894</f>
        <v>40380</v>
      </c>
      <c r="B5855" s="16">
        <f>DATE(2012,12,31)-894</f>
        <v>40380</v>
      </c>
      <c r="C5855" s="9" t="s">
        <v>347</v>
      </c>
      <c r="D5855">
        <v>10021499330</v>
      </c>
      <c r="E5855" t="s">
        <v>47</v>
      </c>
      <c r="F5855" t="s">
        <v>66</v>
      </c>
      <c r="G5855" t="s">
        <v>67</v>
      </c>
      <c r="H5855" t="s">
        <v>2467</v>
      </c>
      <c r="I5855" t="s">
        <v>2468</v>
      </c>
      <c r="J5855" t="s">
        <v>52</v>
      </c>
      <c r="K5855" s="3">
        <v>100324234889</v>
      </c>
      <c r="L5855" s="10">
        <v>40381</v>
      </c>
      <c r="M5855">
        <v>617.34</v>
      </c>
      <c r="N5855" s="17">
        <v>49</v>
      </c>
      <c r="O5855" s="5">
        <v>12.28</v>
      </c>
      <c r="P5855" s="5">
        <v>6.47</v>
      </c>
      <c r="Q5855" s="6">
        <v>47.1</v>
      </c>
      <c r="R5855" s="37" t="s">
        <v>874</v>
      </c>
      <c r="S5855" s="7">
        <f t="shared" si="504"/>
        <v>1</v>
      </c>
      <c r="T5855" s="15" t="str">
        <f>VLOOKUP(R5855,产品分类!$C$2:$D$1278,2,0)</f>
        <v>办公用品</v>
      </c>
    </row>
    <row r="5856" spans="1:20">
      <c r="A5856" s="8">
        <f>DATE(2012,12,31)-894</f>
        <v>40380</v>
      </c>
      <c r="B5856" s="8">
        <f>DATE(2012,12,31)-894</f>
        <v>40380</v>
      </c>
      <c r="C5856" s="9" t="s">
        <v>1088</v>
      </c>
      <c r="D5856">
        <v>10021584749</v>
      </c>
      <c r="E5856" t="s">
        <v>47</v>
      </c>
      <c r="F5856" t="s">
        <v>72</v>
      </c>
      <c r="G5856" t="s">
        <v>73</v>
      </c>
      <c r="H5856" t="s">
        <v>2417</v>
      </c>
      <c r="I5856" t="s">
        <v>2418</v>
      </c>
      <c r="J5856" t="s">
        <v>52</v>
      </c>
      <c r="K5856" s="3">
        <v>100127508116</v>
      </c>
      <c r="L5856" s="10">
        <v>40382</v>
      </c>
      <c r="M5856">
        <v>60.76</v>
      </c>
      <c r="N5856" s="11">
        <v>16</v>
      </c>
      <c r="O5856" s="12">
        <v>3.7</v>
      </c>
      <c r="P5856" s="12">
        <v>1.61</v>
      </c>
      <c r="Q5856" s="13">
        <v>5.25</v>
      </c>
      <c r="R5856" s="36" t="s">
        <v>1918</v>
      </c>
      <c r="S5856" s="7">
        <f t="shared" si="504"/>
        <v>2</v>
      </c>
      <c r="T5856" s="15" t="str">
        <f>VLOOKUP(R5856,产品分类!$C$2:$D$1278,2,0)</f>
        <v>办公用品</v>
      </c>
    </row>
    <row r="5857" spans="1:20">
      <c r="A5857" s="16">
        <f>DATE(2012,12,31)-759</f>
        <v>40515</v>
      </c>
      <c r="B5857" s="16">
        <f>DATE(2012,12,31)-759</f>
        <v>40515</v>
      </c>
      <c r="C5857" s="9" t="s">
        <v>311</v>
      </c>
      <c r="D5857">
        <v>10021521461</v>
      </c>
      <c r="E5857" t="s">
        <v>47</v>
      </c>
      <c r="F5857" t="s">
        <v>72</v>
      </c>
      <c r="G5857" t="s">
        <v>73</v>
      </c>
      <c r="H5857" t="s">
        <v>2417</v>
      </c>
      <c r="I5857" t="s">
        <v>2418</v>
      </c>
      <c r="J5857" t="s">
        <v>52</v>
      </c>
      <c r="K5857" s="3">
        <v>10042479323</v>
      </c>
      <c r="L5857" s="10">
        <v>40517</v>
      </c>
      <c r="M5857">
        <v>2289.92</v>
      </c>
      <c r="N5857" s="17">
        <v>24</v>
      </c>
      <c r="O5857" s="5">
        <v>104.85</v>
      </c>
      <c r="P5857" s="5">
        <v>4.65</v>
      </c>
      <c r="Q5857" s="6">
        <v>1037.55</v>
      </c>
      <c r="R5857" s="37" t="s">
        <v>1329</v>
      </c>
      <c r="S5857" s="7">
        <f t="shared" si="504"/>
        <v>2</v>
      </c>
      <c r="T5857" s="15" t="str">
        <f>VLOOKUP(R5857,产品分类!$C$2:$D$1278,2,0)</f>
        <v>办公用品</v>
      </c>
    </row>
    <row r="5858" spans="1:20">
      <c r="A5858" s="16">
        <f>DATE(2012,12,31)-574</f>
        <v>40700</v>
      </c>
      <c r="B5858" s="16">
        <f>DATE(2012,12,31)-574</f>
        <v>40700</v>
      </c>
      <c r="C5858" s="9" t="s">
        <v>1809</v>
      </c>
      <c r="D5858">
        <v>10021258257</v>
      </c>
      <c r="E5858" t="s">
        <v>47</v>
      </c>
      <c r="F5858" t="s">
        <v>72</v>
      </c>
      <c r="G5858" t="s">
        <v>73</v>
      </c>
      <c r="H5858" t="s">
        <v>2417</v>
      </c>
      <c r="I5858" t="s">
        <v>2418</v>
      </c>
      <c r="J5858" t="s">
        <v>52</v>
      </c>
      <c r="K5858" s="3">
        <v>100122789606</v>
      </c>
      <c r="L5858" s="10">
        <v>40709</v>
      </c>
      <c r="M5858">
        <v>906.07</v>
      </c>
      <c r="N5858" s="17">
        <v>42</v>
      </c>
      <c r="O5858" s="5">
        <v>20.15</v>
      </c>
      <c r="P5858" s="5">
        <v>8.99</v>
      </c>
      <c r="Q5858" s="6">
        <v>-2.66</v>
      </c>
      <c r="R5858" s="37" t="s">
        <v>942</v>
      </c>
      <c r="S5858" s="7">
        <f t="shared" si="504"/>
        <v>9</v>
      </c>
      <c r="T5858" s="15" t="str">
        <f>VLOOKUP(R5858,产品分类!$C$2:$D$1278,2,0)</f>
        <v>办公用品</v>
      </c>
    </row>
    <row r="5859" spans="1:20">
      <c r="A5859" s="8">
        <f>DATE(2012,12,31)-833</f>
        <v>40441</v>
      </c>
      <c r="B5859" s="8">
        <f>DATE(2012,12,31)-833</f>
        <v>40441</v>
      </c>
      <c r="C5859" s="9" t="s">
        <v>2034</v>
      </c>
      <c r="D5859">
        <v>10021646166</v>
      </c>
      <c r="E5859" t="s">
        <v>47</v>
      </c>
      <c r="F5859" t="s">
        <v>72</v>
      </c>
      <c r="G5859" t="s">
        <v>73</v>
      </c>
      <c r="H5859" t="s">
        <v>2417</v>
      </c>
      <c r="I5859" t="s">
        <v>2418</v>
      </c>
      <c r="J5859" t="s">
        <v>52</v>
      </c>
      <c r="K5859" s="3">
        <v>100416052844</v>
      </c>
      <c r="L5859" s="10">
        <v>40443</v>
      </c>
      <c r="M5859">
        <v>283.82</v>
      </c>
      <c r="N5859" s="11">
        <v>23</v>
      </c>
      <c r="O5859" s="12">
        <v>11.97</v>
      </c>
      <c r="P5859" s="12">
        <v>5.81</v>
      </c>
      <c r="Q5859" s="13">
        <v>-38.94</v>
      </c>
      <c r="R5859" s="36" t="s">
        <v>499</v>
      </c>
      <c r="S5859" s="7">
        <f t="shared" si="504"/>
        <v>2</v>
      </c>
      <c r="T5859" s="15" t="str">
        <f>VLOOKUP(R5859,产品分类!$C$2:$D$1278,2,0)</f>
        <v>办公用品</v>
      </c>
    </row>
    <row r="5860" spans="1:20">
      <c r="A5860" s="8">
        <f>DATE(2012,12,31)-1420</f>
        <v>39854</v>
      </c>
      <c r="B5860" s="8">
        <f>DATE(2012,12,31)-1420</f>
        <v>39854</v>
      </c>
      <c r="C5860" s="9" t="s">
        <v>820</v>
      </c>
      <c r="D5860">
        <v>10021388829</v>
      </c>
      <c r="E5860" t="s">
        <v>47</v>
      </c>
      <c r="F5860" t="s">
        <v>72</v>
      </c>
      <c r="G5860" t="s">
        <v>73</v>
      </c>
      <c r="H5860" t="s">
        <v>2417</v>
      </c>
      <c r="I5860" t="s">
        <v>2418</v>
      </c>
      <c r="J5860" t="s">
        <v>52</v>
      </c>
      <c r="K5860" s="3">
        <v>100930319211</v>
      </c>
      <c r="L5860" s="10">
        <v>39855</v>
      </c>
      <c r="M5860">
        <v>138.24</v>
      </c>
      <c r="N5860" s="11">
        <v>22</v>
      </c>
      <c r="O5860" s="12">
        <v>6.37</v>
      </c>
      <c r="P5860" s="12">
        <v>5.19</v>
      </c>
      <c r="Q5860" s="13">
        <v>-48.2195</v>
      </c>
      <c r="R5860" s="36" t="s">
        <v>410</v>
      </c>
      <c r="S5860" s="7">
        <f t="shared" si="504"/>
        <v>1</v>
      </c>
      <c r="T5860" s="15" t="str">
        <f>VLOOKUP(R5860,产品分类!$C$2:$D$1278,2,0)</f>
        <v>数码电子</v>
      </c>
    </row>
    <row r="5861" spans="1:20">
      <c r="A5861" s="16">
        <f>DATE(2012,12,31)-737</f>
        <v>40537</v>
      </c>
      <c r="B5861" s="16">
        <f>DATE(2012,12,31)-737</f>
        <v>40537</v>
      </c>
      <c r="C5861" s="9" t="s">
        <v>766</v>
      </c>
      <c r="D5861">
        <v>10021630726</v>
      </c>
      <c r="E5861" t="s">
        <v>47</v>
      </c>
      <c r="F5861" t="s">
        <v>78</v>
      </c>
      <c r="G5861" t="s">
        <v>79</v>
      </c>
      <c r="H5861" t="s">
        <v>2420</v>
      </c>
      <c r="I5861" t="s">
        <v>2421</v>
      </c>
      <c r="J5861" t="s">
        <v>52</v>
      </c>
      <c r="K5861" s="3">
        <v>100331544319</v>
      </c>
      <c r="L5861" s="10">
        <v>40538</v>
      </c>
      <c r="M5861">
        <v>114.57</v>
      </c>
      <c r="N5861" s="17">
        <v>4</v>
      </c>
      <c r="O5861" s="5">
        <v>24.92</v>
      </c>
      <c r="P5861" s="5">
        <v>12.98</v>
      </c>
      <c r="Q5861" s="6">
        <v>-29.9805</v>
      </c>
      <c r="R5861" s="37" t="s">
        <v>187</v>
      </c>
      <c r="S5861" s="7">
        <f t="shared" si="504"/>
        <v>1</v>
      </c>
      <c r="T5861" s="15" t="str">
        <f>VLOOKUP(R5861,产品分类!$C$2:$D$1278,2,0)</f>
        <v>数码电子</v>
      </c>
    </row>
    <row r="5862" spans="1:20">
      <c r="A5862" s="8">
        <f>DATE(2012,12,31)-1287</f>
        <v>39987</v>
      </c>
      <c r="B5862" s="8">
        <f>DATE(2012,12,31)-1287</f>
        <v>39987</v>
      </c>
      <c r="C5862" s="9" t="s">
        <v>816</v>
      </c>
      <c r="D5862">
        <v>10021253759</v>
      </c>
      <c r="E5862" t="s">
        <v>47</v>
      </c>
      <c r="F5862" t="s">
        <v>78</v>
      </c>
      <c r="G5862" t="s">
        <v>79</v>
      </c>
      <c r="H5862" t="s">
        <v>2420</v>
      </c>
      <c r="I5862" t="s">
        <v>2421</v>
      </c>
      <c r="J5862" t="s">
        <v>52</v>
      </c>
      <c r="K5862" s="3">
        <v>100420427113</v>
      </c>
      <c r="L5862" s="10">
        <v>39988</v>
      </c>
      <c r="M5862">
        <v>4514.86</v>
      </c>
      <c r="N5862" s="11">
        <v>23</v>
      </c>
      <c r="O5862" s="12">
        <v>200.98</v>
      </c>
      <c r="P5862" s="12">
        <v>55.96</v>
      </c>
      <c r="Q5862" s="13">
        <v>-641.09</v>
      </c>
      <c r="R5862" s="36" t="s">
        <v>2182</v>
      </c>
      <c r="S5862" s="7">
        <f t="shared" si="504"/>
        <v>1</v>
      </c>
      <c r="T5862" s="15" t="str">
        <f>VLOOKUP(R5862,产品分类!$C$2:$D$1278,2,0)</f>
        <v>家具产品</v>
      </c>
    </row>
    <row r="5863" spans="1:20">
      <c r="A5863" s="16">
        <f>DATE(2012,12,31)-1287</f>
        <v>39987</v>
      </c>
      <c r="B5863" s="16">
        <f>DATE(2012,12,31)-1287</f>
        <v>39987</v>
      </c>
      <c r="C5863" s="9" t="s">
        <v>816</v>
      </c>
      <c r="D5863">
        <v>10021525008</v>
      </c>
      <c r="E5863" t="s">
        <v>47</v>
      </c>
      <c r="F5863" t="s">
        <v>72</v>
      </c>
      <c r="G5863" t="s">
        <v>73</v>
      </c>
      <c r="H5863" t="s">
        <v>2417</v>
      </c>
      <c r="I5863" t="s">
        <v>2418</v>
      </c>
      <c r="J5863" t="s">
        <v>52</v>
      </c>
      <c r="K5863" s="3">
        <v>100820202752</v>
      </c>
      <c r="L5863" s="10">
        <v>39988</v>
      </c>
      <c r="M5863">
        <v>79.14</v>
      </c>
      <c r="N5863" s="17">
        <v>30</v>
      </c>
      <c r="O5863" s="5">
        <v>2.78</v>
      </c>
      <c r="P5863" s="5">
        <v>0.97</v>
      </c>
      <c r="Q5863" s="6">
        <v>-4.73</v>
      </c>
      <c r="R5863" s="37" t="s">
        <v>2476</v>
      </c>
      <c r="S5863" s="7">
        <f t="shared" si="504"/>
        <v>1</v>
      </c>
      <c r="T5863" s="15" t="str">
        <f>VLOOKUP(R5863,产品分类!$C$2:$D$1278,2,0)</f>
        <v>数码电子</v>
      </c>
    </row>
    <row r="5864" spans="1:20">
      <c r="A5864" s="16">
        <f>DATE(2012,12,31)-1108</f>
        <v>40166</v>
      </c>
      <c r="B5864" s="16">
        <f>DATE(2012,12,31)-1108</f>
        <v>40166</v>
      </c>
      <c r="C5864" s="9" t="s">
        <v>593</v>
      </c>
      <c r="D5864">
        <v>10021251031</v>
      </c>
      <c r="E5864" t="s">
        <v>47</v>
      </c>
      <c r="F5864" t="s">
        <v>230</v>
      </c>
      <c r="G5864" t="s">
        <v>231</v>
      </c>
      <c r="H5864" t="s">
        <v>2372</v>
      </c>
      <c r="I5864" t="s">
        <v>2373</v>
      </c>
      <c r="J5864" t="s">
        <v>52</v>
      </c>
      <c r="K5864" s="3">
        <v>100816634082</v>
      </c>
      <c r="L5864" s="10">
        <v>40168</v>
      </c>
      <c r="M5864">
        <v>4115.74</v>
      </c>
      <c r="N5864" s="17">
        <v>36</v>
      </c>
      <c r="O5864" s="5">
        <v>120.98</v>
      </c>
      <c r="P5864" s="5">
        <v>9.07</v>
      </c>
      <c r="Q5864" s="6">
        <v>1719.4735</v>
      </c>
      <c r="R5864" s="37" t="s">
        <v>1524</v>
      </c>
      <c r="S5864" s="7">
        <f t="shared" si="504"/>
        <v>2</v>
      </c>
      <c r="T5864" s="15" t="str">
        <f>VLOOKUP(R5864,产品分类!$C$2:$D$1278,2,0)</f>
        <v>办公用品</v>
      </c>
    </row>
    <row r="5865" spans="1:20">
      <c r="A5865" s="8">
        <f>DATE(2012,12,31)-761</f>
        <v>40513</v>
      </c>
      <c r="B5865" s="8">
        <f>DATE(2012,12,31)-761</f>
        <v>40513</v>
      </c>
      <c r="C5865" s="9" t="s">
        <v>864</v>
      </c>
      <c r="D5865">
        <v>10021509305</v>
      </c>
      <c r="E5865" t="s">
        <v>47</v>
      </c>
      <c r="F5865" t="s">
        <v>230</v>
      </c>
      <c r="G5865" t="s">
        <v>231</v>
      </c>
      <c r="H5865" t="s">
        <v>2372</v>
      </c>
      <c r="I5865" t="s">
        <v>2373</v>
      </c>
      <c r="J5865" t="s">
        <v>52</v>
      </c>
      <c r="K5865" s="3">
        <v>100432355174</v>
      </c>
      <c r="L5865" s="10">
        <v>40520</v>
      </c>
      <c r="M5865">
        <v>1541.458</v>
      </c>
      <c r="N5865" s="11">
        <v>34</v>
      </c>
      <c r="O5865" s="12">
        <v>55.99</v>
      </c>
      <c r="P5865" s="12">
        <v>5</v>
      </c>
      <c r="Q5865" s="13">
        <v>-238.161</v>
      </c>
      <c r="R5865" s="36" t="s">
        <v>1453</v>
      </c>
      <c r="S5865" s="7">
        <f t="shared" si="504"/>
        <v>7</v>
      </c>
      <c r="T5865" s="15" t="str">
        <f>VLOOKUP(R5865,产品分类!$C$2:$D$1278,2,0)</f>
        <v>办公用品</v>
      </c>
    </row>
    <row r="5866" spans="1:20">
      <c r="A5866" s="8">
        <f>DATE(2012,12,31)-783</f>
        <v>40491</v>
      </c>
      <c r="B5866" s="8">
        <f>DATE(2012,12,31)-783</f>
        <v>40491</v>
      </c>
      <c r="C5866" s="9" t="s">
        <v>309</v>
      </c>
      <c r="D5866">
        <v>10021353030</v>
      </c>
      <c r="E5866" t="s">
        <v>47</v>
      </c>
      <c r="F5866" t="s">
        <v>230</v>
      </c>
      <c r="G5866" t="s">
        <v>231</v>
      </c>
      <c r="H5866" t="s">
        <v>2372</v>
      </c>
      <c r="I5866" t="s">
        <v>2373</v>
      </c>
      <c r="J5866" t="s">
        <v>52</v>
      </c>
      <c r="K5866" s="3">
        <v>100421252143</v>
      </c>
      <c r="L5866" s="10">
        <v>40491</v>
      </c>
      <c r="M5866">
        <v>3636.91</v>
      </c>
      <c r="N5866" s="11">
        <v>29</v>
      </c>
      <c r="O5866" s="12">
        <v>122.99</v>
      </c>
      <c r="P5866" s="12">
        <v>70.2</v>
      </c>
      <c r="Q5866" s="13">
        <v>-1284.24</v>
      </c>
      <c r="R5866" s="36" t="s">
        <v>860</v>
      </c>
      <c r="S5866" s="7">
        <f t="shared" si="504"/>
        <v>0</v>
      </c>
      <c r="T5866" s="15" t="str">
        <f>VLOOKUP(R5866,产品分类!$C$2:$D$1278,2,0)</f>
        <v>办公用品</v>
      </c>
    </row>
    <row r="5867" spans="1:20">
      <c r="A5867" s="8">
        <f>DATE(2012,12,31)-23</f>
        <v>41251</v>
      </c>
      <c r="B5867" s="8">
        <f>DATE(2012,12,31)-23</f>
        <v>41251</v>
      </c>
      <c r="C5867" s="9" t="s">
        <v>330</v>
      </c>
      <c r="D5867">
        <v>10021433189</v>
      </c>
      <c r="E5867" t="s">
        <v>47</v>
      </c>
      <c r="F5867" t="s">
        <v>230</v>
      </c>
      <c r="G5867" t="s">
        <v>231</v>
      </c>
      <c r="H5867" t="s">
        <v>2477</v>
      </c>
      <c r="I5867" t="s">
        <v>2478</v>
      </c>
      <c r="J5867" t="s">
        <v>52</v>
      </c>
      <c r="K5867" s="3">
        <v>100432602043</v>
      </c>
      <c r="L5867" s="10">
        <v>41252</v>
      </c>
      <c r="M5867">
        <v>57.35</v>
      </c>
      <c r="N5867" s="11">
        <v>7</v>
      </c>
      <c r="O5867" s="12">
        <v>8.33</v>
      </c>
      <c r="P5867" s="12">
        <v>1.99</v>
      </c>
      <c r="Q5867" s="13">
        <v>-28.55</v>
      </c>
      <c r="R5867" s="36" t="s">
        <v>1011</v>
      </c>
      <c r="S5867" s="7">
        <f t="shared" si="504"/>
        <v>1</v>
      </c>
      <c r="T5867" s="15" t="str">
        <f>VLOOKUP(R5867,产品分类!$C$2:$D$1278,2,0)</f>
        <v>家具产品</v>
      </c>
    </row>
    <row r="5868" spans="1:20">
      <c r="A5868" s="8">
        <f>DATE(2012,12,31)-23</f>
        <v>41251</v>
      </c>
      <c r="B5868" s="8">
        <f>DATE(2012,12,31)-23</f>
        <v>41251</v>
      </c>
      <c r="C5868" s="9" t="s">
        <v>330</v>
      </c>
      <c r="D5868">
        <v>10021605261</v>
      </c>
      <c r="E5868" t="s">
        <v>47</v>
      </c>
      <c r="F5868" t="s">
        <v>230</v>
      </c>
      <c r="G5868" t="s">
        <v>231</v>
      </c>
      <c r="H5868" t="s">
        <v>2477</v>
      </c>
      <c r="I5868" t="s">
        <v>2478</v>
      </c>
      <c r="J5868" t="s">
        <v>52</v>
      </c>
      <c r="K5868" s="3">
        <v>10014205928</v>
      </c>
      <c r="L5868" s="10">
        <v>41253</v>
      </c>
      <c r="M5868">
        <v>371.45</v>
      </c>
      <c r="N5868" s="11">
        <v>10</v>
      </c>
      <c r="O5868" s="12">
        <v>34.99</v>
      </c>
      <c r="P5868" s="12">
        <v>7.73</v>
      </c>
      <c r="Q5868" s="13">
        <v>17.73</v>
      </c>
      <c r="R5868" s="36" t="s">
        <v>2267</v>
      </c>
      <c r="S5868" s="7">
        <f t="shared" si="504"/>
        <v>2</v>
      </c>
      <c r="T5868" s="15" t="str">
        <f>VLOOKUP(R5868,产品分类!$C$2:$D$1278,2,0)</f>
        <v>数码电子</v>
      </c>
    </row>
    <row r="5869" spans="1:20">
      <c r="A5869" s="8">
        <f t="shared" ref="A5869:B5871" si="506">DATE(2012,12,31)-1235</f>
        <v>40039</v>
      </c>
      <c r="B5869" s="8">
        <f t="shared" si="506"/>
        <v>40039</v>
      </c>
      <c r="C5869" s="9" t="s">
        <v>1831</v>
      </c>
      <c r="D5869">
        <v>10021595862</v>
      </c>
      <c r="E5869" t="s">
        <v>47</v>
      </c>
      <c r="F5869" t="s">
        <v>473</v>
      </c>
      <c r="G5869" t="s">
        <v>474</v>
      </c>
      <c r="H5869" t="s">
        <v>2406</v>
      </c>
      <c r="I5869" t="s">
        <v>2407</v>
      </c>
      <c r="J5869" t="s">
        <v>52</v>
      </c>
      <c r="K5869" s="3">
        <v>100832824902</v>
      </c>
      <c r="L5869" s="10">
        <v>40040</v>
      </c>
      <c r="M5869">
        <v>5294.48</v>
      </c>
      <c r="N5869" s="11">
        <v>47</v>
      </c>
      <c r="O5869" s="12">
        <v>107.53</v>
      </c>
      <c r="P5869" s="12">
        <v>5.81</v>
      </c>
      <c r="Q5869" s="13">
        <v>1521.31</v>
      </c>
      <c r="R5869" s="36" t="s">
        <v>65</v>
      </c>
      <c r="S5869" s="7">
        <f t="shared" si="504"/>
        <v>1</v>
      </c>
      <c r="T5869" s="15" t="str">
        <f>VLOOKUP(R5869,产品分类!$C$2:$D$1278,2,0)</f>
        <v>家具产品</v>
      </c>
    </row>
    <row r="5870" spans="1:20">
      <c r="A5870" s="8">
        <f t="shared" si="506"/>
        <v>40039</v>
      </c>
      <c r="B5870" s="8">
        <f t="shared" si="506"/>
        <v>40039</v>
      </c>
      <c r="C5870" s="9" t="s">
        <v>1831</v>
      </c>
      <c r="D5870">
        <v>10021495358</v>
      </c>
      <c r="E5870" t="s">
        <v>47</v>
      </c>
      <c r="F5870" t="s">
        <v>91</v>
      </c>
      <c r="G5870" t="s">
        <v>92</v>
      </c>
      <c r="H5870" t="s">
        <v>2053</v>
      </c>
      <c r="I5870" t="s">
        <v>2054</v>
      </c>
      <c r="J5870" t="s">
        <v>52</v>
      </c>
      <c r="K5870" s="3">
        <v>10096787921</v>
      </c>
      <c r="L5870" s="10">
        <v>40041</v>
      </c>
      <c r="M5870">
        <v>423.15</v>
      </c>
      <c r="N5870" s="11">
        <v>25</v>
      </c>
      <c r="O5870" s="12">
        <v>16.98</v>
      </c>
      <c r="P5870" s="12">
        <v>7.78</v>
      </c>
      <c r="Q5870" s="13">
        <v>-47.28</v>
      </c>
      <c r="R5870" s="36" t="s">
        <v>2479</v>
      </c>
      <c r="S5870" s="7">
        <f t="shared" si="504"/>
        <v>2</v>
      </c>
      <c r="T5870" s="15" t="str">
        <f>VLOOKUP(R5870,产品分类!$C$2:$D$1278,2,0)</f>
        <v>办公用品</v>
      </c>
    </row>
    <row r="5871" spans="1:20">
      <c r="A5871" s="8">
        <f t="shared" si="506"/>
        <v>40039</v>
      </c>
      <c r="B5871" s="8">
        <f t="shared" si="506"/>
        <v>40039</v>
      </c>
      <c r="C5871" s="9" t="s">
        <v>1831</v>
      </c>
      <c r="D5871">
        <v>10021429378</v>
      </c>
      <c r="E5871" t="s">
        <v>47</v>
      </c>
      <c r="F5871" t="s">
        <v>91</v>
      </c>
      <c r="G5871" t="s">
        <v>92</v>
      </c>
      <c r="H5871" t="s">
        <v>2053</v>
      </c>
      <c r="I5871" t="s">
        <v>2054</v>
      </c>
      <c r="J5871" t="s">
        <v>52</v>
      </c>
      <c r="K5871" s="3">
        <v>100931503981</v>
      </c>
      <c r="L5871" s="10">
        <v>40041</v>
      </c>
      <c r="M5871">
        <v>2762.857</v>
      </c>
      <c r="N5871" s="11">
        <v>27</v>
      </c>
      <c r="O5871" s="12">
        <v>115.99</v>
      </c>
      <c r="P5871" s="12">
        <v>4.23</v>
      </c>
      <c r="Q5871" s="13">
        <v>722.241</v>
      </c>
      <c r="R5871" s="36" t="s">
        <v>221</v>
      </c>
      <c r="S5871" s="7">
        <f t="shared" si="504"/>
        <v>2</v>
      </c>
      <c r="T5871" s="15" t="str">
        <f>VLOOKUP(R5871,产品分类!$C$2:$D$1278,2,0)</f>
        <v>办公用品</v>
      </c>
    </row>
    <row r="5872" spans="1:20">
      <c r="A5872" s="8">
        <f>DATE(2012,12,31)-393</f>
        <v>40881</v>
      </c>
      <c r="B5872" s="8">
        <f>DATE(2012,12,31)-393</f>
        <v>40881</v>
      </c>
      <c r="C5872" s="9" t="s">
        <v>1649</v>
      </c>
      <c r="D5872">
        <v>10021349842</v>
      </c>
      <c r="E5872" t="s">
        <v>47</v>
      </c>
      <c r="F5872" t="s">
        <v>91</v>
      </c>
      <c r="G5872" t="s">
        <v>92</v>
      </c>
      <c r="H5872" t="s">
        <v>2053</v>
      </c>
      <c r="I5872" t="s">
        <v>2054</v>
      </c>
      <c r="J5872" t="s">
        <v>52</v>
      </c>
      <c r="K5872" s="3">
        <v>100432096253</v>
      </c>
      <c r="L5872" s="10">
        <v>40881</v>
      </c>
      <c r="M5872">
        <v>54.8</v>
      </c>
      <c r="N5872" s="11">
        <v>5</v>
      </c>
      <c r="O5872" s="12">
        <v>9.78</v>
      </c>
      <c r="P5872" s="12">
        <v>1.99</v>
      </c>
      <c r="Q5872" s="13">
        <v>-15.3</v>
      </c>
      <c r="R5872" s="36" t="s">
        <v>1567</v>
      </c>
      <c r="S5872" s="7">
        <f t="shared" si="504"/>
        <v>0</v>
      </c>
      <c r="T5872" s="15" t="str">
        <f>VLOOKUP(R5872,产品分类!$C$2:$D$1278,2,0)</f>
        <v>办公用品</v>
      </c>
    </row>
    <row r="5873" spans="1:20">
      <c r="A5873" s="8">
        <f>DATE(2012,12,31)-393</f>
        <v>40881</v>
      </c>
      <c r="B5873" s="8">
        <f>DATE(2012,12,31)-393</f>
        <v>40881</v>
      </c>
      <c r="C5873" s="9" t="s">
        <v>1649</v>
      </c>
      <c r="D5873">
        <v>10021443868</v>
      </c>
      <c r="E5873" t="s">
        <v>47</v>
      </c>
      <c r="F5873" t="s">
        <v>55</v>
      </c>
      <c r="G5873" t="s">
        <v>56</v>
      </c>
      <c r="H5873" t="s">
        <v>2471</v>
      </c>
      <c r="I5873" t="s">
        <v>2472</v>
      </c>
      <c r="J5873" t="s">
        <v>52</v>
      </c>
      <c r="K5873" s="3">
        <v>10032887249</v>
      </c>
      <c r="L5873" s="10">
        <v>40883</v>
      </c>
      <c r="M5873">
        <v>1038.19</v>
      </c>
      <c r="N5873" s="11">
        <v>40</v>
      </c>
      <c r="O5873" s="12">
        <v>25.98</v>
      </c>
      <c r="P5873" s="12">
        <v>4.08</v>
      </c>
      <c r="Q5873" s="13">
        <v>230.69</v>
      </c>
      <c r="R5873" s="36" t="s">
        <v>2480</v>
      </c>
      <c r="S5873" s="7">
        <f t="shared" si="504"/>
        <v>2</v>
      </c>
      <c r="T5873" s="15" t="str">
        <f>VLOOKUP(R5873,产品分类!$C$2:$D$1278,2,0)</f>
        <v>数码电子</v>
      </c>
    </row>
    <row r="5874" spans="1:20">
      <c r="A5874" s="8">
        <f>DATE(2012,12,31)-303</f>
        <v>40971</v>
      </c>
      <c r="B5874" s="8">
        <f>DATE(2012,12,31)-303</f>
        <v>40971</v>
      </c>
      <c r="C5874" s="9" t="s">
        <v>1980</v>
      </c>
      <c r="D5874">
        <v>10021444431</v>
      </c>
      <c r="E5874" t="s">
        <v>47</v>
      </c>
      <c r="F5874" t="s">
        <v>122</v>
      </c>
      <c r="G5874" t="s">
        <v>123</v>
      </c>
      <c r="H5874" t="s">
        <v>2458</v>
      </c>
      <c r="I5874" t="s">
        <v>2459</v>
      </c>
      <c r="J5874" t="s">
        <v>52</v>
      </c>
      <c r="K5874" s="3">
        <v>10019595408</v>
      </c>
      <c r="L5874" s="10">
        <v>40972</v>
      </c>
      <c r="M5874">
        <v>596.156</v>
      </c>
      <c r="N5874" s="11">
        <v>26</v>
      </c>
      <c r="O5874" s="12">
        <v>28.99</v>
      </c>
      <c r="P5874" s="12">
        <v>8.59</v>
      </c>
      <c r="Q5874" s="13">
        <v>-97.922</v>
      </c>
      <c r="R5874" s="36" t="s">
        <v>1695</v>
      </c>
      <c r="S5874" s="7">
        <f t="shared" si="504"/>
        <v>1</v>
      </c>
      <c r="T5874" s="15" t="str">
        <f>VLOOKUP(R5874,产品分类!$C$2:$D$1278,2,0)</f>
        <v>办公用品</v>
      </c>
    </row>
    <row r="5875" spans="1:20">
      <c r="A5875" s="8">
        <f>DATE(2012,12,31)-194</f>
        <v>41080</v>
      </c>
      <c r="B5875" s="8">
        <f>DATE(2012,12,31)-194</f>
        <v>41080</v>
      </c>
      <c r="C5875" s="9" t="s">
        <v>2312</v>
      </c>
      <c r="D5875">
        <v>10021497399</v>
      </c>
      <c r="E5875" t="s">
        <v>47</v>
      </c>
      <c r="F5875" t="s">
        <v>122</v>
      </c>
      <c r="G5875" t="s">
        <v>123</v>
      </c>
      <c r="H5875" t="s">
        <v>2458</v>
      </c>
      <c r="I5875" t="s">
        <v>2459</v>
      </c>
      <c r="J5875" t="s">
        <v>52</v>
      </c>
      <c r="K5875" s="3">
        <v>100917400531</v>
      </c>
      <c r="L5875" s="10">
        <v>41083</v>
      </c>
      <c r="M5875">
        <v>1062.2195</v>
      </c>
      <c r="N5875" s="11">
        <v>18</v>
      </c>
      <c r="O5875" s="12">
        <v>65.99</v>
      </c>
      <c r="P5875" s="12">
        <v>5.31</v>
      </c>
      <c r="Q5875" s="13">
        <v>132.372</v>
      </c>
      <c r="R5875" s="36" t="s">
        <v>1452</v>
      </c>
      <c r="S5875" s="7">
        <f t="shared" si="504"/>
        <v>3</v>
      </c>
      <c r="T5875" s="15" t="str">
        <f>VLOOKUP(R5875,产品分类!$C$2:$D$1278,2,0)</f>
        <v>办公用品</v>
      </c>
    </row>
    <row r="5876" spans="1:20">
      <c r="A5876" s="8">
        <f>DATE(2012,12,31)-28</f>
        <v>41246</v>
      </c>
      <c r="B5876" s="8">
        <f>DATE(2012,12,31)-28</f>
        <v>41246</v>
      </c>
      <c r="C5876" s="9" t="s">
        <v>2392</v>
      </c>
      <c r="D5876">
        <v>10021497934</v>
      </c>
      <c r="E5876" t="s">
        <v>47</v>
      </c>
      <c r="F5876" t="s">
        <v>55</v>
      </c>
      <c r="G5876" t="s">
        <v>56</v>
      </c>
      <c r="H5876" t="s">
        <v>2471</v>
      </c>
      <c r="I5876" t="s">
        <v>2472</v>
      </c>
      <c r="J5876" t="s">
        <v>52</v>
      </c>
      <c r="K5876" s="3">
        <v>100420683083</v>
      </c>
      <c r="L5876" s="10">
        <v>41248</v>
      </c>
      <c r="M5876">
        <v>638.91</v>
      </c>
      <c r="N5876" s="11">
        <v>49</v>
      </c>
      <c r="O5876" s="12">
        <v>12.98</v>
      </c>
      <c r="P5876" s="12">
        <v>3.14</v>
      </c>
      <c r="Q5876" s="13">
        <v>77.48</v>
      </c>
      <c r="R5876" s="36" t="s">
        <v>161</v>
      </c>
      <c r="S5876" s="7">
        <f t="shared" si="504"/>
        <v>2</v>
      </c>
      <c r="T5876" s="15" t="str">
        <f>VLOOKUP(R5876,产品分类!$C$2:$D$1278,2,0)</f>
        <v>办公用品</v>
      </c>
    </row>
    <row r="5877" spans="1:20">
      <c r="A5877" s="8">
        <f>DATE(2012,12,31)-1267</f>
        <v>40007</v>
      </c>
      <c r="B5877" s="8">
        <f>DATE(2012,12,31)-1267</f>
        <v>40007</v>
      </c>
      <c r="C5877" s="9" t="s">
        <v>2072</v>
      </c>
      <c r="D5877">
        <v>10021347279</v>
      </c>
      <c r="E5877" t="s">
        <v>47</v>
      </c>
      <c r="F5877" t="s">
        <v>122</v>
      </c>
      <c r="G5877" t="s">
        <v>123</v>
      </c>
      <c r="H5877" t="s">
        <v>2458</v>
      </c>
      <c r="I5877" t="s">
        <v>2459</v>
      </c>
      <c r="J5877" t="s">
        <v>52</v>
      </c>
      <c r="K5877" s="3">
        <v>100130992656</v>
      </c>
      <c r="L5877" s="10">
        <v>40009</v>
      </c>
      <c r="M5877">
        <v>237.28</v>
      </c>
      <c r="N5877" s="11">
        <v>45</v>
      </c>
      <c r="O5877" s="12">
        <v>4.48</v>
      </c>
      <c r="P5877" s="12">
        <v>49</v>
      </c>
      <c r="Q5877" s="13">
        <v>-2088.68</v>
      </c>
      <c r="R5877" s="36" t="s">
        <v>337</v>
      </c>
      <c r="S5877" s="7">
        <f t="shared" si="504"/>
        <v>2</v>
      </c>
      <c r="T5877" s="15" t="str">
        <f>VLOOKUP(R5877,产品分类!$C$2:$D$1278,2,0)</f>
        <v>数码电子</v>
      </c>
    </row>
    <row r="5878" spans="1:20">
      <c r="A5878" s="8">
        <f>DATE(2012,12,31)-740</f>
        <v>40534</v>
      </c>
      <c r="B5878" s="8">
        <f>DATE(2012,12,31)-740</f>
        <v>40534</v>
      </c>
      <c r="C5878" s="9" t="s">
        <v>1062</v>
      </c>
      <c r="D5878">
        <v>10021591229</v>
      </c>
      <c r="E5878" t="s">
        <v>47</v>
      </c>
      <c r="F5878" t="s">
        <v>91</v>
      </c>
      <c r="G5878" t="s">
        <v>92</v>
      </c>
      <c r="H5878" t="s">
        <v>2481</v>
      </c>
      <c r="I5878" t="s">
        <v>2482</v>
      </c>
      <c r="J5878" t="s">
        <v>52</v>
      </c>
      <c r="K5878" s="3">
        <v>100931765071</v>
      </c>
      <c r="L5878" s="10">
        <v>40535</v>
      </c>
      <c r="M5878">
        <v>3323.44</v>
      </c>
      <c r="N5878" s="11">
        <v>21</v>
      </c>
      <c r="O5878" s="12">
        <v>152.48</v>
      </c>
      <c r="P5878" s="12">
        <v>4</v>
      </c>
      <c r="Q5878" s="13">
        <v>99.8799999999999</v>
      </c>
      <c r="R5878" s="36" t="s">
        <v>505</v>
      </c>
      <c r="S5878" s="7">
        <f t="shared" si="504"/>
        <v>1</v>
      </c>
      <c r="T5878" s="15" t="str">
        <f>VLOOKUP(R5878,产品分类!$C$2:$D$1278,2,0)</f>
        <v>家具产品</v>
      </c>
    </row>
    <row r="5879" spans="1:20">
      <c r="A5879" s="8">
        <f>DATE(2012,12,31)-740</f>
        <v>40534</v>
      </c>
      <c r="B5879" s="8">
        <f>DATE(2012,12,31)-740</f>
        <v>40534</v>
      </c>
      <c r="C5879" s="9" t="s">
        <v>1062</v>
      </c>
      <c r="D5879">
        <v>10021582661</v>
      </c>
      <c r="E5879" t="s">
        <v>47</v>
      </c>
      <c r="F5879" t="s">
        <v>91</v>
      </c>
      <c r="G5879" t="s">
        <v>92</v>
      </c>
      <c r="H5879" t="s">
        <v>2481</v>
      </c>
      <c r="I5879" t="s">
        <v>2482</v>
      </c>
      <c r="J5879" t="s">
        <v>52</v>
      </c>
      <c r="K5879" s="3">
        <v>100725949885</v>
      </c>
      <c r="L5879" s="10">
        <v>40536</v>
      </c>
      <c r="M5879">
        <v>27.9</v>
      </c>
      <c r="N5879" s="11">
        <v>5</v>
      </c>
      <c r="O5879" s="12">
        <v>4.28</v>
      </c>
      <c r="P5879" s="12">
        <v>6.72</v>
      </c>
      <c r="Q5879" s="13">
        <v>-22.82</v>
      </c>
      <c r="R5879" s="36" t="s">
        <v>833</v>
      </c>
      <c r="S5879" s="7">
        <f t="shared" si="504"/>
        <v>2</v>
      </c>
      <c r="T5879" s="15" t="str">
        <f>VLOOKUP(R5879,产品分类!$C$2:$D$1278,2,0)</f>
        <v>家具产品</v>
      </c>
    </row>
    <row r="5880" spans="1:20">
      <c r="A5880" s="16">
        <f>DATE(2012,12,31)-1188</f>
        <v>40086</v>
      </c>
      <c r="B5880" s="16">
        <f>DATE(2012,12,31)-1188</f>
        <v>40086</v>
      </c>
      <c r="C5880" s="9" t="s">
        <v>586</v>
      </c>
      <c r="D5880">
        <v>10021265544</v>
      </c>
      <c r="E5880" t="s">
        <v>47</v>
      </c>
      <c r="F5880" t="s">
        <v>91</v>
      </c>
      <c r="G5880" t="s">
        <v>92</v>
      </c>
      <c r="H5880" t="s">
        <v>2481</v>
      </c>
      <c r="I5880" t="s">
        <v>2482</v>
      </c>
      <c r="J5880" t="s">
        <v>52</v>
      </c>
      <c r="K5880" s="3">
        <v>100131515438</v>
      </c>
      <c r="L5880" s="10">
        <v>40088</v>
      </c>
      <c r="M5880">
        <v>23106.46</v>
      </c>
      <c r="N5880" s="17">
        <v>28</v>
      </c>
      <c r="O5880" s="5">
        <v>896.99</v>
      </c>
      <c r="P5880" s="5">
        <v>19.99</v>
      </c>
      <c r="Q5880" s="6">
        <v>9527.4715</v>
      </c>
      <c r="R5880" s="37" t="s">
        <v>444</v>
      </c>
      <c r="S5880" s="7">
        <f t="shared" si="504"/>
        <v>2</v>
      </c>
      <c r="T5880" s="15" t="str">
        <f>VLOOKUP(R5880,产品分类!$C$2:$D$1278,2,0)</f>
        <v>办公用品</v>
      </c>
    </row>
    <row r="5881" spans="1:20">
      <c r="A5881" s="8">
        <f>DATE(2012,12,31)-1188</f>
        <v>40086</v>
      </c>
      <c r="B5881" s="8">
        <f>DATE(2012,12,31)-1188</f>
        <v>40086</v>
      </c>
      <c r="C5881" s="9" t="s">
        <v>586</v>
      </c>
      <c r="D5881">
        <v>10021656285</v>
      </c>
      <c r="E5881" t="s">
        <v>47</v>
      </c>
      <c r="F5881" t="s">
        <v>91</v>
      </c>
      <c r="G5881" t="s">
        <v>92</v>
      </c>
      <c r="H5881" t="s">
        <v>2481</v>
      </c>
      <c r="I5881" t="s">
        <v>2482</v>
      </c>
      <c r="J5881" t="s">
        <v>52</v>
      </c>
      <c r="K5881" s="3">
        <v>1004337403</v>
      </c>
      <c r="L5881" s="10">
        <v>40087</v>
      </c>
      <c r="M5881">
        <v>2549.58</v>
      </c>
      <c r="N5881" s="11">
        <v>10</v>
      </c>
      <c r="O5881" s="12">
        <v>243.98</v>
      </c>
      <c r="P5881" s="12">
        <v>62.94</v>
      </c>
      <c r="Q5881" s="13">
        <v>41.53</v>
      </c>
      <c r="R5881" s="36" t="s">
        <v>1386</v>
      </c>
      <c r="S5881" s="7">
        <f t="shared" si="504"/>
        <v>1</v>
      </c>
      <c r="T5881" s="15" t="str">
        <f>VLOOKUP(R5881,产品分类!$C$2:$D$1278,2,0)</f>
        <v>家具产品</v>
      </c>
    </row>
    <row r="5882" spans="1:20">
      <c r="A5882" s="8">
        <f t="shared" ref="A5882:B5885" si="507">DATE(2012,12,31)-339</f>
        <v>40935</v>
      </c>
      <c r="B5882" s="8">
        <f t="shared" si="507"/>
        <v>40935</v>
      </c>
      <c r="C5882" s="9" t="s">
        <v>1689</v>
      </c>
      <c r="D5882">
        <v>10021425728</v>
      </c>
      <c r="E5882" t="s">
        <v>47</v>
      </c>
      <c r="F5882" t="s">
        <v>55</v>
      </c>
      <c r="G5882" t="s">
        <v>56</v>
      </c>
      <c r="H5882" t="s">
        <v>2471</v>
      </c>
      <c r="I5882" t="s">
        <v>2472</v>
      </c>
      <c r="J5882" t="s">
        <v>52</v>
      </c>
      <c r="K5882" s="3">
        <v>100329619599</v>
      </c>
      <c r="L5882" s="10">
        <v>40940</v>
      </c>
      <c r="M5882">
        <v>6688.66</v>
      </c>
      <c r="N5882" s="11">
        <v>21</v>
      </c>
      <c r="O5882" s="12">
        <v>315.98</v>
      </c>
      <c r="P5882" s="12">
        <v>19.99</v>
      </c>
      <c r="Q5882" s="13">
        <v>2648.0815</v>
      </c>
      <c r="R5882" s="36" t="s">
        <v>539</v>
      </c>
      <c r="S5882" s="7">
        <f t="shared" si="504"/>
        <v>5</v>
      </c>
      <c r="T5882" s="15" t="str">
        <f>VLOOKUP(R5882,产品分类!$C$2:$D$1278,2,0)</f>
        <v>家具产品</v>
      </c>
    </row>
    <row r="5883" spans="1:20">
      <c r="A5883" s="8">
        <f t="shared" si="507"/>
        <v>40935</v>
      </c>
      <c r="B5883" s="8">
        <f t="shared" si="507"/>
        <v>40935</v>
      </c>
      <c r="C5883" s="9" t="s">
        <v>1689</v>
      </c>
      <c r="D5883">
        <v>10021387938</v>
      </c>
      <c r="E5883" t="s">
        <v>47</v>
      </c>
      <c r="F5883" t="s">
        <v>91</v>
      </c>
      <c r="G5883" t="s">
        <v>92</v>
      </c>
      <c r="H5883" t="s">
        <v>2481</v>
      </c>
      <c r="I5883" t="s">
        <v>2482</v>
      </c>
      <c r="J5883" t="s">
        <v>52</v>
      </c>
      <c r="K5883" s="3">
        <v>100819754022</v>
      </c>
      <c r="L5883" s="10">
        <v>40942</v>
      </c>
      <c r="M5883">
        <v>247.45</v>
      </c>
      <c r="N5883" s="11">
        <v>22</v>
      </c>
      <c r="O5883" s="12">
        <v>9.98</v>
      </c>
      <c r="P5883" s="12">
        <v>12.52</v>
      </c>
      <c r="Q5883" s="13">
        <v>-133.18</v>
      </c>
      <c r="R5883" s="36" t="s">
        <v>2129</v>
      </c>
      <c r="S5883" s="7">
        <f t="shared" si="504"/>
        <v>7</v>
      </c>
      <c r="T5883" s="15" t="str">
        <f>VLOOKUP(R5883,产品分类!$C$2:$D$1278,2,0)</f>
        <v>家具产品</v>
      </c>
    </row>
    <row r="5884" spans="1:20">
      <c r="A5884" s="8">
        <f t="shared" si="507"/>
        <v>40935</v>
      </c>
      <c r="B5884" s="8">
        <f t="shared" si="507"/>
        <v>40935</v>
      </c>
      <c r="C5884" s="9" t="s">
        <v>1689</v>
      </c>
      <c r="D5884">
        <v>10021385921</v>
      </c>
      <c r="E5884" t="s">
        <v>47</v>
      </c>
      <c r="F5884" t="s">
        <v>122</v>
      </c>
      <c r="G5884" t="s">
        <v>123</v>
      </c>
      <c r="H5884" t="s">
        <v>2458</v>
      </c>
      <c r="I5884" t="s">
        <v>2459</v>
      </c>
      <c r="J5884" t="s">
        <v>52</v>
      </c>
      <c r="K5884" s="3">
        <v>10072822105</v>
      </c>
      <c r="L5884" s="10">
        <v>40940</v>
      </c>
      <c r="M5884">
        <v>685.7205</v>
      </c>
      <c r="N5884" s="11">
        <v>7</v>
      </c>
      <c r="O5884" s="12">
        <v>115.99</v>
      </c>
      <c r="P5884" s="12">
        <v>2.5</v>
      </c>
      <c r="Q5884" s="13">
        <v>-278.872</v>
      </c>
      <c r="R5884" s="36" t="s">
        <v>914</v>
      </c>
      <c r="S5884" s="7">
        <f t="shared" si="504"/>
        <v>5</v>
      </c>
      <c r="T5884" s="15" t="str">
        <f>VLOOKUP(R5884,产品分类!$C$2:$D$1278,2,0)</f>
        <v>家具产品</v>
      </c>
    </row>
    <row r="5885" spans="1:20">
      <c r="A5885" s="8">
        <f t="shared" si="507"/>
        <v>40935</v>
      </c>
      <c r="B5885" s="8">
        <f t="shared" si="507"/>
        <v>40935</v>
      </c>
      <c r="C5885" s="9" t="s">
        <v>1689</v>
      </c>
      <c r="D5885">
        <v>10021666335</v>
      </c>
      <c r="E5885" t="s">
        <v>47</v>
      </c>
      <c r="F5885" t="s">
        <v>55</v>
      </c>
      <c r="G5885" t="s">
        <v>56</v>
      </c>
      <c r="H5885" t="s">
        <v>2471</v>
      </c>
      <c r="I5885" t="s">
        <v>2472</v>
      </c>
      <c r="J5885" t="s">
        <v>52</v>
      </c>
      <c r="K5885" s="3">
        <v>100314093049</v>
      </c>
      <c r="L5885" s="10">
        <v>40940</v>
      </c>
      <c r="M5885">
        <v>3232.1335</v>
      </c>
      <c r="N5885" s="11">
        <v>40</v>
      </c>
      <c r="O5885" s="12">
        <v>95.99</v>
      </c>
      <c r="P5885" s="12">
        <v>8.99</v>
      </c>
      <c r="Q5885" s="13">
        <v>696.951</v>
      </c>
      <c r="R5885" s="36" t="s">
        <v>1605</v>
      </c>
      <c r="S5885" s="7">
        <f t="shared" si="504"/>
        <v>5</v>
      </c>
      <c r="T5885" s="15" t="str">
        <f>VLOOKUP(R5885,产品分类!$C$2:$D$1278,2,0)</f>
        <v>家具产品</v>
      </c>
    </row>
    <row r="5886" spans="1:20">
      <c r="A5886" s="8">
        <f>DATE(2012,12,31)-1183</f>
        <v>40091</v>
      </c>
      <c r="B5886" s="8">
        <f>DATE(2012,12,31)-1183</f>
        <v>40091</v>
      </c>
      <c r="C5886" s="9" t="s">
        <v>294</v>
      </c>
      <c r="D5886">
        <v>10021396013</v>
      </c>
      <c r="E5886" t="s">
        <v>47</v>
      </c>
      <c r="F5886" t="s">
        <v>122</v>
      </c>
      <c r="G5886" t="s">
        <v>123</v>
      </c>
      <c r="H5886" t="s">
        <v>2458</v>
      </c>
      <c r="I5886" t="s">
        <v>2459</v>
      </c>
      <c r="J5886" t="s">
        <v>52</v>
      </c>
      <c r="K5886" s="3">
        <v>100116333158</v>
      </c>
      <c r="L5886" s="10">
        <v>40093</v>
      </c>
      <c r="M5886">
        <v>5105.06</v>
      </c>
      <c r="N5886" s="11">
        <v>16</v>
      </c>
      <c r="O5886" s="12">
        <v>320.64</v>
      </c>
      <c r="P5886" s="12">
        <v>29.2</v>
      </c>
      <c r="Q5886" s="13">
        <v>467.1243</v>
      </c>
      <c r="R5886" s="36" t="s">
        <v>1346</v>
      </c>
      <c r="S5886" s="7">
        <f t="shared" si="504"/>
        <v>2</v>
      </c>
      <c r="T5886" s="15" t="str">
        <f>VLOOKUP(R5886,产品分类!$C$2:$D$1278,2,0)</f>
        <v>办公用品</v>
      </c>
    </row>
    <row r="5887" spans="1:20">
      <c r="A5887" s="8">
        <f>DATE(2012,12,31)-1118</f>
        <v>40156</v>
      </c>
      <c r="B5887" s="8">
        <f>DATE(2012,12,31)-1118</f>
        <v>40156</v>
      </c>
      <c r="C5887" s="9" t="s">
        <v>2324</v>
      </c>
      <c r="D5887">
        <v>10021266135</v>
      </c>
      <c r="E5887" t="s">
        <v>47</v>
      </c>
      <c r="F5887" t="s">
        <v>122</v>
      </c>
      <c r="G5887" t="s">
        <v>123</v>
      </c>
      <c r="H5887" t="s">
        <v>2458</v>
      </c>
      <c r="I5887" t="s">
        <v>2459</v>
      </c>
      <c r="J5887" t="s">
        <v>52</v>
      </c>
      <c r="K5887" s="3">
        <v>100915396411</v>
      </c>
      <c r="L5887" s="10">
        <v>40158</v>
      </c>
      <c r="M5887">
        <v>204.99</v>
      </c>
      <c r="N5887" s="11">
        <v>41</v>
      </c>
      <c r="O5887" s="12">
        <v>4.98</v>
      </c>
      <c r="P5887" s="12">
        <v>4.95</v>
      </c>
      <c r="Q5887" s="13">
        <v>-95.9905</v>
      </c>
      <c r="R5887" s="36" t="s">
        <v>1656</v>
      </c>
      <c r="S5887" s="7">
        <f t="shared" si="504"/>
        <v>2</v>
      </c>
      <c r="T5887" s="15" t="str">
        <f>VLOOKUP(R5887,产品分类!$C$2:$D$1278,2,0)</f>
        <v>家具产品</v>
      </c>
    </row>
    <row r="5888" spans="1:20">
      <c r="A5888" s="8">
        <f>DATE(2012,12,31)-111</f>
        <v>41163</v>
      </c>
      <c r="B5888" s="8">
        <f>DATE(2012,12,31)-111</f>
        <v>41163</v>
      </c>
      <c r="C5888" s="9" t="s">
        <v>391</v>
      </c>
      <c r="D5888">
        <v>10021318591</v>
      </c>
      <c r="E5888" t="s">
        <v>47</v>
      </c>
      <c r="F5888" t="s">
        <v>122</v>
      </c>
      <c r="G5888" t="s">
        <v>123</v>
      </c>
      <c r="H5888" t="s">
        <v>2458</v>
      </c>
      <c r="I5888" t="s">
        <v>2459</v>
      </c>
      <c r="J5888" t="s">
        <v>52</v>
      </c>
      <c r="K5888" s="3">
        <v>10092383591</v>
      </c>
      <c r="L5888" s="10">
        <v>41164</v>
      </c>
      <c r="M5888">
        <v>273.42</v>
      </c>
      <c r="N5888" s="11">
        <v>7</v>
      </c>
      <c r="O5888" s="12">
        <v>34.54</v>
      </c>
      <c r="P5888" s="12">
        <v>14.72</v>
      </c>
      <c r="Q5888" s="13">
        <v>10.064</v>
      </c>
      <c r="R5888" s="36" t="s">
        <v>1376</v>
      </c>
      <c r="S5888" s="7">
        <f t="shared" si="504"/>
        <v>1</v>
      </c>
      <c r="T5888" s="15" t="str">
        <f>VLOOKUP(R5888,产品分类!$C$2:$D$1278,2,0)</f>
        <v>办公用品</v>
      </c>
    </row>
    <row r="5889" spans="1:20">
      <c r="A5889" s="8">
        <f>DATE(2012,12,31)-111</f>
        <v>41163</v>
      </c>
      <c r="B5889" s="8">
        <f>DATE(2012,12,31)-111</f>
        <v>41163</v>
      </c>
      <c r="C5889" s="9" t="s">
        <v>391</v>
      </c>
      <c r="D5889">
        <v>10021387951</v>
      </c>
      <c r="E5889" t="s">
        <v>47</v>
      </c>
      <c r="F5889" t="s">
        <v>91</v>
      </c>
      <c r="G5889" t="s">
        <v>92</v>
      </c>
      <c r="H5889" t="s">
        <v>2481</v>
      </c>
      <c r="I5889" t="s">
        <v>2482</v>
      </c>
      <c r="J5889" t="s">
        <v>52</v>
      </c>
      <c r="K5889" s="3">
        <v>100921174951</v>
      </c>
      <c r="L5889" s="10">
        <v>41164</v>
      </c>
      <c r="M5889">
        <v>5158.09</v>
      </c>
      <c r="N5889" s="11">
        <v>10</v>
      </c>
      <c r="O5889" s="12">
        <v>500.98</v>
      </c>
      <c r="P5889" s="12">
        <v>28.14</v>
      </c>
      <c r="Q5889" s="13">
        <v>969.05</v>
      </c>
      <c r="R5889" s="36" t="s">
        <v>248</v>
      </c>
      <c r="S5889" s="7">
        <f t="shared" si="504"/>
        <v>1</v>
      </c>
      <c r="T5889" s="15" t="str">
        <f>VLOOKUP(R5889,产品分类!$C$2:$D$1278,2,0)</f>
        <v>家具产品</v>
      </c>
    </row>
    <row r="5890" spans="1:20">
      <c r="A5890" s="8">
        <f t="shared" ref="A5890:B5892" si="508">DATE(2012,12,31)-584</f>
        <v>40690</v>
      </c>
      <c r="B5890" s="8">
        <f t="shared" si="508"/>
        <v>40690</v>
      </c>
      <c r="C5890" s="9" t="s">
        <v>1546</v>
      </c>
      <c r="D5890">
        <v>10021524649</v>
      </c>
      <c r="E5890" t="s">
        <v>47</v>
      </c>
      <c r="F5890" t="s">
        <v>97</v>
      </c>
      <c r="G5890" t="s">
        <v>98</v>
      </c>
      <c r="H5890" t="s">
        <v>99</v>
      </c>
      <c r="I5890" t="s">
        <v>98</v>
      </c>
      <c r="J5890" t="s">
        <v>52</v>
      </c>
      <c r="K5890" s="3">
        <v>100418413913</v>
      </c>
      <c r="L5890" s="10">
        <v>40691</v>
      </c>
      <c r="M5890">
        <v>836.59</v>
      </c>
      <c r="N5890" s="11">
        <v>48</v>
      </c>
      <c r="O5890" s="12">
        <v>17.99</v>
      </c>
      <c r="P5890" s="12">
        <v>8.65</v>
      </c>
      <c r="Q5890" s="13">
        <v>-106.8</v>
      </c>
      <c r="R5890" s="36" t="s">
        <v>1313</v>
      </c>
      <c r="S5890" s="7">
        <f t="shared" si="504"/>
        <v>1</v>
      </c>
      <c r="T5890" s="15" t="str">
        <f>VLOOKUP(R5890,产品分类!$C$2:$D$1278,2,0)</f>
        <v>数码电子</v>
      </c>
    </row>
    <row r="5891" spans="1:20">
      <c r="A5891" s="8">
        <f t="shared" si="508"/>
        <v>40690</v>
      </c>
      <c r="B5891" s="8">
        <f t="shared" si="508"/>
        <v>40690</v>
      </c>
      <c r="C5891" s="9" t="s">
        <v>1535</v>
      </c>
      <c r="D5891">
        <v>10021506432</v>
      </c>
      <c r="E5891" t="s">
        <v>47</v>
      </c>
      <c r="F5891" t="s">
        <v>97</v>
      </c>
      <c r="G5891" t="s">
        <v>98</v>
      </c>
      <c r="H5891" t="s">
        <v>99</v>
      </c>
      <c r="I5891" t="s">
        <v>98</v>
      </c>
      <c r="J5891" t="s">
        <v>52</v>
      </c>
      <c r="K5891" s="3">
        <v>100931441601</v>
      </c>
      <c r="L5891" s="10">
        <v>40692</v>
      </c>
      <c r="M5891">
        <v>58.14</v>
      </c>
      <c r="N5891" s="11">
        <v>21</v>
      </c>
      <c r="O5891" s="12">
        <v>2.78</v>
      </c>
      <c r="P5891" s="12">
        <v>0.97</v>
      </c>
      <c r="Q5891" s="13">
        <v>-2.23</v>
      </c>
      <c r="R5891" s="36" t="s">
        <v>2338</v>
      </c>
      <c r="S5891" s="7">
        <f t="shared" ref="S5891:S5954" si="509">+L5891-B5891</f>
        <v>2</v>
      </c>
      <c r="T5891" s="15" t="str">
        <f>VLOOKUP(R5891,产品分类!$C$2:$D$1278,2,0)</f>
        <v>家具产品</v>
      </c>
    </row>
    <row r="5892" spans="1:20">
      <c r="A5892" s="8">
        <f t="shared" si="508"/>
        <v>40690</v>
      </c>
      <c r="B5892" s="8">
        <f t="shared" si="508"/>
        <v>40690</v>
      </c>
      <c r="C5892" s="9" t="s">
        <v>1535</v>
      </c>
      <c r="D5892">
        <v>10021497732</v>
      </c>
      <c r="E5892" t="s">
        <v>47</v>
      </c>
      <c r="F5892" t="s">
        <v>132</v>
      </c>
      <c r="G5892" t="s">
        <v>133</v>
      </c>
      <c r="H5892" t="s">
        <v>134</v>
      </c>
      <c r="I5892" t="s">
        <v>133</v>
      </c>
      <c r="J5892" t="s">
        <v>52</v>
      </c>
      <c r="K5892" s="3">
        <v>100419444963</v>
      </c>
      <c r="L5892" s="10">
        <v>40692</v>
      </c>
      <c r="M5892">
        <v>891.6075</v>
      </c>
      <c r="N5892" s="11">
        <v>49</v>
      </c>
      <c r="O5892" s="12">
        <v>20.99</v>
      </c>
      <c r="P5892" s="12">
        <v>4.81</v>
      </c>
      <c r="Q5892" s="13">
        <v>100.593</v>
      </c>
      <c r="R5892" s="36" t="s">
        <v>2476</v>
      </c>
      <c r="S5892" s="7">
        <f t="shared" si="509"/>
        <v>2</v>
      </c>
      <c r="T5892" s="15" t="str">
        <f>VLOOKUP(R5892,产品分类!$C$2:$D$1278,2,0)</f>
        <v>数码电子</v>
      </c>
    </row>
    <row r="5893" spans="1:20">
      <c r="A5893" s="8">
        <f>DATE(2012,12,31)-1287</f>
        <v>39987</v>
      </c>
      <c r="B5893" s="8">
        <f>DATE(2012,12,31)-1287</f>
        <v>39987</v>
      </c>
      <c r="C5893" s="9" t="s">
        <v>1535</v>
      </c>
      <c r="D5893">
        <v>10021255351</v>
      </c>
      <c r="E5893" t="s">
        <v>47</v>
      </c>
      <c r="F5893" t="s">
        <v>132</v>
      </c>
      <c r="G5893" t="s">
        <v>133</v>
      </c>
      <c r="H5893" t="s">
        <v>134</v>
      </c>
      <c r="I5893" t="s">
        <v>133</v>
      </c>
      <c r="J5893" t="s">
        <v>52</v>
      </c>
      <c r="K5893" s="3">
        <v>100323791459</v>
      </c>
      <c r="L5893" s="10">
        <v>39988</v>
      </c>
      <c r="M5893">
        <v>1130.806</v>
      </c>
      <c r="N5893" s="11">
        <v>21</v>
      </c>
      <c r="O5893" s="12">
        <v>65.99</v>
      </c>
      <c r="P5893" s="12">
        <v>4.99</v>
      </c>
      <c r="Q5893" s="13">
        <v>95.148</v>
      </c>
      <c r="R5893" s="36" t="s">
        <v>692</v>
      </c>
      <c r="S5893" s="7">
        <f t="shared" si="509"/>
        <v>1</v>
      </c>
      <c r="T5893" s="15" t="str">
        <f>VLOOKUP(R5893,产品分类!$C$2:$D$1278,2,0)</f>
        <v>办公用品</v>
      </c>
    </row>
    <row r="5894" spans="1:20">
      <c r="A5894" s="8">
        <f>DATE(2012,12,31)-911</f>
        <v>40363</v>
      </c>
      <c r="B5894" s="8">
        <f>DATE(2012,12,31)-911</f>
        <v>40363</v>
      </c>
      <c r="C5894" s="9" t="s">
        <v>101</v>
      </c>
      <c r="D5894">
        <v>10021347999</v>
      </c>
      <c r="E5894" t="s">
        <v>47</v>
      </c>
      <c r="F5894" t="s">
        <v>208</v>
      </c>
      <c r="G5894" t="s">
        <v>209</v>
      </c>
      <c r="H5894" t="s">
        <v>2300</v>
      </c>
      <c r="I5894" t="s">
        <v>2301</v>
      </c>
      <c r="J5894" t="s">
        <v>52</v>
      </c>
      <c r="K5894" s="3">
        <v>10093349551</v>
      </c>
      <c r="L5894" s="10">
        <v>40364</v>
      </c>
      <c r="M5894">
        <v>157.51</v>
      </c>
      <c r="N5894" s="11">
        <v>8</v>
      </c>
      <c r="O5894" s="12">
        <v>18.94</v>
      </c>
      <c r="P5894" s="12">
        <v>1.49</v>
      </c>
      <c r="Q5894" s="13">
        <v>46.478</v>
      </c>
      <c r="R5894" s="36" t="s">
        <v>1800</v>
      </c>
      <c r="S5894" s="7">
        <f t="shared" si="509"/>
        <v>1</v>
      </c>
      <c r="T5894" s="15" t="str">
        <f>VLOOKUP(R5894,产品分类!$C$2:$D$1278,2,0)</f>
        <v>办公用品</v>
      </c>
    </row>
    <row r="5895" spans="1:20">
      <c r="A5895" s="8">
        <f>DATE(2012,12,31)-911</f>
        <v>40363</v>
      </c>
      <c r="B5895" s="8">
        <f>DATE(2012,12,31)-911</f>
        <v>40363</v>
      </c>
      <c r="C5895" s="9" t="s">
        <v>705</v>
      </c>
      <c r="D5895">
        <v>10021496245</v>
      </c>
      <c r="E5895" t="s">
        <v>47</v>
      </c>
      <c r="F5895" t="s">
        <v>603</v>
      </c>
      <c r="G5895" t="s">
        <v>604</v>
      </c>
      <c r="H5895" t="s">
        <v>605</v>
      </c>
      <c r="I5895" t="s">
        <v>606</v>
      </c>
      <c r="J5895" t="s">
        <v>52</v>
      </c>
      <c r="K5895" s="3">
        <v>10087737862</v>
      </c>
      <c r="L5895" s="10">
        <v>40365</v>
      </c>
      <c r="M5895">
        <v>97.78</v>
      </c>
      <c r="N5895" s="11">
        <v>33</v>
      </c>
      <c r="O5895" s="12">
        <v>2.98</v>
      </c>
      <c r="P5895" s="12">
        <v>2.03</v>
      </c>
      <c r="Q5895" s="13">
        <v>-31.22</v>
      </c>
      <c r="R5895" s="36" t="s">
        <v>1311</v>
      </c>
      <c r="S5895" s="7">
        <f t="shared" si="509"/>
        <v>2</v>
      </c>
      <c r="T5895" s="15" t="str">
        <f>VLOOKUP(R5895,产品分类!$C$2:$D$1278,2,0)</f>
        <v>家具产品</v>
      </c>
    </row>
    <row r="5896" spans="1:20">
      <c r="A5896" s="8">
        <f>DATE(2012,12,31)-1227</f>
        <v>40047</v>
      </c>
      <c r="B5896" s="8">
        <f>DATE(2012,12,31)-1227</f>
        <v>40047</v>
      </c>
      <c r="C5896" s="9" t="s">
        <v>705</v>
      </c>
      <c r="D5896">
        <v>10021293965</v>
      </c>
      <c r="E5896" t="s">
        <v>47</v>
      </c>
      <c r="F5896" t="s">
        <v>208</v>
      </c>
      <c r="G5896" t="s">
        <v>209</v>
      </c>
      <c r="H5896" t="s">
        <v>2300</v>
      </c>
      <c r="I5896" t="s">
        <v>2301</v>
      </c>
      <c r="J5896" t="s">
        <v>52</v>
      </c>
      <c r="K5896" s="3">
        <v>100410198074</v>
      </c>
      <c r="L5896" s="10">
        <v>40048</v>
      </c>
      <c r="M5896">
        <v>3277.39</v>
      </c>
      <c r="N5896" s="11">
        <v>43</v>
      </c>
      <c r="O5896" s="12">
        <v>73.98</v>
      </c>
      <c r="P5896" s="12">
        <v>4</v>
      </c>
      <c r="Q5896" s="13">
        <v>286.01</v>
      </c>
      <c r="R5896" s="36" t="s">
        <v>2097</v>
      </c>
      <c r="S5896" s="7">
        <f t="shared" si="509"/>
        <v>1</v>
      </c>
      <c r="T5896" s="15" t="str">
        <f>VLOOKUP(R5896,产品分类!$C$2:$D$1278,2,0)</f>
        <v>数码电子</v>
      </c>
    </row>
    <row r="5897" spans="1:20">
      <c r="A5897" s="8">
        <f>DATE(2012,12,31)-1227</f>
        <v>40047</v>
      </c>
      <c r="B5897" s="8">
        <f>DATE(2012,12,31)-1227</f>
        <v>40047</v>
      </c>
      <c r="C5897" s="9" t="s">
        <v>425</v>
      </c>
      <c r="D5897">
        <v>10021694395</v>
      </c>
      <c r="E5897" t="s">
        <v>47</v>
      </c>
      <c r="F5897" t="s">
        <v>102</v>
      </c>
      <c r="G5897" t="s">
        <v>103</v>
      </c>
      <c r="H5897" t="s">
        <v>2483</v>
      </c>
      <c r="I5897" t="s">
        <v>2484</v>
      </c>
      <c r="J5897" t="s">
        <v>52</v>
      </c>
      <c r="K5897" s="3">
        <v>100131136736</v>
      </c>
      <c r="L5897" s="10">
        <v>40047</v>
      </c>
      <c r="M5897">
        <v>7817.45</v>
      </c>
      <c r="N5897" s="11">
        <v>50</v>
      </c>
      <c r="O5897" s="12">
        <v>150.89</v>
      </c>
      <c r="P5897" s="12">
        <v>60.2</v>
      </c>
      <c r="Q5897" s="13">
        <v>-1303.6</v>
      </c>
      <c r="R5897" s="36" t="s">
        <v>600</v>
      </c>
      <c r="S5897" s="7">
        <f t="shared" si="509"/>
        <v>0</v>
      </c>
      <c r="T5897" s="15" t="str">
        <f>VLOOKUP(R5897,产品分类!$C$2:$D$1278,2,0)</f>
        <v>数码电子</v>
      </c>
    </row>
    <row r="5898" spans="1:20">
      <c r="A5898" s="8">
        <f>DATE(2012,12,31)-807</f>
        <v>40467</v>
      </c>
      <c r="B5898" s="8">
        <f>DATE(2012,12,31)-807</f>
        <v>40467</v>
      </c>
      <c r="C5898" s="9" t="s">
        <v>1565</v>
      </c>
      <c r="D5898">
        <v>10021507947</v>
      </c>
      <c r="E5898" t="s">
        <v>47</v>
      </c>
      <c r="F5898" t="s">
        <v>208</v>
      </c>
      <c r="G5898" t="s">
        <v>209</v>
      </c>
      <c r="H5898" t="s">
        <v>2300</v>
      </c>
      <c r="I5898" t="s">
        <v>2301</v>
      </c>
      <c r="J5898" t="s">
        <v>52</v>
      </c>
      <c r="K5898" s="3">
        <v>100932026971</v>
      </c>
      <c r="L5898" s="10">
        <v>40469</v>
      </c>
      <c r="M5898">
        <v>63.93</v>
      </c>
      <c r="N5898" s="11">
        <v>4</v>
      </c>
      <c r="O5898" s="12">
        <v>9.77</v>
      </c>
      <c r="P5898" s="12">
        <v>6.02</v>
      </c>
      <c r="Q5898" s="13">
        <v>40.63</v>
      </c>
      <c r="R5898" s="36" t="s">
        <v>274</v>
      </c>
      <c r="S5898" s="7">
        <f t="shared" si="509"/>
        <v>2</v>
      </c>
      <c r="T5898" s="15" t="str">
        <f>VLOOKUP(R5898,产品分类!$C$2:$D$1278,2,0)</f>
        <v>办公用品</v>
      </c>
    </row>
    <row r="5899" spans="1:20">
      <c r="A5899" s="8">
        <f>DATE(2012,12,31)-807</f>
        <v>40467</v>
      </c>
      <c r="B5899" s="8">
        <f>DATE(2012,12,31)-807</f>
        <v>40467</v>
      </c>
      <c r="C5899" s="9" t="s">
        <v>1685</v>
      </c>
      <c r="D5899">
        <v>10021499884</v>
      </c>
      <c r="E5899" t="s">
        <v>47</v>
      </c>
      <c r="F5899" t="s">
        <v>171</v>
      </c>
      <c r="G5899" t="s">
        <v>172</v>
      </c>
      <c r="H5899" t="s">
        <v>2352</v>
      </c>
      <c r="I5899" t="s">
        <v>2353</v>
      </c>
      <c r="J5899" t="s">
        <v>52</v>
      </c>
      <c r="K5899" s="3">
        <v>100125322277</v>
      </c>
      <c r="L5899" s="10">
        <v>40469</v>
      </c>
      <c r="M5899">
        <v>570.98</v>
      </c>
      <c r="N5899" s="11">
        <v>2</v>
      </c>
      <c r="O5899" s="12">
        <v>258.98</v>
      </c>
      <c r="P5899" s="12">
        <v>54.31</v>
      </c>
      <c r="Q5899" s="13">
        <v>-340.48</v>
      </c>
      <c r="R5899" s="36" t="s">
        <v>1227</v>
      </c>
      <c r="S5899" s="7">
        <f t="shared" si="509"/>
        <v>2</v>
      </c>
      <c r="T5899" s="15" t="str">
        <f>VLOOKUP(R5899,产品分类!$C$2:$D$1278,2,0)</f>
        <v>办公用品</v>
      </c>
    </row>
    <row r="5900" spans="1:20">
      <c r="A5900" s="8">
        <f>DATE(2012,12,31)-318</f>
        <v>40956</v>
      </c>
      <c r="B5900" s="8">
        <f>DATE(2012,12,31)-318</f>
        <v>40956</v>
      </c>
      <c r="C5900" s="9" t="s">
        <v>1685</v>
      </c>
      <c r="D5900">
        <v>10021386681</v>
      </c>
      <c r="E5900" t="s">
        <v>47</v>
      </c>
      <c r="F5900" t="s">
        <v>527</v>
      </c>
      <c r="G5900" t="s">
        <v>528</v>
      </c>
      <c r="H5900" t="s">
        <v>2454</v>
      </c>
      <c r="I5900" t="s">
        <v>2455</v>
      </c>
      <c r="J5900" t="s">
        <v>52</v>
      </c>
      <c r="K5900" s="3">
        <v>100912347301</v>
      </c>
      <c r="L5900" s="10">
        <v>40963</v>
      </c>
      <c r="M5900">
        <v>5361.08</v>
      </c>
      <c r="N5900" s="11">
        <v>42</v>
      </c>
      <c r="O5900" s="12">
        <v>120.97</v>
      </c>
      <c r="P5900" s="12">
        <v>26.3</v>
      </c>
      <c r="Q5900" s="13">
        <v>1841.92</v>
      </c>
      <c r="R5900" s="36" t="s">
        <v>1820</v>
      </c>
      <c r="S5900" s="7">
        <f t="shared" si="509"/>
        <v>7</v>
      </c>
      <c r="T5900" s="15" t="str">
        <f>VLOOKUP(R5900,产品分类!$C$2:$D$1278,2,0)</f>
        <v>数码电子</v>
      </c>
    </row>
    <row r="5901" spans="1:20">
      <c r="A5901" s="8">
        <f>DATE(2012,12,31)-163</f>
        <v>41111</v>
      </c>
      <c r="B5901" s="8">
        <f>DATE(2012,12,31)-163</f>
        <v>41111</v>
      </c>
      <c r="C5901" s="9" t="s">
        <v>919</v>
      </c>
      <c r="D5901">
        <v>10021645058</v>
      </c>
      <c r="E5901" t="s">
        <v>47</v>
      </c>
      <c r="F5901" t="s">
        <v>527</v>
      </c>
      <c r="G5901" t="s">
        <v>528</v>
      </c>
      <c r="H5901" t="s">
        <v>2454</v>
      </c>
      <c r="I5901" t="s">
        <v>2455</v>
      </c>
      <c r="J5901" t="s">
        <v>52</v>
      </c>
      <c r="K5901" s="3">
        <v>1004590853</v>
      </c>
      <c r="L5901" s="10">
        <v>41113</v>
      </c>
      <c r="M5901">
        <v>3441.09</v>
      </c>
      <c r="N5901" s="11">
        <v>43</v>
      </c>
      <c r="O5901" s="12">
        <v>80.97</v>
      </c>
      <c r="P5901" s="12">
        <v>30.06</v>
      </c>
      <c r="Q5901" s="13">
        <v>431.95</v>
      </c>
      <c r="R5901" s="36" t="s">
        <v>1989</v>
      </c>
      <c r="S5901" s="7">
        <f t="shared" si="509"/>
        <v>2</v>
      </c>
      <c r="T5901" s="15" t="str">
        <f>VLOOKUP(R5901,产品分类!$C$2:$D$1278,2,0)</f>
        <v>家具产品</v>
      </c>
    </row>
    <row r="5902" spans="1:20">
      <c r="A5902" s="8">
        <f>DATE(2012,12,31)-163</f>
        <v>41111</v>
      </c>
      <c r="B5902" s="8">
        <f>DATE(2012,12,31)-163</f>
        <v>41111</v>
      </c>
      <c r="C5902" s="9" t="s">
        <v>937</v>
      </c>
      <c r="D5902">
        <v>10021415114</v>
      </c>
      <c r="E5902" t="s">
        <v>47</v>
      </c>
      <c r="F5902" t="s">
        <v>171</v>
      </c>
      <c r="G5902" t="s">
        <v>172</v>
      </c>
      <c r="H5902" t="s">
        <v>2352</v>
      </c>
      <c r="I5902" t="s">
        <v>2353</v>
      </c>
      <c r="J5902" t="s">
        <v>52</v>
      </c>
      <c r="K5902" s="3">
        <v>100310422489</v>
      </c>
      <c r="L5902" s="10">
        <v>41112</v>
      </c>
      <c r="M5902">
        <v>209.61</v>
      </c>
      <c r="N5902" s="11">
        <v>38</v>
      </c>
      <c r="O5902" s="12">
        <v>5.28</v>
      </c>
      <c r="P5902" s="12">
        <v>5.66</v>
      </c>
      <c r="Q5902" s="13">
        <v>-96.29</v>
      </c>
      <c r="R5902" s="36" t="s">
        <v>1629</v>
      </c>
      <c r="S5902" s="7">
        <f t="shared" si="509"/>
        <v>1</v>
      </c>
      <c r="T5902" s="15" t="str">
        <f>VLOOKUP(R5902,产品分类!$C$2:$D$1278,2,0)</f>
        <v>办公用品</v>
      </c>
    </row>
    <row r="5903" spans="1:20">
      <c r="A5903" s="8">
        <f>DATE(2012,12,31)-605</f>
        <v>40669</v>
      </c>
      <c r="B5903" s="8">
        <f>DATE(2012,12,31)-605</f>
        <v>40669</v>
      </c>
      <c r="C5903" s="9" t="s">
        <v>937</v>
      </c>
      <c r="D5903">
        <v>10021509544</v>
      </c>
      <c r="E5903" t="s">
        <v>47</v>
      </c>
      <c r="F5903" t="s">
        <v>171</v>
      </c>
      <c r="G5903" t="s">
        <v>172</v>
      </c>
      <c r="H5903" t="s">
        <v>2352</v>
      </c>
      <c r="I5903" t="s">
        <v>2353</v>
      </c>
      <c r="J5903" t="s">
        <v>52</v>
      </c>
      <c r="K5903" s="3">
        <v>100132372986</v>
      </c>
      <c r="L5903" s="10">
        <v>40674</v>
      </c>
      <c r="M5903">
        <v>461.05</v>
      </c>
      <c r="N5903" s="11">
        <v>45</v>
      </c>
      <c r="O5903" s="12">
        <v>9.65</v>
      </c>
      <c r="P5903" s="12">
        <v>6.22</v>
      </c>
      <c r="Q5903" s="13">
        <v>-38.39</v>
      </c>
      <c r="R5903" s="36" t="s">
        <v>2318</v>
      </c>
      <c r="S5903" s="7">
        <f t="shared" si="509"/>
        <v>5</v>
      </c>
      <c r="T5903" s="15" t="str">
        <f>VLOOKUP(R5903,产品分类!$C$2:$D$1278,2,0)</f>
        <v>家具产品</v>
      </c>
    </row>
    <row r="5904" spans="1:20">
      <c r="A5904" s="8">
        <f>DATE(2012,12,31)-766</f>
        <v>40508</v>
      </c>
      <c r="B5904" s="8">
        <f>DATE(2012,12,31)-766</f>
        <v>40508</v>
      </c>
      <c r="C5904" s="9" t="s">
        <v>743</v>
      </c>
      <c r="D5904">
        <v>10021254509</v>
      </c>
      <c r="E5904" t="s">
        <v>47</v>
      </c>
      <c r="F5904" t="s">
        <v>177</v>
      </c>
      <c r="G5904" t="s">
        <v>178</v>
      </c>
      <c r="H5904" t="s">
        <v>2451</v>
      </c>
      <c r="I5904" t="s">
        <v>2452</v>
      </c>
      <c r="J5904" t="s">
        <v>52</v>
      </c>
      <c r="K5904" s="3">
        <v>100122373427</v>
      </c>
      <c r="L5904" s="10">
        <v>40510</v>
      </c>
      <c r="M5904">
        <v>475.9</v>
      </c>
      <c r="N5904" s="11">
        <v>24</v>
      </c>
      <c r="O5904" s="12">
        <v>19.98</v>
      </c>
      <c r="P5904" s="12">
        <v>5.97</v>
      </c>
      <c r="Q5904" s="13">
        <v>110.44</v>
      </c>
      <c r="R5904" s="36" t="s">
        <v>524</v>
      </c>
      <c r="S5904" s="7">
        <f t="shared" si="509"/>
        <v>2</v>
      </c>
      <c r="T5904" s="15" t="str">
        <f>VLOOKUP(R5904,产品分类!$C$2:$D$1278,2,0)</f>
        <v>数码电子</v>
      </c>
    </row>
    <row r="5905" spans="1:20">
      <c r="A5905" s="16">
        <f t="shared" ref="A5905:B5907" si="510">DATE(2012,12,31)-1402</f>
        <v>39872</v>
      </c>
      <c r="B5905" s="16">
        <f t="shared" si="510"/>
        <v>39872</v>
      </c>
      <c r="C5905" s="9" t="s">
        <v>1652</v>
      </c>
      <c r="D5905">
        <v>10021584971</v>
      </c>
      <c r="E5905" t="s">
        <v>47</v>
      </c>
      <c r="F5905" t="s">
        <v>177</v>
      </c>
      <c r="G5905" t="s">
        <v>178</v>
      </c>
      <c r="H5905" t="s">
        <v>2451</v>
      </c>
      <c r="I5905" t="s">
        <v>2452</v>
      </c>
      <c r="J5905" t="s">
        <v>52</v>
      </c>
      <c r="K5905" s="3">
        <v>100127970366</v>
      </c>
      <c r="L5905" s="10">
        <v>39881</v>
      </c>
      <c r="M5905">
        <v>1979.47</v>
      </c>
      <c r="N5905" s="17">
        <v>18</v>
      </c>
      <c r="O5905" s="5">
        <v>120.98</v>
      </c>
      <c r="P5905" s="5">
        <v>9.07</v>
      </c>
      <c r="Q5905" s="6">
        <v>690.268</v>
      </c>
      <c r="R5905" s="37" t="s">
        <v>1420</v>
      </c>
      <c r="S5905" s="7">
        <f t="shared" si="509"/>
        <v>9</v>
      </c>
      <c r="T5905" s="15" t="str">
        <f>VLOOKUP(R5905,产品分类!$C$2:$D$1278,2,0)</f>
        <v>家具产品</v>
      </c>
    </row>
    <row r="5906" spans="1:20">
      <c r="A5906" s="8">
        <f t="shared" si="510"/>
        <v>39872</v>
      </c>
      <c r="B5906" s="8">
        <f t="shared" si="510"/>
        <v>39872</v>
      </c>
      <c r="C5906" s="9" t="s">
        <v>987</v>
      </c>
      <c r="D5906">
        <v>10021659551</v>
      </c>
      <c r="E5906" t="s">
        <v>47</v>
      </c>
      <c r="F5906" t="s">
        <v>83</v>
      </c>
      <c r="G5906" t="s">
        <v>84</v>
      </c>
      <c r="H5906" t="s">
        <v>2349</v>
      </c>
      <c r="I5906" t="s">
        <v>2350</v>
      </c>
      <c r="J5906" t="s">
        <v>52</v>
      </c>
      <c r="K5906" s="3">
        <v>100111210546</v>
      </c>
      <c r="L5906" s="10">
        <v>39876</v>
      </c>
      <c r="M5906">
        <v>187.8</v>
      </c>
      <c r="N5906" s="11">
        <v>23</v>
      </c>
      <c r="O5906" s="12">
        <v>8.32</v>
      </c>
      <c r="P5906" s="12">
        <v>2.38</v>
      </c>
      <c r="Q5906" s="13">
        <v>-41.83</v>
      </c>
      <c r="R5906" s="36" t="s">
        <v>1524</v>
      </c>
      <c r="S5906" s="7">
        <f t="shared" si="509"/>
        <v>4</v>
      </c>
      <c r="T5906" s="15" t="str">
        <f>VLOOKUP(R5906,产品分类!$C$2:$D$1278,2,0)</f>
        <v>办公用品</v>
      </c>
    </row>
    <row r="5907" spans="1:20">
      <c r="A5907" s="8">
        <f t="shared" si="510"/>
        <v>39872</v>
      </c>
      <c r="B5907" s="8">
        <f t="shared" si="510"/>
        <v>39872</v>
      </c>
      <c r="C5907" s="9" t="s">
        <v>987</v>
      </c>
      <c r="D5907">
        <v>10021351719</v>
      </c>
      <c r="E5907" t="s">
        <v>47</v>
      </c>
      <c r="F5907" t="s">
        <v>342</v>
      </c>
      <c r="G5907" t="s">
        <v>343</v>
      </c>
      <c r="H5907" t="s">
        <v>2429</v>
      </c>
      <c r="I5907" t="s">
        <v>2430</v>
      </c>
      <c r="J5907" t="s">
        <v>52</v>
      </c>
      <c r="K5907" s="3">
        <v>100932497591</v>
      </c>
      <c r="L5907" s="10">
        <v>39872</v>
      </c>
      <c r="M5907">
        <v>2823.037</v>
      </c>
      <c r="N5907" s="11">
        <v>29</v>
      </c>
      <c r="O5907" s="12">
        <v>125.99</v>
      </c>
      <c r="P5907" s="12">
        <v>4.2</v>
      </c>
      <c r="Q5907" s="13">
        <v>372.402</v>
      </c>
      <c r="R5907" s="36" t="s">
        <v>920</v>
      </c>
      <c r="S5907" s="7">
        <f t="shared" si="509"/>
        <v>0</v>
      </c>
      <c r="T5907" s="15" t="str">
        <f>VLOOKUP(R5907,产品分类!$C$2:$D$1278,2,0)</f>
        <v>家具产品</v>
      </c>
    </row>
    <row r="5908" spans="1:20">
      <c r="A5908" s="8">
        <f>DATE(2012,12,31)-589</f>
        <v>40685</v>
      </c>
      <c r="B5908" s="8">
        <f>DATE(2012,12,31)-589</f>
        <v>40685</v>
      </c>
      <c r="C5908" s="9" t="s">
        <v>987</v>
      </c>
      <c r="D5908">
        <v>10021446731</v>
      </c>
      <c r="E5908" t="s">
        <v>47</v>
      </c>
      <c r="F5908" t="s">
        <v>342</v>
      </c>
      <c r="G5908" t="s">
        <v>343</v>
      </c>
      <c r="H5908" t="s">
        <v>2429</v>
      </c>
      <c r="I5908" t="s">
        <v>2430</v>
      </c>
      <c r="J5908" t="s">
        <v>52</v>
      </c>
      <c r="K5908" s="3">
        <v>100120805898</v>
      </c>
      <c r="L5908" s="10">
        <v>40686</v>
      </c>
      <c r="M5908">
        <v>846.59</v>
      </c>
      <c r="N5908" s="11">
        <v>22</v>
      </c>
      <c r="O5908" s="12">
        <v>40.89</v>
      </c>
      <c r="P5908" s="12">
        <v>18.98</v>
      </c>
      <c r="Q5908" s="13">
        <v>-1.94999999999999</v>
      </c>
      <c r="R5908" s="36" t="s">
        <v>285</v>
      </c>
      <c r="S5908" s="7">
        <f t="shared" si="509"/>
        <v>1</v>
      </c>
      <c r="T5908" s="15" t="str">
        <f>VLOOKUP(R5908,产品分类!$C$2:$D$1278,2,0)</f>
        <v>家具产品</v>
      </c>
    </row>
    <row r="5909" spans="1:20">
      <c r="A5909" s="8">
        <f>DATE(2012,12,31)-721</f>
        <v>40553</v>
      </c>
      <c r="B5909" s="8">
        <f>DATE(2012,12,31)-721</f>
        <v>40553</v>
      </c>
      <c r="C5909" s="9" t="s">
        <v>90</v>
      </c>
      <c r="D5909">
        <v>10021422720</v>
      </c>
      <c r="E5909" t="s">
        <v>47</v>
      </c>
      <c r="F5909" t="s">
        <v>61</v>
      </c>
      <c r="G5909" t="s">
        <v>62</v>
      </c>
      <c r="H5909" t="s">
        <v>2431</v>
      </c>
      <c r="I5909" t="s">
        <v>2432</v>
      </c>
      <c r="J5909" t="s">
        <v>52</v>
      </c>
      <c r="K5909" s="3">
        <v>100827200432</v>
      </c>
      <c r="L5909" s="10">
        <v>40555</v>
      </c>
      <c r="M5909">
        <v>27663.92</v>
      </c>
      <c r="N5909" s="11">
        <v>8</v>
      </c>
      <c r="O5909" s="12">
        <v>3499.99</v>
      </c>
      <c r="P5909" s="12">
        <v>24.49</v>
      </c>
      <c r="Q5909" s="13">
        <v>-391.92</v>
      </c>
      <c r="R5909" s="36" t="s">
        <v>670</v>
      </c>
      <c r="S5909" s="7">
        <f t="shared" si="509"/>
        <v>2</v>
      </c>
      <c r="T5909" s="15" t="str">
        <f>VLOOKUP(R5909,产品分类!$C$2:$D$1278,2,0)</f>
        <v>办公用品</v>
      </c>
    </row>
    <row r="5910" spans="1:20">
      <c r="A5910" s="8">
        <f>DATE(2012,12,31)-312</f>
        <v>40962</v>
      </c>
      <c r="B5910" s="8">
        <f>DATE(2012,12,31)-312</f>
        <v>40962</v>
      </c>
      <c r="C5910" s="9" t="s">
        <v>1662</v>
      </c>
      <c r="D5910">
        <v>10021593566</v>
      </c>
      <c r="E5910" t="s">
        <v>47</v>
      </c>
      <c r="F5910" t="s">
        <v>61</v>
      </c>
      <c r="G5910" t="s">
        <v>62</v>
      </c>
      <c r="H5910" t="s">
        <v>2431</v>
      </c>
      <c r="I5910" t="s">
        <v>2432</v>
      </c>
      <c r="J5910" t="s">
        <v>52</v>
      </c>
      <c r="K5910" s="3">
        <v>100932431331</v>
      </c>
      <c r="L5910" s="10">
        <v>40965</v>
      </c>
      <c r="M5910">
        <v>16313.51</v>
      </c>
      <c r="N5910" s="11">
        <v>32</v>
      </c>
      <c r="O5910" s="12">
        <v>500.98</v>
      </c>
      <c r="P5910" s="12">
        <v>26</v>
      </c>
      <c r="Q5910" s="13">
        <v>4860.73</v>
      </c>
      <c r="R5910" s="36" t="s">
        <v>1863</v>
      </c>
      <c r="S5910" s="7">
        <f t="shared" si="509"/>
        <v>3</v>
      </c>
      <c r="T5910" s="15" t="str">
        <f>VLOOKUP(R5910,产品分类!$C$2:$D$1278,2,0)</f>
        <v>办公用品</v>
      </c>
    </row>
    <row r="5911" spans="1:20">
      <c r="A5911" s="8">
        <f>DATE(2012,12,31)-312</f>
        <v>40962</v>
      </c>
      <c r="B5911" s="8">
        <f>DATE(2012,12,31)-312</f>
        <v>40962</v>
      </c>
      <c r="C5911" s="9" t="s">
        <v>1208</v>
      </c>
      <c r="D5911">
        <v>10021591609</v>
      </c>
      <c r="E5911" t="s">
        <v>47</v>
      </c>
      <c r="F5911" t="s">
        <v>61</v>
      </c>
      <c r="G5911" t="s">
        <v>62</v>
      </c>
      <c r="H5911" t="s">
        <v>2431</v>
      </c>
      <c r="I5911" t="s">
        <v>2432</v>
      </c>
      <c r="J5911" t="s">
        <v>52</v>
      </c>
      <c r="K5911" s="3">
        <v>100131815408</v>
      </c>
      <c r="L5911" s="10">
        <v>40963</v>
      </c>
      <c r="M5911">
        <v>337.38</v>
      </c>
      <c r="N5911" s="11">
        <v>29</v>
      </c>
      <c r="O5911" s="12">
        <v>11.58</v>
      </c>
      <c r="P5911" s="12">
        <v>6.97</v>
      </c>
      <c r="Q5911" s="13">
        <v>-5.45</v>
      </c>
      <c r="R5911" s="36" t="s">
        <v>614</v>
      </c>
      <c r="S5911" s="7">
        <f t="shared" si="509"/>
        <v>1</v>
      </c>
      <c r="T5911" s="15" t="str">
        <f>VLOOKUP(R5911,产品分类!$C$2:$D$1278,2,0)</f>
        <v>办公用品</v>
      </c>
    </row>
    <row r="5912" spans="1:20">
      <c r="A5912" s="8">
        <f>DATE(2012,12,31)-695</f>
        <v>40579</v>
      </c>
      <c r="B5912" s="8">
        <f>DATE(2012,12,31)-695</f>
        <v>40579</v>
      </c>
      <c r="C5912" s="9" t="s">
        <v>1208</v>
      </c>
      <c r="D5912">
        <v>10021251774</v>
      </c>
      <c r="E5912" t="s">
        <v>47</v>
      </c>
      <c r="F5912" t="s">
        <v>61</v>
      </c>
      <c r="G5912" t="s">
        <v>62</v>
      </c>
      <c r="H5912" t="s">
        <v>2431</v>
      </c>
      <c r="I5912" t="s">
        <v>2432</v>
      </c>
      <c r="J5912" t="s">
        <v>52</v>
      </c>
      <c r="K5912" s="3">
        <v>100113438128</v>
      </c>
      <c r="L5912" s="10">
        <v>40580</v>
      </c>
      <c r="M5912">
        <v>112.57</v>
      </c>
      <c r="N5912" s="11">
        <v>17</v>
      </c>
      <c r="O5912" s="12">
        <v>6.48</v>
      </c>
      <c r="P5912" s="12">
        <v>5.14</v>
      </c>
      <c r="Q5912" s="13">
        <v>-28.53</v>
      </c>
      <c r="R5912" s="36" t="s">
        <v>1022</v>
      </c>
      <c r="S5912" s="7">
        <f t="shared" si="509"/>
        <v>1</v>
      </c>
      <c r="T5912" s="15" t="str">
        <f>VLOOKUP(R5912,产品分类!$C$2:$D$1278,2,0)</f>
        <v>办公用品</v>
      </c>
    </row>
    <row r="5913" spans="1:20">
      <c r="A5913" s="16">
        <f>DATE(2012,12,31)-695</f>
        <v>40579</v>
      </c>
      <c r="B5913" s="16">
        <f>DATE(2012,12,31)-695</f>
        <v>40579</v>
      </c>
      <c r="C5913" s="9" t="s">
        <v>2052</v>
      </c>
      <c r="D5913">
        <v>10021577031</v>
      </c>
      <c r="E5913" t="s">
        <v>47</v>
      </c>
      <c r="F5913" t="s">
        <v>83</v>
      </c>
      <c r="G5913" t="s">
        <v>84</v>
      </c>
      <c r="H5913" t="s">
        <v>2349</v>
      </c>
      <c r="I5913" t="s">
        <v>2350</v>
      </c>
      <c r="J5913" t="s">
        <v>52</v>
      </c>
      <c r="K5913" s="3">
        <v>10013422108</v>
      </c>
      <c r="L5913" s="10">
        <v>40579</v>
      </c>
      <c r="M5913">
        <v>1562.69</v>
      </c>
      <c r="N5913" s="17">
        <v>43</v>
      </c>
      <c r="O5913" s="5">
        <v>34.76</v>
      </c>
      <c r="P5913" s="5">
        <v>8.22</v>
      </c>
      <c r="Q5913" s="6">
        <v>287.74</v>
      </c>
      <c r="R5913" s="37" t="s">
        <v>325</v>
      </c>
      <c r="S5913" s="7">
        <f t="shared" si="509"/>
        <v>0</v>
      </c>
      <c r="T5913" s="15" t="str">
        <f>VLOOKUP(R5913,产品分类!$C$2:$D$1278,2,0)</f>
        <v>数码电子</v>
      </c>
    </row>
    <row r="5914" spans="1:20">
      <c r="A5914" s="16">
        <f>DATE(2012,12,31)-171</f>
        <v>41103</v>
      </c>
      <c r="B5914" s="16">
        <f>DATE(2012,12,31)-171</f>
        <v>41103</v>
      </c>
      <c r="C5914" s="9" t="s">
        <v>2052</v>
      </c>
      <c r="D5914">
        <v>10021288522</v>
      </c>
      <c r="E5914" t="s">
        <v>47</v>
      </c>
      <c r="F5914" t="s">
        <v>61</v>
      </c>
      <c r="G5914" t="s">
        <v>62</v>
      </c>
      <c r="H5914" t="s">
        <v>2431</v>
      </c>
      <c r="I5914" t="s">
        <v>2432</v>
      </c>
      <c r="J5914" t="s">
        <v>52</v>
      </c>
      <c r="K5914" s="3">
        <v>100130221967</v>
      </c>
      <c r="L5914" s="10">
        <v>41106</v>
      </c>
      <c r="M5914">
        <v>2332.23</v>
      </c>
      <c r="N5914" s="17">
        <v>46</v>
      </c>
      <c r="O5914" s="5">
        <v>48.04</v>
      </c>
      <c r="P5914" s="5">
        <v>7.23</v>
      </c>
      <c r="Q5914" s="6">
        <v>1085.93</v>
      </c>
      <c r="R5914" s="37" t="s">
        <v>732</v>
      </c>
      <c r="S5914" s="7">
        <f t="shared" si="509"/>
        <v>3</v>
      </c>
      <c r="T5914" s="15" t="str">
        <f>VLOOKUP(R5914,产品分类!$C$2:$D$1278,2,0)</f>
        <v>家具产品</v>
      </c>
    </row>
    <row r="5915" spans="1:20">
      <c r="A5915" s="8">
        <f>DATE(2012,12,31)-385</f>
        <v>40889</v>
      </c>
      <c r="B5915" s="8">
        <f>DATE(2012,12,31)-385</f>
        <v>40889</v>
      </c>
      <c r="C5915" s="9" t="s">
        <v>182</v>
      </c>
      <c r="D5915">
        <v>10021542382</v>
      </c>
      <c r="E5915" t="s">
        <v>47</v>
      </c>
      <c r="F5915" t="s">
        <v>61</v>
      </c>
      <c r="G5915" t="s">
        <v>62</v>
      </c>
      <c r="H5915" t="s">
        <v>2431</v>
      </c>
      <c r="I5915" t="s">
        <v>2432</v>
      </c>
      <c r="J5915" t="s">
        <v>52</v>
      </c>
      <c r="K5915" s="3">
        <v>100425620843</v>
      </c>
      <c r="L5915" s="10">
        <v>40890</v>
      </c>
      <c r="M5915">
        <v>364.69</v>
      </c>
      <c r="N5915" s="11">
        <v>22</v>
      </c>
      <c r="O5915" s="12">
        <v>16.91</v>
      </c>
      <c r="P5915" s="12">
        <v>6.25</v>
      </c>
      <c r="Q5915" s="13">
        <v>-22.4</v>
      </c>
      <c r="R5915" s="36" t="s">
        <v>936</v>
      </c>
      <c r="S5915" s="7">
        <f t="shared" si="509"/>
        <v>1</v>
      </c>
      <c r="T5915" s="15" t="str">
        <f>VLOOKUP(R5915,产品分类!$C$2:$D$1278,2,0)</f>
        <v>办公用品</v>
      </c>
    </row>
    <row r="5916" spans="1:20">
      <c r="A5916" s="8">
        <f>DATE(2012,12,31)-385</f>
        <v>40889</v>
      </c>
      <c r="B5916" s="8">
        <f>DATE(2012,12,31)-385</f>
        <v>40889</v>
      </c>
      <c r="C5916" s="9" t="s">
        <v>2485</v>
      </c>
      <c r="D5916">
        <v>10021301265</v>
      </c>
      <c r="E5916" t="s">
        <v>47</v>
      </c>
      <c r="F5916" t="s">
        <v>61</v>
      </c>
      <c r="G5916" t="s">
        <v>62</v>
      </c>
      <c r="H5916" t="s">
        <v>2431</v>
      </c>
      <c r="I5916" t="s">
        <v>2432</v>
      </c>
      <c r="J5916" t="s">
        <v>52</v>
      </c>
      <c r="K5916" s="3">
        <v>100130116487</v>
      </c>
      <c r="L5916" s="10">
        <v>40891</v>
      </c>
      <c r="M5916">
        <v>86.3</v>
      </c>
      <c r="N5916" s="11">
        <v>16</v>
      </c>
      <c r="O5916" s="12">
        <v>4.89</v>
      </c>
      <c r="P5916" s="12">
        <v>4.93</v>
      </c>
      <c r="Q5916" s="13">
        <v>-68.67</v>
      </c>
      <c r="R5916" s="36" t="s">
        <v>1673</v>
      </c>
      <c r="S5916" s="7">
        <f t="shared" si="509"/>
        <v>2</v>
      </c>
      <c r="T5916" s="15" t="str">
        <f>VLOOKUP(R5916,产品分类!$C$2:$D$1278,2,0)</f>
        <v>家具产品</v>
      </c>
    </row>
    <row r="5917" spans="1:20">
      <c r="A5917" s="8">
        <f>DATE(2012,12,31)-437</f>
        <v>40837</v>
      </c>
      <c r="B5917" s="8">
        <f>DATE(2012,12,31)-437</f>
        <v>40837</v>
      </c>
      <c r="C5917" s="9" t="s">
        <v>2485</v>
      </c>
      <c r="D5917">
        <v>10021497948</v>
      </c>
      <c r="E5917" t="s">
        <v>47</v>
      </c>
      <c r="F5917" t="s">
        <v>61</v>
      </c>
      <c r="G5917" t="s">
        <v>62</v>
      </c>
      <c r="H5917" t="s">
        <v>2431</v>
      </c>
      <c r="I5917" t="s">
        <v>2432</v>
      </c>
      <c r="J5917" t="s">
        <v>52</v>
      </c>
      <c r="K5917" s="3">
        <v>100420864703</v>
      </c>
      <c r="L5917" s="10">
        <v>40838</v>
      </c>
      <c r="M5917">
        <v>6481.048</v>
      </c>
      <c r="N5917" s="11">
        <v>25</v>
      </c>
      <c r="O5917" s="12">
        <v>320.64</v>
      </c>
      <c r="P5917" s="12">
        <v>29.2</v>
      </c>
      <c r="Q5917" s="13">
        <v>1760.11</v>
      </c>
      <c r="R5917" s="36" t="s">
        <v>512</v>
      </c>
      <c r="S5917" s="7">
        <f t="shared" si="509"/>
        <v>1</v>
      </c>
      <c r="T5917" s="15" t="str">
        <f>VLOOKUP(R5917,产品分类!$C$2:$D$1278,2,0)</f>
        <v>办公用品</v>
      </c>
    </row>
    <row r="5918" spans="1:20">
      <c r="A5918" s="8">
        <f t="shared" ref="A5918:B5920" si="511">DATE(2012,12,31)-1426</f>
        <v>39848</v>
      </c>
      <c r="B5918" s="8">
        <f t="shared" si="511"/>
        <v>39848</v>
      </c>
      <c r="C5918" s="9" t="s">
        <v>2285</v>
      </c>
      <c r="D5918">
        <v>10021446380</v>
      </c>
      <c r="E5918" t="s">
        <v>47</v>
      </c>
      <c r="F5918" t="s">
        <v>55</v>
      </c>
      <c r="G5918" t="s">
        <v>56</v>
      </c>
      <c r="H5918" t="s">
        <v>2471</v>
      </c>
      <c r="I5918" t="s">
        <v>2472</v>
      </c>
      <c r="J5918" t="s">
        <v>52</v>
      </c>
      <c r="K5918" s="3">
        <v>100718224175</v>
      </c>
      <c r="L5918" s="10">
        <v>39848</v>
      </c>
      <c r="M5918">
        <v>4610.35</v>
      </c>
      <c r="N5918" s="11">
        <v>33</v>
      </c>
      <c r="O5918" s="12">
        <v>145.45</v>
      </c>
      <c r="P5918" s="12">
        <v>17.85</v>
      </c>
      <c r="Q5918" s="13">
        <v>751.58</v>
      </c>
      <c r="R5918" s="36" t="s">
        <v>1346</v>
      </c>
      <c r="S5918" s="7">
        <f t="shared" si="509"/>
        <v>0</v>
      </c>
      <c r="T5918" s="15" t="str">
        <f>VLOOKUP(R5918,产品分类!$C$2:$D$1278,2,0)</f>
        <v>办公用品</v>
      </c>
    </row>
    <row r="5919" spans="1:20">
      <c r="A5919" s="8">
        <f t="shared" si="511"/>
        <v>39848</v>
      </c>
      <c r="B5919" s="8">
        <f t="shared" si="511"/>
        <v>39848</v>
      </c>
      <c r="C5919" s="9" t="s">
        <v>182</v>
      </c>
      <c r="D5919">
        <v>10021503805</v>
      </c>
      <c r="E5919" t="s">
        <v>47</v>
      </c>
      <c r="F5919" t="s">
        <v>61</v>
      </c>
      <c r="G5919" t="s">
        <v>62</v>
      </c>
      <c r="H5919" t="s">
        <v>2431</v>
      </c>
      <c r="I5919" t="s">
        <v>2432</v>
      </c>
      <c r="J5919" t="s">
        <v>52</v>
      </c>
      <c r="K5919" s="3">
        <v>100129965496</v>
      </c>
      <c r="L5919" s="10">
        <v>39852</v>
      </c>
      <c r="M5919">
        <v>610.07</v>
      </c>
      <c r="N5919" s="11">
        <v>18</v>
      </c>
      <c r="O5919" s="12">
        <v>33.94</v>
      </c>
      <c r="P5919" s="12">
        <v>19.19</v>
      </c>
      <c r="Q5919" s="13">
        <v>-157.56</v>
      </c>
      <c r="R5919" s="36" t="s">
        <v>322</v>
      </c>
      <c r="S5919" s="7">
        <f t="shared" si="509"/>
        <v>4</v>
      </c>
      <c r="T5919" s="15" t="str">
        <f>VLOOKUP(R5919,产品分类!$C$2:$D$1278,2,0)</f>
        <v>家具产品</v>
      </c>
    </row>
    <row r="5920" spans="1:20">
      <c r="A5920" s="8">
        <f t="shared" si="511"/>
        <v>39848</v>
      </c>
      <c r="B5920" s="8">
        <f t="shared" si="511"/>
        <v>39848</v>
      </c>
      <c r="C5920" s="9" t="s">
        <v>182</v>
      </c>
      <c r="D5920">
        <v>10021344032</v>
      </c>
      <c r="E5920" t="s">
        <v>47</v>
      </c>
      <c r="F5920" t="s">
        <v>61</v>
      </c>
      <c r="G5920" t="s">
        <v>62</v>
      </c>
      <c r="H5920" t="s">
        <v>2431</v>
      </c>
      <c r="I5920" t="s">
        <v>2432</v>
      </c>
      <c r="J5920" t="s">
        <v>52</v>
      </c>
      <c r="K5920" s="3">
        <v>100113847377</v>
      </c>
      <c r="L5920" s="10">
        <v>39852</v>
      </c>
      <c r="M5920">
        <v>181.49</v>
      </c>
      <c r="N5920" s="11">
        <v>14</v>
      </c>
      <c r="O5920" s="12">
        <v>13.43</v>
      </c>
      <c r="P5920" s="12">
        <v>5.5</v>
      </c>
      <c r="Q5920" s="13">
        <v>-29.54</v>
      </c>
      <c r="R5920" s="36" t="s">
        <v>2185</v>
      </c>
      <c r="S5920" s="7">
        <f t="shared" si="509"/>
        <v>4</v>
      </c>
      <c r="T5920" s="15" t="str">
        <f>VLOOKUP(R5920,产品分类!$C$2:$D$1278,2,0)</f>
        <v>办公用品</v>
      </c>
    </row>
    <row r="5921" spans="1:20">
      <c r="A5921" s="8">
        <f t="shared" ref="A5921:B5923" si="512">DATE(2012,12,31)-379</f>
        <v>40895</v>
      </c>
      <c r="B5921" s="8">
        <f t="shared" si="512"/>
        <v>40895</v>
      </c>
      <c r="C5921" s="9" t="s">
        <v>182</v>
      </c>
      <c r="D5921">
        <v>10021501953</v>
      </c>
      <c r="E5921" t="s">
        <v>47</v>
      </c>
      <c r="F5921" t="s">
        <v>61</v>
      </c>
      <c r="G5921" t="s">
        <v>62</v>
      </c>
      <c r="H5921" t="s">
        <v>2431</v>
      </c>
      <c r="I5921" t="s">
        <v>2432</v>
      </c>
      <c r="J5921" t="s">
        <v>52</v>
      </c>
      <c r="K5921" s="3">
        <v>100427908734</v>
      </c>
      <c r="L5921" s="10">
        <v>40900</v>
      </c>
      <c r="M5921">
        <v>1773.86</v>
      </c>
      <c r="N5921" s="11">
        <v>36</v>
      </c>
      <c r="O5921" s="12">
        <v>50.98</v>
      </c>
      <c r="P5921" s="12">
        <v>14.19</v>
      </c>
      <c r="Q5921" s="13">
        <v>133.3</v>
      </c>
      <c r="R5921" s="36" t="s">
        <v>1162</v>
      </c>
      <c r="S5921" s="7">
        <f t="shared" si="509"/>
        <v>5</v>
      </c>
      <c r="T5921" s="15" t="str">
        <f>VLOOKUP(R5921,产品分类!$C$2:$D$1278,2,0)</f>
        <v>办公用品</v>
      </c>
    </row>
    <row r="5922" spans="1:20">
      <c r="A5922" s="8">
        <f t="shared" si="512"/>
        <v>40895</v>
      </c>
      <c r="B5922" s="8">
        <f t="shared" si="512"/>
        <v>40895</v>
      </c>
      <c r="C5922" s="9" t="s">
        <v>734</v>
      </c>
      <c r="D5922">
        <v>10021427861</v>
      </c>
      <c r="E5922" t="s">
        <v>47</v>
      </c>
      <c r="F5922" t="s">
        <v>61</v>
      </c>
      <c r="G5922" t="s">
        <v>62</v>
      </c>
      <c r="H5922" t="s">
        <v>2431</v>
      </c>
      <c r="I5922" t="s">
        <v>2432</v>
      </c>
      <c r="J5922" t="s">
        <v>52</v>
      </c>
      <c r="K5922" s="3">
        <v>100130712728</v>
      </c>
      <c r="L5922" s="10">
        <v>40899</v>
      </c>
      <c r="M5922">
        <v>543.22</v>
      </c>
      <c r="N5922" s="11">
        <v>35</v>
      </c>
      <c r="O5922" s="12">
        <v>14.58</v>
      </c>
      <c r="P5922" s="12">
        <v>7.4</v>
      </c>
      <c r="Q5922" s="13">
        <v>68.44</v>
      </c>
      <c r="R5922" s="36" t="s">
        <v>1170</v>
      </c>
      <c r="S5922" s="7">
        <f t="shared" si="509"/>
        <v>4</v>
      </c>
      <c r="T5922" s="15" t="str">
        <f>VLOOKUP(R5922,产品分类!$C$2:$D$1278,2,0)</f>
        <v>数码电子</v>
      </c>
    </row>
    <row r="5923" spans="1:20">
      <c r="A5923" s="8">
        <f t="shared" si="512"/>
        <v>40895</v>
      </c>
      <c r="B5923" s="8">
        <f t="shared" si="512"/>
        <v>40895</v>
      </c>
      <c r="C5923" s="9" t="s">
        <v>734</v>
      </c>
      <c r="D5923">
        <v>10021294560</v>
      </c>
      <c r="E5923" t="s">
        <v>47</v>
      </c>
      <c r="F5923" t="s">
        <v>61</v>
      </c>
      <c r="G5923" t="s">
        <v>62</v>
      </c>
      <c r="H5923" t="s">
        <v>2431</v>
      </c>
      <c r="I5923" t="s">
        <v>2432</v>
      </c>
      <c r="J5923" t="s">
        <v>52</v>
      </c>
      <c r="K5923" s="3">
        <v>100114454868</v>
      </c>
      <c r="L5923" s="10">
        <v>40899</v>
      </c>
      <c r="M5923">
        <v>813.9</v>
      </c>
      <c r="N5923" s="11">
        <v>18</v>
      </c>
      <c r="O5923" s="12">
        <v>45.98</v>
      </c>
      <c r="P5923" s="12">
        <v>4.8</v>
      </c>
      <c r="Q5923" s="13">
        <v>256.66</v>
      </c>
      <c r="R5923" s="36" t="s">
        <v>379</v>
      </c>
      <c r="S5923" s="7">
        <f t="shared" si="509"/>
        <v>4</v>
      </c>
      <c r="T5923" s="15" t="str">
        <f>VLOOKUP(R5923,产品分类!$C$2:$D$1278,2,0)</f>
        <v>数码电子</v>
      </c>
    </row>
    <row r="5924" spans="1:20">
      <c r="A5924" s="16">
        <f>DATE(2012,12,31)-1194</f>
        <v>40080</v>
      </c>
      <c r="B5924" s="16">
        <f>DATE(2012,12,31)-1194</f>
        <v>40080</v>
      </c>
      <c r="C5924" s="9" t="s">
        <v>734</v>
      </c>
      <c r="D5924">
        <v>10021478391</v>
      </c>
      <c r="E5924" t="s">
        <v>47</v>
      </c>
      <c r="F5924" t="s">
        <v>72</v>
      </c>
      <c r="G5924" t="s">
        <v>73</v>
      </c>
      <c r="H5924" t="s">
        <v>2417</v>
      </c>
      <c r="I5924" t="s">
        <v>2418</v>
      </c>
      <c r="J5924" t="s">
        <v>52</v>
      </c>
      <c r="K5924" s="3">
        <v>100133017466</v>
      </c>
      <c r="L5924" s="10">
        <v>40081</v>
      </c>
      <c r="M5924">
        <v>338.85</v>
      </c>
      <c r="N5924" s="17">
        <v>45</v>
      </c>
      <c r="O5924" s="5">
        <v>7.3</v>
      </c>
      <c r="P5924" s="5">
        <v>7.72</v>
      </c>
      <c r="Q5924" s="6">
        <v>-170.177</v>
      </c>
      <c r="R5924" s="37" t="s">
        <v>1364</v>
      </c>
      <c r="S5924" s="7">
        <f t="shared" si="509"/>
        <v>1</v>
      </c>
      <c r="T5924" s="15" t="str">
        <f>VLOOKUP(R5924,产品分类!$C$2:$D$1278,2,0)</f>
        <v>数码电子</v>
      </c>
    </row>
    <row r="5925" spans="1:20">
      <c r="A5925" s="8">
        <f>DATE(2012,12,31)-1194</f>
        <v>40080</v>
      </c>
      <c r="B5925" s="8">
        <f>DATE(2012,12,31)-1194</f>
        <v>40080</v>
      </c>
      <c r="C5925" s="9" t="s">
        <v>1529</v>
      </c>
      <c r="D5925">
        <v>10021685968</v>
      </c>
      <c r="E5925" t="s">
        <v>47</v>
      </c>
      <c r="F5925" t="s">
        <v>72</v>
      </c>
      <c r="G5925" t="s">
        <v>73</v>
      </c>
      <c r="H5925" t="s">
        <v>2417</v>
      </c>
      <c r="I5925" t="s">
        <v>2418</v>
      </c>
      <c r="J5925" t="s">
        <v>52</v>
      </c>
      <c r="K5925" s="3">
        <v>100433284514</v>
      </c>
      <c r="L5925" s="10">
        <v>40081</v>
      </c>
      <c r="M5925">
        <v>43.25</v>
      </c>
      <c r="N5925" s="11">
        <v>11</v>
      </c>
      <c r="O5925" s="12">
        <v>3.95</v>
      </c>
      <c r="P5925" s="12">
        <v>2</v>
      </c>
      <c r="Q5925" s="13">
        <v>-9.68</v>
      </c>
      <c r="R5925" s="36" t="s">
        <v>295</v>
      </c>
      <c r="S5925" s="7">
        <f t="shared" si="509"/>
        <v>1</v>
      </c>
      <c r="T5925" s="15" t="str">
        <f>VLOOKUP(R5925,产品分类!$C$2:$D$1278,2,0)</f>
        <v>办公用品</v>
      </c>
    </row>
    <row r="5926" spans="1:20">
      <c r="A5926" s="8">
        <f>DATE(2012,12,31)-108</f>
        <v>41166</v>
      </c>
      <c r="B5926" s="8">
        <f>DATE(2012,12,31)-108</f>
        <v>41166</v>
      </c>
      <c r="C5926" s="9" t="s">
        <v>1529</v>
      </c>
      <c r="D5926">
        <v>10021636690</v>
      </c>
      <c r="E5926" t="s">
        <v>47</v>
      </c>
      <c r="F5926" t="s">
        <v>152</v>
      </c>
      <c r="G5926" t="s">
        <v>153</v>
      </c>
      <c r="H5926" t="s">
        <v>2441</v>
      </c>
      <c r="I5926" t="s">
        <v>2442</v>
      </c>
      <c r="J5926" t="s">
        <v>52</v>
      </c>
      <c r="K5926" s="3">
        <v>100933215691</v>
      </c>
      <c r="L5926" s="10">
        <v>41168</v>
      </c>
      <c r="M5926">
        <v>94.55</v>
      </c>
      <c r="N5926" s="11">
        <v>32</v>
      </c>
      <c r="O5926" s="12">
        <v>2.88</v>
      </c>
      <c r="P5926" s="12">
        <v>1.49</v>
      </c>
      <c r="Q5926" s="13">
        <v>6.7405</v>
      </c>
      <c r="R5926" s="36" t="s">
        <v>354</v>
      </c>
      <c r="S5926" s="7">
        <f t="shared" si="509"/>
        <v>2</v>
      </c>
      <c r="T5926" s="15" t="str">
        <f>VLOOKUP(R5926,产品分类!$C$2:$D$1278,2,0)</f>
        <v>办公用品</v>
      </c>
    </row>
    <row r="5927" spans="1:20">
      <c r="A5927" s="8">
        <f t="shared" ref="A5927:B5929" si="513">DATE(2012,12,31)-721</f>
        <v>40553</v>
      </c>
      <c r="B5927" s="8">
        <f t="shared" si="513"/>
        <v>40553</v>
      </c>
      <c r="C5927" s="9" t="s">
        <v>1672</v>
      </c>
      <c r="D5927">
        <v>10021564387</v>
      </c>
      <c r="E5927" t="s">
        <v>47</v>
      </c>
      <c r="F5927" t="s">
        <v>91</v>
      </c>
      <c r="G5927" t="s">
        <v>92</v>
      </c>
      <c r="H5927" t="s">
        <v>2481</v>
      </c>
      <c r="I5927" t="s">
        <v>2482</v>
      </c>
      <c r="J5927" t="s">
        <v>52</v>
      </c>
      <c r="K5927" s="3">
        <v>100133134088</v>
      </c>
      <c r="L5927" s="10">
        <v>40558</v>
      </c>
      <c r="M5927">
        <v>188.34</v>
      </c>
      <c r="N5927" s="11">
        <v>36</v>
      </c>
      <c r="O5927" s="12">
        <v>5.18</v>
      </c>
      <c r="P5927" s="12">
        <v>5.74</v>
      </c>
      <c r="Q5927" s="13">
        <v>-110.1585</v>
      </c>
      <c r="R5927" s="36" t="s">
        <v>847</v>
      </c>
      <c r="S5927" s="7">
        <f t="shared" si="509"/>
        <v>5</v>
      </c>
      <c r="T5927" s="15" t="str">
        <f>VLOOKUP(R5927,产品分类!$C$2:$D$1278,2,0)</f>
        <v>数码电子</v>
      </c>
    </row>
    <row r="5928" spans="1:20">
      <c r="A5928" s="8">
        <f t="shared" si="513"/>
        <v>40553</v>
      </c>
      <c r="B5928" s="8">
        <f t="shared" si="513"/>
        <v>40553</v>
      </c>
      <c r="C5928" s="9" t="s">
        <v>1427</v>
      </c>
      <c r="D5928">
        <v>10021563700</v>
      </c>
      <c r="E5928" t="s">
        <v>47</v>
      </c>
      <c r="F5928" t="s">
        <v>91</v>
      </c>
      <c r="G5928" t="s">
        <v>92</v>
      </c>
      <c r="H5928" t="s">
        <v>2481</v>
      </c>
      <c r="I5928" t="s">
        <v>2482</v>
      </c>
      <c r="J5928" t="s">
        <v>52</v>
      </c>
      <c r="K5928" s="3">
        <v>100133131946</v>
      </c>
      <c r="L5928" s="10">
        <v>40555</v>
      </c>
      <c r="M5928">
        <v>32.49</v>
      </c>
      <c r="N5928" s="11">
        <v>3</v>
      </c>
      <c r="O5928" s="12">
        <v>10.94</v>
      </c>
      <c r="P5928" s="12">
        <v>1.39</v>
      </c>
      <c r="Q5928" s="13">
        <v>-5.05</v>
      </c>
      <c r="R5928" s="36" t="s">
        <v>458</v>
      </c>
      <c r="S5928" s="7">
        <f t="shared" si="509"/>
        <v>2</v>
      </c>
      <c r="T5928" s="15" t="str">
        <f>VLOOKUP(R5928,产品分类!$C$2:$D$1278,2,0)</f>
        <v>家具产品</v>
      </c>
    </row>
    <row r="5929" spans="1:20">
      <c r="A5929" s="8">
        <f t="shared" si="513"/>
        <v>40553</v>
      </c>
      <c r="B5929" s="8">
        <f t="shared" si="513"/>
        <v>40553</v>
      </c>
      <c r="C5929" s="9" t="s">
        <v>1427</v>
      </c>
      <c r="D5929">
        <v>10021713411</v>
      </c>
      <c r="E5929" t="s">
        <v>47</v>
      </c>
      <c r="F5929" t="s">
        <v>97</v>
      </c>
      <c r="G5929" t="s">
        <v>98</v>
      </c>
      <c r="H5929" t="s">
        <v>99</v>
      </c>
      <c r="I5929" t="s">
        <v>98</v>
      </c>
      <c r="J5929" t="s">
        <v>52</v>
      </c>
      <c r="K5929" s="3">
        <v>100133305457</v>
      </c>
      <c r="L5929" s="10">
        <v>40558</v>
      </c>
      <c r="M5929">
        <v>1493.858</v>
      </c>
      <c r="N5929" s="11">
        <v>26</v>
      </c>
      <c r="O5929" s="12">
        <v>65.99</v>
      </c>
      <c r="P5929" s="12">
        <v>8.8</v>
      </c>
      <c r="Q5929" s="13">
        <v>183.24</v>
      </c>
      <c r="R5929" s="36" t="s">
        <v>2264</v>
      </c>
      <c r="S5929" s="7">
        <f t="shared" si="509"/>
        <v>5</v>
      </c>
      <c r="T5929" s="15" t="str">
        <f>VLOOKUP(R5929,产品分类!$C$2:$D$1278,2,0)</f>
        <v>家具产品</v>
      </c>
    </row>
    <row r="5930" spans="1:20">
      <c r="A5930" s="8">
        <f>DATE(2012,12,31)-379</f>
        <v>40895</v>
      </c>
      <c r="B5930" s="8">
        <f>DATE(2012,12,31)-379</f>
        <v>40895</v>
      </c>
      <c r="C5930" s="9" t="s">
        <v>1427</v>
      </c>
      <c r="D5930">
        <v>10021614697</v>
      </c>
      <c r="E5930" t="s">
        <v>47</v>
      </c>
      <c r="F5930" t="s">
        <v>177</v>
      </c>
      <c r="G5930" t="s">
        <v>178</v>
      </c>
      <c r="H5930" t="s">
        <v>2451</v>
      </c>
      <c r="I5930" t="s">
        <v>2452</v>
      </c>
      <c r="J5930" t="s">
        <v>52</v>
      </c>
      <c r="K5930" s="3">
        <v>100133187297</v>
      </c>
      <c r="L5930" s="10">
        <v>40897</v>
      </c>
      <c r="M5930">
        <v>76.42</v>
      </c>
      <c r="N5930" s="11">
        <v>15</v>
      </c>
      <c r="O5930" s="12">
        <v>4.76</v>
      </c>
      <c r="P5930" s="12">
        <v>3.01</v>
      </c>
      <c r="Q5930" s="13">
        <v>-3.95</v>
      </c>
      <c r="R5930" s="36" t="s">
        <v>2179</v>
      </c>
      <c r="S5930" s="7">
        <f t="shared" si="509"/>
        <v>2</v>
      </c>
      <c r="T5930" s="15" t="str">
        <f>VLOOKUP(R5930,产品分类!$C$2:$D$1278,2,0)</f>
        <v>家具产品</v>
      </c>
    </row>
    <row r="5931" spans="1:20">
      <c r="A5931" s="8">
        <f t="shared" ref="A5931:B5933" si="514">DATE(2012,12,31)-386</f>
        <v>40888</v>
      </c>
      <c r="B5931" s="8">
        <f t="shared" si="514"/>
        <v>40888</v>
      </c>
      <c r="C5931" s="9" t="s">
        <v>347</v>
      </c>
      <c r="D5931">
        <v>10021406834</v>
      </c>
      <c r="E5931" t="s">
        <v>47</v>
      </c>
      <c r="F5931" t="s">
        <v>171</v>
      </c>
      <c r="G5931" t="s">
        <v>172</v>
      </c>
      <c r="H5931" t="s">
        <v>2486</v>
      </c>
      <c r="I5931" t="s">
        <v>2310</v>
      </c>
      <c r="J5931" t="s">
        <v>52</v>
      </c>
      <c r="K5931" s="3">
        <v>100432944134</v>
      </c>
      <c r="L5931" s="10">
        <v>40890</v>
      </c>
      <c r="M5931">
        <v>5526.16</v>
      </c>
      <c r="N5931" s="11">
        <v>38</v>
      </c>
      <c r="O5931" s="12">
        <v>140.81</v>
      </c>
      <c r="P5931" s="12">
        <v>24.49</v>
      </c>
      <c r="Q5931" s="13">
        <v>1263.98</v>
      </c>
      <c r="R5931" s="36" t="s">
        <v>1401</v>
      </c>
      <c r="S5931" s="7">
        <f t="shared" si="509"/>
        <v>2</v>
      </c>
      <c r="T5931" s="15" t="str">
        <f>VLOOKUP(R5931,产品分类!$C$2:$D$1278,2,0)</f>
        <v>办公用品</v>
      </c>
    </row>
    <row r="5932" spans="1:20">
      <c r="A5932" s="8">
        <f t="shared" si="514"/>
        <v>40888</v>
      </c>
      <c r="B5932" s="8">
        <f t="shared" si="514"/>
        <v>40888</v>
      </c>
      <c r="C5932" s="9" t="s">
        <v>1533</v>
      </c>
      <c r="D5932">
        <v>10021516131</v>
      </c>
      <c r="E5932" t="s">
        <v>47</v>
      </c>
      <c r="F5932" t="s">
        <v>66</v>
      </c>
      <c r="G5932" t="s">
        <v>67</v>
      </c>
      <c r="H5932" t="s">
        <v>2467</v>
      </c>
      <c r="I5932" t="s">
        <v>2468</v>
      </c>
      <c r="J5932" t="s">
        <v>52</v>
      </c>
      <c r="K5932" s="3">
        <v>100433068424</v>
      </c>
      <c r="L5932" s="10">
        <v>40890</v>
      </c>
      <c r="M5932">
        <v>236.89</v>
      </c>
      <c r="N5932" s="11">
        <v>36</v>
      </c>
      <c r="O5932" s="12">
        <v>6.48</v>
      </c>
      <c r="P5932" s="12">
        <v>6.22</v>
      </c>
      <c r="Q5932" s="13">
        <v>-86.3</v>
      </c>
      <c r="R5932" s="36" t="s">
        <v>1469</v>
      </c>
      <c r="S5932" s="7">
        <f t="shared" si="509"/>
        <v>2</v>
      </c>
      <c r="T5932" s="15" t="str">
        <f>VLOOKUP(R5932,产品分类!$C$2:$D$1278,2,0)</f>
        <v>办公用品</v>
      </c>
    </row>
    <row r="5933" spans="1:20">
      <c r="A5933" s="8">
        <f t="shared" si="514"/>
        <v>40888</v>
      </c>
      <c r="B5933" s="8">
        <f t="shared" si="514"/>
        <v>40888</v>
      </c>
      <c r="C5933" s="9" t="s">
        <v>1533</v>
      </c>
      <c r="D5933">
        <v>10021355061</v>
      </c>
      <c r="E5933" t="s">
        <v>47</v>
      </c>
      <c r="F5933" t="s">
        <v>122</v>
      </c>
      <c r="G5933" t="s">
        <v>123</v>
      </c>
      <c r="H5933" t="s">
        <v>2458</v>
      </c>
      <c r="I5933" t="s">
        <v>2459</v>
      </c>
      <c r="J5933" t="s">
        <v>52</v>
      </c>
      <c r="K5933" s="3">
        <v>100932865241</v>
      </c>
      <c r="L5933" s="10">
        <v>40888</v>
      </c>
      <c r="M5933">
        <v>68.42</v>
      </c>
      <c r="N5933" s="11">
        <v>33</v>
      </c>
      <c r="O5933" s="12">
        <v>2.08</v>
      </c>
      <c r="P5933" s="12">
        <v>2.56</v>
      </c>
      <c r="Q5933" s="13">
        <v>-57.97</v>
      </c>
      <c r="R5933" s="36" t="s">
        <v>1393</v>
      </c>
      <c r="S5933" s="7">
        <f t="shared" si="509"/>
        <v>0</v>
      </c>
      <c r="T5933" s="15" t="str">
        <f>VLOOKUP(R5933,产品分类!$C$2:$D$1278,2,0)</f>
        <v>家具产品</v>
      </c>
    </row>
    <row r="5934" spans="1:20">
      <c r="A5934" s="8">
        <f>DATE(2012,12,31)-893</f>
        <v>40381</v>
      </c>
      <c r="B5934" s="8">
        <f>DATE(2012,12,31)-893</f>
        <v>40381</v>
      </c>
      <c r="C5934" s="9" t="s">
        <v>1533</v>
      </c>
      <c r="D5934">
        <v>10021572603</v>
      </c>
      <c r="E5934" t="s">
        <v>47</v>
      </c>
      <c r="F5934" t="s">
        <v>61</v>
      </c>
      <c r="G5934" t="s">
        <v>62</v>
      </c>
      <c r="H5934" t="s">
        <v>2431</v>
      </c>
      <c r="I5934" t="s">
        <v>2432</v>
      </c>
      <c r="J5934" t="s">
        <v>52</v>
      </c>
      <c r="K5934" s="3">
        <v>100833158352</v>
      </c>
      <c r="L5934" s="10">
        <v>40382</v>
      </c>
      <c r="M5934">
        <v>50.15</v>
      </c>
      <c r="N5934" s="11">
        <v>18</v>
      </c>
      <c r="O5934" s="12">
        <v>2.78</v>
      </c>
      <c r="P5934" s="12">
        <v>0.97</v>
      </c>
      <c r="Q5934" s="13">
        <v>-2.39</v>
      </c>
      <c r="R5934" s="36" t="s">
        <v>59</v>
      </c>
      <c r="S5934" s="7">
        <f t="shared" si="509"/>
        <v>1</v>
      </c>
      <c r="T5934" s="15" t="str">
        <f>VLOOKUP(R5934,产品分类!$C$2:$D$1278,2,0)</f>
        <v>数码电子</v>
      </c>
    </row>
    <row r="5935" spans="1:20">
      <c r="A5935" s="8">
        <f>DATE(2012,12,31)-738</f>
        <v>40536</v>
      </c>
      <c r="B5935" s="8">
        <f>DATE(2012,12,31)-738</f>
        <v>40536</v>
      </c>
      <c r="C5935" s="9" t="s">
        <v>909</v>
      </c>
      <c r="D5935">
        <v>10021686437</v>
      </c>
      <c r="E5935" t="s">
        <v>47</v>
      </c>
      <c r="F5935" t="s">
        <v>66</v>
      </c>
      <c r="G5935" t="s">
        <v>67</v>
      </c>
      <c r="H5935" t="s">
        <v>2467</v>
      </c>
      <c r="I5935" t="s">
        <v>2468</v>
      </c>
      <c r="J5935" t="s">
        <v>52</v>
      </c>
      <c r="K5935" s="3">
        <v>100433284794</v>
      </c>
      <c r="L5935" s="10">
        <v>40538</v>
      </c>
      <c r="M5935">
        <v>2744.361</v>
      </c>
      <c r="N5935" s="11">
        <v>16</v>
      </c>
      <c r="O5935" s="12">
        <v>195.99</v>
      </c>
      <c r="P5935" s="12">
        <v>8.99</v>
      </c>
      <c r="Q5935" s="13">
        <v>201.033</v>
      </c>
      <c r="R5935" s="36" t="s">
        <v>1509</v>
      </c>
      <c r="S5935" s="7">
        <f t="shared" si="509"/>
        <v>2</v>
      </c>
      <c r="T5935" s="15" t="str">
        <f>VLOOKUP(R5935,产品分类!$C$2:$D$1278,2,0)</f>
        <v>家具产品</v>
      </c>
    </row>
    <row r="5936" spans="1:20">
      <c r="A5936" s="8">
        <f>DATE(2012,12,31)-317</f>
        <v>40957</v>
      </c>
      <c r="B5936" s="8">
        <f>DATE(2012,12,31)-317</f>
        <v>40957</v>
      </c>
      <c r="C5936" s="9" t="s">
        <v>309</v>
      </c>
      <c r="D5936">
        <v>10021361708</v>
      </c>
      <c r="E5936" t="s">
        <v>47</v>
      </c>
      <c r="F5936" t="s">
        <v>152</v>
      </c>
      <c r="G5936" t="s">
        <v>153</v>
      </c>
      <c r="H5936" t="s">
        <v>2441</v>
      </c>
      <c r="I5936" t="s">
        <v>2442</v>
      </c>
      <c r="J5936" t="s">
        <v>52</v>
      </c>
      <c r="K5936" s="3">
        <v>100132885888</v>
      </c>
      <c r="L5936" s="10">
        <v>40957</v>
      </c>
      <c r="M5936">
        <v>673.92</v>
      </c>
      <c r="N5936" s="11">
        <v>21</v>
      </c>
      <c r="O5936" s="12">
        <v>31.78</v>
      </c>
      <c r="P5936" s="12">
        <v>1.99</v>
      </c>
      <c r="Q5936" s="13">
        <v>224.71</v>
      </c>
      <c r="R5936" s="36" t="s">
        <v>414</v>
      </c>
      <c r="S5936" s="7">
        <f t="shared" si="509"/>
        <v>0</v>
      </c>
      <c r="T5936" s="15" t="str">
        <f>VLOOKUP(R5936,产品分类!$C$2:$D$1278,2,0)</f>
        <v>数码电子</v>
      </c>
    </row>
    <row r="5937" spans="1:20">
      <c r="A5937" s="8">
        <f>DATE(2012,12,31)-317</f>
        <v>40957</v>
      </c>
      <c r="B5937" s="8">
        <f>DATE(2012,12,31)-317</f>
        <v>40957</v>
      </c>
      <c r="C5937" s="9" t="s">
        <v>421</v>
      </c>
      <c r="D5937">
        <v>10021378157</v>
      </c>
      <c r="E5937" t="s">
        <v>47</v>
      </c>
      <c r="F5937" t="s">
        <v>91</v>
      </c>
      <c r="G5937" t="s">
        <v>92</v>
      </c>
      <c r="H5937" t="s">
        <v>2481</v>
      </c>
      <c r="I5937" t="s">
        <v>2482</v>
      </c>
      <c r="J5937" t="s">
        <v>52</v>
      </c>
      <c r="K5937" s="3">
        <v>100832903652</v>
      </c>
      <c r="L5937" s="10">
        <v>40958</v>
      </c>
      <c r="M5937">
        <v>540.56</v>
      </c>
      <c r="N5937" s="11">
        <v>19</v>
      </c>
      <c r="O5937" s="12">
        <v>28.28</v>
      </c>
      <c r="P5937" s="12">
        <v>13.99</v>
      </c>
      <c r="Q5937" s="13">
        <v>-93.46</v>
      </c>
      <c r="R5937" s="36" t="s">
        <v>451</v>
      </c>
      <c r="S5937" s="7">
        <f t="shared" si="509"/>
        <v>1</v>
      </c>
      <c r="T5937" s="15" t="str">
        <f>VLOOKUP(R5937,产品分类!$C$2:$D$1278,2,0)</f>
        <v>家具产品</v>
      </c>
    </row>
    <row r="5938" spans="1:20">
      <c r="A5938" s="8">
        <f>DATE(2012,12,31)-1145</f>
        <v>40129</v>
      </c>
      <c r="B5938" s="8">
        <f>DATE(2012,12,31)-1145</f>
        <v>40129</v>
      </c>
      <c r="C5938" s="9" t="s">
        <v>421</v>
      </c>
      <c r="D5938">
        <v>10021278819</v>
      </c>
      <c r="E5938" t="s">
        <v>47</v>
      </c>
      <c r="F5938" t="s">
        <v>527</v>
      </c>
      <c r="G5938" t="s">
        <v>528</v>
      </c>
      <c r="H5938" t="s">
        <v>2454</v>
      </c>
      <c r="I5938" t="s">
        <v>2455</v>
      </c>
      <c r="J5938" t="s">
        <v>52</v>
      </c>
      <c r="K5938" s="3">
        <v>100832779822</v>
      </c>
      <c r="L5938" s="10">
        <v>40131</v>
      </c>
      <c r="M5938">
        <v>670.03</v>
      </c>
      <c r="N5938" s="11">
        <v>10</v>
      </c>
      <c r="O5938" s="12">
        <v>64.65</v>
      </c>
      <c r="P5938" s="12">
        <v>35</v>
      </c>
      <c r="Q5938" s="13">
        <v>-326.47</v>
      </c>
      <c r="R5938" s="36" t="s">
        <v>927</v>
      </c>
      <c r="S5938" s="7">
        <f t="shared" si="509"/>
        <v>2</v>
      </c>
      <c r="T5938" s="15" t="str">
        <f>VLOOKUP(R5938,产品分类!$C$2:$D$1278,2,0)</f>
        <v>办公用品</v>
      </c>
    </row>
    <row r="5939" spans="1:20">
      <c r="A5939" s="8">
        <f>DATE(2012,12,31)-438</f>
        <v>40836</v>
      </c>
      <c r="B5939" s="8">
        <f>DATE(2012,12,31)-438</f>
        <v>40836</v>
      </c>
      <c r="C5939" s="9" t="s">
        <v>145</v>
      </c>
      <c r="D5939">
        <v>10021401605</v>
      </c>
      <c r="E5939" t="s">
        <v>47</v>
      </c>
      <c r="F5939" t="s">
        <v>61</v>
      </c>
      <c r="G5939" t="s">
        <v>62</v>
      </c>
      <c r="H5939" t="s">
        <v>2431</v>
      </c>
      <c r="I5939" t="s">
        <v>2432</v>
      </c>
      <c r="J5939" t="s">
        <v>52</v>
      </c>
      <c r="K5939" s="3">
        <v>100432932173</v>
      </c>
      <c r="L5939" s="10">
        <v>40839</v>
      </c>
      <c r="M5939">
        <v>45.31</v>
      </c>
      <c r="N5939" s="11">
        <v>11</v>
      </c>
      <c r="O5939" s="12">
        <v>3.98</v>
      </c>
      <c r="P5939" s="12">
        <v>2.97</v>
      </c>
      <c r="Q5939" s="13">
        <v>-10.64</v>
      </c>
      <c r="R5939" s="36" t="s">
        <v>1310</v>
      </c>
      <c r="S5939" s="7">
        <f t="shared" si="509"/>
        <v>3</v>
      </c>
      <c r="T5939" s="15" t="str">
        <f>VLOOKUP(R5939,产品分类!$C$2:$D$1278,2,0)</f>
        <v>办公用品</v>
      </c>
    </row>
    <row r="5940" spans="1:20">
      <c r="A5940" s="8">
        <f>DATE(2012,12,31)-747</f>
        <v>40527</v>
      </c>
      <c r="B5940" s="8">
        <f>DATE(2012,12,31)-747</f>
        <v>40527</v>
      </c>
      <c r="C5940" s="9" t="s">
        <v>1488</v>
      </c>
      <c r="D5940">
        <v>10021308161</v>
      </c>
      <c r="E5940" t="s">
        <v>47</v>
      </c>
      <c r="F5940" t="s">
        <v>177</v>
      </c>
      <c r="G5940" t="s">
        <v>178</v>
      </c>
      <c r="H5940" t="s">
        <v>2451</v>
      </c>
      <c r="I5940" t="s">
        <v>2452</v>
      </c>
      <c r="J5940" t="s">
        <v>52</v>
      </c>
      <c r="K5940" s="3">
        <v>100430112283</v>
      </c>
      <c r="L5940" s="10">
        <v>40530</v>
      </c>
      <c r="M5940">
        <v>4408.6695</v>
      </c>
      <c r="N5940" s="11">
        <v>35</v>
      </c>
      <c r="O5940" s="12">
        <v>155.99</v>
      </c>
      <c r="P5940" s="12">
        <v>3.9</v>
      </c>
      <c r="Q5940" s="13">
        <v>1140.669</v>
      </c>
      <c r="R5940" s="36" t="s">
        <v>1098</v>
      </c>
      <c r="S5940" s="7">
        <f t="shared" si="509"/>
        <v>3</v>
      </c>
      <c r="T5940" s="15" t="str">
        <f>VLOOKUP(R5940,产品分类!$C$2:$D$1278,2,0)</f>
        <v>办公用品</v>
      </c>
    </row>
    <row r="5941" spans="1:20">
      <c r="A5941" s="8">
        <f>DATE(2012,12,31)-215</f>
        <v>41059</v>
      </c>
      <c r="B5941" s="8">
        <f>DATE(2012,12,31)-215</f>
        <v>41059</v>
      </c>
      <c r="C5941" s="9" t="s">
        <v>770</v>
      </c>
      <c r="D5941">
        <v>10021262078</v>
      </c>
      <c r="E5941" t="s">
        <v>47</v>
      </c>
      <c r="F5941" t="s">
        <v>152</v>
      </c>
      <c r="G5941" t="s">
        <v>153</v>
      </c>
      <c r="H5941" t="s">
        <v>2441</v>
      </c>
      <c r="I5941" t="s">
        <v>2442</v>
      </c>
      <c r="J5941" t="s">
        <v>52</v>
      </c>
      <c r="K5941" s="3">
        <v>100429781553</v>
      </c>
      <c r="L5941" s="10">
        <v>41060</v>
      </c>
      <c r="M5941">
        <v>1201.934</v>
      </c>
      <c r="N5941" s="11">
        <v>49</v>
      </c>
      <c r="O5941" s="12">
        <v>28.99</v>
      </c>
      <c r="P5941" s="12">
        <v>8.59</v>
      </c>
      <c r="Q5941" s="13">
        <v>47.421</v>
      </c>
      <c r="R5941" s="36" t="s">
        <v>724</v>
      </c>
      <c r="S5941" s="7">
        <f t="shared" si="509"/>
        <v>1</v>
      </c>
      <c r="T5941" s="15" t="str">
        <f>VLOOKUP(R5941,产品分类!$C$2:$D$1278,2,0)</f>
        <v>家具产品</v>
      </c>
    </row>
    <row r="5942" spans="1:20">
      <c r="A5942" s="8">
        <f>DATE(2012,12,31)-215</f>
        <v>41059</v>
      </c>
      <c r="B5942" s="8">
        <f>DATE(2012,12,31)-215</f>
        <v>41059</v>
      </c>
      <c r="C5942" s="9" t="s">
        <v>1105</v>
      </c>
      <c r="D5942">
        <v>10021677002</v>
      </c>
      <c r="E5942" t="s">
        <v>47</v>
      </c>
      <c r="F5942" t="s">
        <v>152</v>
      </c>
      <c r="G5942" t="s">
        <v>153</v>
      </c>
      <c r="H5942" t="s">
        <v>2441</v>
      </c>
      <c r="I5942" t="s">
        <v>2442</v>
      </c>
      <c r="J5942" t="s">
        <v>52</v>
      </c>
      <c r="K5942" s="3">
        <v>100132867086</v>
      </c>
      <c r="L5942" s="10">
        <v>41062</v>
      </c>
      <c r="M5942">
        <v>395.84</v>
      </c>
      <c r="N5942" s="11">
        <v>38</v>
      </c>
      <c r="O5942" s="12">
        <v>9.77</v>
      </c>
      <c r="P5942" s="12">
        <v>6.02</v>
      </c>
      <c r="Q5942" s="13">
        <v>8.42</v>
      </c>
      <c r="R5942" s="36" t="s">
        <v>1695</v>
      </c>
      <c r="S5942" s="7">
        <f t="shared" si="509"/>
        <v>3</v>
      </c>
      <c r="T5942" s="15" t="str">
        <f>VLOOKUP(R5942,产品分类!$C$2:$D$1278,2,0)</f>
        <v>办公用品</v>
      </c>
    </row>
    <row r="5943" spans="1:20">
      <c r="A5943" s="8">
        <f>DATE(2012,12,31)-1008</f>
        <v>40266</v>
      </c>
      <c r="B5943" s="8">
        <f>DATE(2012,12,31)-1008</f>
        <v>40266</v>
      </c>
      <c r="C5943" s="9" t="s">
        <v>1105</v>
      </c>
      <c r="D5943">
        <v>10021269735</v>
      </c>
      <c r="E5943" t="s">
        <v>47</v>
      </c>
      <c r="F5943" t="s">
        <v>66</v>
      </c>
      <c r="G5943" t="s">
        <v>67</v>
      </c>
      <c r="H5943" t="s">
        <v>2467</v>
      </c>
      <c r="I5943" t="s">
        <v>2468</v>
      </c>
      <c r="J5943" t="s">
        <v>52</v>
      </c>
      <c r="K5943" s="3">
        <v>100932458981</v>
      </c>
      <c r="L5943" s="10">
        <v>40266</v>
      </c>
      <c r="M5943">
        <v>324.55</v>
      </c>
      <c r="N5943" s="11">
        <v>5</v>
      </c>
      <c r="O5943" s="12">
        <v>67.84</v>
      </c>
      <c r="P5943" s="12">
        <v>0.99</v>
      </c>
      <c r="Q5943" s="13">
        <v>-12.82</v>
      </c>
      <c r="R5943" s="36" t="s">
        <v>1227</v>
      </c>
      <c r="S5943" s="7">
        <f t="shared" si="509"/>
        <v>0</v>
      </c>
      <c r="T5943" s="15" t="str">
        <f>VLOOKUP(R5943,产品分类!$C$2:$D$1278,2,0)</f>
        <v>办公用品</v>
      </c>
    </row>
    <row r="5944" spans="1:20">
      <c r="A5944" s="8">
        <f>DATE(2012,12,31)-1008</f>
        <v>40266</v>
      </c>
      <c r="B5944" s="8">
        <f>DATE(2012,12,31)-1008</f>
        <v>40266</v>
      </c>
      <c r="C5944" s="9" t="s">
        <v>693</v>
      </c>
      <c r="D5944">
        <v>10021266008</v>
      </c>
      <c r="E5944" t="s">
        <v>47</v>
      </c>
      <c r="F5944" t="s">
        <v>132</v>
      </c>
      <c r="G5944" t="s">
        <v>133</v>
      </c>
      <c r="H5944" t="s">
        <v>134</v>
      </c>
      <c r="I5944" t="s">
        <v>133</v>
      </c>
      <c r="J5944" t="s">
        <v>52</v>
      </c>
      <c r="K5944" s="3">
        <v>100431683153</v>
      </c>
      <c r="L5944" s="10">
        <v>40269</v>
      </c>
      <c r="M5944">
        <v>8901.78</v>
      </c>
      <c r="N5944" s="11">
        <v>31</v>
      </c>
      <c r="O5944" s="12">
        <v>276.2</v>
      </c>
      <c r="P5944" s="12">
        <v>24.49</v>
      </c>
      <c r="Q5944" s="13">
        <v>2795.36</v>
      </c>
      <c r="R5944" s="36" t="s">
        <v>2154</v>
      </c>
      <c r="S5944" s="7">
        <f t="shared" si="509"/>
        <v>3</v>
      </c>
      <c r="T5944" s="15" t="str">
        <f>VLOOKUP(R5944,产品分类!$C$2:$D$1278,2,0)</f>
        <v>家具产品</v>
      </c>
    </row>
    <row r="5945" spans="1:20">
      <c r="A5945" s="8">
        <f>DATE(2012,12,31)-651</f>
        <v>40623</v>
      </c>
      <c r="B5945" s="8">
        <f>DATE(2012,12,31)-651</f>
        <v>40623</v>
      </c>
      <c r="C5945" s="9" t="s">
        <v>693</v>
      </c>
      <c r="D5945">
        <v>10021593536</v>
      </c>
      <c r="E5945" t="s">
        <v>47</v>
      </c>
      <c r="F5945" t="s">
        <v>167</v>
      </c>
      <c r="G5945" t="s">
        <v>168</v>
      </c>
      <c r="H5945" t="s">
        <v>169</v>
      </c>
      <c r="I5945" t="s">
        <v>168</v>
      </c>
      <c r="J5945" t="s">
        <v>52</v>
      </c>
      <c r="K5945" s="3">
        <v>100432429893</v>
      </c>
      <c r="L5945" s="10">
        <v>40625</v>
      </c>
      <c r="M5945">
        <v>110.96</v>
      </c>
      <c r="N5945" s="11">
        <v>46</v>
      </c>
      <c r="O5945" s="12">
        <v>2.61</v>
      </c>
      <c r="P5945" s="12">
        <v>0.5</v>
      </c>
      <c r="Q5945" s="13">
        <v>35.92</v>
      </c>
      <c r="R5945" s="36" t="s">
        <v>559</v>
      </c>
      <c r="S5945" s="7">
        <f t="shared" si="509"/>
        <v>2</v>
      </c>
      <c r="T5945" s="15" t="str">
        <f>VLOOKUP(R5945,产品分类!$C$2:$D$1278,2,0)</f>
        <v>家具产品</v>
      </c>
    </row>
    <row r="5946" spans="1:20">
      <c r="A5946" s="8">
        <f>DATE(2012,12,31)-587</f>
        <v>40687</v>
      </c>
      <c r="B5946" s="8">
        <f>DATE(2012,12,31)-587</f>
        <v>40687</v>
      </c>
      <c r="C5946" s="9" t="s">
        <v>879</v>
      </c>
      <c r="D5946">
        <v>10021267692</v>
      </c>
      <c r="E5946" t="s">
        <v>47</v>
      </c>
      <c r="F5946" t="s">
        <v>167</v>
      </c>
      <c r="G5946" t="s">
        <v>168</v>
      </c>
      <c r="H5946" t="s">
        <v>169</v>
      </c>
      <c r="I5946" t="s">
        <v>168</v>
      </c>
      <c r="J5946" t="s">
        <v>52</v>
      </c>
      <c r="K5946" s="3">
        <v>100932106991</v>
      </c>
      <c r="L5946" s="10">
        <v>40694</v>
      </c>
      <c r="M5946">
        <v>569.92</v>
      </c>
      <c r="N5946" s="11">
        <v>46</v>
      </c>
      <c r="O5946" s="12">
        <v>12.22</v>
      </c>
      <c r="P5946" s="12">
        <v>2.85</v>
      </c>
      <c r="Q5946" s="13">
        <v>154.09</v>
      </c>
      <c r="R5946" s="36" t="s">
        <v>630</v>
      </c>
      <c r="S5946" s="7">
        <f t="shared" si="509"/>
        <v>7</v>
      </c>
      <c r="T5946" s="15" t="str">
        <f>VLOOKUP(R5946,产品分类!$C$2:$D$1278,2,0)</f>
        <v>数码电子</v>
      </c>
    </row>
    <row r="5947" spans="1:20">
      <c r="A5947" s="8">
        <f>DATE(2012,12,31)-587</f>
        <v>40687</v>
      </c>
      <c r="B5947" s="8">
        <f>DATE(2012,12,31)-587</f>
        <v>40687</v>
      </c>
      <c r="C5947" s="9" t="s">
        <v>1118</v>
      </c>
      <c r="D5947">
        <v>10021329026</v>
      </c>
      <c r="E5947" t="s">
        <v>47</v>
      </c>
      <c r="F5947" t="s">
        <v>97</v>
      </c>
      <c r="G5947" t="s">
        <v>98</v>
      </c>
      <c r="H5947" t="s">
        <v>99</v>
      </c>
      <c r="I5947" t="s">
        <v>98</v>
      </c>
      <c r="J5947" t="s">
        <v>52</v>
      </c>
      <c r="K5947" s="3">
        <v>100729670745</v>
      </c>
      <c r="L5947" s="10">
        <v>40694</v>
      </c>
      <c r="M5947">
        <v>183.65</v>
      </c>
      <c r="N5947" s="11">
        <v>28</v>
      </c>
      <c r="O5947" s="12">
        <v>6.48</v>
      </c>
      <c r="P5947" s="12">
        <v>5.84</v>
      </c>
      <c r="Q5947" s="13">
        <v>-59.96</v>
      </c>
      <c r="R5947" s="36" t="s">
        <v>1125</v>
      </c>
      <c r="S5947" s="7">
        <f t="shared" si="509"/>
        <v>7</v>
      </c>
      <c r="T5947" s="15" t="str">
        <f>VLOOKUP(R5947,产品分类!$C$2:$D$1278,2,0)</f>
        <v>家具产品</v>
      </c>
    </row>
    <row r="5948" spans="1:20">
      <c r="A5948" s="8">
        <f t="shared" ref="A5948:B5950" si="515">DATE(2012,12,31)-1370</f>
        <v>39904</v>
      </c>
      <c r="B5948" s="8">
        <f t="shared" si="515"/>
        <v>39904</v>
      </c>
      <c r="C5948" s="9" t="s">
        <v>1118</v>
      </c>
      <c r="D5948">
        <v>10021372511</v>
      </c>
      <c r="E5948" t="s">
        <v>47</v>
      </c>
      <c r="F5948" t="s">
        <v>66</v>
      </c>
      <c r="G5948" t="s">
        <v>67</v>
      </c>
      <c r="H5948" t="s">
        <v>2467</v>
      </c>
      <c r="I5948" t="s">
        <v>2468</v>
      </c>
      <c r="J5948" t="s">
        <v>52</v>
      </c>
      <c r="K5948" s="3">
        <v>100126727808</v>
      </c>
      <c r="L5948" s="10">
        <v>39905</v>
      </c>
      <c r="M5948">
        <v>265.31</v>
      </c>
      <c r="N5948" s="11">
        <v>23</v>
      </c>
      <c r="O5948" s="12">
        <v>11.5</v>
      </c>
      <c r="P5948" s="12">
        <v>7.19</v>
      </c>
      <c r="Q5948" s="13">
        <v>-33.189</v>
      </c>
      <c r="R5948" s="36" t="s">
        <v>2176</v>
      </c>
      <c r="S5948" s="7">
        <f t="shared" si="509"/>
        <v>1</v>
      </c>
      <c r="T5948" s="15" t="str">
        <f>VLOOKUP(R5948,产品分类!$C$2:$D$1278,2,0)</f>
        <v>办公用品</v>
      </c>
    </row>
    <row r="5949" spans="1:20">
      <c r="A5949" s="8">
        <f t="shared" si="515"/>
        <v>39904</v>
      </c>
      <c r="B5949" s="8">
        <f t="shared" si="515"/>
        <v>39904</v>
      </c>
      <c r="C5949" s="9" t="s">
        <v>326</v>
      </c>
      <c r="D5949">
        <v>10021521062</v>
      </c>
      <c r="E5949" t="s">
        <v>47</v>
      </c>
      <c r="F5949" t="s">
        <v>66</v>
      </c>
      <c r="G5949" t="s">
        <v>67</v>
      </c>
      <c r="H5949" t="s">
        <v>2467</v>
      </c>
      <c r="I5949" t="s">
        <v>2468</v>
      </c>
      <c r="J5949" t="s">
        <v>52</v>
      </c>
      <c r="K5949" s="3">
        <v>10019260256</v>
      </c>
      <c r="L5949" s="10">
        <v>39905</v>
      </c>
      <c r="M5949">
        <v>1444.88</v>
      </c>
      <c r="N5949" s="11">
        <v>15</v>
      </c>
      <c r="O5949" s="12">
        <v>100.97</v>
      </c>
      <c r="P5949" s="12">
        <v>7.18</v>
      </c>
      <c r="Q5949" s="13">
        <v>236.61</v>
      </c>
      <c r="R5949" s="36" t="s">
        <v>633</v>
      </c>
      <c r="S5949" s="7">
        <f t="shared" si="509"/>
        <v>1</v>
      </c>
      <c r="T5949" s="15" t="str">
        <f>VLOOKUP(R5949,产品分类!$C$2:$D$1278,2,0)</f>
        <v>家具产品</v>
      </c>
    </row>
    <row r="5950" spans="1:20">
      <c r="A5950" s="8">
        <f t="shared" si="515"/>
        <v>39904</v>
      </c>
      <c r="B5950" s="8">
        <f t="shared" si="515"/>
        <v>39904</v>
      </c>
      <c r="C5950" s="9" t="s">
        <v>326</v>
      </c>
      <c r="D5950">
        <v>10021437795</v>
      </c>
      <c r="E5950" t="s">
        <v>47</v>
      </c>
      <c r="F5950" t="s">
        <v>48</v>
      </c>
      <c r="G5950" t="s">
        <v>49</v>
      </c>
      <c r="H5950" t="s">
        <v>2474</v>
      </c>
      <c r="I5950" t="s">
        <v>2475</v>
      </c>
      <c r="J5950" t="s">
        <v>52</v>
      </c>
      <c r="K5950" s="3">
        <v>100932488861</v>
      </c>
      <c r="L5950" s="10">
        <v>39905</v>
      </c>
      <c r="M5950">
        <v>2287.1</v>
      </c>
      <c r="N5950" s="11">
        <v>23</v>
      </c>
      <c r="O5950" s="12">
        <v>99.99</v>
      </c>
      <c r="P5950" s="12">
        <v>19.99</v>
      </c>
      <c r="Q5950" s="13">
        <v>231.49</v>
      </c>
      <c r="R5950" s="36" t="s">
        <v>2187</v>
      </c>
      <c r="S5950" s="7">
        <f t="shared" si="509"/>
        <v>1</v>
      </c>
      <c r="T5950" s="15" t="str">
        <f>VLOOKUP(R5950,产品分类!$C$2:$D$1278,2,0)</f>
        <v>家具产品</v>
      </c>
    </row>
    <row r="5951" spans="1:20">
      <c r="A5951" s="8">
        <f>DATE(2012,12,31)-295</f>
        <v>40979</v>
      </c>
      <c r="B5951" s="8">
        <f>DATE(2012,12,31)-295</f>
        <v>40979</v>
      </c>
      <c r="C5951" s="9" t="s">
        <v>326</v>
      </c>
      <c r="D5951">
        <v>10021614820</v>
      </c>
      <c r="E5951" t="s">
        <v>47</v>
      </c>
      <c r="F5951" t="s">
        <v>152</v>
      </c>
      <c r="G5951" t="s">
        <v>153</v>
      </c>
      <c r="H5951" t="s">
        <v>2441</v>
      </c>
      <c r="I5951" t="s">
        <v>2442</v>
      </c>
      <c r="J5951" t="s">
        <v>52</v>
      </c>
      <c r="K5951" s="3">
        <v>100126223627</v>
      </c>
      <c r="L5951" s="10">
        <v>40981</v>
      </c>
      <c r="M5951">
        <v>1876.09</v>
      </c>
      <c r="N5951" s="11">
        <v>42</v>
      </c>
      <c r="O5951" s="12">
        <v>43.41</v>
      </c>
      <c r="P5951" s="12">
        <v>2.99</v>
      </c>
      <c r="Q5951" s="13">
        <v>809.7355</v>
      </c>
      <c r="R5951" s="36" t="s">
        <v>1379</v>
      </c>
      <c r="S5951" s="7">
        <f t="shared" si="509"/>
        <v>2</v>
      </c>
      <c r="T5951" s="15" t="str">
        <f>VLOOKUP(R5951,产品分类!$C$2:$D$1278,2,0)</f>
        <v>家具产品</v>
      </c>
    </row>
    <row r="5952" spans="1:20">
      <c r="A5952" s="8">
        <f>DATE(2012,12,31)-295</f>
        <v>40979</v>
      </c>
      <c r="B5952" s="8">
        <f>DATE(2012,12,31)-295</f>
        <v>40979</v>
      </c>
      <c r="C5952" s="9" t="s">
        <v>1182</v>
      </c>
      <c r="D5952">
        <v>10021361683</v>
      </c>
      <c r="E5952" t="s">
        <v>47</v>
      </c>
      <c r="F5952" t="s">
        <v>230</v>
      </c>
      <c r="G5952" t="s">
        <v>231</v>
      </c>
      <c r="H5952" t="s">
        <v>2477</v>
      </c>
      <c r="I5952" t="s">
        <v>2478</v>
      </c>
      <c r="J5952" t="s">
        <v>52</v>
      </c>
      <c r="K5952" s="3">
        <v>100910726211</v>
      </c>
      <c r="L5952" s="10">
        <v>40981</v>
      </c>
      <c r="M5952">
        <v>145.26</v>
      </c>
      <c r="N5952" s="11">
        <v>19</v>
      </c>
      <c r="O5952" s="12">
        <v>7.35</v>
      </c>
      <c r="P5952" s="12">
        <v>5.96</v>
      </c>
      <c r="Q5952" s="13">
        <v>-35.75</v>
      </c>
      <c r="R5952" s="36" t="s">
        <v>1007</v>
      </c>
      <c r="S5952" s="7">
        <f t="shared" si="509"/>
        <v>2</v>
      </c>
      <c r="T5952" s="15" t="str">
        <f>VLOOKUP(R5952,产品分类!$C$2:$D$1278,2,0)</f>
        <v>家具产品</v>
      </c>
    </row>
    <row r="5953" spans="1:20">
      <c r="A5953" s="8">
        <f>DATE(2012,12,31)-249</f>
        <v>41025</v>
      </c>
      <c r="B5953" s="8">
        <f>DATE(2012,12,31)-249</f>
        <v>41025</v>
      </c>
      <c r="C5953" s="9" t="s">
        <v>1182</v>
      </c>
      <c r="D5953">
        <v>10021603027</v>
      </c>
      <c r="E5953" t="s">
        <v>47</v>
      </c>
      <c r="F5953" t="s">
        <v>114</v>
      </c>
      <c r="G5953" t="s">
        <v>115</v>
      </c>
      <c r="H5953" t="s">
        <v>2469</v>
      </c>
      <c r="I5953" t="s">
        <v>2470</v>
      </c>
      <c r="J5953" t="s">
        <v>52</v>
      </c>
      <c r="K5953" s="3">
        <v>100910116011</v>
      </c>
      <c r="L5953" s="10">
        <v>41026</v>
      </c>
      <c r="M5953">
        <v>3060.37</v>
      </c>
      <c r="N5953" s="11">
        <v>40</v>
      </c>
      <c r="O5953" s="12">
        <v>77.51</v>
      </c>
      <c r="P5953" s="12">
        <v>4</v>
      </c>
      <c r="Q5953" s="13">
        <v>234.03</v>
      </c>
      <c r="R5953" s="36" t="s">
        <v>842</v>
      </c>
      <c r="S5953" s="7">
        <f t="shared" si="509"/>
        <v>1</v>
      </c>
      <c r="T5953" s="15" t="str">
        <f>VLOOKUP(R5953,产品分类!$C$2:$D$1278,2,0)</f>
        <v>家具产品</v>
      </c>
    </row>
    <row r="5954" spans="1:20">
      <c r="A5954" s="8">
        <f>DATE(2012,12,31)-249</f>
        <v>41025</v>
      </c>
      <c r="B5954" s="8">
        <f>DATE(2012,12,31)-249</f>
        <v>41025</v>
      </c>
      <c r="C5954" s="9" t="s">
        <v>508</v>
      </c>
      <c r="D5954">
        <v>10021377627</v>
      </c>
      <c r="E5954" t="s">
        <v>47</v>
      </c>
      <c r="F5954" t="s">
        <v>91</v>
      </c>
      <c r="G5954" t="s">
        <v>92</v>
      </c>
      <c r="H5954" t="s">
        <v>2481</v>
      </c>
      <c r="I5954" t="s">
        <v>2482</v>
      </c>
      <c r="J5954" t="s">
        <v>52</v>
      </c>
      <c r="K5954" s="3">
        <v>100330072819</v>
      </c>
      <c r="L5954" s="10">
        <v>41027</v>
      </c>
      <c r="M5954">
        <v>25.31</v>
      </c>
      <c r="N5954" s="11">
        <v>5</v>
      </c>
      <c r="O5954" s="12">
        <v>4.84</v>
      </c>
      <c r="P5954" s="12">
        <v>0.71</v>
      </c>
      <c r="Q5954" s="13">
        <v>-0.5</v>
      </c>
      <c r="R5954" s="36" t="s">
        <v>2136</v>
      </c>
      <c r="S5954" s="7">
        <f t="shared" si="509"/>
        <v>2</v>
      </c>
      <c r="T5954" s="15" t="str">
        <f>VLOOKUP(R5954,产品分类!$C$2:$D$1278,2,0)</f>
        <v>办公用品</v>
      </c>
    </row>
    <row r="5955" spans="1:20">
      <c r="A5955" s="8">
        <f>DATE(2012,12,31)-485</f>
        <v>40789</v>
      </c>
      <c r="B5955" s="8">
        <f>DATE(2012,12,31)-485</f>
        <v>40789</v>
      </c>
      <c r="C5955" s="9" t="s">
        <v>508</v>
      </c>
      <c r="D5955">
        <v>10021570550</v>
      </c>
      <c r="E5955" t="s">
        <v>47</v>
      </c>
      <c r="F5955" t="s">
        <v>122</v>
      </c>
      <c r="G5955" t="s">
        <v>123</v>
      </c>
      <c r="H5955" t="s">
        <v>2458</v>
      </c>
      <c r="I5955" t="s">
        <v>2459</v>
      </c>
      <c r="J5955" t="s">
        <v>52</v>
      </c>
      <c r="K5955" s="3">
        <v>100130751428</v>
      </c>
      <c r="L5955" s="10">
        <v>40791</v>
      </c>
      <c r="M5955">
        <v>2296.76</v>
      </c>
      <c r="N5955" s="11">
        <v>23</v>
      </c>
      <c r="O5955" s="12">
        <v>99.99</v>
      </c>
      <c r="P5955" s="12">
        <v>19.99</v>
      </c>
      <c r="Q5955" s="13">
        <v>241.15</v>
      </c>
      <c r="R5955" s="36" t="s">
        <v>946</v>
      </c>
      <c r="S5955" s="7">
        <f t="shared" ref="S5955:S6018" si="516">+L5955-B5955</f>
        <v>2</v>
      </c>
      <c r="T5955" s="15" t="str">
        <f>VLOOKUP(R5955,产品分类!$C$2:$D$1278,2,0)</f>
        <v>数码电子</v>
      </c>
    </row>
    <row r="5956" spans="1:20">
      <c r="A5956" s="8">
        <f>DATE(2012,12,31)-485</f>
        <v>40789</v>
      </c>
      <c r="B5956" s="8">
        <f>DATE(2012,12,31)-485</f>
        <v>40789</v>
      </c>
      <c r="C5956" s="9" t="s">
        <v>457</v>
      </c>
      <c r="D5956">
        <v>10021356019</v>
      </c>
      <c r="E5956" t="s">
        <v>47</v>
      </c>
      <c r="F5956" t="s">
        <v>91</v>
      </c>
      <c r="G5956" t="s">
        <v>92</v>
      </c>
      <c r="H5956" t="s">
        <v>2481</v>
      </c>
      <c r="I5956" t="s">
        <v>2482</v>
      </c>
      <c r="J5956" t="s">
        <v>52</v>
      </c>
      <c r="K5956" s="3">
        <v>100430915813</v>
      </c>
      <c r="L5956" s="10">
        <v>40791</v>
      </c>
      <c r="M5956">
        <v>508.49</v>
      </c>
      <c r="N5956" s="11">
        <v>45</v>
      </c>
      <c r="O5956" s="12">
        <v>12.07</v>
      </c>
      <c r="P5956" s="12">
        <v>6.2</v>
      </c>
      <c r="Q5956" s="13">
        <v>-28.81</v>
      </c>
      <c r="R5956" s="36" t="s">
        <v>532</v>
      </c>
      <c r="S5956" s="7">
        <f t="shared" si="516"/>
        <v>2</v>
      </c>
      <c r="T5956" s="15" t="str">
        <f>VLOOKUP(R5956,产品分类!$C$2:$D$1278,2,0)</f>
        <v>办公用品</v>
      </c>
    </row>
    <row r="5957" spans="1:20">
      <c r="A5957" s="8">
        <f>DATE(2012,12,31)-1280</f>
        <v>39994</v>
      </c>
      <c r="B5957" s="8">
        <f>DATE(2012,12,31)-1280</f>
        <v>39994</v>
      </c>
      <c r="C5957" s="9" t="s">
        <v>457</v>
      </c>
      <c r="D5957">
        <v>10021636032</v>
      </c>
      <c r="E5957" t="s">
        <v>47</v>
      </c>
      <c r="F5957" t="s">
        <v>91</v>
      </c>
      <c r="G5957" t="s">
        <v>92</v>
      </c>
      <c r="H5957" t="s">
        <v>2481</v>
      </c>
      <c r="I5957" t="s">
        <v>2482</v>
      </c>
      <c r="J5957" t="s">
        <v>52</v>
      </c>
      <c r="K5957" s="3">
        <v>100914790351</v>
      </c>
      <c r="L5957" s="10">
        <v>39995</v>
      </c>
      <c r="M5957">
        <v>1431</v>
      </c>
      <c r="N5957" s="11">
        <v>44</v>
      </c>
      <c r="O5957" s="12">
        <v>30.98</v>
      </c>
      <c r="P5957" s="12">
        <v>6.5</v>
      </c>
      <c r="Q5957" s="13">
        <v>-55.78</v>
      </c>
      <c r="R5957" s="36" t="s">
        <v>869</v>
      </c>
      <c r="S5957" s="7">
        <f t="shared" si="516"/>
        <v>1</v>
      </c>
      <c r="T5957" s="15" t="str">
        <f>VLOOKUP(R5957,产品分类!$C$2:$D$1278,2,0)</f>
        <v>家具产品</v>
      </c>
    </row>
    <row r="5958" spans="1:20">
      <c r="A5958" s="16">
        <f t="shared" ref="A5958:B5960" si="517">DATE(2012,12,31)-108</f>
        <v>41166</v>
      </c>
      <c r="B5958" s="16">
        <f t="shared" si="517"/>
        <v>41166</v>
      </c>
      <c r="C5958" s="9" t="s">
        <v>504</v>
      </c>
      <c r="D5958">
        <v>10021435950</v>
      </c>
      <c r="E5958" t="s">
        <v>47</v>
      </c>
      <c r="F5958" t="s">
        <v>97</v>
      </c>
      <c r="G5958" t="s">
        <v>98</v>
      </c>
      <c r="H5958" t="s">
        <v>99</v>
      </c>
      <c r="I5958" t="s">
        <v>98</v>
      </c>
      <c r="J5958" t="s">
        <v>52</v>
      </c>
      <c r="K5958" s="3">
        <v>100130527706</v>
      </c>
      <c r="L5958" s="10">
        <v>41168</v>
      </c>
      <c r="M5958">
        <v>36.46</v>
      </c>
      <c r="N5958" s="17">
        <v>4</v>
      </c>
      <c r="O5958" s="5">
        <v>8.69</v>
      </c>
      <c r="P5958" s="5">
        <v>2.99</v>
      </c>
      <c r="Q5958" s="6">
        <v>-7.406</v>
      </c>
      <c r="R5958" s="37" t="s">
        <v>1418</v>
      </c>
      <c r="S5958" s="7">
        <f t="shared" si="516"/>
        <v>2</v>
      </c>
      <c r="T5958" s="15" t="str">
        <f>VLOOKUP(R5958,产品分类!$C$2:$D$1278,2,0)</f>
        <v>家具产品</v>
      </c>
    </row>
    <row r="5959" spans="1:20">
      <c r="A5959" s="8">
        <f t="shared" si="517"/>
        <v>41166</v>
      </c>
      <c r="B5959" s="8">
        <f t="shared" si="517"/>
        <v>41166</v>
      </c>
      <c r="C5959" s="9" t="s">
        <v>396</v>
      </c>
      <c r="D5959">
        <v>10021402688</v>
      </c>
      <c r="E5959" t="s">
        <v>47</v>
      </c>
      <c r="F5959" t="s">
        <v>132</v>
      </c>
      <c r="G5959" t="s">
        <v>133</v>
      </c>
      <c r="H5959" t="s">
        <v>134</v>
      </c>
      <c r="I5959" t="s">
        <v>133</v>
      </c>
      <c r="J5959" t="s">
        <v>52</v>
      </c>
      <c r="K5959" s="3">
        <v>100132218626</v>
      </c>
      <c r="L5959" s="10">
        <v>41168</v>
      </c>
      <c r="M5959">
        <v>773.83</v>
      </c>
      <c r="N5959" s="11">
        <v>19</v>
      </c>
      <c r="O5959" s="12">
        <v>40.98</v>
      </c>
      <c r="P5959" s="12">
        <v>5.33</v>
      </c>
      <c r="Q5959" s="13">
        <v>146.79</v>
      </c>
      <c r="R5959" s="36" t="s">
        <v>206</v>
      </c>
      <c r="S5959" s="7">
        <f t="shared" si="516"/>
        <v>2</v>
      </c>
      <c r="T5959" s="15" t="str">
        <f>VLOOKUP(R5959,产品分类!$C$2:$D$1278,2,0)</f>
        <v>数码电子</v>
      </c>
    </row>
    <row r="5960" spans="1:20">
      <c r="A5960" s="8">
        <f t="shared" si="517"/>
        <v>41166</v>
      </c>
      <c r="B5960" s="8">
        <f t="shared" si="517"/>
        <v>41166</v>
      </c>
      <c r="C5960" s="9" t="s">
        <v>396</v>
      </c>
      <c r="D5960">
        <v>10021402051</v>
      </c>
      <c r="E5960" t="s">
        <v>47</v>
      </c>
      <c r="F5960" t="s">
        <v>132</v>
      </c>
      <c r="G5960" t="s">
        <v>133</v>
      </c>
      <c r="H5960" t="s">
        <v>134</v>
      </c>
      <c r="I5960" t="s">
        <v>133</v>
      </c>
      <c r="J5960" t="s">
        <v>52</v>
      </c>
      <c r="K5960" s="3">
        <v>100330404289</v>
      </c>
      <c r="L5960" s="10">
        <v>41168</v>
      </c>
      <c r="M5960">
        <v>47.4</v>
      </c>
      <c r="N5960" s="11">
        <v>18</v>
      </c>
      <c r="O5960" s="12">
        <v>2.28</v>
      </c>
      <c r="P5960" s="12">
        <v>5.2</v>
      </c>
      <c r="Q5960" s="13">
        <v>-63.03</v>
      </c>
      <c r="R5960" s="36" t="s">
        <v>625</v>
      </c>
      <c r="S5960" s="7">
        <f t="shared" si="516"/>
        <v>2</v>
      </c>
      <c r="T5960" s="15" t="str">
        <f>VLOOKUP(R5960,产品分类!$C$2:$D$1278,2,0)</f>
        <v>办公用品</v>
      </c>
    </row>
    <row r="5961" spans="1:20">
      <c r="A5961" s="8">
        <f>DATE(2012,12,31)-1298</f>
        <v>39976</v>
      </c>
      <c r="B5961" s="8">
        <f>DATE(2012,12,31)-1298</f>
        <v>39976</v>
      </c>
      <c r="C5961" s="9" t="s">
        <v>396</v>
      </c>
      <c r="D5961">
        <v>10021634825</v>
      </c>
      <c r="E5961" t="s">
        <v>47</v>
      </c>
      <c r="F5961" t="s">
        <v>102</v>
      </c>
      <c r="G5961" t="s">
        <v>103</v>
      </c>
      <c r="H5961" t="s">
        <v>2483</v>
      </c>
      <c r="I5961" t="s">
        <v>2484</v>
      </c>
      <c r="J5961" t="s">
        <v>52</v>
      </c>
      <c r="K5961" s="3">
        <v>10013284346</v>
      </c>
      <c r="L5961" s="10">
        <v>39979</v>
      </c>
      <c r="M5961">
        <v>79.98</v>
      </c>
      <c r="N5961" s="11">
        <v>16</v>
      </c>
      <c r="O5961" s="12">
        <v>4.86</v>
      </c>
      <c r="P5961" s="12">
        <v>7.1</v>
      </c>
      <c r="Q5961" s="13">
        <v>-56.56</v>
      </c>
      <c r="R5961" s="36" t="s">
        <v>1554</v>
      </c>
      <c r="S5961" s="7">
        <f t="shared" si="516"/>
        <v>3</v>
      </c>
      <c r="T5961" s="15" t="str">
        <f>VLOOKUP(R5961,产品分类!$C$2:$D$1278,2,0)</f>
        <v>办公用品</v>
      </c>
    </row>
    <row r="5962" spans="1:20">
      <c r="A5962" s="16">
        <f t="shared" ref="A5962:B5964" si="518">DATE(2012,12,31)-1243</f>
        <v>40031</v>
      </c>
      <c r="B5962" s="16">
        <f t="shared" si="518"/>
        <v>40031</v>
      </c>
      <c r="C5962" s="9" t="s">
        <v>587</v>
      </c>
      <c r="D5962">
        <v>10021401248</v>
      </c>
      <c r="E5962" t="s">
        <v>47</v>
      </c>
      <c r="F5962" t="s">
        <v>102</v>
      </c>
      <c r="G5962" t="s">
        <v>103</v>
      </c>
      <c r="H5962" t="s">
        <v>2483</v>
      </c>
      <c r="I5962" t="s">
        <v>2484</v>
      </c>
      <c r="J5962" t="s">
        <v>52</v>
      </c>
      <c r="K5962" s="3">
        <v>100418709573</v>
      </c>
      <c r="L5962" s="10">
        <v>40033</v>
      </c>
      <c r="M5962">
        <v>854.23</v>
      </c>
      <c r="N5962" s="17">
        <v>41</v>
      </c>
      <c r="O5962" s="5">
        <v>20.48</v>
      </c>
      <c r="P5962" s="5">
        <v>6.32</v>
      </c>
      <c r="Q5962" s="6">
        <v>67.14</v>
      </c>
      <c r="R5962" s="37" t="s">
        <v>2487</v>
      </c>
      <c r="S5962" s="7">
        <f t="shared" si="516"/>
        <v>2</v>
      </c>
      <c r="T5962" s="15" t="str">
        <f>VLOOKUP(R5962,产品分类!$C$2:$D$1278,2,0)</f>
        <v>办公用品</v>
      </c>
    </row>
    <row r="5963" spans="1:20">
      <c r="A5963" s="8">
        <f t="shared" si="518"/>
        <v>40031</v>
      </c>
      <c r="B5963" s="8">
        <f t="shared" si="518"/>
        <v>40031</v>
      </c>
      <c r="C5963" s="9" t="s">
        <v>1359</v>
      </c>
      <c r="D5963">
        <v>10021458556</v>
      </c>
      <c r="E5963" t="s">
        <v>47</v>
      </c>
      <c r="F5963" t="s">
        <v>78</v>
      </c>
      <c r="G5963" t="s">
        <v>79</v>
      </c>
      <c r="H5963" t="s">
        <v>2420</v>
      </c>
      <c r="I5963" t="s">
        <v>2421</v>
      </c>
      <c r="J5963" t="s">
        <v>52</v>
      </c>
      <c r="K5963" s="3">
        <v>10041984233</v>
      </c>
      <c r="L5963" s="10">
        <v>40036</v>
      </c>
      <c r="M5963">
        <v>47.91</v>
      </c>
      <c r="N5963" s="11">
        <v>26</v>
      </c>
      <c r="O5963" s="12">
        <v>1.86</v>
      </c>
      <c r="P5963" s="12">
        <v>2.58</v>
      </c>
      <c r="Q5963" s="13">
        <v>-58.83</v>
      </c>
      <c r="R5963" s="36" t="s">
        <v>1140</v>
      </c>
      <c r="S5963" s="7">
        <f t="shared" si="516"/>
        <v>5</v>
      </c>
      <c r="T5963" s="15" t="str">
        <f>VLOOKUP(R5963,产品分类!$C$2:$D$1278,2,0)</f>
        <v>家具产品</v>
      </c>
    </row>
    <row r="5964" spans="1:20">
      <c r="A5964" s="8">
        <f t="shared" si="518"/>
        <v>40031</v>
      </c>
      <c r="B5964" s="8">
        <f t="shared" si="518"/>
        <v>40031</v>
      </c>
      <c r="C5964" s="9" t="s">
        <v>1359</v>
      </c>
      <c r="D5964">
        <v>10021687220</v>
      </c>
      <c r="E5964" t="s">
        <v>47</v>
      </c>
      <c r="F5964" t="s">
        <v>171</v>
      </c>
      <c r="G5964" t="s">
        <v>172</v>
      </c>
      <c r="H5964" t="s">
        <v>2486</v>
      </c>
      <c r="I5964" t="s">
        <v>2310</v>
      </c>
      <c r="J5964" t="s">
        <v>52</v>
      </c>
      <c r="K5964" s="3">
        <v>10049187753</v>
      </c>
      <c r="L5964" s="10">
        <v>40036</v>
      </c>
      <c r="M5964">
        <v>6427.258</v>
      </c>
      <c r="N5964" s="11">
        <v>38</v>
      </c>
      <c r="O5964" s="12">
        <v>205.99</v>
      </c>
      <c r="P5964" s="12">
        <v>2.5</v>
      </c>
      <c r="Q5964" s="13">
        <v>1636.407</v>
      </c>
      <c r="R5964" s="36" t="s">
        <v>109</v>
      </c>
      <c r="S5964" s="7">
        <f t="shared" si="516"/>
        <v>5</v>
      </c>
      <c r="T5964" s="15" t="str">
        <f>VLOOKUP(R5964,产品分类!$C$2:$D$1278,2,0)</f>
        <v>数码电子</v>
      </c>
    </row>
    <row r="5965" spans="1:20">
      <c r="A5965" s="8">
        <f>DATE(2012,12,31)-1259</f>
        <v>40015</v>
      </c>
      <c r="B5965" s="8">
        <f>DATE(2012,12,31)-1259</f>
        <v>40015</v>
      </c>
      <c r="C5965" s="9" t="s">
        <v>1359</v>
      </c>
      <c r="D5965">
        <v>10021318034</v>
      </c>
      <c r="E5965" t="s">
        <v>47</v>
      </c>
      <c r="F5965" t="s">
        <v>171</v>
      </c>
      <c r="G5965" t="s">
        <v>172</v>
      </c>
      <c r="H5965" t="s">
        <v>2486</v>
      </c>
      <c r="I5965" t="s">
        <v>2310</v>
      </c>
      <c r="J5965" t="s">
        <v>52</v>
      </c>
      <c r="K5965" s="3">
        <v>100431846503</v>
      </c>
      <c r="L5965" s="10">
        <v>40016</v>
      </c>
      <c r="M5965">
        <v>3361.7585</v>
      </c>
      <c r="N5965" s="11">
        <v>20</v>
      </c>
      <c r="O5965" s="12">
        <v>205.99</v>
      </c>
      <c r="P5965" s="12">
        <v>8.99</v>
      </c>
      <c r="Q5965" s="13">
        <v>394.353</v>
      </c>
      <c r="R5965" s="36" t="s">
        <v>1613</v>
      </c>
      <c r="S5965" s="7">
        <f t="shared" si="516"/>
        <v>1</v>
      </c>
      <c r="T5965" s="15" t="str">
        <f>VLOOKUP(R5965,产品分类!$C$2:$D$1278,2,0)</f>
        <v>数码电子</v>
      </c>
    </row>
    <row r="5966" spans="1:20">
      <c r="A5966" s="8">
        <f>DATE(2012,12,31)-1155</f>
        <v>40119</v>
      </c>
      <c r="B5966" s="8">
        <f>DATE(2012,12,31)-1155</f>
        <v>40119</v>
      </c>
      <c r="C5966" s="9" t="s">
        <v>858</v>
      </c>
      <c r="D5966">
        <v>10021478347</v>
      </c>
      <c r="E5966" t="s">
        <v>47</v>
      </c>
      <c r="F5966" t="s">
        <v>171</v>
      </c>
      <c r="G5966" t="s">
        <v>172</v>
      </c>
      <c r="H5966" t="s">
        <v>2486</v>
      </c>
      <c r="I5966" t="s">
        <v>2310</v>
      </c>
      <c r="J5966" t="s">
        <v>52</v>
      </c>
      <c r="K5966" s="3">
        <v>100132808568</v>
      </c>
      <c r="L5966" s="10">
        <v>40121</v>
      </c>
      <c r="M5966">
        <v>63.91</v>
      </c>
      <c r="N5966" s="11">
        <v>14</v>
      </c>
      <c r="O5966" s="12">
        <v>4.14</v>
      </c>
      <c r="P5966" s="12">
        <v>6.6</v>
      </c>
      <c r="Q5966" s="13">
        <v>-44.47</v>
      </c>
      <c r="R5966" s="36" t="s">
        <v>1543</v>
      </c>
      <c r="S5966" s="7">
        <f t="shared" si="516"/>
        <v>2</v>
      </c>
      <c r="T5966" s="15" t="str">
        <f>VLOOKUP(R5966,产品分类!$C$2:$D$1278,2,0)</f>
        <v>家具产品</v>
      </c>
    </row>
    <row r="5967" spans="1:20">
      <c r="A5967" s="8">
        <f>DATE(2012,12,31)-1155</f>
        <v>40119</v>
      </c>
      <c r="B5967" s="8">
        <f>DATE(2012,12,31)-1155</f>
        <v>40119</v>
      </c>
      <c r="C5967" s="9" t="s">
        <v>681</v>
      </c>
      <c r="D5967">
        <v>10021315968</v>
      </c>
      <c r="E5967" t="s">
        <v>47</v>
      </c>
      <c r="F5967" t="s">
        <v>127</v>
      </c>
      <c r="G5967" t="s">
        <v>128</v>
      </c>
      <c r="H5967" t="s">
        <v>2462</v>
      </c>
      <c r="I5967" t="s">
        <v>2463</v>
      </c>
      <c r="J5967" t="s">
        <v>52</v>
      </c>
      <c r="K5967" s="3">
        <v>100415922993</v>
      </c>
      <c r="L5967" s="10">
        <v>40121</v>
      </c>
      <c r="M5967">
        <v>1909.0065</v>
      </c>
      <c r="N5967" s="11">
        <v>32</v>
      </c>
      <c r="O5967" s="12">
        <v>65.99</v>
      </c>
      <c r="P5967" s="12">
        <v>8.99</v>
      </c>
      <c r="Q5967" s="13">
        <v>344.133</v>
      </c>
      <c r="R5967" s="36" t="s">
        <v>1766</v>
      </c>
      <c r="S5967" s="7">
        <f t="shared" si="516"/>
        <v>2</v>
      </c>
      <c r="T5967" s="15" t="str">
        <f>VLOOKUP(R5967,产品分类!$C$2:$D$1278,2,0)</f>
        <v>办公用品</v>
      </c>
    </row>
    <row r="5968" spans="1:20">
      <c r="A5968" s="8">
        <f>DATE(2012,12,31)-1418</f>
        <v>39856</v>
      </c>
      <c r="B5968" s="8">
        <f>DATE(2012,12,31)-1418</f>
        <v>39856</v>
      </c>
      <c r="C5968" s="9" t="s">
        <v>681</v>
      </c>
      <c r="D5968">
        <v>10021699352</v>
      </c>
      <c r="E5968" t="s">
        <v>47</v>
      </c>
      <c r="F5968" t="s">
        <v>61</v>
      </c>
      <c r="G5968" t="s">
        <v>62</v>
      </c>
      <c r="H5968" t="s">
        <v>2431</v>
      </c>
      <c r="I5968" t="s">
        <v>2432</v>
      </c>
      <c r="J5968" t="s">
        <v>52</v>
      </c>
      <c r="K5968" s="3">
        <v>100111915977</v>
      </c>
      <c r="L5968" s="10">
        <v>39856</v>
      </c>
      <c r="M5968">
        <v>206.54</v>
      </c>
      <c r="N5968" s="11">
        <v>31</v>
      </c>
      <c r="O5968" s="12">
        <v>6.48</v>
      </c>
      <c r="P5968" s="12">
        <v>9.68</v>
      </c>
      <c r="Q5968" s="13">
        <v>-178.82</v>
      </c>
      <c r="R5968" s="36" t="s">
        <v>501</v>
      </c>
      <c r="S5968" s="7">
        <f t="shared" si="516"/>
        <v>0</v>
      </c>
      <c r="T5968" s="15" t="str">
        <f>VLOOKUP(R5968,产品分类!$C$2:$D$1278,2,0)</f>
        <v>家具产品</v>
      </c>
    </row>
    <row r="5969" spans="1:20">
      <c r="A5969" s="8">
        <f>DATE(2012,12,31)-1214</f>
        <v>40060</v>
      </c>
      <c r="B5969" s="8">
        <f>DATE(2012,12,31)-1214</f>
        <v>40060</v>
      </c>
      <c r="C5969" s="9" t="s">
        <v>840</v>
      </c>
      <c r="D5969">
        <v>10021310477</v>
      </c>
      <c r="E5969" t="s">
        <v>47</v>
      </c>
      <c r="F5969" t="s">
        <v>61</v>
      </c>
      <c r="G5969" t="s">
        <v>62</v>
      </c>
      <c r="H5969" t="s">
        <v>2431</v>
      </c>
      <c r="I5969" t="s">
        <v>2432</v>
      </c>
      <c r="J5969" t="s">
        <v>52</v>
      </c>
      <c r="K5969" s="3">
        <v>10041801884</v>
      </c>
      <c r="L5969" s="10">
        <v>40062</v>
      </c>
      <c r="M5969">
        <v>9501.624</v>
      </c>
      <c r="N5969" s="11">
        <v>43</v>
      </c>
      <c r="O5969" s="12">
        <v>286.85</v>
      </c>
      <c r="P5969" s="12">
        <v>61.76</v>
      </c>
      <c r="Q5969" s="13">
        <v>-686.45</v>
      </c>
      <c r="R5969" s="36" t="s">
        <v>1905</v>
      </c>
      <c r="S5969" s="7">
        <f t="shared" si="516"/>
        <v>2</v>
      </c>
      <c r="T5969" s="15" t="str">
        <f>VLOOKUP(R5969,产品分类!$C$2:$D$1278,2,0)</f>
        <v>数码电子</v>
      </c>
    </row>
    <row r="5970" spans="1:20">
      <c r="A5970" s="8">
        <f>DATE(2012,12,31)-1214</f>
        <v>40060</v>
      </c>
      <c r="B5970" s="8">
        <f>DATE(2012,12,31)-1214</f>
        <v>40060</v>
      </c>
      <c r="C5970" s="9" t="s">
        <v>309</v>
      </c>
      <c r="D5970">
        <v>10021313966</v>
      </c>
      <c r="E5970" t="s">
        <v>47</v>
      </c>
      <c r="F5970" t="s">
        <v>253</v>
      </c>
      <c r="G5970" t="s">
        <v>254</v>
      </c>
      <c r="H5970" t="s">
        <v>2438</v>
      </c>
      <c r="I5970" t="s">
        <v>2439</v>
      </c>
      <c r="J5970" t="s">
        <v>52</v>
      </c>
      <c r="K5970" s="3">
        <v>100732306475</v>
      </c>
      <c r="L5970" s="10">
        <v>40061</v>
      </c>
      <c r="M5970">
        <v>318.14</v>
      </c>
      <c r="N5970" s="11">
        <v>25</v>
      </c>
      <c r="O5970" s="12">
        <v>12.28</v>
      </c>
      <c r="P5970" s="12">
        <v>5.09</v>
      </c>
      <c r="Q5970" s="13">
        <v>49.67</v>
      </c>
      <c r="R5970" s="36" t="s">
        <v>1252</v>
      </c>
      <c r="S5970" s="7">
        <f t="shared" si="516"/>
        <v>1</v>
      </c>
      <c r="T5970" s="15" t="str">
        <f>VLOOKUP(R5970,产品分类!$C$2:$D$1278,2,0)</f>
        <v>办公用品</v>
      </c>
    </row>
    <row r="5971" spans="1:20">
      <c r="A5971" s="8">
        <f>DATE(2012,12,31)-1235</f>
        <v>40039</v>
      </c>
      <c r="B5971" s="8">
        <f>DATE(2012,12,31)-1235</f>
        <v>40039</v>
      </c>
      <c r="C5971" s="9" t="s">
        <v>309</v>
      </c>
      <c r="D5971">
        <v>10021559960</v>
      </c>
      <c r="E5971" t="s">
        <v>47</v>
      </c>
      <c r="F5971" t="s">
        <v>61</v>
      </c>
      <c r="G5971" t="s">
        <v>62</v>
      </c>
      <c r="H5971" t="s">
        <v>2431</v>
      </c>
      <c r="I5971" t="s">
        <v>2432</v>
      </c>
      <c r="J5971" t="s">
        <v>52</v>
      </c>
      <c r="K5971" s="3">
        <v>100131639026</v>
      </c>
      <c r="L5971" s="10">
        <v>40041</v>
      </c>
      <c r="M5971">
        <v>3412.08</v>
      </c>
      <c r="N5971" s="11">
        <v>46</v>
      </c>
      <c r="O5971" s="12">
        <v>70.98</v>
      </c>
      <c r="P5971" s="12">
        <v>26.85</v>
      </c>
      <c r="Q5971" s="13">
        <v>239.23</v>
      </c>
      <c r="R5971" s="36" t="s">
        <v>2081</v>
      </c>
      <c r="S5971" s="7">
        <f t="shared" si="516"/>
        <v>2</v>
      </c>
      <c r="T5971" s="15" t="str">
        <f>VLOOKUP(R5971,产品分类!$C$2:$D$1278,2,0)</f>
        <v>办公用品</v>
      </c>
    </row>
    <row r="5972" spans="1:20">
      <c r="A5972" s="8">
        <f>DATE(2012,12,31)-1235</f>
        <v>40039</v>
      </c>
      <c r="B5972" s="8">
        <f>DATE(2012,12,31)-1235</f>
        <v>40039</v>
      </c>
      <c r="C5972" s="9" t="s">
        <v>1661</v>
      </c>
      <c r="D5972">
        <v>10021684931</v>
      </c>
      <c r="E5972" t="s">
        <v>47</v>
      </c>
      <c r="F5972" t="s">
        <v>78</v>
      </c>
      <c r="G5972" t="s">
        <v>79</v>
      </c>
      <c r="H5972" t="s">
        <v>2420</v>
      </c>
      <c r="I5972" t="s">
        <v>2421</v>
      </c>
      <c r="J5972" t="s">
        <v>52</v>
      </c>
      <c r="K5972" s="3">
        <v>100818076602</v>
      </c>
      <c r="L5972" s="10">
        <v>40040</v>
      </c>
      <c r="M5972">
        <v>1311.68</v>
      </c>
      <c r="N5972" s="11">
        <v>31</v>
      </c>
      <c r="O5972" s="12">
        <v>40.99</v>
      </c>
      <c r="P5972" s="12">
        <v>17.48</v>
      </c>
      <c r="Q5972" s="13">
        <v>230.37</v>
      </c>
      <c r="R5972" s="36" t="s">
        <v>2315</v>
      </c>
      <c r="S5972" s="7">
        <f t="shared" si="516"/>
        <v>1</v>
      </c>
      <c r="T5972" s="15" t="str">
        <f>VLOOKUP(R5972,产品分类!$C$2:$D$1278,2,0)</f>
        <v>家具产品</v>
      </c>
    </row>
    <row r="5973" spans="1:20">
      <c r="A5973" s="8">
        <f>DATE(2012,12,31)-879</f>
        <v>40395</v>
      </c>
      <c r="B5973" s="8">
        <f>DATE(2012,12,31)-879</f>
        <v>40395</v>
      </c>
      <c r="C5973" s="9" t="s">
        <v>1661</v>
      </c>
      <c r="D5973">
        <v>10021701584</v>
      </c>
      <c r="E5973" t="s">
        <v>47</v>
      </c>
      <c r="F5973" t="s">
        <v>230</v>
      </c>
      <c r="G5973" t="s">
        <v>231</v>
      </c>
      <c r="H5973" t="s">
        <v>2477</v>
      </c>
      <c r="I5973" t="s">
        <v>2478</v>
      </c>
      <c r="J5973" t="s">
        <v>52</v>
      </c>
      <c r="K5973" s="3">
        <v>100414664243</v>
      </c>
      <c r="L5973" s="10">
        <v>40396</v>
      </c>
      <c r="M5973">
        <v>786.26</v>
      </c>
      <c r="N5973" s="11">
        <v>44</v>
      </c>
      <c r="O5973" s="12">
        <v>17.48</v>
      </c>
      <c r="P5973" s="12">
        <v>1.99</v>
      </c>
      <c r="Q5973" s="13">
        <v>274.98</v>
      </c>
      <c r="R5973" s="36" t="s">
        <v>620</v>
      </c>
      <c r="S5973" s="7">
        <f t="shared" si="516"/>
        <v>1</v>
      </c>
      <c r="T5973" s="15" t="str">
        <f>VLOOKUP(R5973,产品分类!$C$2:$D$1278,2,0)</f>
        <v>数码电子</v>
      </c>
    </row>
    <row r="5974" spans="1:20">
      <c r="A5974" s="8">
        <f>DATE(2012,12,31)-406</f>
        <v>40868</v>
      </c>
      <c r="B5974" s="8">
        <f>DATE(2012,12,31)-406</f>
        <v>40868</v>
      </c>
      <c r="C5974" s="9" t="s">
        <v>1926</v>
      </c>
      <c r="D5974">
        <v>10021716382</v>
      </c>
      <c r="E5974" t="s">
        <v>47</v>
      </c>
      <c r="F5974" t="s">
        <v>122</v>
      </c>
      <c r="G5974" t="s">
        <v>123</v>
      </c>
      <c r="H5974" t="s">
        <v>2458</v>
      </c>
      <c r="I5974" t="s">
        <v>2459</v>
      </c>
      <c r="J5974" t="s">
        <v>52</v>
      </c>
      <c r="K5974" s="3">
        <v>100814005712</v>
      </c>
      <c r="L5974" s="10">
        <v>40870</v>
      </c>
      <c r="M5974">
        <v>125.27</v>
      </c>
      <c r="N5974" s="11">
        <v>33</v>
      </c>
      <c r="O5974" s="12">
        <v>3.81</v>
      </c>
      <c r="P5974" s="12">
        <v>4.83</v>
      </c>
      <c r="Q5974" s="13">
        <v>-105.8345</v>
      </c>
      <c r="R5974" s="36" t="s">
        <v>2117</v>
      </c>
      <c r="S5974" s="7">
        <f t="shared" si="516"/>
        <v>2</v>
      </c>
      <c r="T5974" s="15" t="str">
        <f>VLOOKUP(R5974,产品分类!$C$2:$D$1278,2,0)</f>
        <v>数码电子</v>
      </c>
    </row>
    <row r="5975" spans="1:20">
      <c r="A5975" s="8">
        <f>DATE(2012,12,31)-502</f>
        <v>40772</v>
      </c>
      <c r="B5975" s="8">
        <f>DATE(2012,12,31)-502</f>
        <v>40772</v>
      </c>
      <c r="C5975" s="9" t="s">
        <v>2149</v>
      </c>
      <c r="D5975">
        <v>10021316371</v>
      </c>
      <c r="E5975" t="s">
        <v>47</v>
      </c>
      <c r="F5975" t="s">
        <v>132</v>
      </c>
      <c r="G5975" t="s">
        <v>133</v>
      </c>
      <c r="H5975" t="s">
        <v>134</v>
      </c>
      <c r="I5975" t="s">
        <v>133</v>
      </c>
      <c r="J5975" t="s">
        <v>52</v>
      </c>
      <c r="K5975" s="3">
        <v>10089706062</v>
      </c>
      <c r="L5975" s="10">
        <v>40773</v>
      </c>
      <c r="M5975">
        <v>127.32</v>
      </c>
      <c r="N5975" s="11">
        <v>11</v>
      </c>
      <c r="O5975" s="12">
        <v>10.91</v>
      </c>
      <c r="P5975" s="12">
        <v>2.99</v>
      </c>
      <c r="Q5975" s="13">
        <v>22.9585</v>
      </c>
      <c r="R5975" s="36" t="s">
        <v>2488</v>
      </c>
      <c r="S5975" s="7">
        <f t="shared" si="516"/>
        <v>1</v>
      </c>
      <c r="T5975" s="15" t="str">
        <f>VLOOKUP(R5975,产品分类!$C$2:$D$1278,2,0)</f>
        <v>办公用品</v>
      </c>
    </row>
    <row r="5976" spans="1:20">
      <c r="A5976" s="8">
        <f t="shared" ref="A5976:B5978" si="519">DATE(2012,12,31)-167</f>
        <v>41107</v>
      </c>
      <c r="B5976" s="8">
        <f t="shared" si="519"/>
        <v>41107</v>
      </c>
      <c r="C5976" s="9" t="s">
        <v>136</v>
      </c>
      <c r="D5976">
        <v>10021249010</v>
      </c>
      <c r="E5976" t="s">
        <v>47</v>
      </c>
      <c r="F5976" t="s">
        <v>97</v>
      </c>
      <c r="G5976" t="s">
        <v>98</v>
      </c>
      <c r="H5976" t="s">
        <v>99</v>
      </c>
      <c r="I5976" t="s">
        <v>98</v>
      </c>
      <c r="J5976" t="s">
        <v>52</v>
      </c>
      <c r="K5976" s="3">
        <v>10098883121</v>
      </c>
      <c r="L5976" s="10">
        <v>41107</v>
      </c>
      <c r="M5976">
        <v>205.32</v>
      </c>
      <c r="N5976" s="11">
        <v>21</v>
      </c>
      <c r="O5976" s="12">
        <v>10.01</v>
      </c>
      <c r="P5976" s="12">
        <v>1.99</v>
      </c>
      <c r="Q5976" s="13">
        <v>37.3</v>
      </c>
      <c r="R5976" s="36" t="s">
        <v>588</v>
      </c>
      <c r="S5976" s="7">
        <f t="shared" si="516"/>
        <v>0</v>
      </c>
      <c r="T5976" s="15" t="str">
        <f>VLOOKUP(R5976,产品分类!$C$2:$D$1278,2,0)</f>
        <v>家具产品</v>
      </c>
    </row>
    <row r="5977" spans="1:20">
      <c r="A5977" s="8">
        <f t="shared" si="519"/>
        <v>41107</v>
      </c>
      <c r="B5977" s="8">
        <f t="shared" si="519"/>
        <v>41107</v>
      </c>
      <c r="C5977" s="9" t="s">
        <v>1381</v>
      </c>
      <c r="D5977">
        <v>10021299633</v>
      </c>
      <c r="E5977" t="s">
        <v>47</v>
      </c>
      <c r="F5977" t="s">
        <v>152</v>
      </c>
      <c r="G5977" t="s">
        <v>153</v>
      </c>
      <c r="H5977" t="s">
        <v>2441</v>
      </c>
      <c r="I5977" t="s">
        <v>2442</v>
      </c>
      <c r="J5977" t="s">
        <v>52</v>
      </c>
      <c r="K5977" s="3">
        <v>10033117099</v>
      </c>
      <c r="L5977" s="10">
        <v>41108</v>
      </c>
      <c r="M5977">
        <v>807.6</v>
      </c>
      <c r="N5977" s="11">
        <v>47</v>
      </c>
      <c r="O5977" s="12">
        <v>16.74</v>
      </c>
      <c r="P5977" s="12">
        <v>5.08</v>
      </c>
      <c r="Q5977" s="13">
        <v>214.302</v>
      </c>
      <c r="R5977" s="36" t="s">
        <v>503</v>
      </c>
      <c r="S5977" s="7">
        <f t="shared" si="516"/>
        <v>1</v>
      </c>
      <c r="T5977" s="15" t="str">
        <f>VLOOKUP(R5977,产品分类!$C$2:$D$1278,2,0)</f>
        <v>数码电子</v>
      </c>
    </row>
    <row r="5978" spans="1:20">
      <c r="A5978" s="8">
        <f t="shared" si="519"/>
        <v>41107</v>
      </c>
      <c r="B5978" s="8">
        <f t="shared" si="519"/>
        <v>41107</v>
      </c>
      <c r="C5978" s="9" t="s">
        <v>1381</v>
      </c>
      <c r="D5978">
        <v>10021434225</v>
      </c>
      <c r="E5978" t="s">
        <v>47</v>
      </c>
      <c r="F5978" t="s">
        <v>152</v>
      </c>
      <c r="G5978" t="s">
        <v>153</v>
      </c>
      <c r="H5978" t="s">
        <v>2441</v>
      </c>
      <c r="I5978" t="s">
        <v>2442</v>
      </c>
      <c r="J5978" t="s">
        <v>52</v>
      </c>
      <c r="K5978" s="3">
        <v>100432654703</v>
      </c>
      <c r="L5978" s="10">
        <v>41109</v>
      </c>
      <c r="M5978">
        <v>694.17</v>
      </c>
      <c r="N5978" s="11">
        <v>11</v>
      </c>
      <c r="O5978" s="12">
        <v>59.78</v>
      </c>
      <c r="P5978" s="12">
        <v>10.29</v>
      </c>
      <c r="Q5978" s="13">
        <v>174.216</v>
      </c>
      <c r="R5978" s="36" t="s">
        <v>2206</v>
      </c>
      <c r="S5978" s="7">
        <f t="shared" si="516"/>
        <v>2</v>
      </c>
      <c r="T5978" s="15" t="str">
        <f>VLOOKUP(R5978,产品分类!$C$2:$D$1278,2,0)</f>
        <v>办公用品</v>
      </c>
    </row>
    <row r="5979" spans="1:20">
      <c r="A5979" s="8">
        <f>DATE(2012,12,31)-822</f>
        <v>40452</v>
      </c>
      <c r="B5979" s="8">
        <f>DATE(2012,12,31)-822</f>
        <v>40452</v>
      </c>
      <c r="C5979" s="9" t="s">
        <v>1381</v>
      </c>
      <c r="D5979">
        <v>10021248158</v>
      </c>
      <c r="E5979" t="s">
        <v>47</v>
      </c>
      <c r="F5979" t="s">
        <v>48</v>
      </c>
      <c r="G5979" t="s">
        <v>49</v>
      </c>
      <c r="H5979" t="s">
        <v>2474</v>
      </c>
      <c r="I5979" t="s">
        <v>2475</v>
      </c>
      <c r="J5979" t="s">
        <v>52</v>
      </c>
      <c r="K5979" s="3">
        <v>1001471107</v>
      </c>
      <c r="L5979" s="10">
        <v>40453</v>
      </c>
      <c r="M5979">
        <v>138.45</v>
      </c>
      <c r="N5979" s="11">
        <v>45</v>
      </c>
      <c r="O5979" s="12">
        <v>2.94</v>
      </c>
      <c r="P5979" s="12">
        <v>0.7</v>
      </c>
      <c r="Q5979" s="13">
        <v>24.34</v>
      </c>
      <c r="R5979" s="36" t="s">
        <v>1405</v>
      </c>
      <c r="S5979" s="7">
        <f t="shared" si="516"/>
        <v>1</v>
      </c>
      <c r="T5979" s="15" t="str">
        <f>VLOOKUP(R5979,产品分类!$C$2:$D$1278,2,0)</f>
        <v>办公用品</v>
      </c>
    </row>
    <row r="5980" spans="1:20">
      <c r="A5980" s="8">
        <f>DATE(2012,12,31)-144</f>
        <v>41130</v>
      </c>
      <c r="B5980" s="8">
        <f>DATE(2012,12,31)-144</f>
        <v>41130</v>
      </c>
      <c r="C5980" s="9" t="s">
        <v>394</v>
      </c>
      <c r="D5980">
        <v>10021294918</v>
      </c>
      <c r="E5980" t="s">
        <v>47</v>
      </c>
      <c r="F5980" t="s">
        <v>66</v>
      </c>
      <c r="G5980" t="s">
        <v>67</v>
      </c>
      <c r="H5980" t="s">
        <v>2467</v>
      </c>
      <c r="I5980" t="s">
        <v>2468</v>
      </c>
      <c r="J5980" t="s">
        <v>52</v>
      </c>
      <c r="K5980" s="3">
        <v>100911905131</v>
      </c>
      <c r="L5980" s="10">
        <v>41132</v>
      </c>
      <c r="M5980">
        <v>865.27</v>
      </c>
      <c r="N5980" s="11">
        <v>44</v>
      </c>
      <c r="O5980" s="12">
        <v>19.98</v>
      </c>
      <c r="P5980" s="12">
        <v>4</v>
      </c>
      <c r="Q5980" s="13">
        <v>11.55</v>
      </c>
      <c r="R5980" s="36" t="s">
        <v>1032</v>
      </c>
      <c r="S5980" s="7">
        <f t="shared" si="516"/>
        <v>2</v>
      </c>
      <c r="T5980" s="15" t="str">
        <f>VLOOKUP(R5980,产品分类!$C$2:$D$1278,2,0)</f>
        <v>办公用品</v>
      </c>
    </row>
    <row r="5981" spans="1:20">
      <c r="A5981" s="8">
        <f>DATE(2012,12,31)-144</f>
        <v>41130</v>
      </c>
      <c r="B5981" s="8">
        <f>DATE(2012,12,31)-144</f>
        <v>41130</v>
      </c>
      <c r="C5981" s="9" t="s">
        <v>865</v>
      </c>
      <c r="D5981">
        <v>10021583254</v>
      </c>
      <c r="E5981" t="s">
        <v>47</v>
      </c>
      <c r="F5981" t="s">
        <v>152</v>
      </c>
      <c r="G5981" t="s">
        <v>153</v>
      </c>
      <c r="H5981" t="s">
        <v>2441</v>
      </c>
      <c r="I5981" t="s">
        <v>2442</v>
      </c>
      <c r="J5981" t="s">
        <v>52</v>
      </c>
      <c r="K5981" s="3">
        <v>100126479697</v>
      </c>
      <c r="L5981" s="10">
        <v>41135</v>
      </c>
      <c r="M5981">
        <v>429.28</v>
      </c>
      <c r="N5981" s="11">
        <v>41</v>
      </c>
      <c r="O5981" s="12">
        <v>10.97</v>
      </c>
      <c r="P5981" s="12">
        <v>6.5</v>
      </c>
      <c r="Q5981" s="13">
        <v>-168.95</v>
      </c>
      <c r="R5981" s="36" t="s">
        <v>846</v>
      </c>
      <c r="S5981" s="7">
        <f t="shared" si="516"/>
        <v>5</v>
      </c>
      <c r="T5981" s="15" t="str">
        <f>VLOOKUP(R5981,产品分类!$C$2:$D$1278,2,0)</f>
        <v>数码电子</v>
      </c>
    </row>
    <row r="5982" spans="1:20">
      <c r="A5982" s="16">
        <f>DATE(2012,12,31)-1290</f>
        <v>39984</v>
      </c>
      <c r="B5982" s="16">
        <f>DATE(2012,12,31)-1290</f>
        <v>39984</v>
      </c>
      <c r="C5982" s="9" t="s">
        <v>865</v>
      </c>
      <c r="D5982">
        <v>10021674515</v>
      </c>
      <c r="E5982" t="s">
        <v>47</v>
      </c>
      <c r="F5982" t="s">
        <v>66</v>
      </c>
      <c r="G5982" t="s">
        <v>67</v>
      </c>
      <c r="H5982" t="s">
        <v>2467</v>
      </c>
      <c r="I5982" t="s">
        <v>2468</v>
      </c>
      <c r="J5982" t="s">
        <v>52</v>
      </c>
      <c r="K5982" s="3">
        <v>100332154249</v>
      </c>
      <c r="L5982" s="10">
        <v>39985</v>
      </c>
      <c r="M5982">
        <v>117.84</v>
      </c>
      <c r="N5982" s="17">
        <v>38</v>
      </c>
      <c r="O5982" s="5">
        <v>3.08</v>
      </c>
      <c r="P5982" s="5">
        <v>0.99</v>
      </c>
      <c r="Q5982" s="6">
        <v>30.76</v>
      </c>
      <c r="R5982" s="37" t="s">
        <v>381</v>
      </c>
      <c r="S5982" s="7">
        <f t="shared" si="516"/>
        <v>1</v>
      </c>
      <c r="T5982" s="15" t="str">
        <f>VLOOKUP(R5982,产品分类!$C$2:$D$1278,2,0)</f>
        <v>数码电子</v>
      </c>
    </row>
    <row r="5983" spans="1:20">
      <c r="A5983" s="8">
        <f>DATE(2012,12,31)-1290</f>
        <v>39984</v>
      </c>
      <c r="B5983" s="8">
        <f>DATE(2012,12,31)-1290</f>
        <v>39984</v>
      </c>
      <c r="C5983" s="9" t="s">
        <v>2296</v>
      </c>
      <c r="D5983">
        <v>10021668164</v>
      </c>
      <c r="E5983" t="s">
        <v>47</v>
      </c>
      <c r="F5983" t="s">
        <v>132</v>
      </c>
      <c r="G5983" t="s">
        <v>133</v>
      </c>
      <c r="H5983" t="s">
        <v>134</v>
      </c>
      <c r="I5983" t="s">
        <v>133</v>
      </c>
      <c r="J5983" t="s">
        <v>52</v>
      </c>
      <c r="K5983" s="3">
        <v>100828783192</v>
      </c>
      <c r="L5983" s="10">
        <v>39985</v>
      </c>
      <c r="M5983">
        <v>121.2</v>
      </c>
      <c r="N5983" s="11">
        <v>47</v>
      </c>
      <c r="O5983" s="12">
        <v>2.78</v>
      </c>
      <c r="P5983" s="12">
        <v>1.25</v>
      </c>
      <c r="Q5983" s="13">
        <v>-20.2</v>
      </c>
      <c r="R5983" s="36" t="s">
        <v>283</v>
      </c>
      <c r="S5983" s="7">
        <f t="shared" si="516"/>
        <v>1</v>
      </c>
      <c r="T5983" s="15" t="str">
        <f>VLOOKUP(R5983,产品分类!$C$2:$D$1278,2,0)</f>
        <v>办公用品</v>
      </c>
    </row>
    <row r="5984" spans="1:20">
      <c r="A5984" s="8">
        <f>DATE(2012,12,31)-1075</f>
        <v>40199</v>
      </c>
      <c r="B5984" s="8">
        <f>DATE(2012,12,31)-1075</f>
        <v>40199</v>
      </c>
      <c r="C5984" s="9" t="s">
        <v>2296</v>
      </c>
      <c r="D5984">
        <v>10021250381</v>
      </c>
      <c r="E5984" t="s">
        <v>47</v>
      </c>
      <c r="F5984" t="s">
        <v>66</v>
      </c>
      <c r="G5984" t="s">
        <v>67</v>
      </c>
      <c r="H5984" t="s">
        <v>2467</v>
      </c>
      <c r="I5984" t="s">
        <v>2468</v>
      </c>
      <c r="J5984" t="s">
        <v>52</v>
      </c>
      <c r="K5984" s="3">
        <v>100310192449</v>
      </c>
      <c r="L5984" s="10">
        <v>40201</v>
      </c>
      <c r="M5984">
        <v>81.68</v>
      </c>
      <c r="N5984" s="11">
        <v>13</v>
      </c>
      <c r="O5984" s="12">
        <v>5.98</v>
      </c>
      <c r="P5984" s="12">
        <v>5.15</v>
      </c>
      <c r="Q5984" s="13">
        <v>-25.22</v>
      </c>
      <c r="R5984" s="36" t="s">
        <v>863</v>
      </c>
      <c r="S5984" s="7">
        <f t="shared" si="516"/>
        <v>2</v>
      </c>
      <c r="T5984" s="15" t="str">
        <f>VLOOKUP(R5984,产品分类!$C$2:$D$1278,2,0)</f>
        <v>办公用品</v>
      </c>
    </row>
    <row r="5985" spans="1:20">
      <c r="A5985" s="8">
        <f>DATE(2012,12,31)-144</f>
        <v>41130</v>
      </c>
      <c r="B5985" s="8">
        <f>DATE(2012,12,31)-144</f>
        <v>41130</v>
      </c>
      <c r="C5985" s="9" t="s">
        <v>1176</v>
      </c>
      <c r="D5985">
        <v>10021420494</v>
      </c>
      <c r="E5985" t="s">
        <v>47</v>
      </c>
      <c r="F5985" t="s">
        <v>66</v>
      </c>
      <c r="G5985" t="s">
        <v>67</v>
      </c>
      <c r="H5985" t="s">
        <v>2467</v>
      </c>
      <c r="I5985" t="s">
        <v>2468</v>
      </c>
      <c r="J5985" t="s">
        <v>52</v>
      </c>
      <c r="K5985" s="3">
        <v>10099913521</v>
      </c>
      <c r="L5985" s="10">
        <v>41131</v>
      </c>
      <c r="M5985">
        <v>10994.74</v>
      </c>
      <c r="N5985" s="11">
        <v>30</v>
      </c>
      <c r="O5985" s="12">
        <v>400.97</v>
      </c>
      <c r="P5985" s="12">
        <v>48.26</v>
      </c>
      <c r="Q5985" s="13">
        <v>3612.58</v>
      </c>
      <c r="R5985" s="36" t="s">
        <v>164</v>
      </c>
      <c r="S5985" s="7">
        <f t="shared" si="516"/>
        <v>1</v>
      </c>
      <c r="T5985" s="15" t="str">
        <f>VLOOKUP(R5985,产品分类!$C$2:$D$1278,2,0)</f>
        <v>办公用品</v>
      </c>
    </row>
    <row r="5986" spans="1:20">
      <c r="A5986" s="8">
        <f>DATE(2012,12,31)-301</f>
        <v>40973</v>
      </c>
      <c r="B5986" s="8">
        <f>DATE(2012,12,31)-301</f>
        <v>40973</v>
      </c>
      <c r="C5986" s="9" t="s">
        <v>558</v>
      </c>
      <c r="D5986">
        <v>10021677534</v>
      </c>
      <c r="E5986" t="s">
        <v>47</v>
      </c>
      <c r="F5986" t="s">
        <v>97</v>
      </c>
      <c r="G5986" t="s">
        <v>98</v>
      </c>
      <c r="H5986" t="s">
        <v>99</v>
      </c>
      <c r="I5986" t="s">
        <v>98</v>
      </c>
      <c r="J5986" t="s">
        <v>52</v>
      </c>
      <c r="K5986" s="3">
        <v>100432901023</v>
      </c>
      <c r="L5986" s="10">
        <v>40975</v>
      </c>
      <c r="M5986">
        <v>19461.8</v>
      </c>
      <c r="N5986" s="11">
        <v>43</v>
      </c>
      <c r="O5986" s="12">
        <v>449.99</v>
      </c>
      <c r="P5986" s="12">
        <v>49</v>
      </c>
      <c r="Q5986" s="13">
        <v>7752.01</v>
      </c>
      <c r="R5986" s="36" t="s">
        <v>2058</v>
      </c>
      <c r="S5986" s="7">
        <f t="shared" si="516"/>
        <v>2</v>
      </c>
      <c r="T5986" s="15" t="str">
        <f>VLOOKUP(R5986,产品分类!$C$2:$D$1278,2,0)</f>
        <v>数码电子</v>
      </c>
    </row>
    <row r="5987" spans="1:20">
      <c r="A5987" s="8">
        <f>DATE(2012,12,31)-301</f>
        <v>40973</v>
      </c>
      <c r="B5987" s="8">
        <f>DATE(2012,12,31)-301</f>
        <v>40973</v>
      </c>
      <c r="C5987" s="9" t="s">
        <v>1811</v>
      </c>
      <c r="D5987">
        <v>10021285763</v>
      </c>
      <c r="E5987" t="s">
        <v>47</v>
      </c>
      <c r="F5987" t="s">
        <v>66</v>
      </c>
      <c r="G5987" t="s">
        <v>67</v>
      </c>
      <c r="H5987" t="s">
        <v>2467</v>
      </c>
      <c r="I5987" t="s">
        <v>2468</v>
      </c>
      <c r="J5987" t="s">
        <v>52</v>
      </c>
      <c r="K5987" s="3">
        <v>100130077896</v>
      </c>
      <c r="L5987" s="10">
        <v>40974</v>
      </c>
      <c r="M5987">
        <v>313.85</v>
      </c>
      <c r="N5987" s="11">
        <v>14</v>
      </c>
      <c r="O5987" s="12">
        <v>21.38</v>
      </c>
      <c r="P5987" s="12">
        <v>8.99</v>
      </c>
      <c r="Q5987" s="13">
        <v>-31.37</v>
      </c>
      <c r="R5987" s="36" t="s">
        <v>545</v>
      </c>
      <c r="S5987" s="7">
        <f t="shared" si="516"/>
        <v>1</v>
      </c>
      <c r="T5987" s="15" t="str">
        <f>VLOOKUP(R5987,产品分类!$C$2:$D$1278,2,0)</f>
        <v>办公用品</v>
      </c>
    </row>
    <row r="5988" spans="1:20">
      <c r="A5988" s="8">
        <f>DATE(2012,12,31)-926</f>
        <v>40348</v>
      </c>
      <c r="B5988" s="8">
        <f>DATE(2012,12,31)-926</f>
        <v>40348</v>
      </c>
      <c r="C5988" s="9" t="s">
        <v>1811</v>
      </c>
      <c r="D5988">
        <v>10021587469</v>
      </c>
      <c r="E5988" t="s">
        <v>47</v>
      </c>
      <c r="F5988" t="s">
        <v>152</v>
      </c>
      <c r="G5988" t="s">
        <v>153</v>
      </c>
      <c r="H5988" t="s">
        <v>2441</v>
      </c>
      <c r="I5988" t="s">
        <v>2442</v>
      </c>
      <c r="J5988" t="s">
        <v>52</v>
      </c>
      <c r="K5988" s="3">
        <v>100129778548</v>
      </c>
      <c r="L5988" s="10">
        <v>40349</v>
      </c>
      <c r="M5988">
        <v>164.5</v>
      </c>
      <c r="N5988" s="11">
        <v>28</v>
      </c>
      <c r="O5988" s="12">
        <v>5.84</v>
      </c>
      <c r="P5988" s="12">
        <v>1</v>
      </c>
      <c r="Q5988" s="13">
        <v>62.68</v>
      </c>
      <c r="R5988" s="36" t="s">
        <v>993</v>
      </c>
      <c r="S5988" s="7">
        <f t="shared" si="516"/>
        <v>1</v>
      </c>
      <c r="T5988" s="15" t="str">
        <f>VLOOKUP(R5988,产品分类!$C$2:$D$1278,2,0)</f>
        <v>数码电子</v>
      </c>
    </row>
    <row r="5989" spans="1:20">
      <c r="A5989" s="8">
        <f>DATE(2012,12,31)-741</f>
        <v>40533</v>
      </c>
      <c r="B5989" s="8">
        <f>DATE(2012,12,31)-741</f>
        <v>40533</v>
      </c>
      <c r="C5989" s="9" t="s">
        <v>332</v>
      </c>
      <c r="D5989">
        <v>10021688778</v>
      </c>
      <c r="E5989" t="s">
        <v>47</v>
      </c>
      <c r="F5989" t="s">
        <v>97</v>
      </c>
      <c r="G5989" t="s">
        <v>98</v>
      </c>
      <c r="H5989" t="s">
        <v>99</v>
      </c>
      <c r="I5989" t="s">
        <v>98</v>
      </c>
      <c r="J5989" t="s">
        <v>52</v>
      </c>
      <c r="K5989" s="3">
        <v>100916096071</v>
      </c>
      <c r="L5989" s="10">
        <v>40534</v>
      </c>
      <c r="M5989">
        <v>102.32</v>
      </c>
      <c r="N5989" s="11">
        <v>15</v>
      </c>
      <c r="O5989" s="12">
        <v>6.48</v>
      </c>
      <c r="P5989" s="12">
        <v>5.74</v>
      </c>
      <c r="Q5989" s="13">
        <v>-32.7</v>
      </c>
      <c r="R5989" s="36" t="s">
        <v>1202</v>
      </c>
      <c r="S5989" s="7">
        <f t="shared" si="516"/>
        <v>1</v>
      </c>
      <c r="T5989" s="15" t="str">
        <f>VLOOKUP(R5989,产品分类!$C$2:$D$1278,2,0)</f>
        <v>办公用品</v>
      </c>
    </row>
    <row r="5990" spans="1:20">
      <c r="A5990" s="8">
        <f t="shared" ref="A5990:B5992" si="520">DATE(2012,12,31)-809</f>
        <v>40465</v>
      </c>
      <c r="B5990" s="8">
        <f t="shared" si="520"/>
        <v>40465</v>
      </c>
      <c r="C5990" s="9" t="s">
        <v>90</v>
      </c>
      <c r="D5990">
        <v>10021429985</v>
      </c>
      <c r="E5990" t="s">
        <v>47</v>
      </c>
      <c r="F5990" t="s">
        <v>66</v>
      </c>
      <c r="G5990" t="s">
        <v>67</v>
      </c>
      <c r="H5990" t="s">
        <v>2467</v>
      </c>
      <c r="I5990" t="s">
        <v>2468</v>
      </c>
      <c r="J5990" t="s">
        <v>52</v>
      </c>
      <c r="K5990" s="3">
        <v>100431838403</v>
      </c>
      <c r="L5990" s="10">
        <v>40465</v>
      </c>
      <c r="M5990">
        <v>238.88</v>
      </c>
      <c r="N5990" s="11">
        <v>10</v>
      </c>
      <c r="O5990" s="12">
        <v>22.38</v>
      </c>
      <c r="P5990" s="12">
        <v>15.1</v>
      </c>
      <c r="Q5990" s="13">
        <v>-48.208</v>
      </c>
      <c r="R5990" s="36" t="s">
        <v>1644</v>
      </c>
      <c r="S5990" s="7">
        <f t="shared" si="516"/>
        <v>0</v>
      </c>
      <c r="T5990" s="15" t="str">
        <f>VLOOKUP(R5990,产品分类!$C$2:$D$1278,2,0)</f>
        <v>数码电子</v>
      </c>
    </row>
    <row r="5991" spans="1:20">
      <c r="A5991" s="8">
        <f t="shared" si="520"/>
        <v>40465</v>
      </c>
      <c r="B5991" s="8">
        <f t="shared" si="520"/>
        <v>40465</v>
      </c>
      <c r="C5991" s="9" t="s">
        <v>1480</v>
      </c>
      <c r="D5991">
        <v>10021664637</v>
      </c>
      <c r="E5991" t="s">
        <v>47</v>
      </c>
      <c r="F5991" t="s">
        <v>152</v>
      </c>
      <c r="G5991" t="s">
        <v>153</v>
      </c>
      <c r="H5991" t="s">
        <v>2441</v>
      </c>
      <c r="I5991" t="s">
        <v>2442</v>
      </c>
      <c r="J5991" t="s">
        <v>52</v>
      </c>
      <c r="K5991" s="3">
        <v>100925455711</v>
      </c>
      <c r="L5991" s="10">
        <v>40467</v>
      </c>
      <c r="M5991">
        <v>1235.29</v>
      </c>
      <c r="N5991" s="11">
        <v>39</v>
      </c>
      <c r="O5991" s="12">
        <v>30.98</v>
      </c>
      <c r="P5991" s="12">
        <v>6.5</v>
      </c>
      <c r="Q5991" s="13">
        <v>53.63</v>
      </c>
      <c r="R5991" s="36" t="s">
        <v>938</v>
      </c>
      <c r="S5991" s="7">
        <f t="shared" si="516"/>
        <v>2</v>
      </c>
      <c r="T5991" s="15" t="str">
        <f>VLOOKUP(R5991,产品分类!$C$2:$D$1278,2,0)</f>
        <v>办公用品</v>
      </c>
    </row>
    <row r="5992" spans="1:20">
      <c r="A5992" s="8">
        <f t="shared" si="520"/>
        <v>40465</v>
      </c>
      <c r="B5992" s="8">
        <f t="shared" si="520"/>
        <v>40465</v>
      </c>
      <c r="C5992" s="9" t="s">
        <v>1480</v>
      </c>
      <c r="D5992">
        <v>10021496563</v>
      </c>
      <c r="E5992" t="s">
        <v>47</v>
      </c>
      <c r="F5992" t="s">
        <v>152</v>
      </c>
      <c r="G5992" t="s">
        <v>153</v>
      </c>
      <c r="H5992" t="s">
        <v>2441</v>
      </c>
      <c r="I5992" t="s">
        <v>2442</v>
      </c>
      <c r="J5992" t="s">
        <v>52</v>
      </c>
      <c r="K5992" s="3">
        <v>100811855532</v>
      </c>
      <c r="L5992" s="10">
        <v>40467</v>
      </c>
      <c r="M5992">
        <v>1928.327</v>
      </c>
      <c r="N5992" s="11">
        <v>12</v>
      </c>
      <c r="O5992" s="12">
        <v>195.99</v>
      </c>
      <c r="P5992" s="12">
        <v>8.99</v>
      </c>
      <c r="Q5992" s="13">
        <v>-253.374</v>
      </c>
      <c r="R5992" s="36" t="s">
        <v>744</v>
      </c>
      <c r="S5992" s="7">
        <f t="shared" si="516"/>
        <v>2</v>
      </c>
      <c r="T5992" s="15" t="str">
        <f>VLOOKUP(R5992,产品分类!$C$2:$D$1278,2,0)</f>
        <v>家具产品</v>
      </c>
    </row>
    <row r="5993" spans="1:20">
      <c r="A5993" s="8">
        <f>DATE(2012,12,31)-53</f>
        <v>41221</v>
      </c>
      <c r="B5993" s="8">
        <f>DATE(2012,12,31)-53</f>
        <v>41221</v>
      </c>
      <c r="C5993" s="9" t="s">
        <v>1480</v>
      </c>
      <c r="D5993">
        <v>10021364607</v>
      </c>
      <c r="E5993" t="s">
        <v>47</v>
      </c>
      <c r="F5993" t="s">
        <v>152</v>
      </c>
      <c r="G5993" t="s">
        <v>153</v>
      </c>
      <c r="H5993" t="s">
        <v>2441</v>
      </c>
      <c r="I5993" t="s">
        <v>2442</v>
      </c>
      <c r="J5993" t="s">
        <v>52</v>
      </c>
      <c r="K5993" s="3">
        <v>100715432465</v>
      </c>
      <c r="L5993" s="10">
        <v>41222</v>
      </c>
      <c r="M5993">
        <v>934.87</v>
      </c>
      <c r="N5993" s="11">
        <v>31</v>
      </c>
      <c r="O5993" s="12">
        <v>31.74</v>
      </c>
      <c r="P5993" s="12">
        <v>12.62</v>
      </c>
      <c r="Q5993" s="13">
        <v>98.6935</v>
      </c>
      <c r="R5993" s="36" t="s">
        <v>414</v>
      </c>
      <c r="S5993" s="7">
        <f t="shared" si="516"/>
        <v>1</v>
      </c>
      <c r="T5993" s="15" t="str">
        <f>VLOOKUP(R5993,产品分类!$C$2:$D$1278,2,0)</f>
        <v>数码电子</v>
      </c>
    </row>
    <row r="5994" spans="1:20">
      <c r="A5994" s="16">
        <f>DATE(2012,12,31)-53</f>
        <v>41221</v>
      </c>
      <c r="B5994" s="16">
        <f>DATE(2012,12,31)-53</f>
        <v>41221</v>
      </c>
      <c r="C5994" s="9" t="s">
        <v>419</v>
      </c>
      <c r="D5994">
        <v>10021502408</v>
      </c>
      <c r="E5994" t="s">
        <v>47</v>
      </c>
      <c r="F5994" t="s">
        <v>78</v>
      </c>
      <c r="G5994" t="s">
        <v>79</v>
      </c>
      <c r="H5994" t="s">
        <v>2420</v>
      </c>
      <c r="I5994" t="s">
        <v>2421</v>
      </c>
      <c r="J5994" t="s">
        <v>52</v>
      </c>
      <c r="K5994" s="3">
        <v>100928490891</v>
      </c>
      <c r="L5994" s="10">
        <v>41222</v>
      </c>
      <c r="M5994">
        <v>2130.82</v>
      </c>
      <c r="N5994" s="17">
        <v>18</v>
      </c>
      <c r="O5994" s="5">
        <v>120.98</v>
      </c>
      <c r="P5994" s="5">
        <v>9.07</v>
      </c>
      <c r="Q5994" s="6">
        <v>818.9155</v>
      </c>
      <c r="R5994" s="37" t="s">
        <v>1416</v>
      </c>
      <c r="S5994" s="7">
        <f t="shared" si="516"/>
        <v>1</v>
      </c>
      <c r="T5994" s="15" t="str">
        <f>VLOOKUP(R5994,产品分类!$C$2:$D$1278,2,0)</f>
        <v>数码电子</v>
      </c>
    </row>
    <row r="5995" spans="1:20">
      <c r="A5995" s="8">
        <f>DATE(2012,12,31)-297</f>
        <v>40977</v>
      </c>
      <c r="B5995" s="8">
        <f>DATE(2012,12,31)-297</f>
        <v>40977</v>
      </c>
      <c r="C5995" s="9" t="s">
        <v>419</v>
      </c>
      <c r="D5995">
        <v>10021427625</v>
      </c>
      <c r="E5995" t="s">
        <v>47</v>
      </c>
      <c r="F5995" t="s">
        <v>72</v>
      </c>
      <c r="G5995" t="s">
        <v>73</v>
      </c>
      <c r="H5995" t="s">
        <v>2417</v>
      </c>
      <c r="I5995" t="s">
        <v>2418</v>
      </c>
      <c r="J5995" t="s">
        <v>52</v>
      </c>
      <c r="K5995" s="3">
        <v>100930659611</v>
      </c>
      <c r="L5995" s="10">
        <v>40979</v>
      </c>
      <c r="M5995">
        <v>44.89</v>
      </c>
      <c r="N5995" s="11">
        <v>23</v>
      </c>
      <c r="O5995" s="12">
        <v>1.95</v>
      </c>
      <c r="P5995" s="12">
        <v>1.63</v>
      </c>
      <c r="Q5995" s="13">
        <v>-17.13</v>
      </c>
      <c r="R5995" s="36" t="s">
        <v>1524</v>
      </c>
      <c r="S5995" s="7">
        <f t="shared" si="516"/>
        <v>2</v>
      </c>
      <c r="T5995" s="15" t="str">
        <f>VLOOKUP(R5995,产品分类!$C$2:$D$1278,2,0)</f>
        <v>办公用品</v>
      </c>
    </row>
    <row r="5996" spans="1:20">
      <c r="A5996" s="16">
        <f>DATE(2012,12,31)-1060</f>
        <v>40214</v>
      </c>
      <c r="B5996" s="16">
        <f>DATE(2012,12,31)-1060</f>
        <v>40214</v>
      </c>
      <c r="C5996" s="9" t="s">
        <v>1894</v>
      </c>
      <c r="D5996">
        <v>10021427310</v>
      </c>
      <c r="E5996" t="s">
        <v>47</v>
      </c>
      <c r="F5996" t="s">
        <v>78</v>
      </c>
      <c r="G5996" t="s">
        <v>79</v>
      </c>
      <c r="H5996" t="s">
        <v>2420</v>
      </c>
      <c r="I5996" t="s">
        <v>2421</v>
      </c>
      <c r="J5996" t="s">
        <v>52</v>
      </c>
      <c r="K5996" s="3">
        <v>100330627309</v>
      </c>
      <c r="L5996" s="10">
        <v>40216</v>
      </c>
      <c r="M5996">
        <v>1836.06</v>
      </c>
      <c r="N5996" s="17">
        <v>39</v>
      </c>
      <c r="O5996" s="5">
        <v>48.92</v>
      </c>
      <c r="P5996" s="5">
        <v>4.5</v>
      </c>
      <c r="Q5996" s="6">
        <v>437.07</v>
      </c>
      <c r="R5996" s="37" t="s">
        <v>1232</v>
      </c>
      <c r="S5996" s="7">
        <f t="shared" si="516"/>
        <v>2</v>
      </c>
      <c r="T5996" s="15" t="str">
        <f>VLOOKUP(R5996,产品分类!$C$2:$D$1278,2,0)</f>
        <v>办公用品</v>
      </c>
    </row>
    <row r="5997" spans="1:20">
      <c r="A5997" s="8">
        <f>DATE(2012,12,31)-1060</f>
        <v>40214</v>
      </c>
      <c r="B5997" s="8">
        <f>DATE(2012,12,31)-1060</f>
        <v>40214</v>
      </c>
      <c r="C5997" s="9" t="s">
        <v>1983</v>
      </c>
      <c r="D5997">
        <v>10021388801</v>
      </c>
      <c r="E5997" t="s">
        <v>47</v>
      </c>
      <c r="F5997" t="s">
        <v>72</v>
      </c>
      <c r="G5997" t="s">
        <v>73</v>
      </c>
      <c r="H5997" t="s">
        <v>2417</v>
      </c>
      <c r="I5997" t="s">
        <v>2418</v>
      </c>
      <c r="J5997" t="s">
        <v>52</v>
      </c>
      <c r="K5997" s="3">
        <v>100130197767</v>
      </c>
      <c r="L5997" s="10">
        <v>40216</v>
      </c>
      <c r="M5997">
        <v>21.03</v>
      </c>
      <c r="N5997" s="11">
        <v>2</v>
      </c>
      <c r="O5997" s="12">
        <v>8.69</v>
      </c>
      <c r="P5997" s="12">
        <v>2.99</v>
      </c>
      <c r="Q5997" s="13">
        <v>-10.4765</v>
      </c>
      <c r="R5997" s="36" t="s">
        <v>1539</v>
      </c>
      <c r="S5997" s="7">
        <f t="shared" si="516"/>
        <v>2</v>
      </c>
      <c r="T5997" s="15" t="str">
        <f>VLOOKUP(R5997,产品分类!$C$2:$D$1278,2,0)</f>
        <v>数码电子</v>
      </c>
    </row>
    <row r="5998" spans="1:20">
      <c r="A5998" s="8">
        <f t="shared" ref="A5998:B6002" si="521">DATE(2012,12,31)-1042</f>
        <v>40232</v>
      </c>
      <c r="B5998" s="8">
        <f t="shared" si="521"/>
        <v>40232</v>
      </c>
      <c r="C5998" s="9" t="s">
        <v>1983</v>
      </c>
      <c r="D5998">
        <v>10021664852</v>
      </c>
      <c r="E5998" t="s">
        <v>47</v>
      </c>
      <c r="F5998" t="s">
        <v>78</v>
      </c>
      <c r="G5998" t="s">
        <v>79</v>
      </c>
      <c r="H5998" t="s">
        <v>2489</v>
      </c>
      <c r="I5998" t="s">
        <v>2490</v>
      </c>
      <c r="J5998" t="s">
        <v>52</v>
      </c>
      <c r="K5998" s="3">
        <v>100425617063</v>
      </c>
      <c r="L5998" s="10">
        <v>40234</v>
      </c>
      <c r="M5998">
        <v>1356.45</v>
      </c>
      <c r="N5998" s="11">
        <v>37</v>
      </c>
      <c r="O5998" s="12">
        <v>35.44</v>
      </c>
      <c r="P5998" s="12">
        <v>19.99</v>
      </c>
      <c r="Q5998" s="13">
        <v>47.65</v>
      </c>
      <c r="R5998" s="36" t="s">
        <v>206</v>
      </c>
      <c r="S5998" s="7">
        <f t="shared" si="516"/>
        <v>2</v>
      </c>
      <c r="T5998" s="15" t="str">
        <f>VLOOKUP(R5998,产品分类!$C$2:$D$1278,2,0)</f>
        <v>数码电子</v>
      </c>
    </row>
    <row r="5999" spans="1:20">
      <c r="A5999" s="8">
        <f t="shared" si="521"/>
        <v>40232</v>
      </c>
      <c r="B5999" s="8">
        <f t="shared" si="521"/>
        <v>40232</v>
      </c>
      <c r="C5999" s="9" t="s">
        <v>845</v>
      </c>
      <c r="D5999">
        <v>10021670359</v>
      </c>
      <c r="E5999" t="s">
        <v>47</v>
      </c>
      <c r="F5999" t="s">
        <v>78</v>
      </c>
      <c r="G5999" t="s">
        <v>79</v>
      </c>
      <c r="H5999" t="s">
        <v>2489</v>
      </c>
      <c r="I5999" t="s">
        <v>2490</v>
      </c>
      <c r="J5999" t="s">
        <v>52</v>
      </c>
      <c r="K5999" s="3">
        <v>100130220427</v>
      </c>
      <c r="L5999" s="10">
        <v>40233</v>
      </c>
      <c r="M5999">
        <v>250.75</v>
      </c>
      <c r="N5999" s="11">
        <v>13</v>
      </c>
      <c r="O5999" s="12">
        <v>17.7</v>
      </c>
      <c r="P5999" s="12">
        <v>9.47</v>
      </c>
      <c r="Q5999" s="13">
        <v>-43.52</v>
      </c>
      <c r="R5999" s="36" t="s">
        <v>1146</v>
      </c>
      <c r="S5999" s="7">
        <f t="shared" si="516"/>
        <v>1</v>
      </c>
      <c r="T5999" s="15" t="str">
        <f>VLOOKUP(R5999,产品分类!$C$2:$D$1278,2,0)</f>
        <v>数码电子</v>
      </c>
    </row>
    <row r="6000" spans="1:20">
      <c r="A6000" s="8">
        <f t="shared" si="521"/>
        <v>40232</v>
      </c>
      <c r="B6000" s="8">
        <f t="shared" si="521"/>
        <v>40232</v>
      </c>
      <c r="C6000" s="9" t="s">
        <v>845</v>
      </c>
      <c r="D6000">
        <v>10021296727</v>
      </c>
      <c r="E6000" t="s">
        <v>47</v>
      </c>
      <c r="F6000" t="s">
        <v>72</v>
      </c>
      <c r="G6000" t="s">
        <v>73</v>
      </c>
      <c r="H6000" t="s">
        <v>2417</v>
      </c>
      <c r="I6000" t="s">
        <v>2418</v>
      </c>
      <c r="J6000" t="s">
        <v>52</v>
      </c>
      <c r="K6000" s="3">
        <v>100822591092</v>
      </c>
      <c r="L6000" s="10">
        <v>40233</v>
      </c>
      <c r="M6000">
        <v>313.05</v>
      </c>
      <c r="N6000" s="11">
        <v>31</v>
      </c>
      <c r="O6000" s="12">
        <v>9.78</v>
      </c>
      <c r="P6000" s="12">
        <v>1.99</v>
      </c>
      <c r="Q6000" s="13">
        <v>81.87</v>
      </c>
      <c r="R6000" s="36" t="s">
        <v>290</v>
      </c>
      <c r="S6000" s="7">
        <f t="shared" si="516"/>
        <v>1</v>
      </c>
      <c r="T6000" s="15" t="str">
        <f>VLOOKUP(R6000,产品分类!$C$2:$D$1278,2,0)</f>
        <v>办公用品</v>
      </c>
    </row>
    <row r="6001" spans="1:20">
      <c r="A6001" s="8">
        <f t="shared" si="521"/>
        <v>40232</v>
      </c>
      <c r="B6001" s="8">
        <f t="shared" si="521"/>
        <v>40232</v>
      </c>
      <c r="C6001" s="9" t="s">
        <v>845</v>
      </c>
      <c r="D6001">
        <v>10021670481</v>
      </c>
      <c r="E6001" t="s">
        <v>47</v>
      </c>
      <c r="F6001" t="s">
        <v>72</v>
      </c>
      <c r="G6001" t="s">
        <v>73</v>
      </c>
      <c r="H6001" t="s">
        <v>2417</v>
      </c>
      <c r="I6001" t="s">
        <v>2418</v>
      </c>
      <c r="J6001" t="s">
        <v>52</v>
      </c>
      <c r="K6001" s="3">
        <v>100730523395</v>
      </c>
      <c r="L6001" s="10">
        <v>40234</v>
      </c>
      <c r="M6001">
        <v>161.28</v>
      </c>
      <c r="N6001" s="11">
        <v>46</v>
      </c>
      <c r="O6001" s="12">
        <v>3.49</v>
      </c>
      <c r="P6001" s="12">
        <v>0.76</v>
      </c>
      <c r="Q6001" s="13">
        <v>56.73</v>
      </c>
      <c r="R6001" s="36" t="s">
        <v>1567</v>
      </c>
      <c r="S6001" s="7">
        <f t="shared" si="516"/>
        <v>2</v>
      </c>
      <c r="T6001" s="15" t="str">
        <f>VLOOKUP(R6001,产品分类!$C$2:$D$1278,2,0)</f>
        <v>办公用品</v>
      </c>
    </row>
    <row r="6002" spans="1:20">
      <c r="A6002" s="16">
        <f t="shared" si="521"/>
        <v>40232</v>
      </c>
      <c r="B6002" s="16">
        <f t="shared" si="521"/>
        <v>40232</v>
      </c>
      <c r="C6002" s="9" t="s">
        <v>845</v>
      </c>
      <c r="D6002">
        <v>10021269018</v>
      </c>
      <c r="E6002" t="s">
        <v>47</v>
      </c>
      <c r="F6002" t="s">
        <v>72</v>
      </c>
      <c r="G6002" t="s">
        <v>73</v>
      </c>
      <c r="H6002" t="s">
        <v>2417</v>
      </c>
      <c r="I6002" t="s">
        <v>2418</v>
      </c>
      <c r="J6002" t="s">
        <v>52</v>
      </c>
      <c r="K6002" s="3">
        <v>100332426409</v>
      </c>
      <c r="L6002" s="10">
        <v>40233</v>
      </c>
      <c r="M6002">
        <v>200.7</v>
      </c>
      <c r="N6002" s="17">
        <v>29</v>
      </c>
      <c r="O6002" s="5">
        <v>6.48</v>
      </c>
      <c r="P6002" s="5">
        <v>9.17</v>
      </c>
      <c r="Q6002" s="6">
        <v>-147.72</v>
      </c>
      <c r="R6002" s="37" t="s">
        <v>631</v>
      </c>
      <c r="S6002" s="7">
        <f t="shared" si="516"/>
        <v>1</v>
      </c>
      <c r="T6002" s="15" t="str">
        <f>VLOOKUP(R6002,产品分类!$C$2:$D$1278,2,0)</f>
        <v>家具产品</v>
      </c>
    </row>
    <row r="6003" spans="1:20">
      <c r="A6003" s="16">
        <f t="shared" ref="A6003:B6005" si="522">DATE(2012,12,31)-813</f>
        <v>40461</v>
      </c>
      <c r="B6003" s="16">
        <f t="shared" si="522"/>
        <v>40461</v>
      </c>
      <c r="C6003" s="9" t="s">
        <v>845</v>
      </c>
      <c r="D6003">
        <v>10021662298</v>
      </c>
      <c r="E6003" t="s">
        <v>47</v>
      </c>
      <c r="F6003" t="s">
        <v>72</v>
      </c>
      <c r="G6003" t="s">
        <v>73</v>
      </c>
      <c r="H6003" t="s">
        <v>2417</v>
      </c>
      <c r="I6003" t="s">
        <v>2418</v>
      </c>
      <c r="J6003" t="s">
        <v>52</v>
      </c>
      <c r="K6003" s="3">
        <v>10019549076</v>
      </c>
      <c r="L6003" s="10">
        <v>40465</v>
      </c>
      <c r="M6003">
        <v>6.34</v>
      </c>
      <c r="N6003" s="17">
        <v>2</v>
      </c>
      <c r="O6003" s="5">
        <v>2.78</v>
      </c>
      <c r="P6003" s="5">
        <v>0.97</v>
      </c>
      <c r="Q6003" s="6">
        <v>-4.44</v>
      </c>
      <c r="R6003" s="37" t="s">
        <v>1600</v>
      </c>
      <c r="S6003" s="7">
        <f t="shared" si="516"/>
        <v>4</v>
      </c>
      <c r="T6003" s="15" t="str">
        <f>VLOOKUP(R6003,产品分类!$C$2:$D$1278,2,0)</f>
        <v>办公用品</v>
      </c>
    </row>
    <row r="6004" spans="1:20">
      <c r="A6004" s="16">
        <f t="shared" si="522"/>
        <v>40461</v>
      </c>
      <c r="B6004" s="16">
        <f t="shared" si="522"/>
        <v>40461</v>
      </c>
      <c r="C6004" s="9" t="s">
        <v>689</v>
      </c>
      <c r="D6004">
        <v>10021585143</v>
      </c>
      <c r="E6004" t="s">
        <v>47</v>
      </c>
      <c r="F6004" t="s">
        <v>230</v>
      </c>
      <c r="G6004" t="s">
        <v>231</v>
      </c>
      <c r="H6004" t="s">
        <v>2477</v>
      </c>
      <c r="I6004" t="s">
        <v>2478</v>
      </c>
      <c r="J6004" t="s">
        <v>52</v>
      </c>
      <c r="K6004" s="3">
        <v>100427301313</v>
      </c>
      <c r="L6004" s="10">
        <v>40466</v>
      </c>
      <c r="M6004">
        <v>57.15</v>
      </c>
      <c r="N6004" s="17">
        <v>8</v>
      </c>
      <c r="O6004" s="5">
        <v>5.98</v>
      </c>
      <c r="P6004" s="5">
        <v>7.5</v>
      </c>
      <c r="Q6004" s="6">
        <v>-33.95</v>
      </c>
      <c r="R6004" s="37" t="s">
        <v>1509</v>
      </c>
      <c r="S6004" s="7">
        <f t="shared" si="516"/>
        <v>5</v>
      </c>
      <c r="T6004" s="15" t="str">
        <f>VLOOKUP(R6004,产品分类!$C$2:$D$1278,2,0)</f>
        <v>家具产品</v>
      </c>
    </row>
    <row r="6005" spans="1:20">
      <c r="A6005" s="8">
        <f t="shared" si="522"/>
        <v>40461</v>
      </c>
      <c r="B6005" s="8">
        <f t="shared" si="522"/>
        <v>40461</v>
      </c>
      <c r="C6005" s="9" t="s">
        <v>689</v>
      </c>
      <c r="D6005">
        <v>10021460547</v>
      </c>
      <c r="E6005" t="s">
        <v>47</v>
      </c>
      <c r="F6005" t="s">
        <v>230</v>
      </c>
      <c r="G6005" t="s">
        <v>231</v>
      </c>
      <c r="H6005" t="s">
        <v>2477</v>
      </c>
      <c r="I6005" t="s">
        <v>2478</v>
      </c>
      <c r="J6005" t="s">
        <v>52</v>
      </c>
      <c r="K6005" s="3">
        <v>10048105484</v>
      </c>
      <c r="L6005" s="10">
        <v>40465</v>
      </c>
      <c r="M6005">
        <v>2996.93</v>
      </c>
      <c r="N6005" s="11">
        <v>48</v>
      </c>
      <c r="O6005" s="12">
        <v>60.22</v>
      </c>
      <c r="P6005" s="12">
        <v>3.5</v>
      </c>
      <c r="Q6005" s="13">
        <v>1060.87</v>
      </c>
      <c r="R6005" s="36" t="s">
        <v>1903</v>
      </c>
      <c r="S6005" s="7">
        <f t="shared" si="516"/>
        <v>4</v>
      </c>
      <c r="T6005" s="15" t="str">
        <f>VLOOKUP(R6005,产品分类!$C$2:$D$1278,2,0)</f>
        <v>家具产品</v>
      </c>
    </row>
    <row r="6006" spans="1:20">
      <c r="A6006" s="8">
        <f>DATE(2012,12,31)-1059</f>
        <v>40215</v>
      </c>
      <c r="B6006" s="8">
        <f>DATE(2012,12,31)-1059</f>
        <v>40215</v>
      </c>
      <c r="C6006" s="9" t="s">
        <v>689</v>
      </c>
      <c r="D6006">
        <v>10021368839</v>
      </c>
      <c r="E6006" t="s">
        <v>47</v>
      </c>
      <c r="F6006" t="s">
        <v>78</v>
      </c>
      <c r="G6006" t="s">
        <v>79</v>
      </c>
      <c r="H6006" t="s">
        <v>2489</v>
      </c>
      <c r="I6006" t="s">
        <v>2490</v>
      </c>
      <c r="J6006" t="s">
        <v>52</v>
      </c>
      <c r="K6006" s="3">
        <v>100829493012</v>
      </c>
      <c r="L6006" s="10">
        <v>40217</v>
      </c>
      <c r="M6006">
        <v>1062.959</v>
      </c>
      <c r="N6006" s="11">
        <v>15</v>
      </c>
      <c r="O6006" s="12">
        <v>85.99</v>
      </c>
      <c r="P6006" s="12">
        <v>2.5</v>
      </c>
      <c r="Q6006" s="13">
        <v>298.476</v>
      </c>
      <c r="R6006" s="36" t="s">
        <v>1907</v>
      </c>
      <c r="S6006" s="7">
        <f t="shared" si="516"/>
        <v>2</v>
      </c>
      <c r="T6006" s="15" t="str">
        <f>VLOOKUP(R6006,产品分类!$C$2:$D$1278,2,0)</f>
        <v>办公用品</v>
      </c>
    </row>
    <row r="6007" spans="1:20">
      <c r="A6007" s="8">
        <f>DATE(2012,12,31)-872</f>
        <v>40402</v>
      </c>
      <c r="B6007" s="8">
        <f>DATE(2012,12,31)-872</f>
        <v>40402</v>
      </c>
      <c r="C6007" s="9" t="s">
        <v>1361</v>
      </c>
      <c r="D6007">
        <v>10021494848</v>
      </c>
      <c r="E6007" t="s">
        <v>47</v>
      </c>
      <c r="F6007" t="s">
        <v>230</v>
      </c>
      <c r="G6007" t="s">
        <v>231</v>
      </c>
      <c r="H6007" t="s">
        <v>2477</v>
      </c>
      <c r="I6007" t="s">
        <v>2478</v>
      </c>
      <c r="J6007" t="s">
        <v>52</v>
      </c>
      <c r="K6007" s="3">
        <v>100311636689</v>
      </c>
      <c r="L6007" s="10">
        <v>40402</v>
      </c>
      <c r="M6007">
        <v>44.25</v>
      </c>
      <c r="N6007" s="11">
        <v>7</v>
      </c>
      <c r="O6007" s="12">
        <v>4.24</v>
      </c>
      <c r="P6007" s="12">
        <v>5.41</v>
      </c>
      <c r="Q6007" s="13">
        <v>-14.3635</v>
      </c>
      <c r="R6007" s="36" t="s">
        <v>2214</v>
      </c>
      <c r="S6007" s="7">
        <f t="shared" si="516"/>
        <v>0</v>
      </c>
      <c r="T6007" s="15" t="str">
        <f>VLOOKUP(R6007,产品分类!$C$2:$D$1278,2,0)</f>
        <v>办公用品</v>
      </c>
    </row>
    <row r="6008" spans="1:20">
      <c r="A6008" s="8">
        <f>DATE(2012,12,31)-110</f>
        <v>41164</v>
      </c>
      <c r="B6008" s="8">
        <f>DATE(2012,12,31)-110</f>
        <v>41164</v>
      </c>
      <c r="C6008" s="9" t="s">
        <v>1488</v>
      </c>
      <c r="D6008">
        <v>10021497707</v>
      </c>
      <c r="E6008" t="s">
        <v>47</v>
      </c>
      <c r="F6008" t="s">
        <v>230</v>
      </c>
      <c r="G6008" t="s">
        <v>231</v>
      </c>
      <c r="H6008" t="s">
        <v>2477</v>
      </c>
      <c r="I6008" t="s">
        <v>2478</v>
      </c>
      <c r="J6008" t="s">
        <v>52</v>
      </c>
      <c r="K6008" s="3">
        <v>100119088077</v>
      </c>
      <c r="L6008" s="10">
        <v>41171</v>
      </c>
      <c r="M6008">
        <v>7468.86</v>
      </c>
      <c r="N6008" s="11">
        <v>35</v>
      </c>
      <c r="O6008" s="12">
        <v>200.98</v>
      </c>
      <c r="P6008" s="12">
        <v>23.76</v>
      </c>
      <c r="Q6008" s="13">
        <v>2155.41</v>
      </c>
      <c r="R6008" s="36" t="s">
        <v>445</v>
      </c>
      <c r="S6008" s="7">
        <f t="shared" si="516"/>
        <v>7</v>
      </c>
      <c r="T6008" s="15" t="str">
        <f>VLOOKUP(R6008,产品分类!$C$2:$D$1278,2,0)</f>
        <v>数码电子</v>
      </c>
    </row>
    <row r="6009" spans="1:20">
      <c r="A6009" s="8">
        <f>DATE(2012,12,31)-831</f>
        <v>40443</v>
      </c>
      <c r="B6009" s="8">
        <f>DATE(2012,12,31)-831</f>
        <v>40443</v>
      </c>
      <c r="C6009" s="9" t="s">
        <v>2223</v>
      </c>
      <c r="D6009">
        <v>10021595934</v>
      </c>
      <c r="E6009" t="s">
        <v>47</v>
      </c>
      <c r="F6009" t="s">
        <v>230</v>
      </c>
      <c r="G6009" t="s">
        <v>231</v>
      </c>
      <c r="H6009" t="s">
        <v>2477</v>
      </c>
      <c r="I6009" t="s">
        <v>2478</v>
      </c>
      <c r="J6009" t="s">
        <v>52</v>
      </c>
      <c r="K6009" s="3">
        <v>100932827531</v>
      </c>
      <c r="L6009" s="10">
        <v>40450</v>
      </c>
      <c r="M6009">
        <v>283.8</v>
      </c>
      <c r="N6009" s="11">
        <v>33</v>
      </c>
      <c r="O6009" s="12">
        <v>8.69</v>
      </c>
      <c r="P6009" s="12">
        <v>2.99</v>
      </c>
      <c r="Q6009" s="13">
        <v>47.5235</v>
      </c>
      <c r="R6009" s="36" t="s">
        <v>1343</v>
      </c>
      <c r="S6009" s="7">
        <f t="shared" si="516"/>
        <v>7</v>
      </c>
      <c r="T6009" s="15" t="str">
        <f>VLOOKUP(R6009,产品分类!$C$2:$D$1278,2,0)</f>
        <v>办公用品</v>
      </c>
    </row>
    <row r="6010" spans="1:20">
      <c r="A6010" s="8">
        <f>DATE(2012,12,31)-1085</f>
        <v>40189</v>
      </c>
      <c r="B6010" s="8">
        <f>DATE(2012,12,31)-1085</f>
        <v>40189</v>
      </c>
      <c r="C6010" s="9" t="s">
        <v>288</v>
      </c>
      <c r="D6010">
        <v>10021293392</v>
      </c>
      <c r="E6010" t="s">
        <v>47</v>
      </c>
      <c r="F6010" t="s">
        <v>434</v>
      </c>
      <c r="G6010" t="s">
        <v>435</v>
      </c>
      <c r="H6010" t="s">
        <v>436</v>
      </c>
      <c r="I6010" t="s">
        <v>437</v>
      </c>
      <c r="J6010" t="s">
        <v>52</v>
      </c>
      <c r="K6010" s="3">
        <v>10049216813</v>
      </c>
      <c r="L6010" s="10">
        <v>40191</v>
      </c>
      <c r="M6010">
        <v>1940.32</v>
      </c>
      <c r="N6010" s="11">
        <v>12</v>
      </c>
      <c r="O6010" s="12">
        <v>146.34</v>
      </c>
      <c r="P6010" s="12">
        <v>43.75</v>
      </c>
      <c r="Q6010" s="13">
        <v>-18.81</v>
      </c>
      <c r="R6010" s="36" t="s">
        <v>206</v>
      </c>
      <c r="S6010" s="7">
        <f t="shared" si="516"/>
        <v>2</v>
      </c>
      <c r="T6010" s="15" t="str">
        <f>VLOOKUP(R6010,产品分类!$C$2:$D$1278,2,0)</f>
        <v>数码电子</v>
      </c>
    </row>
    <row r="6011" spans="1:20">
      <c r="A6011" s="8">
        <f>DATE(2012,12,31)-139</f>
        <v>41135</v>
      </c>
      <c r="B6011" s="8">
        <f>DATE(2012,12,31)-139</f>
        <v>41135</v>
      </c>
      <c r="C6011" s="9" t="s">
        <v>868</v>
      </c>
      <c r="D6011">
        <v>10021424601</v>
      </c>
      <c r="E6011" t="s">
        <v>47</v>
      </c>
      <c r="F6011" t="s">
        <v>91</v>
      </c>
      <c r="G6011" t="s">
        <v>92</v>
      </c>
      <c r="H6011" t="s">
        <v>2481</v>
      </c>
      <c r="I6011" t="s">
        <v>2482</v>
      </c>
      <c r="J6011" t="s">
        <v>52</v>
      </c>
      <c r="K6011" s="3">
        <v>100128856056</v>
      </c>
      <c r="L6011" s="10">
        <v>41137</v>
      </c>
      <c r="M6011">
        <v>51.75</v>
      </c>
      <c r="N6011" s="11">
        <v>9</v>
      </c>
      <c r="O6011" s="12">
        <v>5.58</v>
      </c>
      <c r="P6011" s="12">
        <v>0.7</v>
      </c>
      <c r="Q6011" s="13">
        <v>4.16</v>
      </c>
      <c r="R6011" s="36" t="s">
        <v>998</v>
      </c>
      <c r="S6011" s="7">
        <f t="shared" si="516"/>
        <v>2</v>
      </c>
      <c r="T6011" s="15" t="str">
        <f>VLOOKUP(R6011,产品分类!$C$2:$D$1278,2,0)</f>
        <v>办公用品</v>
      </c>
    </row>
    <row r="6012" spans="1:20">
      <c r="A6012" s="8">
        <f>DATE(2012,12,31)-1012</f>
        <v>40262</v>
      </c>
      <c r="B6012" s="8">
        <f>DATE(2012,12,31)-1012</f>
        <v>40262</v>
      </c>
      <c r="C6012" s="9" t="s">
        <v>664</v>
      </c>
      <c r="D6012">
        <v>10021695715</v>
      </c>
      <c r="E6012" t="s">
        <v>47</v>
      </c>
      <c r="F6012" t="s">
        <v>55</v>
      </c>
      <c r="G6012" t="s">
        <v>56</v>
      </c>
      <c r="H6012" t="s">
        <v>2471</v>
      </c>
      <c r="I6012" t="s">
        <v>2472</v>
      </c>
      <c r="J6012" t="s">
        <v>52</v>
      </c>
      <c r="K6012" s="3">
        <v>100932433591</v>
      </c>
      <c r="L6012" s="10">
        <v>40264</v>
      </c>
      <c r="M6012">
        <v>29.66</v>
      </c>
      <c r="N6012" s="11">
        <v>5</v>
      </c>
      <c r="O6012" s="12">
        <v>4.98</v>
      </c>
      <c r="P6012" s="12">
        <v>4.32</v>
      </c>
      <c r="Q6012" s="13">
        <v>-32.78</v>
      </c>
      <c r="R6012" s="36" t="s">
        <v>170</v>
      </c>
      <c r="S6012" s="7">
        <f t="shared" si="516"/>
        <v>2</v>
      </c>
      <c r="T6012" s="15" t="str">
        <f>VLOOKUP(R6012,产品分类!$C$2:$D$1278,2,0)</f>
        <v>数码电子</v>
      </c>
    </row>
    <row r="6013" spans="1:20">
      <c r="A6013" s="8">
        <f>DATE(2012,12,31)-1365</f>
        <v>39909</v>
      </c>
      <c r="B6013" s="8">
        <f>DATE(2012,12,31)-1365</f>
        <v>39909</v>
      </c>
      <c r="C6013" s="9" t="s">
        <v>802</v>
      </c>
      <c r="D6013">
        <v>10021595701</v>
      </c>
      <c r="E6013" t="s">
        <v>47</v>
      </c>
      <c r="F6013" t="s">
        <v>91</v>
      </c>
      <c r="G6013" t="s">
        <v>92</v>
      </c>
      <c r="H6013" t="s">
        <v>2481</v>
      </c>
      <c r="I6013" t="s">
        <v>2482</v>
      </c>
      <c r="J6013" t="s">
        <v>52</v>
      </c>
      <c r="K6013" s="3">
        <v>100432813904</v>
      </c>
      <c r="L6013" s="10">
        <v>39910</v>
      </c>
      <c r="M6013">
        <v>9459.94</v>
      </c>
      <c r="N6013" s="11">
        <v>31</v>
      </c>
      <c r="O6013" s="12">
        <v>300.98</v>
      </c>
      <c r="P6013" s="12">
        <v>54.92</v>
      </c>
      <c r="Q6013" s="13">
        <v>2023.75</v>
      </c>
      <c r="R6013" s="36" t="s">
        <v>1901</v>
      </c>
      <c r="S6013" s="7">
        <f t="shared" si="516"/>
        <v>1</v>
      </c>
      <c r="T6013" s="15" t="str">
        <f>VLOOKUP(R6013,产品分类!$C$2:$D$1278,2,0)</f>
        <v>家具产品</v>
      </c>
    </row>
    <row r="6014" spans="1:20">
      <c r="A6014" s="8">
        <f>DATE(2012,12,31)-606</f>
        <v>40668</v>
      </c>
      <c r="B6014" s="8">
        <f>DATE(2012,12,31)-606</f>
        <v>40668</v>
      </c>
      <c r="C6014" s="9" t="s">
        <v>845</v>
      </c>
      <c r="D6014">
        <v>10021263027</v>
      </c>
      <c r="E6014" t="s">
        <v>47</v>
      </c>
      <c r="F6014" t="s">
        <v>122</v>
      </c>
      <c r="G6014" t="s">
        <v>123</v>
      </c>
      <c r="H6014" t="s">
        <v>2458</v>
      </c>
      <c r="I6014" t="s">
        <v>2459</v>
      </c>
      <c r="J6014" t="s">
        <v>52</v>
      </c>
      <c r="K6014" s="3">
        <v>100730451755</v>
      </c>
      <c r="L6014" s="10">
        <v>40670</v>
      </c>
      <c r="M6014">
        <v>1199.336</v>
      </c>
      <c r="N6014" s="11">
        <v>4</v>
      </c>
      <c r="O6014" s="12">
        <v>349.45</v>
      </c>
      <c r="P6014" s="12">
        <v>60</v>
      </c>
      <c r="Q6014" s="13">
        <v>224.8</v>
      </c>
      <c r="R6014" s="36" t="s">
        <v>1625</v>
      </c>
      <c r="S6014" s="7">
        <f t="shared" si="516"/>
        <v>2</v>
      </c>
      <c r="T6014" s="15" t="str">
        <f>VLOOKUP(R6014,产品分类!$C$2:$D$1278,2,0)</f>
        <v>办公用品</v>
      </c>
    </row>
    <row r="6015" spans="1:20">
      <c r="A6015" s="8">
        <f t="shared" ref="A6015:B6018" si="523">DATE(2012,12,31)-1332</f>
        <v>39942</v>
      </c>
      <c r="B6015" s="8">
        <f t="shared" si="523"/>
        <v>39942</v>
      </c>
      <c r="C6015" s="9" t="s">
        <v>613</v>
      </c>
      <c r="D6015">
        <v>10021443941</v>
      </c>
      <c r="E6015" t="s">
        <v>47</v>
      </c>
      <c r="F6015" t="s">
        <v>55</v>
      </c>
      <c r="G6015" t="s">
        <v>56</v>
      </c>
      <c r="H6015" t="s">
        <v>2471</v>
      </c>
      <c r="I6015" t="s">
        <v>2472</v>
      </c>
      <c r="J6015" t="s">
        <v>52</v>
      </c>
      <c r="K6015" s="3">
        <v>10043507483</v>
      </c>
      <c r="L6015" s="10">
        <v>39942</v>
      </c>
      <c r="M6015">
        <v>257.66</v>
      </c>
      <c r="N6015" s="11">
        <v>41</v>
      </c>
      <c r="O6015" s="12">
        <v>6.48</v>
      </c>
      <c r="P6015" s="12">
        <v>2.74</v>
      </c>
      <c r="Q6015" s="13">
        <v>-69.23</v>
      </c>
      <c r="R6015" s="36" t="s">
        <v>1081</v>
      </c>
      <c r="S6015" s="7">
        <f t="shared" si="516"/>
        <v>0</v>
      </c>
      <c r="T6015" s="15" t="str">
        <f>VLOOKUP(R6015,产品分类!$C$2:$D$1278,2,0)</f>
        <v>办公用品</v>
      </c>
    </row>
    <row r="6016" spans="1:20">
      <c r="A6016" s="8">
        <f t="shared" si="523"/>
        <v>39942</v>
      </c>
      <c r="B6016" s="8">
        <f t="shared" si="523"/>
        <v>39942</v>
      </c>
      <c r="C6016" s="9" t="s">
        <v>2020</v>
      </c>
      <c r="D6016">
        <v>10021590087</v>
      </c>
      <c r="E6016" t="s">
        <v>47</v>
      </c>
      <c r="F6016" t="s">
        <v>122</v>
      </c>
      <c r="G6016" t="s">
        <v>123</v>
      </c>
      <c r="H6016" t="s">
        <v>2458</v>
      </c>
      <c r="I6016" t="s">
        <v>2459</v>
      </c>
      <c r="J6016" t="s">
        <v>52</v>
      </c>
      <c r="K6016" s="3">
        <v>100324255309</v>
      </c>
      <c r="L6016" s="10">
        <v>39943</v>
      </c>
      <c r="M6016">
        <v>211.4</v>
      </c>
      <c r="N6016" s="11">
        <v>18</v>
      </c>
      <c r="O6016" s="12">
        <v>12.53</v>
      </c>
      <c r="P6016" s="12">
        <v>0.5</v>
      </c>
      <c r="Q6016" s="13">
        <v>91.63</v>
      </c>
      <c r="R6016" s="36" t="s">
        <v>1309</v>
      </c>
      <c r="S6016" s="7">
        <f t="shared" si="516"/>
        <v>1</v>
      </c>
      <c r="T6016" s="15" t="str">
        <f>VLOOKUP(R6016,产品分类!$C$2:$D$1278,2,0)</f>
        <v>数码电子</v>
      </c>
    </row>
    <row r="6017" spans="1:20">
      <c r="A6017" s="8">
        <f t="shared" si="523"/>
        <v>39942</v>
      </c>
      <c r="B6017" s="8">
        <f t="shared" si="523"/>
        <v>39942</v>
      </c>
      <c r="C6017" s="9" t="s">
        <v>2020</v>
      </c>
      <c r="D6017">
        <v>10021606522</v>
      </c>
      <c r="E6017" t="s">
        <v>47</v>
      </c>
      <c r="F6017" t="s">
        <v>122</v>
      </c>
      <c r="G6017" t="s">
        <v>123</v>
      </c>
      <c r="H6017" t="s">
        <v>2458</v>
      </c>
      <c r="I6017" t="s">
        <v>2459</v>
      </c>
      <c r="J6017" t="s">
        <v>52</v>
      </c>
      <c r="K6017" s="3">
        <v>100317556989</v>
      </c>
      <c r="L6017" s="10">
        <v>39943</v>
      </c>
      <c r="M6017">
        <v>287.22</v>
      </c>
      <c r="N6017" s="11">
        <v>44</v>
      </c>
      <c r="O6017" s="12">
        <v>6.68</v>
      </c>
      <c r="P6017" s="12">
        <v>5.41</v>
      </c>
      <c r="Q6017" s="13">
        <v>-72.93</v>
      </c>
      <c r="R6017" s="36" t="s">
        <v>2010</v>
      </c>
      <c r="S6017" s="7">
        <f t="shared" si="516"/>
        <v>1</v>
      </c>
      <c r="T6017" s="15" t="str">
        <f>VLOOKUP(R6017,产品分类!$C$2:$D$1278,2,0)</f>
        <v>办公用品</v>
      </c>
    </row>
    <row r="6018" spans="1:20">
      <c r="A6018" s="8">
        <f t="shared" si="523"/>
        <v>39942</v>
      </c>
      <c r="B6018" s="8">
        <f t="shared" si="523"/>
        <v>39942</v>
      </c>
      <c r="C6018" s="9" t="s">
        <v>2020</v>
      </c>
      <c r="D6018">
        <v>10021581340</v>
      </c>
      <c r="E6018" t="s">
        <v>47</v>
      </c>
      <c r="F6018" t="s">
        <v>91</v>
      </c>
      <c r="G6018" t="s">
        <v>92</v>
      </c>
      <c r="H6018" t="s">
        <v>2481</v>
      </c>
      <c r="I6018" t="s">
        <v>2482</v>
      </c>
      <c r="J6018" t="s">
        <v>52</v>
      </c>
      <c r="K6018" s="3">
        <v>100124325707</v>
      </c>
      <c r="L6018" s="10">
        <v>39944</v>
      </c>
      <c r="M6018">
        <v>1148.0355</v>
      </c>
      <c r="N6018" s="11">
        <v>22</v>
      </c>
      <c r="O6018" s="12">
        <v>65.99</v>
      </c>
      <c r="P6018" s="12">
        <v>8.99</v>
      </c>
      <c r="Q6018" s="13">
        <v>21.978</v>
      </c>
      <c r="R6018" s="36" t="s">
        <v>289</v>
      </c>
      <c r="S6018" s="7">
        <f t="shared" si="516"/>
        <v>2</v>
      </c>
      <c r="T6018" s="15" t="str">
        <f>VLOOKUP(R6018,产品分类!$C$2:$D$1278,2,0)</f>
        <v>办公用品</v>
      </c>
    </row>
    <row r="6019" spans="1:20">
      <c r="A6019" s="8">
        <f>DATE(2012,12,31)-455</f>
        <v>40819</v>
      </c>
      <c r="B6019" s="8">
        <f>DATE(2012,12,31)-455</f>
        <v>40819</v>
      </c>
      <c r="C6019" s="9" t="s">
        <v>2020</v>
      </c>
      <c r="D6019">
        <v>10021574644</v>
      </c>
      <c r="E6019" t="s">
        <v>47</v>
      </c>
      <c r="F6019" t="s">
        <v>55</v>
      </c>
      <c r="G6019" t="s">
        <v>56</v>
      </c>
      <c r="H6019" t="s">
        <v>2471</v>
      </c>
      <c r="I6019" t="s">
        <v>2472</v>
      </c>
      <c r="J6019" t="s">
        <v>52</v>
      </c>
      <c r="K6019" s="3">
        <v>10014040967</v>
      </c>
      <c r="L6019" s="10">
        <v>40821</v>
      </c>
      <c r="M6019">
        <v>945.54</v>
      </c>
      <c r="N6019" s="11">
        <v>48</v>
      </c>
      <c r="O6019" s="12">
        <v>19.98</v>
      </c>
      <c r="P6019" s="12">
        <v>5.97</v>
      </c>
      <c r="Q6019" s="13">
        <v>254.58</v>
      </c>
      <c r="R6019" s="36" t="s">
        <v>148</v>
      </c>
      <c r="S6019" s="7">
        <f t="shared" ref="S6019:S6082" si="524">+L6019-B6019</f>
        <v>2</v>
      </c>
      <c r="T6019" s="15" t="str">
        <f>VLOOKUP(R6019,产品分类!$C$2:$D$1278,2,0)</f>
        <v>数码电子</v>
      </c>
    </row>
    <row r="6020" spans="1:20">
      <c r="A6020" s="8">
        <f>DATE(2012,12,31)-930</f>
        <v>40344</v>
      </c>
      <c r="B6020" s="8">
        <f>DATE(2012,12,31)-930</f>
        <v>40344</v>
      </c>
      <c r="C6020" s="9" t="s">
        <v>710</v>
      </c>
      <c r="D6020">
        <v>10021662479</v>
      </c>
      <c r="E6020" t="s">
        <v>47</v>
      </c>
      <c r="F6020" t="s">
        <v>122</v>
      </c>
      <c r="G6020" t="s">
        <v>123</v>
      </c>
      <c r="H6020" t="s">
        <v>2458</v>
      </c>
      <c r="I6020" t="s">
        <v>2459</v>
      </c>
      <c r="J6020" t="s">
        <v>52</v>
      </c>
      <c r="K6020" s="3">
        <v>100922058941</v>
      </c>
      <c r="L6020" s="10">
        <v>40344</v>
      </c>
      <c r="M6020">
        <v>146.68</v>
      </c>
      <c r="N6020" s="11">
        <v>29</v>
      </c>
      <c r="O6020" s="12">
        <v>5.28</v>
      </c>
      <c r="P6020" s="12">
        <v>2.99</v>
      </c>
      <c r="Q6020" s="13">
        <v>-8.326</v>
      </c>
      <c r="R6020" s="36" t="s">
        <v>1420</v>
      </c>
      <c r="S6020" s="7">
        <f t="shared" si="524"/>
        <v>0</v>
      </c>
      <c r="T6020" s="15" t="str">
        <f>VLOOKUP(R6020,产品分类!$C$2:$D$1278,2,0)</f>
        <v>家具产品</v>
      </c>
    </row>
    <row r="6021" spans="1:20">
      <c r="A6021" s="8">
        <f>DATE(2012,12,31)-825</f>
        <v>40449</v>
      </c>
      <c r="B6021" s="8">
        <f>DATE(2012,12,31)-825</f>
        <v>40449</v>
      </c>
      <c r="C6021" s="9" t="s">
        <v>282</v>
      </c>
      <c r="D6021">
        <v>10021611211</v>
      </c>
      <c r="E6021" t="s">
        <v>47</v>
      </c>
      <c r="F6021" t="s">
        <v>55</v>
      </c>
      <c r="G6021" t="s">
        <v>56</v>
      </c>
      <c r="H6021" t="s">
        <v>2471</v>
      </c>
      <c r="I6021" t="s">
        <v>2472</v>
      </c>
      <c r="J6021" t="s">
        <v>52</v>
      </c>
      <c r="K6021" s="3">
        <v>100924831841</v>
      </c>
      <c r="L6021" s="10">
        <v>40453</v>
      </c>
      <c r="M6021">
        <v>18697.24</v>
      </c>
      <c r="N6021" s="11">
        <v>44</v>
      </c>
      <c r="O6021" s="12">
        <v>420.98</v>
      </c>
      <c r="P6021" s="12">
        <v>19.99</v>
      </c>
      <c r="Q6021" s="13">
        <v>8918.7355</v>
      </c>
      <c r="R6021" s="36" t="s">
        <v>385</v>
      </c>
      <c r="S6021" s="7">
        <f t="shared" si="524"/>
        <v>4</v>
      </c>
      <c r="T6021" s="15" t="str">
        <f>VLOOKUP(R6021,产品分类!$C$2:$D$1278,2,0)</f>
        <v>数码电子</v>
      </c>
    </row>
    <row r="6022" spans="1:20">
      <c r="A6022" s="8">
        <f>DATE(2012,12,31)-825</f>
        <v>40449</v>
      </c>
      <c r="B6022" s="8">
        <f>DATE(2012,12,31)-825</f>
        <v>40449</v>
      </c>
      <c r="C6022" s="9" t="s">
        <v>356</v>
      </c>
      <c r="D6022">
        <v>10021250352</v>
      </c>
      <c r="E6022" t="s">
        <v>47</v>
      </c>
      <c r="F6022" t="s">
        <v>122</v>
      </c>
      <c r="G6022" t="s">
        <v>123</v>
      </c>
      <c r="H6022" t="s">
        <v>2458</v>
      </c>
      <c r="I6022" t="s">
        <v>2459</v>
      </c>
      <c r="J6022" t="s">
        <v>52</v>
      </c>
      <c r="K6022" s="3">
        <v>100910129251</v>
      </c>
      <c r="L6022" s="10">
        <v>40453</v>
      </c>
      <c r="M6022">
        <v>786.13</v>
      </c>
      <c r="N6022" s="11">
        <v>48</v>
      </c>
      <c r="O6022" s="12">
        <v>16.74</v>
      </c>
      <c r="P6022" s="12">
        <v>7.04</v>
      </c>
      <c r="Q6022" s="13">
        <v>-236.12</v>
      </c>
      <c r="R6022" s="36" t="s">
        <v>498</v>
      </c>
      <c r="S6022" s="7">
        <f t="shared" si="524"/>
        <v>4</v>
      </c>
      <c r="T6022" s="15" t="str">
        <f>VLOOKUP(R6022,产品分类!$C$2:$D$1278,2,0)</f>
        <v>家具产品</v>
      </c>
    </row>
    <row r="6023" spans="1:20">
      <c r="A6023" s="8">
        <f>DATE(2012,12,31)-952</f>
        <v>40322</v>
      </c>
      <c r="B6023" s="8">
        <f>DATE(2012,12,31)-952</f>
        <v>40322</v>
      </c>
      <c r="C6023" s="9" t="s">
        <v>356</v>
      </c>
      <c r="D6023">
        <v>10021460914</v>
      </c>
      <c r="E6023" t="s">
        <v>47</v>
      </c>
      <c r="F6023" t="s">
        <v>91</v>
      </c>
      <c r="G6023" t="s">
        <v>92</v>
      </c>
      <c r="H6023" t="s">
        <v>2481</v>
      </c>
      <c r="I6023" t="s">
        <v>2482</v>
      </c>
      <c r="J6023" t="s">
        <v>52</v>
      </c>
      <c r="K6023" s="3">
        <v>100812132272</v>
      </c>
      <c r="L6023" s="10">
        <v>40331</v>
      </c>
      <c r="M6023">
        <v>2447.65</v>
      </c>
      <c r="N6023" s="11">
        <v>50</v>
      </c>
      <c r="O6023" s="12">
        <v>46.94</v>
      </c>
      <c r="P6023" s="12">
        <v>6.77</v>
      </c>
      <c r="Q6023" s="13">
        <v>1170.35</v>
      </c>
      <c r="R6023" s="36" t="s">
        <v>1687</v>
      </c>
      <c r="S6023" s="7">
        <f t="shared" si="524"/>
        <v>9</v>
      </c>
      <c r="T6023" s="15" t="str">
        <f>VLOOKUP(R6023,产品分类!$C$2:$D$1278,2,0)</f>
        <v>办公用品</v>
      </c>
    </row>
    <row r="6024" spans="1:20">
      <c r="A6024" s="8">
        <f>DATE(2012,12,31)-952</f>
        <v>40322</v>
      </c>
      <c r="B6024" s="8">
        <f>DATE(2012,12,31)-952</f>
        <v>40322</v>
      </c>
      <c r="C6024" s="9" t="s">
        <v>492</v>
      </c>
      <c r="D6024">
        <v>10021282954</v>
      </c>
      <c r="E6024" t="s">
        <v>47</v>
      </c>
      <c r="F6024" t="s">
        <v>55</v>
      </c>
      <c r="G6024" t="s">
        <v>56</v>
      </c>
      <c r="H6024" t="s">
        <v>2471</v>
      </c>
      <c r="I6024" t="s">
        <v>2472</v>
      </c>
      <c r="J6024" t="s">
        <v>52</v>
      </c>
      <c r="K6024" s="3">
        <v>100826129802</v>
      </c>
      <c r="L6024" s="10">
        <v>40326</v>
      </c>
      <c r="M6024">
        <v>1069.64</v>
      </c>
      <c r="N6024" s="11">
        <v>7</v>
      </c>
      <c r="O6024" s="12">
        <v>161.55</v>
      </c>
      <c r="P6024" s="12">
        <v>19.99</v>
      </c>
      <c r="Q6024" s="13">
        <v>-139.75</v>
      </c>
      <c r="R6024" s="36" t="s">
        <v>1507</v>
      </c>
      <c r="S6024" s="7">
        <f t="shared" si="524"/>
        <v>4</v>
      </c>
      <c r="T6024" s="15" t="str">
        <f>VLOOKUP(R6024,产品分类!$C$2:$D$1278,2,0)</f>
        <v>办公用品</v>
      </c>
    </row>
    <row r="6025" spans="1:20">
      <c r="A6025" s="8">
        <f>DATE(2012,12,31)-377</f>
        <v>40897</v>
      </c>
      <c r="B6025" s="8">
        <f>DATE(2012,12,31)-377</f>
        <v>40897</v>
      </c>
      <c r="C6025" s="9" t="s">
        <v>492</v>
      </c>
      <c r="D6025">
        <v>10021676590</v>
      </c>
      <c r="E6025" t="s">
        <v>47</v>
      </c>
      <c r="F6025" t="s">
        <v>91</v>
      </c>
      <c r="G6025" t="s">
        <v>92</v>
      </c>
      <c r="H6025" t="s">
        <v>2481</v>
      </c>
      <c r="I6025" t="s">
        <v>2482</v>
      </c>
      <c r="J6025" t="s">
        <v>52</v>
      </c>
      <c r="K6025" s="3">
        <v>100932569411</v>
      </c>
      <c r="L6025" s="10">
        <v>40899</v>
      </c>
      <c r="M6025">
        <v>248.86</v>
      </c>
      <c r="N6025" s="11">
        <v>41</v>
      </c>
      <c r="O6025" s="12">
        <v>5.98</v>
      </c>
      <c r="P6025" s="12">
        <v>7.5</v>
      </c>
      <c r="Q6025" s="13">
        <v>-168.67</v>
      </c>
      <c r="R6025" s="36" t="s">
        <v>1896</v>
      </c>
      <c r="S6025" s="7">
        <f t="shared" si="524"/>
        <v>2</v>
      </c>
      <c r="T6025" s="15" t="str">
        <f>VLOOKUP(R6025,产品分类!$C$2:$D$1278,2,0)</f>
        <v>办公用品</v>
      </c>
    </row>
    <row r="6026" spans="1:20">
      <c r="A6026" s="8">
        <f>DATE(2012,12,31)-377</f>
        <v>40897</v>
      </c>
      <c r="B6026" s="8">
        <f>DATE(2012,12,31)-377</f>
        <v>40897</v>
      </c>
      <c r="C6026" s="9" t="s">
        <v>997</v>
      </c>
      <c r="D6026">
        <v>10021578361</v>
      </c>
      <c r="E6026" t="s">
        <v>47</v>
      </c>
      <c r="F6026" t="s">
        <v>91</v>
      </c>
      <c r="G6026" t="s">
        <v>92</v>
      </c>
      <c r="H6026" t="s">
        <v>2481</v>
      </c>
      <c r="I6026" t="s">
        <v>2482</v>
      </c>
      <c r="J6026" t="s">
        <v>52</v>
      </c>
      <c r="K6026" s="3">
        <v>100911900531</v>
      </c>
      <c r="L6026" s="10">
        <v>40898</v>
      </c>
      <c r="M6026">
        <v>278.01</v>
      </c>
      <c r="N6026" s="11">
        <v>42</v>
      </c>
      <c r="O6026" s="12">
        <v>6.48</v>
      </c>
      <c r="P6026" s="12">
        <v>8.73</v>
      </c>
      <c r="Q6026" s="13">
        <v>-202.31</v>
      </c>
      <c r="R6026" s="36" t="s">
        <v>1903</v>
      </c>
      <c r="S6026" s="7">
        <f t="shared" si="524"/>
        <v>1</v>
      </c>
      <c r="T6026" s="15" t="str">
        <f>VLOOKUP(R6026,产品分类!$C$2:$D$1278,2,0)</f>
        <v>家具产品</v>
      </c>
    </row>
    <row r="6027" spans="1:20">
      <c r="A6027" s="8">
        <f>DATE(2012,12,31)-740</f>
        <v>40534</v>
      </c>
      <c r="B6027" s="8">
        <f>DATE(2012,12,31)-740</f>
        <v>40534</v>
      </c>
      <c r="C6027" s="9" t="s">
        <v>997</v>
      </c>
      <c r="D6027">
        <v>10021666791</v>
      </c>
      <c r="E6027" t="s">
        <v>47</v>
      </c>
      <c r="F6027" t="s">
        <v>122</v>
      </c>
      <c r="G6027" t="s">
        <v>123</v>
      </c>
      <c r="H6027" t="s">
        <v>2458</v>
      </c>
      <c r="I6027" t="s">
        <v>2459</v>
      </c>
      <c r="J6027" t="s">
        <v>52</v>
      </c>
      <c r="K6027" s="3">
        <v>100127569506</v>
      </c>
      <c r="L6027" s="10">
        <v>40536</v>
      </c>
      <c r="M6027">
        <v>710.328</v>
      </c>
      <c r="N6027" s="11">
        <v>12</v>
      </c>
      <c r="O6027" s="12">
        <v>65.99</v>
      </c>
      <c r="P6027" s="12">
        <v>5.31</v>
      </c>
      <c r="Q6027" s="13">
        <v>-10.296</v>
      </c>
      <c r="R6027" s="36" t="s">
        <v>924</v>
      </c>
      <c r="S6027" s="7">
        <f t="shared" si="524"/>
        <v>2</v>
      </c>
      <c r="T6027" s="15" t="str">
        <f>VLOOKUP(R6027,产品分类!$C$2:$D$1278,2,0)</f>
        <v>数码电子</v>
      </c>
    </row>
    <row r="6028" spans="1:20">
      <c r="A6028" s="8">
        <f>DATE(2012,12,31)-85</f>
        <v>41189</v>
      </c>
      <c r="B6028" s="8">
        <f>DATE(2012,12,31)-85</f>
        <v>41189</v>
      </c>
      <c r="C6028" s="9" t="s">
        <v>1606</v>
      </c>
      <c r="D6028">
        <v>10021646702</v>
      </c>
      <c r="E6028" t="s">
        <v>47</v>
      </c>
      <c r="F6028" t="s">
        <v>122</v>
      </c>
      <c r="G6028" t="s">
        <v>123</v>
      </c>
      <c r="H6028" t="s">
        <v>2458</v>
      </c>
      <c r="I6028" t="s">
        <v>2459</v>
      </c>
      <c r="J6028" t="s">
        <v>52</v>
      </c>
      <c r="K6028" s="3">
        <v>100117432797</v>
      </c>
      <c r="L6028" s="10">
        <v>41190</v>
      </c>
      <c r="M6028">
        <v>1152.16</v>
      </c>
      <c r="N6028" s="11">
        <v>23</v>
      </c>
      <c r="O6028" s="12">
        <v>48.92</v>
      </c>
      <c r="P6028" s="12">
        <v>4.5</v>
      </c>
      <c r="Q6028" s="13">
        <v>286.98</v>
      </c>
      <c r="R6028" s="36" t="s">
        <v>1747</v>
      </c>
      <c r="S6028" s="7">
        <f t="shared" si="524"/>
        <v>1</v>
      </c>
      <c r="T6028" s="15" t="str">
        <f>VLOOKUP(R6028,产品分类!$C$2:$D$1278,2,0)</f>
        <v>办公用品</v>
      </c>
    </row>
    <row r="6029" spans="1:20">
      <c r="A6029" s="8">
        <f>DATE(2012,12,31)-85</f>
        <v>41189</v>
      </c>
      <c r="B6029" s="8">
        <f>DATE(2012,12,31)-85</f>
        <v>41189</v>
      </c>
      <c r="C6029" s="9" t="s">
        <v>1555</v>
      </c>
      <c r="D6029">
        <v>10021663818</v>
      </c>
      <c r="E6029" t="s">
        <v>47</v>
      </c>
      <c r="F6029" t="s">
        <v>122</v>
      </c>
      <c r="G6029" t="s">
        <v>123</v>
      </c>
      <c r="H6029" t="s">
        <v>2458</v>
      </c>
      <c r="I6029" t="s">
        <v>2459</v>
      </c>
      <c r="J6029" t="s">
        <v>52</v>
      </c>
      <c r="K6029" s="3">
        <v>100724510215</v>
      </c>
      <c r="L6029" s="10">
        <v>41191</v>
      </c>
      <c r="M6029">
        <v>19.9</v>
      </c>
      <c r="N6029" s="11">
        <v>2</v>
      </c>
      <c r="O6029" s="12">
        <v>7.38</v>
      </c>
      <c r="P6029" s="12">
        <v>5.21</v>
      </c>
      <c r="Q6029" s="13">
        <v>15.97</v>
      </c>
      <c r="R6029" s="36" t="s">
        <v>1452</v>
      </c>
      <c r="S6029" s="7">
        <f t="shared" si="524"/>
        <v>2</v>
      </c>
      <c r="T6029" s="15" t="str">
        <f>VLOOKUP(R6029,产品分类!$C$2:$D$1278,2,0)</f>
        <v>办公用品</v>
      </c>
    </row>
    <row r="6030" spans="1:20">
      <c r="A6030" s="8">
        <f>DATE(2012,12,31)-609</f>
        <v>40665</v>
      </c>
      <c r="B6030" s="8">
        <f>DATE(2012,12,31)-609</f>
        <v>40665</v>
      </c>
      <c r="C6030" s="9" t="s">
        <v>669</v>
      </c>
      <c r="D6030">
        <v>10021318449</v>
      </c>
      <c r="E6030" t="s">
        <v>47</v>
      </c>
      <c r="F6030" t="s">
        <v>91</v>
      </c>
      <c r="G6030" t="s">
        <v>92</v>
      </c>
      <c r="H6030" t="s">
        <v>2481</v>
      </c>
      <c r="I6030" t="s">
        <v>2482</v>
      </c>
      <c r="J6030" t="s">
        <v>52</v>
      </c>
      <c r="K6030" s="3">
        <v>1001153966</v>
      </c>
      <c r="L6030" s="10">
        <v>40666</v>
      </c>
      <c r="M6030">
        <v>231.06</v>
      </c>
      <c r="N6030" s="11">
        <v>18</v>
      </c>
      <c r="O6030" s="12">
        <v>12.28</v>
      </c>
      <c r="P6030" s="12">
        <v>6.13</v>
      </c>
      <c r="Q6030" s="13">
        <v>-29.83</v>
      </c>
      <c r="R6030" s="36" t="s">
        <v>1539</v>
      </c>
      <c r="S6030" s="7">
        <f t="shared" si="524"/>
        <v>1</v>
      </c>
      <c r="T6030" s="15" t="str">
        <f>VLOOKUP(R6030,产品分类!$C$2:$D$1278,2,0)</f>
        <v>数码电子</v>
      </c>
    </row>
    <row r="6031" spans="1:20">
      <c r="A6031" s="8">
        <f>DATE(2012,12,31)-612</f>
        <v>40662</v>
      </c>
      <c r="B6031" s="8">
        <f>DATE(2012,12,31)-612</f>
        <v>40662</v>
      </c>
      <c r="C6031" s="9" t="s">
        <v>669</v>
      </c>
      <c r="D6031">
        <v>10021688592</v>
      </c>
      <c r="E6031" t="s">
        <v>47</v>
      </c>
      <c r="F6031" t="s">
        <v>171</v>
      </c>
      <c r="G6031" t="s">
        <v>172</v>
      </c>
      <c r="H6031" t="s">
        <v>2486</v>
      </c>
      <c r="I6031" t="s">
        <v>2310</v>
      </c>
      <c r="J6031" t="s">
        <v>52</v>
      </c>
      <c r="K6031" s="3">
        <v>100313823869</v>
      </c>
      <c r="L6031" s="10">
        <v>40663</v>
      </c>
      <c r="M6031">
        <v>5510.23</v>
      </c>
      <c r="N6031" s="11">
        <v>11</v>
      </c>
      <c r="O6031" s="12">
        <v>500.98</v>
      </c>
      <c r="P6031" s="12">
        <v>26</v>
      </c>
      <c r="Q6031" s="13">
        <v>915.8</v>
      </c>
      <c r="R6031" s="36" t="s">
        <v>163</v>
      </c>
      <c r="S6031" s="7">
        <f t="shared" si="524"/>
        <v>1</v>
      </c>
      <c r="T6031" s="15" t="str">
        <f>VLOOKUP(R6031,产品分类!$C$2:$D$1278,2,0)</f>
        <v>家具产品</v>
      </c>
    </row>
    <row r="6032" spans="1:20">
      <c r="A6032" s="8">
        <f>DATE(2012,12,31)-612</f>
        <v>40662</v>
      </c>
      <c r="B6032" s="8">
        <f>DATE(2012,12,31)-612</f>
        <v>40662</v>
      </c>
      <c r="C6032" s="9" t="s">
        <v>481</v>
      </c>
      <c r="D6032">
        <v>10021705459</v>
      </c>
      <c r="E6032" t="s">
        <v>47</v>
      </c>
      <c r="F6032" t="s">
        <v>171</v>
      </c>
      <c r="G6032" t="s">
        <v>172</v>
      </c>
      <c r="H6032" t="s">
        <v>2486</v>
      </c>
      <c r="I6032" t="s">
        <v>2310</v>
      </c>
      <c r="J6032" t="s">
        <v>52</v>
      </c>
      <c r="K6032" s="3">
        <v>100124133737</v>
      </c>
      <c r="L6032" s="10">
        <v>40663</v>
      </c>
      <c r="M6032">
        <v>177.06</v>
      </c>
      <c r="N6032" s="11">
        <v>21</v>
      </c>
      <c r="O6032" s="12">
        <v>8.45</v>
      </c>
      <c r="P6032" s="12">
        <v>7.77</v>
      </c>
      <c r="Q6032" s="13">
        <v>-100.61</v>
      </c>
      <c r="R6032" s="36" t="s">
        <v>1802</v>
      </c>
      <c r="S6032" s="7">
        <f t="shared" si="524"/>
        <v>1</v>
      </c>
      <c r="T6032" s="15" t="str">
        <f>VLOOKUP(R6032,产品分类!$C$2:$D$1278,2,0)</f>
        <v>办公用品</v>
      </c>
    </row>
    <row r="6033" spans="1:20">
      <c r="A6033" s="8">
        <f>DATE(2012,12,31)-348</f>
        <v>40926</v>
      </c>
      <c r="B6033" s="8">
        <f>DATE(2012,12,31)-348</f>
        <v>40926</v>
      </c>
      <c r="C6033" s="9" t="s">
        <v>1616</v>
      </c>
      <c r="D6033">
        <v>10021503211</v>
      </c>
      <c r="E6033" t="s">
        <v>47</v>
      </c>
      <c r="F6033" t="s">
        <v>97</v>
      </c>
      <c r="G6033" t="s">
        <v>98</v>
      </c>
      <c r="H6033" t="s">
        <v>99</v>
      </c>
      <c r="I6033" t="s">
        <v>98</v>
      </c>
      <c r="J6033" t="s">
        <v>52</v>
      </c>
      <c r="K6033" s="3">
        <v>100722515915</v>
      </c>
      <c r="L6033" s="10">
        <v>40928</v>
      </c>
      <c r="M6033">
        <v>4072.8175</v>
      </c>
      <c r="N6033" s="11">
        <v>45</v>
      </c>
      <c r="O6033" s="12">
        <v>115.99</v>
      </c>
      <c r="P6033" s="12">
        <v>3</v>
      </c>
      <c r="Q6033" s="13">
        <v>897.363</v>
      </c>
      <c r="R6033" s="36" t="s">
        <v>614</v>
      </c>
      <c r="S6033" s="7">
        <f t="shared" si="524"/>
        <v>2</v>
      </c>
      <c r="T6033" s="15" t="str">
        <f>VLOOKUP(R6033,产品分类!$C$2:$D$1278,2,0)</f>
        <v>办公用品</v>
      </c>
    </row>
    <row r="6034" spans="1:20">
      <c r="A6034" s="8">
        <f>DATE(2012,12,31)-860</f>
        <v>40414</v>
      </c>
      <c r="B6034" s="8">
        <f>DATE(2012,12,31)-860</f>
        <v>40414</v>
      </c>
      <c r="C6034" s="9" t="s">
        <v>1616</v>
      </c>
      <c r="D6034">
        <v>10021611263</v>
      </c>
      <c r="E6034" t="s">
        <v>47</v>
      </c>
      <c r="F6034" t="s">
        <v>97</v>
      </c>
      <c r="G6034" t="s">
        <v>98</v>
      </c>
      <c r="H6034" t="s">
        <v>99</v>
      </c>
      <c r="I6034" t="s">
        <v>98</v>
      </c>
      <c r="J6034" t="s">
        <v>52</v>
      </c>
      <c r="K6034" s="3">
        <v>100128048477</v>
      </c>
      <c r="L6034" s="10">
        <v>40415</v>
      </c>
      <c r="M6034">
        <v>341.71</v>
      </c>
      <c r="N6034" s="11">
        <v>31</v>
      </c>
      <c r="O6034" s="12">
        <v>10.98</v>
      </c>
      <c r="P6034" s="12">
        <v>5.14</v>
      </c>
      <c r="Q6034" s="13">
        <v>32.1895</v>
      </c>
      <c r="R6034" s="36" t="s">
        <v>1973</v>
      </c>
      <c r="S6034" s="7">
        <f t="shared" si="524"/>
        <v>1</v>
      </c>
      <c r="T6034" s="15" t="str">
        <f>VLOOKUP(R6034,产品分类!$C$2:$D$1278,2,0)</f>
        <v>家具产品</v>
      </c>
    </row>
    <row r="6035" spans="1:20">
      <c r="A6035" s="8">
        <f>DATE(2012,12,31)-51</f>
        <v>41223</v>
      </c>
      <c r="B6035" s="8">
        <f>DATE(2012,12,31)-51</f>
        <v>41223</v>
      </c>
      <c r="C6035" s="9" t="s">
        <v>1741</v>
      </c>
      <c r="D6035">
        <v>10021545191</v>
      </c>
      <c r="E6035" t="s">
        <v>47</v>
      </c>
      <c r="F6035" t="s">
        <v>132</v>
      </c>
      <c r="G6035" t="s">
        <v>133</v>
      </c>
      <c r="H6035" t="s">
        <v>134</v>
      </c>
      <c r="I6035" t="s">
        <v>133</v>
      </c>
      <c r="J6035" t="s">
        <v>52</v>
      </c>
      <c r="K6035" s="3">
        <v>100125791817</v>
      </c>
      <c r="L6035" s="10">
        <v>41225</v>
      </c>
      <c r="M6035">
        <v>1769.74</v>
      </c>
      <c r="N6035" s="11">
        <v>12</v>
      </c>
      <c r="O6035" s="12">
        <v>152.48</v>
      </c>
      <c r="P6035" s="12">
        <v>4</v>
      </c>
      <c r="Q6035" s="13">
        <v>-333.69</v>
      </c>
      <c r="R6035" s="36" t="s">
        <v>2491</v>
      </c>
      <c r="S6035" s="7">
        <f t="shared" si="524"/>
        <v>2</v>
      </c>
      <c r="T6035" s="15" t="str">
        <f>VLOOKUP(R6035,产品分类!$C$2:$D$1278,2,0)</f>
        <v>数码电子</v>
      </c>
    </row>
    <row r="6036" spans="1:20">
      <c r="A6036" s="8">
        <f>DATE(2012,12,31)-51</f>
        <v>41223</v>
      </c>
      <c r="B6036" s="8">
        <f>DATE(2012,12,31)-51</f>
        <v>41223</v>
      </c>
      <c r="C6036" s="9" t="s">
        <v>1927</v>
      </c>
      <c r="D6036">
        <v>10021432358</v>
      </c>
      <c r="E6036" t="s">
        <v>47</v>
      </c>
      <c r="F6036" t="s">
        <v>97</v>
      </c>
      <c r="G6036" t="s">
        <v>98</v>
      </c>
      <c r="H6036" t="s">
        <v>99</v>
      </c>
      <c r="I6036" t="s">
        <v>98</v>
      </c>
      <c r="J6036" t="s">
        <v>52</v>
      </c>
      <c r="K6036" s="3">
        <v>100132301416</v>
      </c>
      <c r="L6036" s="10">
        <v>41224</v>
      </c>
      <c r="M6036">
        <v>638.07</v>
      </c>
      <c r="N6036" s="11">
        <v>42</v>
      </c>
      <c r="O6036" s="12">
        <v>15.04</v>
      </c>
      <c r="P6036" s="12">
        <v>1.97</v>
      </c>
      <c r="Q6036" s="13">
        <v>278.89</v>
      </c>
      <c r="R6036" s="36" t="s">
        <v>1679</v>
      </c>
      <c r="S6036" s="7">
        <f t="shared" si="524"/>
        <v>1</v>
      </c>
      <c r="T6036" s="15" t="str">
        <f>VLOOKUP(R6036,产品分类!$C$2:$D$1278,2,0)</f>
        <v>办公用品</v>
      </c>
    </row>
    <row r="6037" spans="1:20">
      <c r="A6037" s="8">
        <f>DATE(2012,12,31)-445</f>
        <v>40829</v>
      </c>
      <c r="B6037" s="8">
        <f>DATE(2012,12,31)-445</f>
        <v>40829</v>
      </c>
      <c r="C6037" s="9" t="s">
        <v>766</v>
      </c>
      <c r="D6037">
        <v>10021250927</v>
      </c>
      <c r="E6037" t="s">
        <v>47</v>
      </c>
      <c r="F6037" t="s">
        <v>102</v>
      </c>
      <c r="G6037" t="s">
        <v>103</v>
      </c>
      <c r="H6037" t="s">
        <v>2483</v>
      </c>
      <c r="I6037" t="s">
        <v>2484</v>
      </c>
      <c r="J6037" t="s">
        <v>52</v>
      </c>
      <c r="K6037" s="3">
        <v>100916273381</v>
      </c>
      <c r="L6037" s="10">
        <v>40831</v>
      </c>
      <c r="M6037">
        <v>241.92</v>
      </c>
      <c r="N6037" s="11">
        <v>26</v>
      </c>
      <c r="O6037" s="12">
        <v>10.14</v>
      </c>
      <c r="P6037" s="12">
        <v>2.27</v>
      </c>
      <c r="Q6037" s="13">
        <v>67.71</v>
      </c>
      <c r="R6037" s="36" t="s">
        <v>505</v>
      </c>
      <c r="S6037" s="7">
        <f t="shared" si="524"/>
        <v>2</v>
      </c>
      <c r="T6037" s="15" t="str">
        <f>VLOOKUP(R6037,产品分类!$C$2:$D$1278,2,0)</f>
        <v>家具产品</v>
      </c>
    </row>
    <row r="6038" spans="1:20">
      <c r="A6038" s="8">
        <f>DATE(2012,12,31)-1049</f>
        <v>40225</v>
      </c>
      <c r="B6038" s="8">
        <f>DATE(2012,12,31)-1049</f>
        <v>40225</v>
      </c>
      <c r="C6038" s="9" t="s">
        <v>766</v>
      </c>
      <c r="D6038">
        <v>10021711447</v>
      </c>
      <c r="E6038" t="s">
        <v>47</v>
      </c>
      <c r="F6038" t="s">
        <v>208</v>
      </c>
      <c r="G6038" t="s">
        <v>209</v>
      </c>
      <c r="H6038" t="s">
        <v>2300</v>
      </c>
      <c r="I6038" t="s">
        <v>2301</v>
      </c>
      <c r="J6038" t="s">
        <v>52</v>
      </c>
      <c r="K6038" s="3">
        <v>100132148877</v>
      </c>
      <c r="L6038" s="10">
        <v>40232</v>
      </c>
      <c r="M6038">
        <v>141.56</v>
      </c>
      <c r="N6038" s="11">
        <v>27</v>
      </c>
      <c r="O6038" s="12">
        <v>5.28</v>
      </c>
      <c r="P6038" s="12">
        <v>2.99</v>
      </c>
      <c r="Q6038" s="13">
        <v>-2.852</v>
      </c>
      <c r="R6038" s="36" t="s">
        <v>1755</v>
      </c>
      <c r="S6038" s="7">
        <f t="shared" si="524"/>
        <v>7</v>
      </c>
      <c r="T6038" s="15" t="str">
        <f>VLOOKUP(R6038,产品分类!$C$2:$D$1278,2,0)</f>
        <v>办公用品</v>
      </c>
    </row>
    <row r="6039" spans="1:20">
      <c r="A6039" s="8">
        <f>DATE(2012,12,31)-920</f>
        <v>40354</v>
      </c>
      <c r="B6039" s="8">
        <f>DATE(2012,12,31)-920</f>
        <v>40354</v>
      </c>
      <c r="C6039" s="9" t="s">
        <v>1347</v>
      </c>
      <c r="D6039">
        <v>10021351525</v>
      </c>
      <c r="E6039" t="s">
        <v>47</v>
      </c>
      <c r="F6039" t="s">
        <v>171</v>
      </c>
      <c r="G6039" t="s">
        <v>172</v>
      </c>
      <c r="H6039" t="s">
        <v>2486</v>
      </c>
      <c r="I6039" t="s">
        <v>2310</v>
      </c>
      <c r="J6039" t="s">
        <v>52</v>
      </c>
      <c r="K6039" s="3">
        <v>100832488212</v>
      </c>
      <c r="L6039" s="10">
        <v>40356</v>
      </c>
      <c r="M6039">
        <v>49.14</v>
      </c>
      <c r="N6039" s="11">
        <v>8</v>
      </c>
      <c r="O6039" s="12">
        <v>4.28</v>
      </c>
      <c r="P6039" s="12">
        <v>6.18</v>
      </c>
      <c r="Q6039" s="13">
        <v>-22.56</v>
      </c>
      <c r="R6039" s="36" t="s">
        <v>1527</v>
      </c>
      <c r="S6039" s="7">
        <f t="shared" si="524"/>
        <v>2</v>
      </c>
      <c r="T6039" s="15" t="str">
        <f>VLOOKUP(R6039,产品分类!$C$2:$D$1278,2,0)</f>
        <v>办公用品</v>
      </c>
    </row>
    <row r="6040" spans="1:20">
      <c r="A6040" s="8">
        <f>DATE(2012,12,31)-86</f>
        <v>41188</v>
      </c>
      <c r="B6040" s="8">
        <f>DATE(2012,12,31)-86</f>
        <v>41188</v>
      </c>
      <c r="C6040" s="9" t="s">
        <v>508</v>
      </c>
      <c r="D6040">
        <v>10021298752</v>
      </c>
      <c r="E6040" t="s">
        <v>47</v>
      </c>
      <c r="F6040" t="s">
        <v>171</v>
      </c>
      <c r="G6040" t="s">
        <v>172</v>
      </c>
      <c r="H6040" t="s">
        <v>2486</v>
      </c>
      <c r="I6040" t="s">
        <v>2310</v>
      </c>
      <c r="J6040" t="s">
        <v>52</v>
      </c>
      <c r="K6040" s="3">
        <v>100426889304</v>
      </c>
      <c r="L6040" s="10">
        <v>41190</v>
      </c>
      <c r="M6040">
        <v>387.79</v>
      </c>
      <c r="N6040" s="11">
        <v>50</v>
      </c>
      <c r="O6040" s="12">
        <v>7.64</v>
      </c>
      <c r="P6040" s="12">
        <v>5.83</v>
      </c>
      <c r="Q6040" s="13">
        <v>-56.51</v>
      </c>
      <c r="R6040" s="36" t="s">
        <v>385</v>
      </c>
      <c r="S6040" s="7">
        <f t="shared" si="524"/>
        <v>2</v>
      </c>
      <c r="T6040" s="15" t="str">
        <f>VLOOKUP(R6040,产品分类!$C$2:$D$1278,2,0)</f>
        <v>数码电子</v>
      </c>
    </row>
    <row r="6041" spans="1:20">
      <c r="A6041" s="8">
        <f>DATE(2012,12,31)-1309</f>
        <v>39965</v>
      </c>
      <c r="B6041" s="8">
        <f>DATE(2012,12,31)-1309</f>
        <v>39965</v>
      </c>
      <c r="C6041" s="9" t="s">
        <v>1290</v>
      </c>
      <c r="D6041">
        <v>10021711084</v>
      </c>
      <c r="E6041" t="s">
        <v>47</v>
      </c>
      <c r="F6041" t="s">
        <v>527</v>
      </c>
      <c r="G6041" t="s">
        <v>528</v>
      </c>
      <c r="H6041" t="s">
        <v>2454</v>
      </c>
      <c r="I6041" t="s">
        <v>2455</v>
      </c>
      <c r="J6041" t="s">
        <v>52</v>
      </c>
      <c r="K6041" s="3">
        <v>100431888264</v>
      </c>
      <c r="L6041" s="10">
        <v>39966</v>
      </c>
      <c r="M6041">
        <v>24.32</v>
      </c>
      <c r="N6041" s="11">
        <v>4</v>
      </c>
      <c r="O6041" s="12">
        <v>4.71</v>
      </c>
      <c r="P6041" s="12">
        <v>0.7</v>
      </c>
      <c r="Q6041" s="13">
        <v>-2.97</v>
      </c>
      <c r="R6041" s="36" t="s">
        <v>353</v>
      </c>
      <c r="S6041" s="7">
        <f t="shared" si="524"/>
        <v>1</v>
      </c>
      <c r="T6041" s="15" t="str">
        <f>VLOOKUP(R6041,产品分类!$C$2:$D$1278,2,0)</f>
        <v>办公用品</v>
      </c>
    </row>
    <row r="6042" spans="1:20">
      <c r="A6042" s="8">
        <f>DATE(2012,12,31)-1309</f>
        <v>39965</v>
      </c>
      <c r="B6042" s="8">
        <f>DATE(2012,12,31)-1309</f>
        <v>39965</v>
      </c>
      <c r="C6042" s="9" t="s">
        <v>1153</v>
      </c>
      <c r="D6042">
        <v>10021619983</v>
      </c>
      <c r="E6042" t="s">
        <v>47</v>
      </c>
      <c r="F6042" t="s">
        <v>171</v>
      </c>
      <c r="G6042" t="s">
        <v>172</v>
      </c>
      <c r="H6042" t="s">
        <v>2486</v>
      </c>
      <c r="I6042" t="s">
        <v>2310</v>
      </c>
      <c r="J6042" t="s">
        <v>52</v>
      </c>
      <c r="K6042" s="3">
        <v>10073669835</v>
      </c>
      <c r="L6042" s="10">
        <v>39966</v>
      </c>
      <c r="M6042">
        <v>344.301</v>
      </c>
      <c r="N6042" s="11">
        <v>7</v>
      </c>
      <c r="O6042" s="12">
        <v>55.99</v>
      </c>
      <c r="P6042" s="12">
        <v>1.25</v>
      </c>
      <c r="Q6042" s="13">
        <v>-22.902</v>
      </c>
      <c r="R6042" s="36" t="s">
        <v>202</v>
      </c>
      <c r="S6042" s="7">
        <f t="shared" si="524"/>
        <v>1</v>
      </c>
      <c r="T6042" s="15" t="str">
        <f>VLOOKUP(R6042,产品分类!$C$2:$D$1278,2,0)</f>
        <v>办公用品</v>
      </c>
    </row>
    <row r="6043" spans="1:20">
      <c r="A6043" s="16">
        <f>DATE(2012,12,31)-1107</f>
        <v>40167</v>
      </c>
      <c r="B6043" s="16">
        <f>DATE(2012,12,31)-1107</f>
        <v>40167</v>
      </c>
      <c r="C6043" s="9" t="s">
        <v>1230</v>
      </c>
      <c r="D6043">
        <v>10021260306</v>
      </c>
      <c r="E6043" t="s">
        <v>47</v>
      </c>
      <c r="F6043" t="s">
        <v>171</v>
      </c>
      <c r="G6043" t="s">
        <v>172</v>
      </c>
      <c r="H6043" t="s">
        <v>2486</v>
      </c>
      <c r="I6043" t="s">
        <v>2310</v>
      </c>
      <c r="J6043" t="s">
        <v>52</v>
      </c>
      <c r="K6043" s="3">
        <v>100128576516</v>
      </c>
      <c r="L6043" s="10">
        <v>40169</v>
      </c>
      <c r="M6043">
        <v>129.9</v>
      </c>
      <c r="N6043" s="17">
        <v>13</v>
      </c>
      <c r="O6043" s="5">
        <v>9.06</v>
      </c>
      <c r="P6043" s="5">
        <v>9.86</v>
      </c>
      <c r="Q6043" s="6">
        <v>-63.51</v>
      </c>
      <c r="R6043" s="37" t="s">
        <v>939</v>
      </c>
      <c r="S6043" s="7">
        <f t="shared" si="524"/>
        <v>2</v>
      </c>
      <c r="T6043" s="15" t="str">
        <f>VLOOKUP(R6043,产品分类!$C$2:$D$1278,2,0)</f>
        <v>办公用品</v>
      </c>
    </row>
    <row r="6044" spans="1:20">
      <c r="A6044" s="8">
        <f>DATE(2012,12,31)-542</f>
        <v>40732</v>
      </c>
      <c r="B6044" s="8">
        <f>DATE(2012,12,31)-542</f>
        <v>40732</v>
      </c>
      <c r="C6044" s="9" t="s">
        <v>1428</v>
      </c>
      <c r="D6044">
        <v>10021606514</v>
      </c>
      <c r="E6044" t="s">
        <v>47</v>
      </c>
      <c r="F6044" t="s">
        <v>171</v>
      </c>
      <c r="G6044" t="s">
        <v>172</v>
      </c>
      <c r="H6044" t="s">
        <v>2486</v>
      </c>
      <c r="I6044" t="s">
        <v>2310</v>
      </c>
      <c r="J6044" t="s">
        <v>52</v>
      </c>
      <c r="K6044" s="3">
        <v>100817516172</v>
      </c>
      <c r="L6044" s="10">
        <v>40734</v>
      </c>
      <c r="M6044">
        <v>135.38</v>
      </c>
      <c r="N6044" s="11">
        <v>17</v>
      </c>
      <c r="O6044" s="12">
        <v>7.98</v>
      </c>
      <c r="P6044" s="12">
        <v>6.5</v>
      </c>
      <c r="Q6044" s="13">
        <v>-71.12</v>
      </c>
      <c r="R6044" s="36" t="s">
        <v>487</v>
      </c>
      <c r="S6044" s="7">
        <f t="shared" si="524"/>
        <v>2</v>
      </c>
      <c r="T6044" s="15" t="str">
        <f>VLOOKUP(R6044,产品分类!$C$2:$D$1278,2,0)</f>
        <v>家具产品</v>
      </c>
    </row>
    <row r="6045" spans="1:20">
      <c r="A6045" s="8">
        <f>DATE(2012,12,31)-796</f>
        <v>40478</v>
      </c>
      <c r="B6045" s="8">
        <f>DATE(2012,12,31)-796</f>
        <v>40478</v>
      </c>
      <c r="C6045" s="9" t="s">
        <v>1428</v>
      </c>
      <c r="D6045">
        <v>10021711518</v>
      </c>
      <c r="E6045" t="s">
        <v>47</v>
      </c>
      <c r="F6045" t="s">
        <v>527</v>
      </c>
      <c r="G6045" t="s">
        <v>528</v>
      </c>
      <c r="H6045" t="s">
        <v>2454</v>
      </c>
      <c r="I6045" t="s">
        <v>2455</v>
      </c>
      <c r="J6045" t="s">
        <v>52</v>
      </c>
      <c r="K6045" s="3">
        <v>100432178144</v>
      </c>
      <c r="L6045" s="10">
        <v>40480</v>
      </c>
      <c r="M6045">
        <v>204.07</v>
      </c>
      <c r="N6045" s="11">
        <v>17</v>
      </c>
      <c r="O6045" s="12">
        <v>11.97</v>
      </c>
      <c r="P6045" s="12">
        <v>4.98</v>
      </c>
      <c r="Q6045" s="13">
        <v>-22.55</v>
      </c>
      <c r="R6045" s="36" t="s">
        <v>856</v>
      </c>
      <c r="S6045" s="7">
        <f t="shared" si="524"/>
        <v>2</v>
      </c>
      <c r="T6045" s="15" t="str">
        <f>VLOOKUP(R6045,产品分类!$C$2:$D$1278,2,0)</f>
        <v>数码电子</v>
      </c>
    </row>
    <row r="6046" spans="1:20">
      <c r="A6046" s="8">
        <f>DATE(2012,12,31)-1025</f>
        <v>40249</v>
      </c>
      <c r="B6046" s="8">
        <f>DATE(2012,12,31)-1025</f>
        <v>40249</v>
      </c>
      <c r="C6046" s="9" t="s">
        <v>1099</v>
      </c>
      <c r="D6046">
        <v>10021403051</v>
      </c>
      <c r="E6046" t="s">
        <v>47</v>
      </c>
      <c r="F6046" t="s">
        <v>183</v>
      </c>
      <c r="G6046" t="s">
        <v>184</v>
      </c>
      <c r="H6046" t="s">
        <v>2436</v>
      </c>
      <c r="I6046" t="s">
        <v>2277</v>
      </c>
      <c r="J6046" t="s">
        <v>52</v>
      </c>
      <c r="K6046" s="3">
        <v>10079792085</v>
      </c>
      <c r="L6046" s="10">
        <v>40249</v>
      </c>
      <c r="M6046">
        <v>12098.87</v>
      </c>
      <c r="N6046" s="11">
        <v>29</v>
      </c>
      <c r="O6046" s="12">
        <v>400.98</v>
      </c>
      <c r="P6046" s="12">
        <v>42.52</v>
      </c>
      <c r="Q6046" s="13">
        <v>-969.048366</v>
      </c>
      <c r="R6046" s="36" t="s">
        <v>2101</v>
      </c>
      <c r="S6046" s="7">
        <f t="shared" si="524"/>
        <v>0</v>
      </c>
      <c r="T6046" s="15" t="str">
        <f>VLOOKUP(R6046,产品分类!$C$2:$D$1278,2,0)</f>
        <v>办公用品</v>
      </c>
    </row>
    <row r="6047" spans="1:20">
      <c r="A6047" s="16">
        <f>DATE(2012,12,31)-358</f>
        <v>40916</v>
      </c>
      <c r="B6047" s="16">
        <f>DATE(2012,12,31)-358</f>
        <v>40916</v>
      </c>
      <c r="C6047" s="9" t="s">
        <v>238</v>
      </c>
      <c r="D6047">
        <v>10021509198</v>
      </c>
      <c r="E6047" t="s">
        <v>47</v>
      </c>
      <c r="F6047" t="s">
        <v>177</v>
      </c>
      <c r="G6047" t="s">
        <v>178</v>
      </c>
      <c r="H6047" t="s">
        <v>2451</v>
      </c>
      <c r="I6047" t="s">
        <v>2452</v>
      </c>
      <c r="J6047" t="s">
        <v>52</v>
      </c>
      <c r="K6047" s="3">
        <v>100732349685</v>
      </c>
      <c r="L6047" s="10">
        <v>40918</v>
      </c>
      <c r="M6047">
        <v>162.57</v>
      </c>
      <c r="N6047" s="17">
        <v>42</v>
      </c>
      <c r="O6047" s="5">
        <v>3.75</v>
      </c>
      <c r="P6047" s="5">
        <v>0.5</v>
      </c>
      <c r="Q6047" s="6">
        <v>75.8</v>
      </c>
      <c r="R6047" s="37" t="s">
        <v>1029</v>
      </c>
      <c r="S6047" s="7">
        <f t="shared" si="524"/>
        <v>2</v>
      </c>
      <c r="T6047" s="15" t="str">
        <f>VLOOKUP(R6047,产品分类!$C$2:$D$1278,2,0)</f>
        <v>家具产品</v>
      </c>
    </row>
    <row r="6048" spans="1:20">
      <c r="A6048" s="8">
        <f t="shared" ref="A6048:B6050" si="525">DATE(2012,12,31)-204</f>
        <v>41070</v>
      </c>
      <c r="B6048" s="8">
        <f t="shared" si="525"/>
        <v>41070</v>
      </c>
      <c r="C6048" s="9" t="s">
        <v>143</v>
      </c>
      <c r="D6048">
        <v>10021503177</v>
      </c>
      <c r="E6048" t="s">
        <v>47</v>
      </c>
      <c r="F6048" t="s">
        <v>167</v>
      </c>
      <c r="G6048" t="s">
        <v>168</v>
      </c>
      <c r="H6048" t="s">
        <v>169</v>
      </c>
      <c r="I6048" t="s">
        <v>168</v>
      </c>
      <c r="J6048" t="s">
        <v>52</v>
      </c>
      <c r="K6048" s="3">
        <v>10018913207</v>
      </c>
      <c r="L6048" s="10">
        <v>41071</v>
      </c>
      <c r="M6048">
        <v>35.68</v>
      </c>
      <c r="N6048" s="11">
        <v>3</v>
      </c>
      <c r="O6048" s="12">
        <v>9.78</v>
      </c>
      <c r="P6048" s="12">
        <v>5.76</v>
      </c>
      <c r="Q6048" s="13">
        <v>-11.43</v>
      </c>
      <c r="R6048" s="36" t="s">
        <v>1833</v>
      </c>
      <c r="S6048" s="7">
        <f t="shared" si="524"/>
        <v>1</v>
      </c>
      <c r="T6048" s="15" t="str">
        <f>VLOOKUP(R6048,产品分类!$C$2:$D$1278,2,0)</f>
        <v>办公用品</v>
      </c>
    </row>
    <row r="6049" spans="1:20">
      <c r="A6049" s="8">
        <f t="shared" si="525"/>
        <v>41070</v>
      </c>
      <c r="B6049" s="8">
        <f t="shared" si="525"/>
        <v>41070</v>
      </c>
      <c r="C6049" s="9" t="s">
        <v>419</v>
      </c>
      <c r="D6049">
        <v>10021662506</v>
      </c>
      <c r="E6049" t="s">
        <v>47</v>
      </c>
      <c r="F6049" t="s">
        <v>177</v>
      </c>
      <c r="G6049" t="s">
        <v>178</v>
      </c>
      <c r="H6049" t="s">
        <v>2451</v>
      </c>
      <c r="I6049" t="s">
        <v>2452</v>
      </c>
      <c r="J6049" t="s">
        <v>52</v>
      </c>
      <c r="K6049" s="3">
        <v>100322076779</v>
      </c>
      <c r="L6049" s="10">
        <v>41072</v>
      </c>
      <c r="M6049">
        <v>234.76</v>
      </c>
      <c r="N6049" s="11">
        <v>11</v>
      </c>
      <c r="O6049" s="12">
        <v>21.38</v>
      </c>
      <c r="P6049" s="12">
        <v>8.99</v>
      </c>
      <c r="Q6049" s="13">
        <v>-45.65</v>
      </c>
      <c r="R6049" s="36" t="s">
        <v>1048</v>
      </c>
      <c r="S6049" s="7">
        <f t="shared" si="524"/>
        <v>2</v>
      </c>
      <c r="T6049" s="15" t="str">
        <f>VLOOKUP(R6049,产品分类!$C$2:$D$1278,2,0)</f>
        <v>办公用品</v>
      </c>
    </row>
    <row r="6050" spans="1:20">
      <c r="A6050" s="8">
        <f t="shared" si="525"/>
        <v>41070</v>
      </c>
      <c r="B6050" s="8">
        <f t="shared" si="525"/>
        <v>41070</v>
      </c>
      <c r="C6050" s="9" t="s">
        <v>2410</v>
      </c>
      <c r="D6050">
        <v>10021300589</v>
      </c>
      <c r="E6050" t="s">
        <v>47</v>
      </c>
      <c r="F6050" t="s">
        <v>127</v>
      </c>
      <c r="G6050" t="s">
        <v>128</v>
      </c>
      <c r="H6050" t="s">
        <v>2462</v>
      </c>
      <c r="I6050" t="s">
        <v>2463</v>
      </c>
      <c r="J6050" t="s">
        <v>52</v>
      </c>
      <c r="K6050" s="3">
        <v>100429575183</v>
      </c>
      <c r="L6050" s="10">
        <v>41072</v>
      </c>
      <c r="M6050">
        <v>498.49</v>
      </c>
      <c r="N6050" s="11">
        <v>3</v>
      </c>
      <c r="O6050" s="12">
        <v>145.98</v>
      </c>
      <c r="P6050" s="12">
        <v>51.92</v>
      </c>
      <c r="Q6050" s="13">
        <v>-251.41</v>
      </c>
      <c r="R6050" s="36" t="s">
        <v>1027</v>
      </c>
      <c r="S6050" s="7">
        <f t="shared" si="524"/>
        <v>2</v>
      </c>
      <c r="T6050" s="15" t="str">
        <f>VLOOKUP(R6050,产品分类!$C$2:$D$1278,2,0)</f>
        <v>数码电子</v>
      </c>
    </row>
    <row r="6051" spans="1:20">
      <c r="A6051" s="8">
        <f>DATE(2012,12,31)-972</f>
        <v>40302</v>
      </c>
      <c r="B6051" s="8">
        <f>DATE(2012,12,31)-972</f>
        <v>40302</v>
      </c>
      <c r="C6051" s="9" t="s">
        <v>1866</v>
      </c>
      <c r="D6051">
        <v>10021624049</v>
      </c>
      <c r="E6051" t="s">
        <v>47</v>
      </c>
      <c r="F6051" t="s">
        <v>167</v>
      </c>
      <c r="G6051" t="s">
        <v>168</v>
      </c>
      <c r="H6051" t="s">
        <v>169</v>
      </c>
      <c r="I6051" t="s">
        <v>168</v>
      </c>
      <c r="J6051" t="s">
        <v>52</v>
      </c>
      <c r="K6051" s="3">
        <v>100823775682</v>
      </c>
      <c r="L6051" s="10">
        <v>40304</v>
      </c>
      <c r="M6051">
        <v>52.59</v>
      </c>
      <c r="N6051" s="11">
        <v>4</v>
      </c>
      <c r="O6051" s="12">
        <v>11.35</v>
      </c>
      <c r="P6051" s="12">
        <v>8.6</v>
      </c>
      <c r="Q6051" s="13">
        <v>-30.39</v>
      </c>
      <c r="R6051" s="36" t="s">
        <v>962</v>
      </c>
      <c r="S6051" s="7">
        <f t="shared" si="524"/>
        <v>2</v>
      </c>
      <c r="T6051" s="15" t="str">
        <f>VLOOKUP(R6051,产品分类!$C$2:$D$1278,2,0)</f>
        <v>家具产品</v>
      </c>
    </row>
    <row r="6052" spans="1:20">
      <c r="A6052" s="8">
        <f t="shared" ref="A6052:B6054" si="526">DATE(2012,12,31)-589</f>
        <v>40685</v>
      </c>
      <c r="B6052" s="8">
        <f t="shared" si="526"/>
        <v>40685</v>
      </c>
      <c r="C6052" s="9" t="s">
        <v>1866</v>
      </c>
      <c r="D6052">
        <v>10021430490</v>
      </c>
      <c r="E6052" t="s">
        <v>47</v>
      </c>
      <c r="F6052" t="s">
        <v>177</v>
      </c>
      <c r="G6052" t="s">
        <v>178</v>
      </c>
      <c r="H6052" t="s">
        <v>2492</v>
      </c>
      <c r="I6052" t="s">
        <v>2493</v>
      </c>
      <c r="J6052" t="s">
        <v>52</v>
      </c>
      <c r="K6052" s="3">
        <v>100116616127</v>
      </c>
      <c r="L6052" s="10">
        <v>40687</v>
      </c>
      <c r="M6052">
        <v>648.26</v>
      </c>
      <c r="N6052" s="11">
        <v>46</v>
      </c>
      <c r="O6052" s="12">
        <v>14.27</v>
      </c>
      <c r="P6052" s="12">
        <v>7.27</v>
      </c>
      <c r="Q6052" s="13">
        <v>30.481</v>
      </c>
      <c r="R6052" s="36" t="s">
        <v>993</v>
      </c>
      <c r="S6052" s="7">
        <f t="shared" si="524"/>
        <v>2</v>
      </c>
      <c r="T6052" s="15" t="str">
        <f>VLOOKUP(R6052,产品分类!$C$2:$D$1278,2,0)</f>
        <v>数码电子</v>
      </c>
    </row>
    <row r="6053" spans="1:20">
      <c r="A6053" s="8">
        <f t="shared" si="526"/>
        <v>40685</v>
      </c>
      <c r="B6053" s="8">
        <f t="shared" si="526"/>
        <v>40685</v>
      </c>
      <c r="C6053" s="9" t="s">
        <v>1866</v>
      </c>
      <c r="D6053">
        <v>10021451768</v>
      </c>
      <c r="E6053" t="s">
        <v>47</v>
      </c>
      <c r="F6053" t="s">
        <v>167</v>
      </c>
      <c r="G6053" t="s">
        <v>168</v>
      </c>
      <c r="H6053" t="s">
        <v>169</v>
      </c>
      <c r="I6053" t="s">
        <v>168</v>
      </c>
      <c r="J6053" t="s">
        <v>52</v>
      </c>
      <c r="K6053" s="3">
        <v>100123239056</v>
      </c>
      <c r="L6053" s="10">
        <v>40687</v>
      </c>
      <c r="M6053">
        <v>410.43</v>
      </c>
      <c r="N6053" s="11">
        <v>46</v>
      </c>
      <c r="O6053" s="12">
        <v>9.49</v>
      </c>
      <c r="P6053" s="12">
        <v>5.76</v>
      </c>
      <c r="Q6053" s="13">
        <v>-54.5838</v>
      </c>
      <c r="R6053" s="36" t="s">
        <v>955</v>
      </c>
      <c r="S6053" s="7">
        <f t="shared" si="524"/>
        <v>2</v>
      </c>
      <c r="T6053" s="15" t="str">
        <f>VLOOKUP(R6053,产品分类!$C$2:$D$1278,2,0)</f>
        <v>办公用品</v>
      </c>
    </row>
    <row r="6054" spans="1:20">
      <c r="A6054" s="16">
        <f t="shared" si="526"/>
        <v>40685</v>
      </c>
      <c r="B6054" s="16">
        <f t="shared" si="526"/>
        <v>40685</v>
      </c>
      <c r="C6054" s="9" t="s">
        <v>1558</v>
      </c>
      <c r="D6054">
        <v>10021252829</v>
      </c>
      <c r="E6054" t="s">
        <v>47</v>
      </c>
      <c r="F6054" t="s">
        <v>183</v>
      </c>
      <c r="G6054" t="s">
        <v>184</v>
      </c>
      <c r="H6054" t="s">
        <v>2436</v>
      </c>
      <c r="I6054" t="s">
        <v>2277</v>
      </c>
      <c r="J6054" t="s">
        <v>52</v>
      </c>
      <c r="K6054" s="3">
        <v>100715403025</v>
      </c>
      <c r="L6054" s="10">
        <v>40687</v>
      </c>
      <c r="M6054">
        <v>468.95</v>
      </c>
      <c r="N6054" s="17">
        <v>38</v>
      </c>
      <c r="O6054" s="5">
        <v>11.5</v>
      </c>
      <c r="P6054" s="5">
        <v>7.19</v>
      </c>
      <c r="Q6054" s="6">
        <v>-2.3805</v>
      </c>
      <c r="R6054" s="37" t="s">
        <v>1735</v>
      </c>
      <c r="S6054" s="7">
        <f t="shared" si="524"/>
        <v>2</v>
      </c>
      <c r="T6054" s="15" t="str">
        <f>VLOOKUP(R6054,产品分类!$C$2:$D$1278,2,0)</f>
        <v>办公用品</v>
      </c>
    </row>
    <row r="6055" spans="1:20">
      <c r="A6055" s="8">
        <f>DATE(2012,12,31)-452</f>
        <v>40822</v>
      </c>
      <c r="B6055" s="8">
        <f>DATE(2012,12,31)-452</f>
        <v>40822</v>
      </c>
      <c r="C6055" s="9" t="s">
        <v>877</v>
      </c>
      <c r="D6055">
        <v>10021575668</v>
      </c>
      <c r="E6055" t="s">
        <v>47</v>
      </c>
      <c r="F6055" t="s">
        <v>177</v>
      </c>
      <c r="G6055" t="s">
        <v>178</v>
      </c>
      <c r="H6055" t="s">
        <v>2492</v>
      </c>
      <c r="I6055" t="s">
        <v>2493</v>
      </c>
      <c r="J6055" t="s">
        <v>52</v>
      </c>
      <c r="K6055" s="3">
        <v>100110084467</v>
      </c>
      <c r="L6055" s="10">
        <v>40823</v>
      </c>
      <c r="M6055">
        <v>1143.4285</v>
      </c>
      <c r="N6055" s="11">
        <v>7</v>
      </c>
      <c r="O6055" s="12">
        <v>195.99</v>
      </c>
      <c r="P6055" s="12">
        <v>4.2</v>
      </c>
      <c r="Q6055" s="13">
        <v>-475.662</v>
      </c>
      <c r="R6055" s="36" t="s">
        <v>1287</v>
      </c>
      <c r="S6055" s="7">
        <f t="shared" si="524"/>
        <v>1</v>
      </c>
      <c r="T6055" s="15" t="str">
        <f>VLOOKUP(R6055,产品分类!$C$2:$D$1278,2,0)</f>
        <v>家具产品</v>
      </c>
    </row>
    <row r="6056" spans="1:20">
      <c r="A6056" s="8">
        <f>DATE(2012,12,31)-43</f>
        <v>41231</v>
      </c>
      <c r="B6056" s="8">
        <f>DATE(2012,12,31)-43</f>
        <v>41231</v>
      </c>
      <c r="C6056" s="9" t="s">
        <v>877</v>
      </c>
      <c r="D6056">
        <v>10021666172</v>
      </c>
      <c r="E6056" t="s">
        <v>47</v>
      </c>
      <c r="F6056" t="s">
        <v>61</v>
      </c>
      <c r="G6056" t="s">
        <v>62</v>
      </c>
      <c r="H6056" t="s">
        <v>2431</v>
      </c>
      <c r="I6056" t="s">
        <v>2432</v>
      </c>
      <c r="J6056" t="s">
        <v>52</v>
      </c>
      <c r="K6056" s="3">
        <v>100927042781</v>
      </c>
      <c r="L6056" s="10">
        <v>41232</v>
      </c>
      <c r="M6056">
        <v>9750.55</v>
      </c>
      <c r="N6056" s="11">
        <v>43</v>
      </c>
      <c r="O6056" s="12">
        <v>216.6</v>
      </c>
      <c r="P6056" s="12">
        <v>64.2</v>
      </c>
      <c r="Q6056" s="13">
        <v>1061.61</v>
      </c>
      <c r="R6056" s="36" t="s">
        <v>2107</v>
      </c>
      <c r="S6056" s="7">
        <f t="shared" si="524"/>
        <v>1</v>
      </c>
      <c r="T6056" s="15" t="str">
        <f>VLOOKUP(R6056,产品分类!$C$2:$D$1278,2,0)</f>
        <v>办公用品</v>
      </c>
    </row>
    <row r="6057" spans="1:20">
      <c r="A6057" s="16">
        <f>DATE(2012,12,31)-2</f>
        <v>41272</v>
      </c>
      <c r="B6057" s="16">
        <f>DATE(2012,12,31)-2</f>
        <v>41272</v>
      </c>
      <c r="C6057" s="9" t="s">
        <v>877</v>
      </c>
      <c r="D6057">
        <v>10021688138</v>
      </c>
      <c r="E6057" t="s">
        <v>47</v>
      </c>
      <c r="F6057" t="s">
        <v>61</v>
      </c>
      <c r="G6057" t="s">
        <v>62</v>
      </c>
      <c r="H6057" t="s">
        <v>2431</v>
      </c>
      <c r="I6057" t="s">
        <v>2432</v>
      </c>
      <c r="J6057" t="s">
        <v>52</v>
      </c>
      <c r="K6057" s="3">
        <v>10099547501</v>
      </c>
      <c r="L6057" s="10">
        <v>41272</v>
      </c>
      <c r="M6057">
        <v>178.7</v>
      </c>
      <c r="N6057" s="17">
        <v>45</v>
      </c>
      <c r="O6057" s="5">
        <v>3.95</v>
      </c>
      <c r="P6057" s="5">
        <v>5.13</v>
      </c>
      <c r="Q6057" s="6">
        <v>-164.92</v>
      </c>
      <c r="R6057" s="37" t="s">
        <v>633</v>
      </c>
      <c r="S6057" s="7">
        <f t="shared" si="524"/>
        <v>0</v>
      </c>
      <c r="T6057" s="15" t="str">
        <f>VLOOKUP(R6057,产品分类!$C$2:$D$1278,2,0)</f>
        <v>家具产品</v>
      </c>
    </row>
    <row r="6058" spans="1:20">
      <c r="A6058" s="8">
        <f>DATE(2012,12,31)-106</f>
        <v>41168</v>
      </c>
      <c r="B6058" s="8">
        <f>DATE(2012,12,31)-106</f>
        <v>41168</v>
      </c>
      <c r="C6058" s="9" t="s">
        <v>1781</v>
      </c>
      <c r="D6058">
        <v>10021656922</v>
      </c>
      <c r="E6058" t="s">
        <v>47</v>
      </c>
      <c r="F6058" t="s">
        <v>83</v>
      </c>
      <c r="G6058" t="s">
        <v>84</v>
      </c>
      <c r="H6058" t="s">
        <v>2349</v>
      </c>
      <c r="I6058" t="s">
        <v>2350</v>
      </c>
      <c r="J6058" t="s">
        <v>52</v>
      </c>
      <c r="K6058" s="3">
        <v>10094404171</v>
      </c>
      <c r="L6058" s="10">
        <v>41170</v>
      </c>
      <c r="M6058">
        <v>2104.991</v>
      </c>
      <c r="N6058" s="11">
        <v>20</v>
      </c>
      <c r="O6058" s="12">
        <v>125.99</v>
      </c>
      <c r="P6058" s="12">
        <v>8.8</v>
      </c>
      <c r="Q6058" s="13">
        <v>165.447</v>
      </c>
      <c r="R6058" s="36" t="s">
        <v>1279</v>
      </c>
      <c r="S6058" s="7">
        <f t="shared" si="524"/>
        <v>2</v>
      </c>
      <c r="T6058" s="15" t="str">
        <f>VLOOKUP(R6058,产品分类!$C$2:$D$1278,2,0)</f>
        <v>家具产品</v>
      </c>
    </row>
    <row r="6059" spans="1:20">
      <c r="A6059" s="8">
        <f>DATE(2012,12,31)-610</f>
        <v>40664</v>
      </c>
      <c r="B6059" s="8">
        <f>DATE(2012,12,31)-610</f>
        <v>40664</v>
      </c>
      <c r="C6059" s="9" t="s">
        <v>1168</v>
      </c>
      <c r="D6059">
        <v>10021507235</v>
      </c>
      <c r="E6059" t="s">
        <v>47</v>
      </c>
      <c r="F6059" t="s">
        <v>342</v>
      </c>
      <c r="G6059" t="s">
        <v>343</v>
      </c>
      <c r="H6059" t="s">
        <v>2429</v>
      </c>
      <c r="I6059" t="s">
        <v>2430</v>
      </c>
      <c r="J6059" t="s">
        <v>52</v>
      </c>
      <c r="K6059" s="3">
        <v>100922416131</v>
      </c>
      <c r="L6059" s="10">
        <v>40666</v>
      </c>
      <c r="M6059">
        <v>2770.79</v>
      </c>
      <c r="N6059" s="11">
        <v>29</v>
      </c>
      <c r="O6059" s="12">
        <v>90.98</v>
      </c>
      <c r="P6059" s="12">
        <v>30</v>
      </c>
      <c r="Q6059" s="13">
        <v>109.39</v>
      </c>
      <c r="R6059" s="36" t="s">
        <v>898</v>
      </c>
      <c r="S6059" s="7">
        <f t="shared" si="524"/>
        <v>2</v>
      </c>
      <c r="T6059" s="15" t="str">
        <f>VLOOKUP(R6059,产品分类!$C$2:$D$1278,2,0)</f>
        <v>数码电子</v>
      </c>
    </row>
    <row r="6060" spans="1:20">
      <c r="A6060" s="8">
        <f>DATE(2012,12,31)-1311</f>
        <v>39963</v>
      </c>
      <c r="B6060" s="8">
        <f>DATE(2012,12,31)-1311</f>
        <v>39963</v>
      </c>
      <c r="C6060" s="9" t="s">
        <v>686</v>
      </c>
      <c r="D6060">
        <v>10021529768</v>
      </c>
      <c r="E6060" t="s">
        <v>47</v>
      </c>
      <c r="F6060" t="s">
        <v>167</v>
      </c>
      <c r="G6060" t="s">
        <v>168</v>
      </c>
      <c r="H6060" t="s">
        <v>169</v>
      </c>
      <c r="I6060" t="s">
        <v>168</v>
      </c>
      <c r="J6060" t="s">
        <v>52</v>
      </c>
      <c r="K6060" s="3">
        <v>100129449417</v>
      </c>
      <c r="L6060" s="10">
        <v>39965</v>
      </c>
      <c r="M6060">
        <v>3510.82</v>
      </c>
      <c r="N6060" s="11">
        <v>4</v>
      </c>
      <c r="O6060" s="12">
        <v>896.99</v>
      </c>
      <c r="P6060" s="12">
        <v>19.99</v>
      </c>
      <c r="Q6060" s="13">
        <v>232.441</v>
      </c>
      <c r="R6060" s="36" t="s">
        <v>599</v>
      </c>
      <c r="S6060" s="7">
        <f t="shared" si="524"/>
        <v>2</v>
      </c>
      <c r="T6060" s="15" t="str">
        <f>VLOOKUP(R6060,产品分类!$C$2:$D$1278,2,0)</f>
        <v>办公用品</v>
      </c>
    </row>
    <row r="6061" spans="1:20">
      <c r="A6061" s="8">
        <f>DATE(2012,12,31)-157</f>
        <v>41117</v>
      </c>
      <c r="B6061" s="8">
        <f>DATE(2012,12,31)-157</f>
        <v>41117</v>
      </c>
      <c r="C6061" s="9" t="s">
        <v>1399</v>
      </c>
      <c r="D6061">
        <v>10021530405</v>
      </c>
      <c r="E6061" t="s">
        <v>47</v>
      </c>
      <c r="F6061" t="s">
        <v>55</v>
      </c>
      <c r="G6061" t="s">
        <v>56</v>
      </c>
      <c r="H6061" t="s">
        <v>2471</v>
      </c>
      <c r="I6061" t="s">
        <v>2472</v>
      </c>
      <c r="J6061" t="s">
        <v>52</v>
      </c>
      <c r="K6061" s="3">
        <v>100821517572</v>
      </c>
      <c r="L6061" s="10">
        <v>41126</v>
      </c>
      <c r="M6061">
        <v>1318.34</v>
      </c>
      <c r="N6061" s="11">
        <v>12</v>
      </c>
      <c r="O6061" s="12">
        <v>105.34</v>
      </c>
      <c r="P6061" s="12">
        <v>24.49</v>
      </c>
      <c r="Q6061" s="13">
        <v>464.05</v>
      </c>
      <c r="R6061" s="36" t="s">
        <v>1051</v>
      </c>
      <c r="S6061" s="7">
        <f t="shared" si="524"/>
        <v>9</v>
      </c>
      <c r="T6061" s="15" t="str">
        <f>VLOOKUP(R6061,产品分类!$C$2:$D$1278,2,0)</f>
        <v>家具产品</v>
      </c>
    </row>
    <row r="6062" spans="1:20">
      <c r="A6062" s="8">
        <f>DATE(2012,12,31)-157</f>
        <v>41117</v>
      </c>
      <c r="B6062" s="8">
        <f>DATE(2012,12,31)-157</f>
        <v>41117</v>
      </c>
      <c r="C6062" s="9" t="s">
        <v>1546</v>
      </c>
      <c r="D6062">
        <v>10021344506</v>
      </c>
      <c r="E6062" t="s">
        <v>47</v>
      </c>
      <c r="F6062" t="s">
        <v>61</v>
      </c>
      <c r="G6062" t="s">
        <v>62</v>
      </c>
      <c r="H6062" t="s">
        <v>2431</v>
      </c>
      <c r="I6062" t="s">
        <v>2432</v>
      </c>
      <c r="J6062" t="s">
        <v>52</v>
      </c>
      <c r="K6062" s="3">
        <v>100929545681</v>
      </c>
      <c r="L6062" s="10">
        <v>41122</v>
      </c>
      <c r="M6062">
        <v>1587.59</v>
      </c>
      <c r="N6062" s="11">
        <v>42</v>
      </c>
      <c r="O6062" s="12">
        <v>39.89</v>
      </c>
      <c r="P6062" s="12">
        <v>3.04</v>
      </c>
      <c r="Q6062" s="13">
        <v>651.74</v>
      </c>
      <c r="R6062" s="36" t="s">
        <v>2494</v>
      </c>
      <c r="S6062" s="7">
        <f t="shared" si="524"/>
        <v>5</v>
      </c>
      <c r="T6062" s="15" t="str">
        <f>VLOOKUP(R6062,产品分类!$C$2:$D$1278,2,0)</f>
        <v>数码电子</v>
      </c>
    </row>
    <row r="6063" spans="1:20">
      <c r="A6063" s="8">
        <f>DATE(2012,12,31)-83</f>
        <v>41191</v>
      </c>
      <c r="B6063" s="8">
        <f>DATE(2012,12,31)-83</f>
        <v>41191</v>
      </c>
      <c r="C6063" s="9" t="s">
        <v>1546</v>
      </c>
      <c r="D6063">
        <v>10021668054</v>
      </c>
      <c r="E6063" t="s">
        <v>47</v>
      </c>
      <c r="F6063" t="s">
        <v>61</v>
      </c>
      <c r="G6063" t="s">
        <v>62</v>
      </c>
      <c r="H6063" t="s">
        <v>2431</v>
      </c>
      <c r="I6063" t="s">
        <v>2432</v>
      </c>
      <c r="J6063" t="s">
        <v>52</v>
      </c>
      <c r="K6063" s="3">
        <v>100828751872</v>
      </c>
      <c r="L6063" s="10">
        <v>41191</v>
      </c>
      <c r="M6063">
        <v>233.2</v>
      </c>
      <c r="N6063" s="11">
        <v>40</v>
      </c>
      <c r="O6063" s="12">
        <v>5.68</v>
      </c>
      <c r="P6063" s="12">
        <v>1.46</v>
      </c>
      <c r="Q6063" s="13">
        <v>74.83</v>
      </c>
      <c r="R6063" s="36" t="s">
        <v>2422</v>
      </c>
      <c r="S6063" s="7">
        <f t="shared" si="524"/>
        <v>0</v>
      </c>
      <c r="T6063" s="15" t="str">
        <f>VLOOKUP(R6063,产品分类!$C$2:$D$1278,2,0)</f>
        <v>家具产品</v>
      </c>
    </row>
    <row r="6064" spans="1:20">
      <c r="A6064" s="8">
        <f>DATE(2012,12,31)-83</f>
        <v>41191</v>
      </c>
      <c r="B6064" s="8">
        <f>DATE(2012,12,31)-83</f>
        <v>41191</v>
      </c>
      <c r="C6064" s="9" t="s">
        <v>1132</v>
      </c>
      <c r="D6064">
        <v>10021428104</v>
      </c>
      <c r="E6064" t="s">
        <v>47</v>
      </c>
      <c r="F6064" t="s">
        <v>55</v>
      </c>
      <c r="G6064" t="s">
        <v>56</v>
      </c>
      <c r="H6064" t="s">
        <v>2471</v>
      </c>
      <c r="I6064" t="s">
        <v>2472</v>
      </c>
      <c r="J6064" t="s">
        <v>52</v>
      </c>
      <c r="K6064" s="3">
        <v>100431025054</v>
      </c>
      <c r="L6064" s="10">
        <v>41193</v>
      </c>
      <c r="M6064">
        <v>245.53</v>
      </c>
      <c r="N6064" s="11">
        <v>24</v>
      </c>
      <c r="O6064" s="12">
        <v>10.14</v>
      </c>
      <c r="P6064" s="12">
        <v>2.27</v>
      </c>
      <c r="Q6064" s="13">
        <v>83.16</v>
      </c>
      <c r="R6064" s="36" t="s">
        <v>718</v>
      </c>
      <c r="S6064" s="7">
        <f t="shared" si="524"/>
        <v>2</v>
      </c>
      <c r="T6064" s="15" t="str">
        <f>VLOOKUP(R6064,产品分类!$C$2:$D$1278,2,0)</f>
        <v>数码电子</v>
      </c>
    </row>
    <row r="6065" spans="1:20">
      <c r="A6065" s="8">
        <f>DATE(2012,12,31)-619</f>
        <v>40655</v>
      </c>
      <c r="B6065" s="8">
        <f>DATE(2012,12,31)-619</f>
        <v>40655</v>
      </c>
      <c r="C6065" s="9" t="s">
        <v>2427</v>
      </c>
      <c r="D6065">
        <v>10021387164</v>
      </c>
      <c r="E6065" t="s">
        <v>47</v>
      </c>
      <c r="F6065" t="s">
        <v>61</v>
      </c>
      <c r="G6065" t="s">
        <v>62</v>
      </c>
      <c r="H6065" t="s">
        <v>2431</v>
      </c>
      <c r="I6065" t="s">
        <v>2432</v>
      </c>
      <c r="J6065" t="s">
        <v>52</v>
      </c>
      <c r="K6065" s="3">
        <v>100716485385</v>
      </c>
      <c r="L6065" s="10">
        <v>40659</v>
      </c>
      <c r="M6065">
        <v>2437.67</v>
      </c>
      <c r="N6065" s="11">
        <v>50</v>
      </c>
      <c r="O6065" s="12">
        <v>50.98</v>
      </c>
      <c r="P6065" s="12">
        <v>22.24</v>
      </c>
      <c r="Q6065" s="13">
        <v>25.68</v>
      </c>
      <c r="R6065" s="36" t="s">
        <v>570</v>
      </c>
      <c r="S6065" s="7">
        <f t="shared" si="524"/>
        <v>4</v>
      </c>
      <c r="T6065" s="15" t="str">
        <f>VLOOKUP(R6065,产品分类!$C$2:$D$1278,2,0)</f>
        <v>办公用品</v>
      </c>
    </row>
    <row r="6066" spans="1:20">
      <c r="A6066" s="8">
        <f>DATE(2012,12,31)-619</f>
        <v>40655</v>
      </c>
      <c r="B6066" s="8">
        <f>DATE(2012,12,31)-619</f>
        <v>40655</v>
      </c>
      <c r="C6066" s="9" t="s">
        <v>781</v>
      </c>
      <c r="D6066">
        <v>10021703892</v>
      </c>
      <c r="E6066" t="s">
        <v>47</v>
      </c>
      <c r="F6066" t="s">
        <v>61</v>
      </c>
      <c r="G6066" t="s">
        <v>62</v>
      </c>
      <c r="H6066" t="s">
        <v>2431</v>
      </c>
      <c r="I6066" t="s">
        <v>2432</v>
      </c>
      <c r="J6066" t="s">
        <v>52</v>
      </c>
      <c r="K6066" s="3">
        <v>100915693331</v>
      </c>
      <c r="L6066" s="10">
        <v>40660</v>
      </c>
      <c r="M6066">
        <v>1438.33</v>
      </c>
      <c r="N6066" s="11">
        <v>43</v>
      </c>
      <c r="O6066" s="12">
        <v>34.76</v>
      </c>
      <c r="P6066" s="12">
        <v>8.22</v>
      </c>
      <c r="Q6066" s="13">
        <v>163.38</v>
      </c>
      <c r="R6066" s="36" t="s">
        <v>658</v>
      </c>
      <c r="S6066" s="7">
        <f t="shared" si="524"/>
        <v>5</v>
      </c>
      <c r="T6066" s="15" t="str">
        <f>VLOOKUP(R6066,产品分类!$C$2:$D$1278,2,0)</f>
        <v>办公用品</v>
      </c>
    </row>
    <row r="6067" spans="1:20">
      <c r="A6067" s="8">
        <f>DATE(2012,12,31)-261</f>
        <v>41013</v>
      </c>
      <c r="B6067" s="8">
        <f>DATE(2012,12,31)-261</f>
        <v>41013</v>
      </c>
      <c r="C6067" s="9" t="s">
        <v>562</v>
      </c>
      <c r="D6067">
        <v>10021423755</v>
      </c>
      <c r="E6067" t="s">
        <v>47</v>
      </c>
      <c r="F6067" t="s">
        <v>61</v>
      </c>
      <c r="G6067" t="s">
        <v>62</v>
      </c>
      <c r="H6067" t="s">
        <v>2431</v>
      </c>
      <c r="I6067" t="s">
        <v>2432</v>
      </c>
      <c r="J6067" t="s">
        <v>52</v>
      </c>
      <c r="K6067" s="3">
        <v>100128287337</v>
      </c>
      <c r="L6067" s="10">
        <v>41015</v>
      </c>
      <c r="M6067">
        <v>904.12</v>
      </c>
      <c r="N6067" s="11">
        <v>4</v>
      </c>
      <c r="O6067" s="12">
        <v>225.04</v>
      </c>
      <c r="P6067" s="12">
        <v>11.79</v>
      </c>
      <c r="Q6067" s="13">
        <v>28.81</v>
      </c>
      <c r="R6067" s="36" t="s">
        <v>444</v>
      </c>
      <c r="S6067" s="7">
        <f t="shared" si="524"/>
        <v>2</v>
      </c>
      <c r="T6067" s="15" t="str">
        <f>VLOOKUP(R6067,产品分类!$C$2:$D$1278,2,0)</f>
        <v>办公用品</v>
      </c>
    </row>
    <row r="6068" spans="1:20">
      <c r="A6068" s="8">
        <f>DATE(2012,12,31)-200</f>
        <v>41074</v>
      </c>
      <c r="B6068" s="8">
        <f>DATE(2012,12,31)-200</f>
        <v>41074</v>
      </c>
      <c r="C6068" s="9" t="s">
        <v>1099</v>
      </c>
      <c r="D6068">
        <v>10021422571</v>
      </c>
      <c r="E6068" t="s">
        <v>47</v>
      </c>
      <c r="F6068" t="s">
        <v>61</v>
      </c>
      <c r="G6068" t="s">
        <v>62</v>
      </c>
      <c r="H6068" t="s">
        <v>2431</v>
      </c>
      <c r="I6068" t="s">
        <v>2432</v>
      </c>
      <c r="J6068" t="s">
        <v>52</v>
      </c>
      <c r="K6068" s="3">
        <v>100125693366</v>
      </c>
      <c r="L6068" s="10">
        <v>41076</v>
      </c>
      <c r="M6068">
        <v>5301.2</v>
      </c>
      <c r="N6068" s="11">
        <v>47</v>
      </c>
      <c r="O6068" s="12">
        <v>105.29</v>
      </c>
      <c r="P6068" s="12">
        <v>10.12</v>
      </c>
      <c r="Q6068" s="13">
        <v>1126.72</v>
      </c>
      <c r="R6068" s="36" t="s">
        <v>1441</v>
      </c>
      <c r="S6068" s="7">
        <f t="shared" si="524"/>
        <v>2</v>
      </c>
      <c r="T6068" s="15" t="str">
        <f>VLOOKUP(R6068,产品分类!$C$2:$D$1278,2,0)</f>
        <v>办公用品</v>
      </c>
    </row>
    <row r="6069" spans="1:20">
      <c r="A6069" s="8">
        <f>DATE(2012,12,31)-200</f>
        <v>41074</v>
      </c>
      <c r="B6069" s="8">
        <f>DATE(2012,12,31)-200</f>
        <v>41074</v>
      </c>
      <c r="C6069" s="9" t="s">
        <v>1099</v>
      </c>
      <c r="D6069">
        <v>10021259818</v>
      </c>
      <c r="E6069" t="s">
        <v>47</v>
      </c>
      <c r="F6069" t="s">
        <v>61</v>
      </c>
      <c r="G6069" t="s">
        <v>62</v>
      </c>
      <c r="H6069" t="s">
        <v>2431</v>
      </c>
      <c r="I6069" t="s">
        <v>2432</v>
      </c>
      <c r="J6069" t="s">
        <v>52</v>
      </c>
      <c r="K6069" s="3">
        <v>100428080714</v>
      </c>
      <c r="L6069" s="10">
        <v>41074</v>
      </c>
      <c r="M6069">
        <v>418.44</v>
      </c>
      <c r="N6069" s="11">
        <v>12</v>
      </c>
      <c r="O6069" s="12">
        <v>31.76</v>
      </c>
      <c r="P6069" s="12">
        <v>45.51</v>
      </c>
      <c r="Q6069" s="13">
        <v>-407.17</v>
      </c>
      <c r="R6069" s="36" t="s">
        <v>402</v>
      </c>
      <c r="S6069" s="7">
        <f t="shared" si="524"/>
        <v>0</v>
      </c>
      <c r="T6069" s="15" t="str">
        <f>VLOOKUP(R6069,产品分类!$C$2:$D$1278,2,0)</f>
        <v>办公用品</v>
      </c>
    </row>
    <row r="6070" spans="1:20">
      <c r="A6070" s="8">
        <f>DATE(2012,12,31)-929</f>
        <v>40345</v>
      </c>
      <c r="B6070" s="8">
        <f>DATE(2012,12,31)-929</f>
        <v>40345</v>
      </c>
      <c r="C6070" s="9" t="s">
        <v>825</v>
      </c>
      <c r="D6070">
        <v>10021414750</v>
      </c>
      <c r="E6070" t="s">
        <v>47</v>
      </c>
      <c r="F6070" t="s">
        <v>61</v>
      </c>
      <c r="G6070" t="s">
        <v>62</v>
      </c>
      <c r="H6070" t="s">
        <v>2431</v>
      </c>
      <c r="I6070" t="s">
        <v>2432</v>
      </c>
      <c r="J6070" t="s">
        <v>52</v>
      </c>
      <c r="K6070" s="3">
        <v>10096155121</v>
      </c>
      <c r="L6070" s="10">
        <v>40345</v>
      </c>
      <c r="M6070">
        <v>3636.37</v>
      </c>
      <c r="N6070" s="11">
        <v>33</v>
      </c>
      <c r="O6070" s="12">
        <v>113.98</v>
      </c>
      <c r="P6070" s="12">
        <v>30</v>
      </c>
      <c r="Q6070" s="13">
        <v>-176.91</v>
      </c>
      <c r="R6070" s="36" t="s">
        <v>2150</v>
      </c>
      <c r="S6070" s="7">
        <f t="shared" si="524"/>
        <v>0</v>
      </c>
      <c r="T6070" s="15" t="str">
        <f>VLOOKUP(R6070,产品分类!$C$2:$D$1278,2,0)</f>
        <v>办公用品</v>
      </c>
    </row>
    <row r="6071" spans="1:20">
      <c r="A6071" s="8">
        <f>DATE(2012,12,31)-1259</f>
        <v>40015</v>
      </c>
      <c r="B6071" s="8">
        <f>DATE(2012,12,31)-1259</f>
        <v>40015</v>
      </c>
      <c r="C6071" s="9" t="s">
        <v>825</v>
      </c>
      <c r="D6071">
        <v>10021588343</v>
      </c>
      <c r="E6071" t="s">
        <v>47</v>
      </c>
      <c r="F6071" t="s">
        <v>61</v>
      </c>
      <c r="G6071" t="s">
        <v>62</v>
      </c>
      <c r="H6071" t="s">
        <v>2431</v>
      </c>
      <c r="I6071" t="s">
        <v>2432</v>
      </c>
      <c r="J6071" t="s">
        <v>52</v>
      </c>
      <c r="K6071" s="3">
        <v>100330447499</v>
      </c>
      <c r="L6071" s="10">
        <v>40016</v>
      </c>
      <c r="M6071">
        <v>1184.03</v>
      </c>
      <c r="N6071" s="11">
        <v>40</v>
      </c>
      <c r="O6071" s="12">
        <v>30.73</v>
      </c>
      <c r="P6071" s="12">
        <v>4</v>
      </c>
      <c r="Q6071" s="13">
        <v>-20.79</v>
      </c>
      <c r="R6071" s="36" t="s">
        <v>1527</v>
      </c>
      <c r="S6071" s="7">
        <f t="shared" si="524"/>
        <v>1</v>
      </c>
      <c r="T6071" s="15" t="str">
        <f>VLOOKUP(R6071,产品分类!$C$2:$D$1278,2,0)</f>
        <v>办公用品</v>
      </c>
    </row>
    <row r="6072" spans="1:20">
      <c r="A6072" s="8">
        <f>DATE(2012,12,31)-64</f>
        <v>41210</v>
      </c>
      <c r="B6072" s="8">
        <f>DATE(2012,12,31)-64</f>
        <v>41210</v>
      </c>
      <c r="C6072" s="9" t="s">
        <v>1074</v>
      </c>
      <c r="D6072">
        <v>10021343379</v>
      </c>
      <c r="E6072" t="s">
        <v>47</v>
      </c>
      <c r="F6072" t="s">
        <v>61</v>
      </c>
      <c r="G6072" t="s">
        <v>62</v>
      </c>
      <c r="H6072" t="s">
        <v>2431</v>
      </c>
      <c r="I6072" t="s">
        <v>2432</v>
      </c>
      <c r="J6072" t="s">
        <v>52</v>
      </c>
      <c r="K6072" s="3">
        <v>100128756688</v>
      </c>
      <c r="L6072" s="10">
        <v>41213</v>
      </c>
      <c r="M6072">
        <v>4648.52</v>
      </c>
      <c r="N6072" s="11">
        <v>50</v>
      </c>
      <c r="O6072" s="12">
        <v>100.97</v>
      </c>
      <c r="P6072" s="12">
        <v>14</v>
      </c>
      <c r="Q6072" s="13">
        <v>1676.7</v>
      </c>
      <c r="R6072" s="36" t="s">
        <v>1630</v>
      </c>
      <c r="S6072" s="7">
        <f t="shared" si="524"/>
        <v>3</v>
      </c>
      <c r="T6072" s="15" t="str">
        <f>VLOOKUP(R6072,产品分类!$C$2:$D$1278,2,0)</f>
        <v>办公用品</v>
      </c>
    </row>
    <row r="6073" spans="1:20">
      <c r="A6073" s="8">
        <f t="shared" ref="A6073:B6075" si="527">DATE(2012,12,31)-10</f>
        <v>41264</v>
      </c>
      <c r="B6073" s="8">
        <f t="shared" si="527"/>
        <v>41264</v>
      </c>
      <c r="C6073" s="9" t="s">
        <v>1074</v>
      </c>
      <c r="D6073">
        <v>10021280651</v>
      </c>
      <c r="E6073" t="s">
        <v>47</v>
      </c>
      <c r="F6073" t="s">
        <v>61</v>
      </c>
      <c r="G6073" t="s">
        <v>62</v>
      </c>
      <c r="H6073" t="s">
        <v>2431</v>
      </c>
      <c r="I6073" t="s">
        <v>2432</v>
      </c>
      <c r="J6073" t="s">
        <v>52</v>
      </c>
      <c r="K6073" s="3">
        <v>100116025907</v>
      </c>
      <c r="L6073" s="10">
        <v>41265</v>
      </c>
      <c r="M6073">
        <v>281.84</v>
      </c>
      <c r="N6073" s="11">
        <v>19</v>
      </c>
      <c r="O6073" s="12">
        <v>15.01</v>
      </c>
      <c r="P6073" s="12">
        <v>8.4</v>
      </c>
      <c r="Q6073" s="13">
        <v>-21.85</v>
      </c>
      <c r="R6073" s="36" t="s">
        <v>732</v>
      </c>
      <c r="S6073" s="7">
        <f t="shared" si="524"/>
        <v>1</v>
      </c>
      <c r="T6073" s="15" t="str">
        <f>VLOOKUP(R6073,产品分类!$C$2:$D$1278,2,0)</f>
        <v>家具产品</v>
      </c>
    </row>
    <row r="6074" spans="1:20">
      <c r="A6074" s="8">
        <f t="shared" si="527"/>
        <v>41264</v>
      </c>
      <c r="B6074" s="8">
        <f t="shared" si="527"/>
        <v>41264</v>
      </c>
      <c r="C6074" s="9" t="s">
        <v>681</v>
      </c>
      <c r="D6074">
        <v>10021432891</v>
      </c>
      <c r="E6074" t="s">
        <v>47</v>
      </c>
      <c r="F6074" t="s">
        <v>61</v>
      </c>
      <c r="G6074" t="s">
        <v>62</v>
      </c>
      <c r="H6074" t="s">
        <v>2431</v>
      </c>
      <c r="I6074" t="s">
        <v>2432</v>
      </c>
      <c r="J6074" t="s">
        <v>52</v>
      </c>
      <c r="K6074" s="3">
        <v>100432585674</v>
      </c>
      <c r="L6074" s="10">
        <v>41265</v>
      </c>
      <c r="M6074">
        <v>509.52</v>
      </c>
      <c r="N6074" s="11">
        <v>25</v>
      </c>
      <c r="O6074" s="12">
        <v>20.97</v>
      </c>
      <c r="P6074" s="12">
        <v>6.5</v>
      </c>
      <c r="Q6074" s="13">
        <v>-145.78</v>
      </c>
      <c r="R6074" s="36" t="s">
        <v>2215</v>
      </c>
      <c r="S6074" s="7">
        <f t="shared" si="524"/>
        <v>1</v>
      </c>
      <c r="T6074" s="15" t="str">
        <f>VLOOKUP(R6074,产品分类!$C$2:$D$1278,2,0)</f>
        <v>家具产品</v>
      </c>
    </row>
    <row r="6075" spans="1:20">
      <c r="A6075" s="8">
        <f t="shared" si="527"/>
        <v>41264</v>
      </c>
      <c r="B6075" s="8">
        <f t="shared" si="527"/>
        <v>41264</v>
      </c>
      <c r="C6075" s="9" t="s">
        <v>2152</v>
      </c>
      <c r="D6075">
        <v>10021602852</v>
      </c>
      <c r="E6075" t="s">
        <v>47</v>
      </c>
      <c r="F6075" t="s">
        <v>132</v>
      </c>
      <c r="G6075" t="s">
        <v>133</v>
      </c>
      <c r="H6075" t="s">
        <v>134</v>
      </c>
      <c r="I6075" t="s">
        <v>133</v>
      </c>
      <c r="J6075" t="s">
        <v>52</v>
      </c>
      <c r="K6075" s="3">
        <v>100430195624</v>
      </c>
      <c r="L6075" s="10">
        <v>41265</v>
      </c>
      <c r="M6075">
        <v>97.02</v>
      </c>
      <c r="N6075" s="11">
        <v>10</v>
      </c>
      <c r="O6075" s="12">
        <v>10.01</v>
      </c>
      <c r="P6075" s="12">
        <v>1.99</v>
      </c>
      <c r="Q6075" s="13">
        <v>-3.96</v>
      </c>
      <c r="R6075" s="36" t="s">
        <v>445</v>
      </c>
      <c r="S6075" s="7">
        <f t="shared" si="524"/>
        <v>1</v>
      </c>
      <c r="T6075" s="15" t="str">
        <f>VLOOKUP(R6075,产品分类!$C$2:$D$1278,2,0)</f>
        <v>数码电子</v>
      </c>
    </row>
    <row r="6076" spans="1:20">
      <c r="A6076" s="8">
        <f>DATE(2012,12,31)-694</f>
        <v>40580</v>
      </c>
      <c r="B6076" s="8">
        <f>DATE(2012,12,31)-694</f>
        <v>40580</v>
      </c>
      <c r="C6076" s="9" t="s">
        <v>2152</v>
      </c>
      <c r="D6076">
        <v>10021654193</v>
      </c>
      <c r="E6076" t="s">
        <v>47</v>
      </c>
      <c r="F6076" t="s">
        <v>171</v>
      </c>
      <c r="G6076" t="s">
        <v>172</v>
      </c>
      <c r="H6076" t="s">
        <v>2486</v>
      </c>
      <c r="I6076" t="s">
        <v>2310</v>
      </c>
      <c r="J6076" t="s">
        <v>52</v>
      </c>
      <c r="K6076" s="3">
        <v>100432643093</v>
      </c>
      <c r="L6076" s="10">
        <v>40580</v>
      </c>
      <c r="M6076">
        <v>21.01</v>
      </c>
      <c r="N6076" s="11">
        <v>3</v>
      </c>
      <c r="O6076" s="12">
        <v>4.98</v>
      </c>
      <c r="P6076" s="12">
        <v>5.02</v>
      </c>
      <c r="Q6076" s="13">
        <v>-9.69</v>
      </c>
      <c r="R6076" s="36" t="s">
        <v>790</v>
      </c>
      <c r="S6076" s="7">
        <f t="shared" si="524"/>
        <v>0</v>
      </c>
      <c r="T6076" s="15" t="str">
        <f>VLOOKUP(R6076,产品分类!$C$2:$D$1278,2,0)</f>
        <v>数码电子</v>
      </c>
    </row>
    <row r="6077" spans="1:20">
      <c r="A6077" s="8">
        <f>DATE(2012,12,31)-694</f>
        <v>40580</v>
      </c>
      <c r="B6077" s="8">
        <f>DATE(2012,12,31)-694</f>
        <v>40580</v>
      </c>
      <c r="C6077" s="9" t="s">
        <v>826</v>
      </c>
      <c r="D6077">
        <v>10021564270</v>
      </c>
      <c r="E6077" t="s">
        <v>47</v>
      </c>
      <c r="F6077" t="s">
        <v>171</v>
      </c>
      <c r="G6077" t="s">
        <v>172</v>
      </c>
      <c r="H6077" t="s">
        <v>2486</v>
      </c>
      <c r="I6077" t="s">
        <v>2310</v>
      </c>
      <c r="J6077" t="s">
        <v>52</v>
      </c>
      <c r="K6077" s="3">
        <v>100332780929</v>
      </c>
      <c r="L6077" s="10">
        <v>40582</v>
      </c>
      <c r="M6077">
        <v>3457.99</v>
      </c>
      <c r="N6077" s="11">
        <v>1</v>
      </c>
      <c r="O6077" s="12">
        <v>3499.99</v>
      </c>
      <c r="P6077" s="12">
        <v>24.49</v>
      </c>
      <c r="Q6077" s="13">
        <v>-11861.46</v>
      </c>
      <c r="R6077" s="36" t="s">
        <v>461</v>
      </c>
      <c r="S6077" s="7">
        <f t="shared" si="524"/>
        <v>2</v>
      </c>
      <c r="T6077" s="15" t="str">
        <f>VLOOKUP(R6077,产品分类!$C$2:$D$1278,2,0)</f>
        <v>数码电子</v>
      </c>
    </row>
    <row r="6078" spans="1:20">
      <c r="A6078" s="8">
        <f>DATE(2012,12,31)-476</f>
        <v>40798</v>
      </c>
      <c r="B6078" s="8">
        <f>DATE(2012,12,31)-476</f>
        <v>40798</v>
      </c>
      <c r="C6078" s="9" t="s">
        <v>826</v>
      </c>
      <c r="D6078">
        <v>10021675599</v>
      </c>
      <c r="E6078" t="s">
        <v>47</v>
      </c>
      <c r="F6078" t="s">
        <v>66</v>
      </c>
      <c r="G6078" t="s">
        <v>67</v>
      </c>
      <c r="H6078" t="s">
        <v>2467</v>
      </c>
      <c r="I6078" t="s">
        <v>2468</v>
      </c>
      <c r="J6078" t="s">
        <v>52</v>
      </c>
      <c r="K6078" s="3">
        <v>100932502981</v>
      </c>
      <c r="L6078" s="10">
        <v>40799</v>
      </c>
      <c r="M6078">
        <v>4722.83</v>
      </c>
      <c r="N6078" s="11">
        <v>27</v>
      </c>
      <c r="O6078" s="12">
        <v>165.98</v>
      </c>
      <c r="P6078" s="12">
        <v>19.99</v>
      </c>
      <c r="Q6078" s="13">
        <v>1749.776</v>
      </c>
      <c r="R6078" s="36" t="s">
        <v>576</v>
      </c>
      <c r="S6078" s="7">
        <f t="shared" si="524"/>
        <v>1</v>
      </c>
      <c r="T6078" s="15" t="str">
        <f>VLOOKUP(R6078,产品分类!$C$2:$D$1278,2,0)</f>
        <v>办公用品</v>
      </c>
    </row>
    <row r="6079" spans="1:20">
      <c r="A6079" s="8">
        <f>DATE(2012,12,31)-674</f>
        <v>40600</v>
      </c>
      <c r="B6079" s="8">
        <f>DATE(2012,12,31)-674</f>
        <v>40600</v>
      </c>
      <c r="C6079" s="9" t="s">
        <v>2354</v>
      </c>
      <c r="D6079">
        <v>10021511228</v>
      </c>
      <c r="E6079" t="s">
        <v>47</v>
      </c>
      <c r="F6079" t="s">
        <v>97</v>
      </c>
      <c r="G6079" t="s">
        <v>98</v>
      </c>
      <c r="H6079" t="s">
        <v>99</v>
      </c>
      <c r="I6079" t="s">
        <v>98</v>
      </c>
      <c r="J6079" t="s">
        <v>52</v>
      </c>
      <c r="K6079" s="3">
        <v>100824081212</v>
      </c>
      <c r="L6079" s="10">
        <v>40601</v>
      </c>
      <c r="M6079">
        <v>6069.05</v>
      </c>
      <c r="N6079" s="11">
        <v>40</v>
      </c>
      <c r="O6079" s="12">
        <v>155.06</v>
      </c>
      <c r="P6079" s="12">
        <v>7.07</v>
      </c>
      <c r="Q6079" s="13">
        <v>1816.71</v>
      </c>
      <c r="R6079" s="36" t="s">
        <v>556</v>
      </c>
      <c r="S6079" s="7">
        <f t="shared" si="524"/>
        <v>1</v>
      </c>
      <c r="T6079" s="15" t="str">
        <f>VLOOKUP(R6079,产品分类!$C$2:$D$1278,2,0)</f>
        <v>办公用品</v>
      </c>
    </row>
    <row r="6080" spans="1:20">
      <c r="A6080" s="8">
        <f>DATE(2012,12,31)-292</f>
        <v>40982</v>
      </c>
      <c r="B6080" s="8">
        <f>DATE(2012,12,31)-292</f>
        <v>40982</v>
      </c>
      <c r="C6080" s="9" t="s">
        <v>213</v>
      </c>
      <c r="D6080">
        <v>10021431876</v>
      </c>
      <c r="E6080" t="s">
        <v>47</v>
      </c>
      <c r="F6080" t="s">
        <v>304</v>
      </c>
      <c r="G6080" t="s">
        <v>305</v>
      </c>
      <c r="H6080" t="s">
        <v>2383</v>
      </c>
      <c r="I6080" t="s">
        <v>2384</v>
      </c>
      <c r="J6080" t="s">
        <v>52</v>
      </c>
      <c r="K6080" s="3">
        <v>100432265453</v>
      </c>
      <c r="L6080" s="10">
        <v>40986</v>
      </c>
      <c r="M6080">
        <v>1334.05</v>
      </c>
      <c r="N6080" s="11">
        <v>43</v>
      </c>
      <c r="O6080" s="12">
        <v>30.56</v>
      </c>
      <c r="P6080" s="12">
        <v>2.99</v>
      </c>
      <c r="Q6080" s="13">
        <v>581.7655</v>
      </c>
      <c r="R6080" s="36" t="s">
        <v>1016</v>
      </c>
      <c r="S6080" s="7">
        <f t="shared" si="524"/>
        <v>4</v>
      </c>
      <c r="T6080" s="15" t="str">
        <f>VLOOKUP(R6080,产品分类!$C$2:$D$1278,2,0)</f>
        <v>办公用品</v>
      </c>
    </row>
    <row r="6081" spans="1:20">
      <c r="A6081" s="8">
        <f>DATE(2012,12,31)-292</f>
        <v>40982</v>
      </c>
      <c r="B6081" s="8">
        <f>DATE(2012,12,31)-292</f>
        <v>40982</v>
      </c>
      <c r="C6081" s="9" t="s">
        <v>1528</v>
      </c>
      <c r="D6081">
        <v>10021350761</v>
      </c>
      <c r="E6081" t="s">
        <v>47</v>
      </c>
      <c r="F6081" t="s">
        <v>171</v>
      </c>
      <c r="G6081" t="s">
        <v>172</v>
      </c>
      <c r="H6081" t="s">
        <v>2486</v>
      </c>
      <c r="I6081" t="s">
        <v>2310</v>
      </c>
      <c r="J6081" t="s">
        <v>52</v>
      </c>
      <c r="K6081" s="3">
        <v>100932178541</v>
      </c>
      <c r="L6081" s="10">
        <v>40984</v>
      </c>
      <c r="M6081">
        <v>6552.86</v>
      </c>
      <c r="N6081" s="11">
        <v>50</v>
      </c>
      <c r="O6081" s="12">
        <v>137.48</v>
      </c>
      <c r="P6081" s="12">
        <v>32.18</v>
      </c>
      <c r="Q6081" s="13">
        <v>-692.82</v>
      </c>
      <c r="R6081" s="36" t="s">
        <v>1706</v>
      </c>
      <c r="S6081" s="7">
        <f t="shared" si="524"/>
        <v>2</v>
      </c>
      <c r="T6081" s="15" t="str">
        <f>VLOOKUP(R6081,产品分类!$C$2:$D$1278,2,0)</f>
        <v>办公用品</v>
      </c>
    </row>
    <row r="6082" spans="1:20">
      <c r="A6082" s="8">
        <f>DATE(2012,12,31)-1384</f>
        <v>39890</v>
      </c>
      <c r="B6082" s="8">
        <f>DATE(2012,12,31)-1384</f>
        <v>39890</v>
      </c>
      <c r="C6082" s="9" t="s">
        <v>940</v>
      </c>
      <c r="D6082">
        <v>10021344894</v>
      </c>
      <c r="E6082" t="s">
        <v>47</v>
      </c>
      <c r="F6082" t="s">
        <v>171</v>
      </c>
      <c r="G6082" t="s">
        <v>172</v>
      </c>
      <c r="H6082" t="s">
        <v>2486</v>
      </c>
      <c r="I6082" t="s">
        <v>2310</v>
      </c>
      <c r="J6082" t="s">
        <v>52</v>
      </c>
      <c r="K6082" s="3">
        <v>100929835841</v>
      </c>
      <c r="L6082" s="10">
        <v>39892</v>
      </c>
      <c r="M6082">
        <v>130.16</v>
      </c>
      <c r="N6082" s="11">
        <v>23</v>
      </c>
      <c r="O6082" s="12">
        <v>5.98</v>
      </c>
      <c r="P6082" s="12">
        <v>5.14</v>
      </c>
      <c r="Q6082" s="13">
        <v>-49.53</v>
      </c>
      <c r="R6082" s="36" t="s">
        <v>1374</v>
      </c>
      <c r="S6082" s="7">
        <f t="shared" si="524"/>
        <v>2</v>
      </c>
      <c r="T6082" s="15" t="str">
        <f>VLOOKUP(R6082,产品分类!$C$2:$D$1278,2,0)</f>
        <v>办公用品</v>
      </c>
    </row>
    <row r="6083" spans="1:20">
      <c r="A6083" s="8">
        <f>DATE(2012,12,31)-963</f>
        <v>40311</v>
      </c>
      <c r="B6083" s="8">
        <f>DATE(2012,12,31)-963</f>
        <v>40311</v>
      </c>
      <c r="C6083" s="9" t="s">
        <v>940</v>
      </c>
      <c r="D6083">
        <v>10021586104</v>
      </c>
      <c r="E6083" t="s">
        <v>47</v>
      </c>
      <c r="F6083" t="s">
        <v>55</v>
      </c>
      <c r="G6083" t="s">
        <v>56</v>
      </c>
      <c r="H6083" t="s">
        <v>2471</v>
      </c>
      <c r="I6083" t="s">
        <v>2472</v>
      </c>
      <c r="J6083" t="s">
        <v>52</v>
      </c>
      <c r="K6083" s="3">
        <v>100328750189</v>
      </c>
      <c r="L6083" s="10">
        <v>40318</v>
      </c>
      <c r="M6083">
        <v>7667.78</v>
      </c>
      <c r="N6083" s="11">
        <v>25</v>
      </c>
      <c r="O6083" s="12">
        <v>306.14</v>
      </c>
      <c r="P6083" s="12">
        <v>26.53</v>
      </c>
      <c r="Q6083" s="13">
        <v>1494.01</v>
      </c>
      <c r="R6083" s="36" t="s">
        <v>420</v>
      </c>
      <c r="S6083" s="7">
        <f t="shared" ref="S6083:S6146" si="528">+L6083-B6083</f>
        <v>7</v>
      </c>
      <c r="T6083" s="15" t="str">
        <f>VLOOKUP(R6083,产品分类!$C$2:$D$1278,2,0)</f>
        <v>数码电子</v>
      </c>
    </row>
    <row r="6084" spans="1:20">
      <c r="A6084" s="8">
        <f>DATE(2012,12,31)-963</f>
        <v>40311</v>
      </c>
      <c r="B6084" s="8">
        <f>DATE(2012,12,31)-963</f>
        <v>40311</v>
      </c>
      <c r="C6084" s="9" t="s">
        <v>940</v>
      </c>
      <c r="D6084">
        <v>10021399792</v>
      </c>
      <c r="E6084" t="s">
        <v>47</v>
      </c>
      <c r="F6084" t="s">
        <v>66</v>
      </c>
      <c r="G6084" t="s">
        <v>67</v>
      </c>
      <c r="H6084" t="s">
        <v>2467</v>
      </c>
      <c r="I6084" t="s">
        <v>2468</v>
      </c>
      <c r="J6084" t="s">
        <v>52</v>
      </c>
      <c r="K6084" s="3">
        <v>100132362338</v>
      </c>
      <c r="L6084" s="10">
        <v>40315</v>
      </c>
      <c r="M6084">
        <v>1305.85</v>
      </c>
      <c r="N6084" s="11">
        <v>40</v>
      </c>
      <c r="O6084" s="12">
        <v>30.98</v>
      </c>
      <c r="P6084" s="12">
        <v>17.08</v>
      </c>
      <c r="Q6084" s="13">
        <v>65.01</v>
      </c>
      <c r="R6084" s="36" t="s">
        <v>503</v>
      </c>
      <c r="S6084" s="7">
        <f t="shared" si="528"/>
        <v>4</v>
      </c>
      <c r="T6084" s="15" t="str">
        <f>VLOOKUP(R6084,产品分类!$C$2:$D$1278,2,0)</f>
        <v>数码电子</v>
      </c>
    </row>
    <row r="6085" spans="1:20">
      <c r="A6085" s="8">
        <f>DATE(2012,12,31)-1277</f>
        <v>39997</v>
      </c>
      <c r="B6085" s="8">
        <f>DATE(2012,12,31)-1277</f>
        <v>39997</v>
      </c>
      <c r="C6085" s="9" t="s">
        <v>781</v>
      </c>
      <c r="D6085">
        <v>10021270548</v>
      </c>
      <c r="E6085" t="s">
        <v>47</v>
      </c>
      <c r="F6085" t="s">
        <v>152</v>
      </c>
      <c r="G6085" t="s">
        <v>153</v>
      </c>
      <c r="H6085" t="s">
        <v>2441</v>
      </c>
      <c r="I6085" t="s">
        <v>2442</v>
      </c>
      <c r="J6085" t="s">
        <v>52</v>
      </c>
      <c r="K6085" s="3">
        <v>10086999322</v>
      </c>
      <c r="L6085" s="10">
        <v>39999</v>
      </c>
      <c r="M6085">
        <v>28.34</v>
      </c>
      <c r="N6085" s="11">
        <v>19</v>
      </c>
      <c r="O6085" s="12">
        <v>1.48</v>
      </c>
      <c r="P6085" s="12">
        <v>0.7</v>
      </c>
      <c r="Q6085" s="13">
        <v>1.68</v>
      </c>
      <c r="R6085" s="36" t="s">
        <v>2335</v>
      </c>
      <c r="S6085" s="7">
        <f t="shared" si="528"/>
        <v>2</v>
      </c>
      <c r="T6085" s="15" t="str">
        <f>VLOOKUP(R6085,产品分类!$C$2:$D$1278,2,0)</f>
        <v>办公用品</v>
      </c>
    </row>
    <row r="6086" spans="1:20">
      <c r="A6086" s="8">
        <f>DATE(2012,12,31)-884</f>
        <v>40390</v>
      </c>
      <c r="B6086" s="8">
        <f>DATE(2012,12,31)-884</f>
        <v>40390</v>
      </c>
      <c r="C6086" s="9" t="s">
        <v>781</v>
      </c>
      <c r="D6086">
        <v>10021569198</v>
      </c>
      <c r="E6086" t="s">
        <v>47</v>
      </c>
      <c r="F6086" t="s">
        <v>72</v>
      </c>
      <c r="G6086" t="s">
        <v>73</v>
      </c>
      <c r="H6086" t="s">
        <v>2417</v>
      </c>
      <c r="I6086" t="s">
        <v>2418</v>
      </c>
      <c r="J6086" t="s">
        <v>52</v>
      </c>
      <c r="K6086" s="3">
        <v>100831596222</v>
      </c>
      <c r="L6086" s="10">
        <v>40391</v>
      </c>
      <c r="M6086">
        <v>554.32</v>
      </c>
      <c r="N6086" s="11">
        <v>3</v>
      </c>
      <c r="O6086" s="12">
        <v>172.99</v>
      </c>
      <c r="P6086" s="12">
        <v>19.99</v>
      </c>
      <c r="Q6086" s="13">
        <v>-62.1345</v>
      </c>
      <c r="R6086" s="36" t="s">
        <v>1863</v>
      </c>
      <c r="S6086" s="7">
        <f t="shared" si="528"/>
        <v>1</v>
      </c>
      <c r="T6086" s="15" t="str">
        <f>VLOOKUP(R6086,产品分类!$C$2:$D$1278,2,0)</f>
        <v>办公用品</v>
      </c>
    </row>
    <row r="6087" spans="1:20">
      <c r="A6087" s="8">
        <f>DATE(2012,12,31)-884</f>
        <v>40390</v>
      </c>
      <c r="B6087" s="8">
        <f>DATE(2012,12,31)-884</f>
        <v>40390</v>
      </c>
      <c r="C6087" s="9" t="s">
        <v>1537</v>
      </c>
      <c r="D6087">
        <v>10021549399</v>
      </c>
      <c r="E6087" t="s">
        <v>47</v>
      </c>
      <c r="F6087" t="s">
        <v>72</v>
      </c>
      <c r="G6087" t="s">
        <v>73</v>
      </c>
      <c r="H6087" t="s">
        <v>2417</v>
      </c>
      <c r="I6087" t="s">
        <v>2418</v>
      </c>
      <c r="J6087" t="s">
        <v>52</v>
      </c>
      <c r="K6087" s="3">
        <v>100731448785</v>
      </c>
      <c r="L6087" s="10">
        <v>40391</v>
      </c>
      <c r="M6087">
        <v>1073.567</v>
      </c>
      <c r="N6087" s="11">
        <v>15</v>
      </c>
      <c r="O6087" s="12">
        <v>85.99</v>
      </c>
      <c r="P6087" s="12">
        <v>0.99</v>
      </c>
      <c r="Q6087" s="13">
        <v>-305.965</v>
      </c>
      <c r="R6087" s="36" t="s">
        <v>990</v>
      </c>
      <c r="S6087" s="7">
        <f t="shared" si="528"/>
        <v>1</v>
      </c>
      <c r="T6087" s="15" t="str">
        <f>VLOOKUP(R6087,产品分类!$C$2:$D$1278,2,0)</f>
        <v>家具产品</v>
      </c>
    </row>
    <row r="6088" spans="1:20">
      <c r="A6088" s="16">
        <f>DATE(2012,12,31)-321</f>
        <v>40953</v>
      </c>
      <c r="B6088" s="16">
        <f>DATE(2012,12,31)-321</f>
        <v>40953</v>
      </c>
      <c r="C6088" s="9" t="s">
        <v>515</v>
      </c>
      <c r="D6088">
        <v>10021650033</v>
      </c>
      <c r="E6088" t="s">
        <v>47</v>
      </c>
      <c r="F6088" t="s">
        <v>72</v>
      </c>
      <c r="G6088" t="s">
        <v>73</v>
      </c>
      <c r="H6088" t="s">
        <v>2417</v>
      </c>
      <c r="I6088" t="s">
        <v>2418</v>
      </c>
      <c r="J6088" t="s">
        <v>52</v>
      </c>
      <c r="K6088" s="3">
        <v>100331095129</v>
      </c>
      <c r="L6088" s="10">
        <v>40955</v>
      </c>
      <c r="M6088">
        <v>225.16</v>
      </c>
      <c r="N6088" s="17">
        <v>32</v>
      </c>
      <c r="O6088" s="5">
        <v>6.68</v>
      </c>
      <c r="P6088" s="5">
        <v>5.2</v>
      </c>
      <c r="Q6088" s="6">
        <v>-33.69</v>
      </c>
      <c r="R6088" s="37" t="s">
        <v>1160</v>
      </c>
      <c r="S6088" s="7">
        <f t="shared" si="528"/>
        <v>2</v>
      </c>
      <c r="T6088" s="15" t="str">
        <f>VLOOKUP(R6088,产品分类!$C$2:$D$1278,2,0)</f>
        <v>数码电子</v>
      </c>
    </row>
    <row r="6089" spans="1:20">
      <c r="A6089" s="8">
        <f>DATE(2012,12,31)-1226</f>
        <v>40048</v>
      </c>
      <c r="B6089" s="8">
        <f>DATE(2012,12,31)-1226</f>
        <v>40048</v>
      </c>
      <c r="C6089" s="9" t="s">
        <v>805</v>
      </c>
      <c r="D6089">
        <v>10021404779</v>
      </c>
      <c r="E6089" t="s">
        <v>47</v>
      </c>
      <c r="F6089" t="s">
        <v>72</v>
      </c>
      <c r="G6089" t="s">
        <v>73</v>
      </c>
      <c r="H6089" t="s">
        <v>2417</v>
      </c>
      <c r="I6089" t="s">
        <v>2418</v>
      </c>
      <c r="J6089" t="s">
        <v>52</v>
      </c>
      <c r="K6089" s="3">
        <v>100730521405</v>
      </c>
      <c r="L6089" s="10">
        <v>40049</v>
      </c>
      <c r="M6089">
        <v>587.88</v>
      </c>
      <c r="N6089" s="11">
        <v>16</v>
      </c>
      <c r="O6089" s="12">
        <v>35.41</v>
      </c>
      <c r="P6089" s="12">
        <v>1.99</v>
      </c>
      <c r="Q6089" s="13">
        <v>135.37</v>
      </c>
      <c r="R6089" s="36" t="s">
        <v>1457</v>
      </c>
      <c r="S6089" s="7">
        <f t="shared" si="528"/>
        <v>1</v>
      </c>
      <c r="T6089" s="15" t="str">
        <f>VLOOKUP(R6089,产品分类!$C$2:$D$1278,2,0)</f>
        <v>办公用品</v>
      </c>
    </row>
    <row r="6090" spans="1:20">
      <c r="A6090" s="8">
        <f t="shared" ref="A6090:B6092" si="529">DATE(2012,12,31)-936</f>
        <v>40338</v>
      </c>
      <c r="B6090" s="8">
        <f t="shared" si="529"/>
        <v>40338</v>
      </c>
      <c r="C6090" s="9" t="s">
        <v>805</v>
      </c>
      <c r="D6090">
        <v>10021604745</v>
      </c>
      <c r="E6090" t="s">
        <v>47</v>
      </c>
      <c r="F6090" t="s">
        <v>122</v>
      </c>
      <c r="G6090" t="s">
        <v>123</v>
      </c>
      <c r="H6090" t="s">
        <v>2458</v>
      </c>
      <c r="I6090" t="s">
        <v>2459</v>
      </c>
      <c r="J6090" t="s">
        <v>52</v>
      </c>
      <c r="K6090" s="3">
        <v>100417922234</v>
      </c>
      <c r="L6090" s="10">
        <v>40342</v>
      </c>
      <c r="M6090">
        <v>2207.9</v>
      </c>
      <c r="N6090" s="11">
        <v>45</v>
      </c>
      <c r="O6090" s="12">
        <v>49.34</v>
      </c>
      <c r="P6090" s="12">
        <v>10.25</v>
      </c>
      <c r="Q6090" s="13">
        <v>579.76</v>
      </c>
      <c r="R6090" s="36" t="s">
        <v>1744</v>
      </c>
      <c r="S6090" s="7">
        <f t="shared" si="528"/>
        <v>4</v>
      </c>
      <c r="T6090" s="15" t="str">
        <f>VLOOKUP(R6090,产品分类!$C$2:$D$1278,2,0)</f>
        <v>数码电子</v>
      </c>
    </row>
    <row r="6091" spans="1:20">
      <c r="A6091" s="8">
        <f t="shared" si="529"/>
        <v>40338</v>
      </c>
      <c r="B6091" s="8">
        <f t="shared" si="529"/>
        <v>40338</v>
      </c>
      <c r="C6091" s="9" t="s">
        <v>907</v>
      </c>
      <c r="D6091">
        <v>10021357171</v>
      </c>
      <c r="E6091" t="s">
        <v>47</v>
      </c>
      <c r="F6091" t="s">
        <v>91</v>
      </c>
      <c r="G6091" t="s">
        <v>92</v>
      </c>
      <c r="H6091" t="s">
        <v>2481</v>
      </c>
      <c r="I6091" t="s">
        <v>2482</v>
      </c>
      <c r="J6091" t="s">
        <v>52</v>
      </c>
      <c r="K6091" s="3">
        <v>10081800362</v>
      </c>
      <c r="L6091" s="10">
        <v>40345</v>
      </c>
      <c r="M6091">
        <v>139.93</v>
      </c>
      <c r="N6091" s="11">
        <v>41</v>
      </c>
      <c r="O6091" s="12">
        <v>3.28</v>
      </c>
      <c r="P6091" s="12">
        <v>1.95</v>
      </c>
      <c r="Q6091" s="13">
        <v>-3.06</v>
      </c>
      <c r="R6091" s="36" t="s">
        <v>2240</v>
      </c>
      <c r="S6091" s="7">
        <f t="shared" si="528"/>
        <v>7</v>
      </c>
      <c r="T6091" s="15" t="str">
        <f>VLOOKUP(R6091,产品分类!$C$2:$D$1278,2,0)</f>
        <v>办公用品</v>
      </c>
    </row>
    <row r="6092" spans="1:20">
      <c r="A6092" s="8">
        <f t="shared" si="529"/>
        <v>40338</v>
      </c>
      <c r="B6092" s="8">
        <f t="shared" si="529"/>
        <v>40338</v>
      </c>
      <c r="C6092" s="9" t="s">
        <v>689</v>
      </c>
      <c r="D6092">
        <v>10021354642</v>
      </c>
      <c r="E6092" t="s">
        <v>47</v>
      </c>
      <c r="F6092" t="s">
        <v>132</v>
      </c>
      <c r="G6092" t="s">
        <v>133</v>
      </c>
      <c r="H6092" t="s">
        <v>134</v>
      </c>
      <c r="I6092" t="s">
        <v>133</v>
      </c>
      <c r="J6092" t="s">
        <v>52</v>
      </c>
      <c r="K6092" s="3">
        <v>100925716541</v>
      </c>
      <c r="L6092" s="10">
        <v>40340</v>
      </c>
      <c r="M6092">
        <v>15.45</v>
      </c>
      <c r="N6092" s="11">
        <v>8</v>
      </c>
      <c r="O6092" s="12">
        <v>1.81</v>
      </c>
      <c r="P6092" s="12">
        <v>1.56</v>
      </c>
      <c r="Q6092" s="13">
        <v>-7.75</v>
      </c>
      <c r="R6092" s="36" t="s">
        <v>1483</v>
      </c>
      <c r="S6092" s="7">
        <f t="shared" si="528"/>
        <v>2</v>
      </c>
      <c r="T6092" s="15" t="str">
        <f>VLOOKUP(R6092,产品分类!$C$2:$D$1278,2,0)</f>
        <v>办公用品</v>
      </c>
    </row>
    <row r="6093" spans="1:20">
      <c r="A6093" s="8">
        <f>DATE(2012,12,31)-926</f>
        <v>40348</v>
      </c>
      <c r="B6093" s="8">
        <f>DATE(2012,12,31)-926</f>
        <v>40348</v>
      </c>
      <c r="C6093" s="9" t="s">
        <v>689</v>
      </c>
      <c r="D6093">
        <v>10021652927</v>
      </c>
      <c r="E6093" t="s">
        <v>47</v>
      </c>
      <c r="F6093" t="s">
        <v>171</v>
      </c>
      <c r="G6093" t="s">
        <v>172</v>
      </c>
      <c r="H6093" t="s">
        <v>2486</v>
      </c>
      <c r="I6093" t="s">
        <v>2310</v>
      </c>
      <c r="J6093" t="s">
        <v>52</v>
      </c>
      <c r="K6093" s="3">
        <v>100727691915</v>
      </c>
      <c r="L6093" s="10">
        <v>40350</v>
      </c>
      <c r="M6093">
        <v>203.48</v>
      </c>
      <c r="N6093" s="11">
        <v>30</v>
      </c>
      <c r="O6093" s="12">
        <v>6.48</v>
      </c>
      <c r="P6093" s="12">
        <v>6.35</v>
      </c>
      <c r="Q6093" s="13">
        <v>-71.91</v>
      </c>
      <c r="R6093" s="36" t="s">
        <v>1977</v>
      </c>
      <c r="S6093" s="7">
        <f t="shared" si="528"/>
        <v>2</v>
      </c>
      <c r="T6093" s="15" t="str">
        <f>VLOOKUP(R6093,产品分类!$C$2:$D$1278,2,0)</f>
        <v>数码电子</v>
      </c>
    </row>
    <row r="6094" spans="1:20">
      <c r="A6094" s="8">
        <f>DATE(2012,12,31)-912</f>
        <v>40362</v>
      </c>
      <c r="B6094" s="8">
        <f>DATE(2012,12,31)-912</f>
        <v>40362</v>
      </c>
      <c r="C6094" s="9" t="s">
        <v>193</v>
      </c>
      <c r="D6094">
        <v>10021378451</v>
      </c>
      <c r="E6094" t="s">
        <v>47</v>
      </c>
      <c r="F6094" t="s">
        <v>171</v>
      </c>
      <c r="G6094" t="s">
        <v>172</v>
      </c>
      <c r="H6094" t="s">
        <v>2486</v>
      </c>
      <c r="I6094" t="s">
        <v>2310</v>
      </c>
      <c r="J6094" t="s">
        <v>52</v>
      </c>
      <c r="K6094" s="3">
        <v>100931069291</v>
      </c>
      <c r="L6094" s="10">
        <v>40364</v>
      </c>
      <c r="M6094">
        <v>205.33</v>
      </c>
      <c r="N6094" s="11">
        <v>20</v>
      </c>
      <c r="O6094" s="12">
        <v>9.77</v>
      </c>
      <c r="P6094" s="12">
        <v>6.02</v>
      </c>
      <c r="Q6094" s="13">
        <v>10.68</v>
      </c>
      <c r="R6094" s="36" t="s">
        <v>1220</v>
      </c>
      <c r="S6094" s="7">
        <f t="shared" si="528"/>
        <v>2</v>
      </c>
      <c r="T6094" s="15" t="str">
        <f>VLOOKUP(R6094,产品分类!$C$2:$D$1278,2,0)</f>
        <v>家具产品</v>
      </c>
    </row>
    <row r="6095" spans="1:20">
      <c r="A6095" s="8">
        <f>DATE(2012,12,31)-656</f>
        <v>40618</v>
      </c>
      <c r="B6095" s="8">
        <f>DATE(2012,12,31)-656</f>
        <v>40618</v>
      </c>
      <c r="C6095" s="9" t="s">
        <v>673</v>
      </c>
      <c r="D6095">
        <v>10021391751</v>
      </c>
      <c r="E6095" t="s">
        <v>47</v>
      </c>
      <c r="F6095" t="s">
        <v>171</v>
      </c>
      <c r="G6095" t="s">
        <v>172</v>
      </c>
      <c r="H6095" t="s">
        <v>2486</v>
      </c>
      <c r="I6095" t="s">
        <v>2310</v>
      </c>
      <c r="J6095" t="s">
        <v>52</v>
      </c>
      <c r="K6095" s="3">
        <v>10034516699</v>
      </c>
      <c r="L6095" s="10">
        <v>40620</v>
      </c>
      <c r="M6095">
        <v>270.25</v>
      </c>
      <c r="N6095" s="11">
        <v>14</v>
      </c>
      <c r="O6095" s="12">
        <v>18.94</v>
      </c>
      <c r="P6095" s="12">
        <v>1.49</v>
      </c>
      <c r="Q6095" s="13">
        <v>100.895</v>
      </c>
      <c r="R6095" s="36" t="s">
        <v>1337</v>
      </c>
      <c r="S6095" s="7">
        <f t="shared" si="528"/>
        <v>2</v>
      </c>
      <c r="T6095" s="15" t="str">
        <f>VLOOKUP(R6095,产品分类!$C$2:$D$1278,2,0)</f>
        <v>办公用品</v>
      </c>
    </row>
    <row r="6096" spans="1:20">
      <c r="A6096" s="8">
        <f>DATE(2012,12,31)-595</f>
        <v>40679</v>
      </c>
      <c r="B6096" s="8">
        <f>DATE(2012,12,31)-595</f>
        <v>40679</v>
      </c>
      <c r="C6096" s="9" t="s">
        <v>673</v>
      </c>
      <c r="D6096">
        <v>10021716586</v>
      </c>
      <c r="E6096" t="s">
        <v>47</v>
      </c>
      <c r="F6096" t="s">
        <v>171</v>
      </c>
      <c r="G6096" t="s">
        <v>172</v>
      </c>
      <c r="H6096" t="s">
        <v>2486</v>
      </c>
      <c r="I6096" t="s">
        <v>2310</v>
      </c>
      <c r="J6096" t="s">
        <v>52</v>
      </c>
      <c r="K6096" s="3">
        <v>100932729701</v>
      </c>
      <c r="L6096" s="10">
        <v>40681</v>
      </c>
      <c r="M6096">
        <v>1368.14</v>
      </c>
      <c r="N6096" s="11">
        <v>17</v>
      </c>
      <c r="O6096" s="12">
        <v>76.72</v>
      </c>
      <c r="P6096" s="12">
        <v>19.95</v>
      </c>
      <c r="Q6096" s="13">
        <v>171.26</v>
      </c>
      <c r="R6096" s="36" t="s">
        <v>228</v>
      </c>
      <c r="S6096" s="7">
        <f t="shared" si="528"/>
        <v>2</v>
      </c>
      <c r="T6096" s="15" t="str">
        <f>VLOOKUP(R6096,产品分类!$C$2:$D$1278,2,0)</f>
        <v>数码电子</v>
      </c>
    </row>
    <row r="6097" spans="1:20">
      <c r="A6097" s="8">
        <f>DATE(2012,12,31)-1361</f>
        <v>39913</v>
      </c>
      <c r="B6097" s="8">
        <f>DATE(2012,12,31)-1361</f>
        <v>39913</v>
      </c>
      <c r="C6097" s="9" t="s">
        <v>562</v>
      </c>
      <c r="D6097">
        <v>10021515536</v>
      </c>
      <c r="E6097" t="s">
        <v>47</v>
      </c>
      <c r="F6097" t="s">
        <v>167</v>
      </c>
      <c r="G6097" t="s">
        <v>168</v>
      </c>
      <c r="H6097" t="s">
        <v>169</v>
      </c>
      <c r="I6097" t="s">
        <v>168</v>
      </c>
      <c r="J6097" t="s">
        <v>52</v>
      </c>
      <c r="K6097" s="3">
        <v>10049518854</v>
      </c>
      <c r="L6097" s="10">
        <v>39915</v>
      </c>
      <c r="M6097">
        <v>843.15</v>
      </c>
      <c r="N6097" s="11">
        <v>16</v>
      </c>
      <c r="O6097" s="12">
        <v>48.91</v>
      </c>
      <c r="P6097" s="12">
        <v>5.81</v>
      </c>
      <c r="Q6097" s="13">
        <v>355</v>
      </c>
      <c r="R6097" s="36" t="s">
        <v>1377</v>
      </c>
      <c r="S6097" s="7">
        <f t="shared" si="528"/>
        <v>2</v>
      </c>
      <c r="T6097" s="15" t="str">
        <f>VLOOKUP(R6097,产品分类!$C$2:$D$1278,2,0)</f>
        <v>办公用品</v>
      </c>
    </row>
    <row r="6098" spans="1:20">
      <c r="A6098" s="8">
        <f>DATE(2012,12,31)-1361</f>
        <v>39913</v>
      </c>
      <c r="B6098" s="8">
        <f>DATE(2012,12,31)-1361</f>
        <v>39913</v>
      </c>
      <c r="C6098" s="9" t="s">
        <v>703</v>
      </c>
      <c r="D6098">
        <v>10021275084</v>
      </c>
      <c r="E6098" t="s">
        <v>47</v>
      </c>
      <c r="F6098" t="s">
        <v>253</v>
      </c>
      <c r="G6098" t="s">
        <v>254</v>
      </c>
      <c r="H6098" t="s">
        <v>2438</v>
      </c>
      <c r="I6098" t="s">
        <v>2439</v>
      </c>
      <c r="J6098" t="s">
        <v>52</v>
      </c>
      <c r="K6098" s="3">
        <v>100132770948</v>
      </c>
      <c r="L6098" s="10">
        <v>39915</v>
      </c>
      <c r="M6098">
        <v>3978.02</v>
      </c>
      <c r="N6098" s="11">
        <v>24</v>
      </c>
      <c r="O6098" s="12">
        <v>165.98</v>
      </c>
      <c r="P6098" s="12">
        <v>19.99</v>
      </c>
      <c r="Q6098" s="13">
        <v>1336.9565</v>
      </c>
      <c r="R6098" s="36" t="s">
        <v>1051</v>
      </c>
      <c r="S6098" s="7">
        <f t="shared" si="528"/>
        <v>2</v>
      </c>
      <c r="T6098" s="15" t="str">
        <f>VLOOKUP(R6098,产品分类!$C$2:$D$1278,2,0)</f>
        <v>家具产品</v>
      </c>
    </row>
    <row r="6099" spans="1:20">
      <c r="A6099" s="8">
        <f>DATE(2012,12,31)-121</f>
        <v>41153</v>
      </c>
      <c r="B6099" s="8">
        <f>DATE(2012,12,31)-121</f>
        <v>41153</v>
      </c>
      <c r="C6099" s="9" t="s">
        <v>858</v>
      </c>
      <c r="D6099">
        <v>10021454803</v>
      </c>
      <c r="E6099" t="s">
        <v>47</v>
      </c>
      <c r="F6099" t="s">
        <v>61</v>
      </c>
      <c r="G6099" t="s">
        <v>62</v>
      </c>
      <c r="H6099" t="s">
        <v>2431</v>
      </c>
      <c r="I6099" t="s">
        <v>2432</v>
      </c>
      <c r="J6099" t="s">
        <v>52</v>
      </c>
      <c r="K6099" s="3">
        <v>10018950107</v>
      </c>
      <c r="L6099" s="10">
        <v>41155</v>
      </c>
      <c r="M6099">
        <v>343.92</v>
      </c>
      <c r="N6099" s="11">
        <v>35</v>
      </c>
      <c r="O6099" s="12">
        <v>10.35</v>
      </c>
      <c r="P6099" s="12">
        <v>0.99</v>
      </c>
      <c r="Q6099" s="13">
        <v>154.54</v>
      </c>
      <c r="R6099" s="36" t="s">
        <v>1349</v>
      </c>
      <c r="S6099" s="7">
        <f t="shared" si="528"/>
        <v>2</v>
      </c>
      <c r="T6099" s="15" t="str">
        <f>VLOOKUP(R6099,产品分类!$C$2:$D$1278,2,0)</f>
        <v>数码电子</v>
      </c>
    </row>
    <row r="6100" spans="1:20">
      <c r="A6100" s="8">
        <f>DATE(2012,12,31)-1034</f>
        <v>40240</v>
      </c>
      <c r="B6100" s="8">
        <f>DATE(2012,12,31)-1034</f>
        <v>40240</v>
      </c>
      <c r="C6100" s="9" t="s">
        <v>858</v>
      </c>
      <c r="D6100">
        <v>10021323783</v>
      </c>
      <c r="E6100" t="s">
        <v>47</v>
      </c>
      <c r="F6100" t="s">
        <v>61</v>
      </c>
      <c r="G6100" t="s">
        <v>62</v>
      </c>
      <c r="H6100" t="s">
        <v>2431</v>
      </c>
      <c r="I6100" t="s">
        <v>2432</v>
      </c>
      <c r="J6100" t="s">
        <v>52</v>
      </c>
      <c r="K6100" s="3">
        <v>10093947511</v>
      </c>
      <c r="L6100" s="10">
        <v>40241</v>
      </c>
      <c r="M6100">
        <v>7.75</v>
      </c>
      <c r="N6100" s="11">
        <v>2</v>
      </c>
      <c r="O6100" s="12">
        <v>2.6</v>
      </c>
      <c r="P6100" s="12">
        <v>2.4</v>
      </c>
      <c r="Q6100" s="13">
        <v>-5.27</v>
      </c>
      <c r="R6100" s="36" t="s">
        <v>2495</v>
      </c>
      <c r="S6100" s="7">
        <f t="shared" si="528"/>
        <v>1</v>
      </c>
      <c r="T6100" s="15" t="str">
        <f>VLOOKUP(R6100,产品分类!$C$2:$D$1278,2,0)</f>
        <v>数码电子</v>
      </c>
    </row>
    <row r="6101" spans="1:20">
      <c r="A6101" s="8">
        <f>DATE(2012,12,31)-303</f>
        <v>40971</v>
      </c>
      <c r="B6101" s="8">
        <f>DATE(2012,12,31)-303</f>
        <v>40971</v>
      </c>
      <c r="C6101" s="9" t="s">
        <v>858</v>
      </c>
      <c r="D6101">
        <v>10021326263</v>
      </c>
      <c r="E6101" t="s">
        <v>47</v>
      </c>
      <c r="F6101" t="s">
        <v>72</v>
      </c>
      <c r="G6101" t="s">
        <v>73</v>
      </c>
      <c r="H6101" t="s">
        <v>2417</v>
      </c>
      <c r="I6101" t="s">
        <v>2418</v>
      </c>
      <c r="J6101" t="s">
        <v>52</v>
      </c>
      <c r="K6101" s="3">
        <v>10016233097</v>
      </c>
      <c r="L6101" s="10">
        <v>40972</v>
      </c>
      <c r="M6101">
        <v>1665.81</v>
      </c>
      <c r="N6101" s="11">
        <v>41</v>
      </c>
      <c r="O6101" s="12">
        <v>40.98</v>
      </c>
      <c r="P6101" s="12">
        <v>7.47</v>
      </c>
      <c r="Q6101" s="13">
        <v>557.5235</v>
      </c>
      <c r="R6101" s="36" t="s">
        <v>2496</v>
      </c>
      <c r="S6101" s="7">
        <f t="shared" si="528"/>
        <v>1</v>
      </c>
      <c r="T6101" s="15" t="str">
        <f>VLOOKUP(R6101,产品分类!$C$2:$D$1278,2,0)</f>
        <v>家具产品</v>
      </c>
    </row>
    <row r="6102" spans="1:20">
      <c r="A6102" s="8">
        <f>DATE(2012,12,31)-540</f>
        <v>40734</v>
      </c>
      <c r="B6102" s="8">
        <f>DATE(2012,12,31)-540</f>
        <v>40734</v>
      </c>
      <c r="C6102" s="9" t="s">
        <v>639</v>
      </c>
      <c r="D6102">
        <v>10021390451</v>
      </c>
      <c r="E6102" t="s">
        <v>47</v>
      </c>
      <c r="F6102" t="s">
        <v>72</v>
      </c>
      <c r="G6102" t="s">
        <v>73</v>
      </c>
      <c r="H6102" t="s">
        <v>2417</v>
      </c>
      <c r="I6102" t="s">
        <v>2418</v>
      </c>
      <c r="J6102" t="s">
        <v>52</v>
      </c>
      <c r="K6102" s="3">
        <v>100432689093</v>
      </c>
      <c r="L6102" s="10">
        <v>40736</v>
      </c>
      <c r="M6102">
        <v>5964.19</v>
      </c>
      <c r="N6102" s="11">
        <v>33</v>
      </c>
      <c r="O6102" s="12">
        <v>199.99</v>
      </c>
      <c r="P6102" s="12">
        <v>24.49</v>
      </c>
      <c r="Q6102" s="13">
        <v>988.199</v>
      </c>
      <c r="R6102" s="36" t="s">
        <v>1175</v>
      </c>
      <c r="S6102" s="7">
        <f t="shared" si="528"/>
        <v>2</v>
      </c>
      <c r="T6102" s="15" t="str">
        <f>VLOOKUP(R6102,产品分类!$C$2:$D$1278,2,0)</f>
        <v>家具产品</v>
      </c>
    </row>
    <row r="6103" spans="1:20">
      <c r="A6103" s="8">
        <f>DATE(2012,12,31)-540</f>
        <v>40734</v>
      </c>
      <c r="B6103" s="8">
        <f>DATE(2012,12,31)-540</f>
        <v>40734</v>
      </c>
      <c r="C6103" s="9" t="s">
        <v>1618</v>
      </c>
      <c r="D6103">
        <v>10021393934</v>
      </c>
      <c r="E6103" t="s">
        <v>47</v>
      </c>
      <c r="F6103" t="s">
        <v>230</v>
      </c>
      <c r="G6103" t="s">
        <v>231</v>
      </c>
      <c r="H6103" t="s">
        <v>2477</v>
      </c>
      <c r="I6103" t="s">
        <v>2478</v>
      </c>
      <c r="J6103" t="s">
        <v>52</v>
      </c>
      <c r="K6103" s="3">
        <v>100914771551</v>
      </c>
      <c r="L6103" s="10">
        <v>40736</v>
      </c>
      <c r="M6103">
        <v>109.2</v>
      </c>
      <c r="N6103" s="11">
        <v>15</v>
      </c>
      <c r="O6103" s="12">
        <v>6.48</v>
      </c>
      <c r="P6103" s="12">
        <v>7.37</v>
      </c>
      <c r="Q6103" s="13">
        <v>-50.27</v>
      </c>
      <c r="R6103" s="36" t="s">
        <v>1227</v>
      </c>
      <c r="S6103" s="7">
        <f t="shared" si="528"/>
        <v>2</v>
      </c>
      <c r="T6103" s="15" t="str">
        <f>VLOOKUP(R6103,产品分类!$C$2:$D$1278,2,0)</f>
        <v>办公用品</v>
      </c>
    </row>
    <row r="6104" spans="1:20">
      <c r="A6104" s="8">
        <f>DATE(2012,12,31)-1228</f>
        <v>40046</v>
      </c>
      <c r="B6104" s="8">
        <f>DATE(2012,12,31)-1228</f>
        <v>40046</v>
      </c>
      <c r="C6104" s="9" t="s">
        <v>743</v>
      </c>
      <c r="D6104">
        <v>10021604313</v>
      </c>
      <c r="E6104" t="s">
        <v>47</v>
      </c>
      <c r="F6104" t="s">
        <v>97</v>
      </c>
      <c r="G6104" t="s">
        <v>98</v>
      </c>
      <c r="H6104" t="s">
        <v>99</v>
      </c>
      <c r="I6104" t="s">
        <v>98</v>
      </c>
      <c r="J6104" t="s">
        <v>52</v>
      </c>
      <c r="K6104" s="3">
        <v>100915465181</v>
      </c>
      <c r="L6104" s="10">
        <v>40047</v>
      </c>
      <c r="M6104">
        <v>3537.84</v>
      </c>
      <c r="N6104" s="11">
        <v>33</v>
      </c>
      <c r="O6104" s="12">
        <v>100.89</v>
      </c>
      <c r="P6104" s="12">
        <v>42</v>
      </c>
      <c r="Q6104" s="13">
        <v>-80.86</v>
      </c>
      <c r="R6104" s="36" t="s">
        <v>1311</v>
      </c>
      <c r="S6104" s="7">
        <f t="shared" si="528"/>
        <v>1</v>
      </c>
      <c r="T6104" s="15" t="str">
        <f>VLOOKUP(R6104,产品分类!$C$2:$D$1278,2,0)</f>
        <v>家具产品</v>
      </c>
    </row>
    <row r="6105" spans="1:20">
      <c r="A6105" s="8">
        <f>DATE(2012,12,31)-1228</f>
        <v>40046</v>
      </c>
      <c r="B6105" s="8">
        <f>DATE(2012,12,31)-1228</f>
        <v>40046</v>
      </c>
      <c r="C6105" s="9" t="s">
        <v>2123</v>
      </c>
      <c r="D6105">
        <v>10021398401</v>
      </c>
      <c r="E6105" t="s">
        <v>47</v>
      </c>
      <c r="F6105" t="s">
        <v>304</v>
      </c>
      <c r="G6105" t="s">
        <v>305</v>
      </c>
      <c r="H6105" t="s">
        <v>2383</v>
      </c>
      <c r="I6105" t="s">
        <v>2384</v>
      </c>
      <c r="J6105" t="s">
        <v>52</v>
      </c>
      <c r="K6105" s="3">
        <v>10087295052</v>
      </c>
      <c r="L6105" s="10">
        <v>40048</v>
      </c>
      <c r="M6105">
        <v>2221.2</v>
      </c>
      <c r="N6105" s="11">
        <v>43</v>
      </c>
      <c r="O6105" s="12">
        <v>48.91</v>
      </c>
      <c r="P6105" s="12">
        <v>35</v>
      </c>
      <c r="Q6105" s="13">
        <v>-1127.22</v>
      </c>
      <c r="R6105" s="36" t="s">
        <v>1064</v>
      </c>
      <c r="S6105" s="7">
        <f t="shared" si="528"/>
        <v>2</v>
      </c>
      <c r="T6105" s="15" t="str">
        <f>VLOOKUP(R6105,产品分类!$C$2:$D$1278,2,0)</f>
        <v>数码电子</v>
      </c>
    </row>
    <row r="6106" spans="1:20">
      <c r="A6106" s="8">
        <f t="shared" ref="A6106:B6108" si="530">DATE(2012,12,31)-496</f>
        <v>40778</v>
      </c>
      <c r="B6106" s="8">
        <f t="shared" si="530"/>
        <v>40778</v>
      </c>
      <c r="C6106" s="9" t="s">
        <v>818</v>
      </c>
      <c r="D6106">
        <v>10021685841</v>
      </c>
      <c r="E6106" t="s">
        <v>47</v>
      </c>
      <c r="F6106" t="s">
        <v>61</v>
      </c>
      <c r="G6106" t="s">
        <v>62</v>
      </c>
      <c r="H6106" t="s">
        <v>2431</v>
      </c>
      <c r="I6106" t="s">
        <v>2432</v>
      </c>
      <c r="J6106" t="s">
        <v>52</v>
      </c>
      <c r="K6106" s="3">
        <v>10048843124</v>
      </c>
      <c r="L6106" s="10">
        <v>40785</v>
      </c>
      <c r="M6106">
        <v>6888.6635</v>
      </c>
      <c r="N6106" s="11">
        <v>39</v>
      </c>
      <c r="O6106" s="12">
        <v>205.99</v>
      </c>
      <c r="P6106" s="12">
        <v>5</v>
      </c>
      <c r="Q6106" s="13">
        <v>1925.577</v>
      </c>
      <c r="R6106" s="36" t="s">
        <v>700</v>
      </c>
      <c r="S6106" s="7">
        <f t="shared" si="528"/>
        <v>7</v>
      </c>
      <c r="T6106" s="15" t="str">
        <f>VLOOKUP(R6106,产品分类!$C$2:$D$1278,2,0)</f>
        <v>家具产品</v>
      </c>
    </row>
    <row r="6107" spans="1:20">
      <c r="A6107" s="8">
        <f t="shared" si="530"/>
        <v>40778</v>
      </c>
      <c r="B6107" s="8">
        <f t="shared" si="530"/>
        <v>40778</v>
      </c>
      <c r="C6107" s="9" t="s">
        <v>818</v>
      </c>
      <c r="D6107">
        <v>10021292574</v>
      </c>
      <c r="E6107" t="s">
        <v>47</v>
      </c>
      <c r="F6107" t="s">
        <v>167</v>
      </c>
      <c r="G6107" t="s">
        <v>168</v>
      </c>
      <c r="H6107" t="s">
        <v>169</v>
      </c>
      <c r="I6107" t="s">
        <v>168</v>
      </c>
      <c r="J6107" t="s">
        <v>52</v>
      </c>
      <c r="K6107" s="3">
        <v>100420053</v>
      </c>
      <c r="L6107" s="10">
        <v>40787</v>
      </c>
      <c r="M6107">
        <v>8.87</v>
      </c>
      <c r="N6107" s="11">
        <v>4</v>
      </c>
      <c r="O6107" s="12">
        <v>1.95</v>
      </c>
      <c r="P6107" s="12">
        <v>1.63</v>
      </c>
      <c r="Q6107" s="13">
        <v>-5.14</v>
      </c>
      <c r="R6107" s="36" t="s">
        <v>990</v>
      </c>
      <c r="S6107" s="7">
        <f t="shared" si="528"/>
        <v>9</v>
      </c>
      <c r="T6107" s="15" t="str">
        <f>VLOOKUP(R6107,产品分类!$C$2:$D$1278,2,0)</f>
        <v>家具产品</v>
      </c>
    </row>
    <row r="6108" spans="1:20">
      <c r="A6108" s="8">
        <f t="shared" si="530"/>
        <v>40778</v>
      </c>
      <c r="B6108" s="8">
        <f t="shared" si="530"/>
        <v>40778</v>
      </c>
      <c r="C6108" s="9" t="s">
        <v>643</v>
      </c>
      <c r="D6108">
        <v>10021310618</v>
      </c>
      <c r="E6108" t="s">
        <v>47</v>
      </c>
      <c r="F6108" t="s">
        <v>61</v>
      </c>
      <c r="G6108" t="s">
        <v>62</v>
      </c>
      <c r="H6108" t="s">
        <v>2431</v>
      </c>
      <c r="I6108" t="s">
        <v>2432</v>
      </c>
      <c r="J6108" t="s">
        <v>52</v>
      </c>
      <c r="K6108" s="3">
        <v>100124369736</v>
      </c>
      <c r="L6108" s="10">
        <v>40787</v>
      </c>
      <c r="M6108">
        <v>720.613</v>
      </c>
      <c r="N6108" s="11">
        <v>43</v>
      </c>
      <c r="O6108" s="12">
        <v>20.99</v>
      </c>
      <c r="P6108" s="12">
        <v>0.99</v>
      </c>
      <c r="Q6108" s="13">
        <v>329.679</v>
      </c>
      <c r="R6108" s="36" t="s">
        <v>1442</v>
      </c>
      <c r="S6108" s="7">
        <f t="shared" si="528"/>
        <v>9</v>
      </c>
      <c r="T6108" s="15" t="str">
        <f>VLOOKUP(R6108,产品分类!$C$2:$D$1278,2,0)</f>
        <v>家具产品</v>
      </c>
    </row>
    <row r="6109" spans="1:20">
      <c r="A6109" s="8">
        <f>DATE(2012,12,31)-1030</f>
        <v>40244</v>
      </c>
      <c r="B6109" s="8">
        <f>DATE(2012,12,31)-1030</f>
        <v>40244</v>
      </c>
      <c r="C6109" s="9" t="s">
        <v>701</v>
      </c>
      <c r="D6109">
        <v>10021666317</v>
      </c>
      <c r="E6109" t="s">
        <v>47</v>
      </c>
      <c r="F6109" t="s">
        <v>97</v>
      </c>
      <c r="G6109" t="s">
        <v>98</v>
      </c>
      <c r="H6109" t="s">
        <v>99</v>
      </c>
      <c r="I6109" t="s">
        <v>98</v>
      </c>
      <c r="J6109" t="s">
        <v>52</v>
      </c>
      <c r="K6109" s="3">
        <v>100110691256</v>
      </c>
      <c r="L6109" s="10">
        <v>40247</v>
      </c>
      <c r="M6109">
        <v>2475.83</v>
      </c>
      <c r="N6109" s="11">
        <v>42</v>
      </c>
      <c r="O6109" s="12">
        <v>59.98</v>
      </c>
      <c r="P6109" s="12">
        <v>3.99</v>
      </c>
      <c r="Q6109" s="13">
        <v>752.37</v>
      </c>
      <c r="R6109" s="36" t="s">
        <v>1884</v>
      </c>
      <c r="S6109" s="7">
        <f t="shared" si="528"/>
        <v>3</v>
      </c>
      <c r="T6109" s="15" t="str">
        <f>VLOOKUP(R6109,产品分类!$C$2:$D$1278,2,0)</f>
        <v>数码电子</v>
      </c>
    </row>
    <row r="6110" spans="1:20">
      <c r="A6110" s="8">
        <f>DATE(2012,12,31)-1344</f>
        <v>39930</v>
      </c>
      <c r="B6110" s="8">
        <f>DATE(2012,12,31)-1344</f>
        <v>39930</v>
      </c>
      <c r="C6110" s="9" t="s">
        <v>1535</v>
      </c>
      <c r="D6110">
        <v>10021666738</v>
      </c>
      <c r="E6110" t="s">
        <v>47</v>
      </c>
      <c r="F6110" t="s">
        <v>97</v>
      </c>
      <c r="G6110" t="s">
        <v>98</v>
      </c>
      <c r="H6110" t="s">
        <v>99</v>
      </c>
      <c r="I6110" t="s">
        <v>98</v>
      </c>
      <c r="J6110" t="s">
        <v>52</v>
      </c>
      <c r="K6110" s="3">
        <v>100827553242</v>
      </c>
      <c r="L6110" s="10">
        <v>39931</v>
      </c>
      <c r="M6110">
        <v>2205.7585</v>
      </c>
      <c r="N6110" s="11">
        <v>40</v>
      </c>
      <c r="O6110" s="12">
        <v>65.99</v>
      </c>
      <c r="P6110" s="12">
        <v>8.99</v>
      </c>
      <c r="Q6110" s="13">
        <v>337.041</v>
      </c>
      <c r="R6110" s="36" t="s">
        <v>416</v>
      </c>
      <c r="S6110" s="7">
        <f t="shared" si="528"/>
        <v>1</v>
      </c>
      <c r="T6110" s="15" t="str">
        <f>VLOOKUP(R6110,产品分类!$C$2:$D$1278,2,0)</f>
        <v>家具产品</v>
      </c>
    </row>
    <row r="6111" spans="1:20">
      <c r="A6111" s="8">
        <f>DATE(2012,12,31)-112</f>
        <v>41162</v>
      </c>
      <c r="B6111" s="8">
        <f>DATE(2012,12,31)-112</f>
        <v>41162</v>
      </c>
      <c r="C6111" s="9" t="s">
        <v>1080</v>
      </c>
      <c r="D6111">
        <v>10021461546</v>
      </c>
      <c r="E6111" t="s">
        <v>47</v>
      </c>
      <c r="F6111" t="s">
        <v>48</v>
      </c>
      <c r="G6111" t="s">
        <v>49</v>
      </c>
      <c r="H6111" t="s">
        <v>2474</v>
      </c>
      <c r="I6111" t="s">
        <v>2475</v>
      </c>
      <c r="J6111" t="s">
        <v>52</v>
      </c>
      <c r="K6111" s="3">
        <v>100815607272</v>
      </c>
      <c r="L6111" s="10">
        <v>41162</v>
      </c>
      <c r="M6111">
        <v>1750</v>
      </c>
      <c r="N6111" s="11">
        <v>31</v>
      </c>
      <c r="O6111" s="12">
        <v>55.48</v>
      </c>
      <c r="P6111" s="12">
        <v>14.3</v>
      </c>
      <c r="Q6111" s="13">
        <v>559.38</v>
      </c>
      <c r="R6111" s="36" t="s">
        <v>2092</v>
      </c>
      <c r="S6111" s="7">
        <f t="shared" si="528"/>
        <v>0</v>
      </c>
      <c r="T6111" s="15" t="str">
        <f>VLOOKUP(R6111,产品分类!$C$2:$D$1278,2,0)</f>
        <v>办公用品</v>
      </c>
    </row>
    <row r="6112" spans="1:20">
      <c r="A6112" s="8">
        <f>DATE(2012,12,31)-1175</f>
        <v>40099</v>
      </c>
      <c r="B6112" s="8">
        <f>DATE(2012,12,31)-1175</f>
        <v>40099</v>
      </c>
      <c r="C6112" s="9" t="s">
        <v>1080</v>
      </c>
      <c r="D6112">
        <v>10021352035</v>
      </c>
      <c r="E6112" t="s">
        <v>47</v>
      </c>
      <c r="F6112" t="s">
        <v>152</v>
      </c>
      <c r="G6112" t="s">
        <v>153</v>
      </c>
      <c r="H6112" t="s">
        <v>2441</v>
      </c>
      <c r="I6112" t="s">
        <v>2442</v>
      </c>
      <c r="J6112" t="s">
        <v>52</v>
      </c>
      <c r="K6112" s="3">
        <v>100922095921</v>
      </c>
      <c r="L6112" s="10">
        <v>40106</v>
      </c>
      <c r="M6112">
        <v>112.16</v>
      </c>
      <c r="N6112" s="11">
        <v>48</v>
      </c>
      <c r="O6112" s="12">
        <v>2.08</v>
      </c>
      <c r="P6112" s="12">
        <v>5.33</v>
      </c>
      <c r="Q6112" s="13">
        <v>-178.29</v>
      </c>
      <c r="R6112" s="36" t="s">
        <v>1045</v>
      </c>
      <c r="S6112" s="7">
        <f t="shared" si="528"/>
        <v>7</v>
      </c>
      <c r="T6112" s="15" t="str">
        <f>VLOOKUP(R6112,产品分类!$C$2:$D$1278,2,0)</f>
        <v>数码电子</v>
      </c>
    </row>
    <row r="6113" spans="1:20">
      <c r="A6113" s="8">
        <f>DATE(2012,12,31)-1449</f>
        <v>39825</v>
      </c>
      <c r="B6113" s="8">
        <f>DATE(2012,12,31)-1449</f>
        <v>39825</v>
      </c>
      <c r="C6113" s="9" t="s">
        <v>1528</v>
      </c>
      <c r="D6113">
        <v>10021531376</v>
      </c>
      <c r="E6113" t="s">
        <v>47</v>
      </c>
      <c r="F6113" t="s">
        <v>66</v>
      </c>
      <c r="G6113" t="s">
        <v>67</v>
      </c>
      <c r="H6113" t="s">
        <v>2467</v>
      </c>
      <c r="I6113" t="s">
        <v>2468</v>
      </c>
      <c r="J6113" t="s">
        <v>52</v>
      </c>
      <c r="K6113" s="3">
        <v>100723214765</v>
      </c>
      <c r="L6113" s="10">
        <v>39828</v>
      </c>
      <c r="M6113">
        <v>15963.09</v>
      </c>
      <c r="N6113" s="11">
        <v>45</v>
      </c>
      <c r="O6113" s="12">
        <v>350.98</v>
      </c>
      <c r="P6113" s="12">
        <v>30</v>
      </c>
      <c r="Q6113" s="13">
        <v>4276.73</v>
      </c>
      <c r="R6113" s="36" t="s">
        <v>2343</v>
      </c>
      <c r="S6113" s="7">
        <f t="shared" si="528"/>
        <v>3</v>
      </c>
      <c r="T6113" s="15" t="str">
        <f>VLOOKUP(R6113,产品分类!$C$2:$D$1278,2,0)</f>
        <v>办公用品</v>
      </c>
    </row>
    <row r="6114" spans="1:20">
      <c r="A6114" s="8">
        <f>DATE(2012,12,31)-1449</f>
        <v>39825</v>
      </c>
      <c r="B6114" s="8">
        <f>DATE(2012,12,31)-1449</f>
        <v>39825</v>
      </c>
      <c r="C6114" s="9" t="s">
        <v>1528</v>
      </c>
      <c r="D6114">
        <v>10021433179</v>
      </c>
      <c r="E6114" t="s">
        <v>47</v>
      </c>
      <c r="F6114" t="s">
        <v>48</v>
      </c>
      <c r="G6114" t="s">
        <v>49</v>
      </c>
      <c r="H6114" t="s">
        <v>2474</v>
      </c>
      <c r="I6114" t="s">
        <v>2475</v>
      </c>
      <c r="J6114" t="s">
        <v>52</v>
      </c>
      <c r="K6114" s="3">
        <v>100332601549</v>
      </c>
      <c r="L6114" s="10">
        <v>39827</v>
      </c>
      <c r="M6114">
        <v>58.48</v>
      </c>
      <c r="N6114" s="11">
        <v>33</v>
      </c>
      <c r="O6114" s="12">
        <v>1.68</v>
      </c>
      <c r="P6114" s="12">
        <v>1</v>
      </c>
      <c r="Q6114" s="13">
        <v>2.72</v>
      </c>
      <c r="R6114" s="36" t="s">
        <v>1240</v>
      </c>
      <c r="S6114" s="7">
        <f t="shared" si="528"/>
        <v>2</v>
      </c>
      <c r="T6114" s="15" t="str">
        <f>VLOOKUP(R6114,产品分类!$C$2:$D$1278,2,0)</f>
        <v>办公用品</v>
      </c>
    </row>
    <row r="6115" spans="1:20">
      <c r="A6115" s="8">
        <f>DATE(2012,12,31)-483</f>
        <v>40791</v>
      </c>
      <c r="B6115" s="8">
        <f>DATE(2012,12,31)-483</f>
        <v>40791</v>
      </c>
      <c r="C6115" s="9" t="s">
        <v>1266</v>
      </c>
      <c r="D6115">
        <v>10021666744</v>
      </c>
      <c r="E6115" t="s">
        <v>47</v>
      </c>
      <c r="F6115" t="s">
        <v>66</v>
      </c>
      <c r="G6115" t="s">
        <v>67</v>
      </c>
      <c r="H6115" t="s">
        <v>2467</v>
      </c>
      <c r="I6115" t="s">
        <v>2468</v>
      </c>
      <c r="J6115" t="s">
        <v>52</v>
      </c>
      <c r="K6115" s="3">
        <v>100727555835</v>
      </c>
      <c r="L6115" s="10">
        <v>40793</v>
      </c>
      <c r="M6115">
        <v>12908.4</v>
      </c>
      <c r="N6115" s="11">
        <v>35</v>
      </c>
      <c r="O6115" s="12">
        <v>350.99</v>
      </c>
      <c r="P6115" s="12">
        <v>59</v>
      </c>
      <c r="Q6115" s="13">
        <v>4084.86</v>
      </c>
      <c r="R6115" s="36" t="s">
        <v>1979</v>
      </c>
      <c r="S6115" s="7">
        <f t="shared" si="528"/>
        <v>2</v>
      </c>
      <c r="T6115" s="15" t="str">
        <f>VLOOKUP(R6115,产品分类!$C$2:$D$1278,2,0)</f>
        <v>办公用品</v>
      </c>
    </row>
    <row r="6116" spans="1:20">
      <c r="A6116" s="8">
        <f>DATE(2012,12,31)-268</f>
        <v>41006</v>
      </c>
      <c r="B6116" s="8">
        <f>DATE(2012,12,31)-268</f>
        <v>41006</v>
      </c>
      <c r="C6116" s="9" t="s">
        <v>1266</v>
      </c>
      <c r="D6116">
        <v>10021332739</v>
      </c>
      <c r="E6116" t="s">
        <v>47</v>
      </c>
      <c r="F6116" t="s">
        <v>152</v>
      </c>
      <c r="G6116" t="s">
        <v>153</v>
      </c>
      <c r="H6116" t="s">
        <v>2441</v>
      </c>
      <c r="I6116" t="s">
        <v>2442</v>
      </c>
      <c r="J6116" t="s">
        <v>52</v>
      </c>
      <c r="K6116" s="3">
        <v>100912238951</v>
      </c>
      <c r="L6116" s="10">
        <v>41009</v>
      </c>
      <c r="M6116">
        <v>524.2</v>
      </c>
      <c r="N6116" s="11">
        <v>21</v>
      </c>
      <c r="O6116" s="12">
        <v>23.99</v>
      </c>
      <c r="P6116" s="12">
        <v>6.71</v>
      </c>
      <c r="Q6116" s="13">
        <v>158.98</v>
      </c>
      <c r="R6116" s="36" t="s">
        <v>1232</v>
      </c>
      <c r="S6116" s="7">
        <f t="shared" si="528"/>
        <v>3</v>
      </c>
      <c r="T6116" s="15" t="str">
        <f>VLOOKUP(R6116,产品分类!$C$2:$D$1278,2,0)</f>
        <v>办公用品</v>
      </c>
    </row>
    <row r="6117" spans="1:20">
      <c r="A6117" s="8">
        <f t="shared" ref="A6117:B6119" si="531">DATE(2012,12,31)-1028</f>
        <v>40246</v>
      </c>
      <c r="B6117" s="8">
        <f t="shared" si="531"/>
        <v>40246</v>
      </c>
      <c r="C6117" s="9" t="s">
        <v>1266</v>
      </c>
      <c r="D6117">
        <v>10021331929</v>
      </c>
      <c r="E6117" t="s">
        <v>47</v>
      </c>
      <c r="F6117" t="s">
        <v>66</v>
      </c>
      <c r="G6117" t="s">
        <v>67</v>
      </c>
      <c r="H6117" t="s">
        <v>2467</v>
      </c>
      <c r="I6117" t="s">
        <v>2468</v>
      </c>
      <c r="J6117" t="s">
        <v>52</v>
      </c>
      <c r="K6117" s="3">
        <v>10019416677</v>
      </c>
      <c r="L6117" s="10">
        <v>40249</v>
      </c>
      <c r="M6117">
        <v>23.38</v>
      </c>
      <c r="N6117" s="11">
        <v>3</v>
      </c>
      <c r="O6117" s="12">
        <v>6.48</v>
      </c>
      <c r="P6117" s="12">
        <v>5.14</v>
      </c>
      <c r="Q6117" s="13">
        <v>-12.19</v>
      </c>
      <c r="R6117" s="36" t="s">
        <v>1154</v>
      </c>
      <c r="S6117" s="7">
        <f t="shared" si="528"/>
        <v>3</v>
      </c>
      <c r="T6117" s="15" t="str">
        <f>VLOOKUP(R6117,产品分类!$C$2:$D$1278,2,0)</f>
        <v>办公用品</v>
      </c>
    </row>
    <row r="6118" spans="1:20">
      <c r="A6118" s="8">
        <f t="shared" si="531"/>
        <v>40246</v>
      </c>
      <c r="B6118" s="8">
        <f t="shared" si="531"/>
        <v>40246</v>
      </c>
      <c r="C6118" s="9" t="s">
        <v>1592</v>
      </c>
      <c r="D6118">
        <v>10021347122</v>
      </c>
      <c r="E6118" t="s">
        <v>47</v>
      </c>
      <c r="F6118" t="s">
        <v>66</v>
      </c>
      <c r="G6118" t="s">
        <v>67</v>
      </c>
      <c r="H6118" t="s">
        <v>2467</v>
      </c>
      <c r="I6118" t="s">
        <v>2468</v>
      </c>
      <c r="J6118" t="s">
        <v>52</v>
      </c>
      <c r="K6118" s="3">
        <v>100429422344</v>
      </c>
      <c r="L6118" s="10">
        <v>40247</v>
      </c>
      <c r="M6118">
        <v>139.37</v>
      </c>
      <c r="N6118" s="11">
        <v>16</v>
      </c>
      <c r="O6118" s="12">
        <v>8.34</v>
      </c>
      <c r="P6118" s="12">
        <v>2.64</v>
      </c>
      <c r="Q6118" s="13">
        <v>1.72</v>
      </c>
      <c r="R6118" s="36" t="s">
        <v>378</v>
      </c>
      <c r="S6118" s="7">
        <f t="shared" si="528"/>
        <v>1</v>
      </c>
      <c r="T6118" s="15" t="str">
        <f>VLOOKUP(R6118,产品分类!$C$2:$D$1278,2,0)</f>
        <v>数码电子</v>
      </c>
    </row>
    <row r="6119" spans="1:20">
      <c r="A6119" s="8">
        <f t="shared" si="531"/>
        <v>40246</v>
      </c>
      <c r="B6119" s="8">
        <f t="shared" si="531"/>
        <v>40246</v>
      </c>
      <c r="C6119" s="9" t="s">
        <v>2123</v>
      </c>
      <c r="D6119">
        <v>10021430616</v>
      </c>
      <c r="E6119" t="s">
        <v>47</v>
      </c>
      <c r="F6119" t="s">
        <v>66</v>
      </c>
      <c r="G6119" t="s">
        <v>67</v>
      </c>
      <c r="H6119" t="s">
        <v>2467</v>
      </c>
      <c r="I6119" t="s">
        <v>2468</v>
      </c>
      <c r="J6119" t="s">
        <v>52</v>
      </c>
      <c r="K6119" s="3">
        <v>100431687384</v>
      </c>
      <c r="L6119" s="10">
        <v>40246</v>
      </c>
      <c r="M6119">
        <v>1221.62</v>
      </c>
      <c r="N6119" s="11">
        <v>18</v>
      </c>
      <c r="O6119" s="12">
        <v>64.65</v>
      </c>
      <c r="P6119" s="12">
        <v>35</v>
      </c>
      <c r="Q6119" s="13">
        <v>-468.64</v>
      </c>
      <c r="R6119" s="36" t="s">
        <v>1298</v>
      </c>
      <c r="S6119" s="7">
        <f t="shared" si="528"/>
        <v>0</v>
      </c>
      <c r="T6119" s="15" t="str">
        <f>VLOOKUP(R6119,产品分类!$C$2:$D$1278,2,0)</f>
        <v>办公用品</v>
      </c>
    </row>
    <row r="6120" spans="1:20">
      <c r="A6120" s="8">
        <f>DATE(2012,12,31)-731</f>
        <v>40543</v>
      </c>
      <c r="B6120" s="8">
        <f>DATE(2012,12,31)-731</f>
        <v>40543</v>
      </c>
      <c r="C6120" s="9" t="s">
        <v>1512</v>
      </c>
      <c r="D6120">
        <v>10021249697</v>
      </c>
      <c r="E6120" t="s">
        <v>47</v>
      </c>
      <c r="F6120" t="s">
        <v>48</v>
      </c>
      <c r="G6120" t="s">
        <v>49</v>
      </c>
      <c r="H6120" t="s">
        <v>2474</v>
      </c>
      <c r="I6120" t="s">
        <v>2475</v>
      </c>
      <c r="J6120" t="s">
        <v>52</v>
      </c>
      <c r="K6120" s="3">
        <v>100810017272</v>
      </c>
      <c r="L6120" s="10">
        <v>40545</v>
      </c>
      <c r="M6120">
        <v>6553.45</v>
      </c>
      <c r="N6120" s="11">
        <v>39</v>
      </c>
      <c r="O6120" s="12">
        <v>162.93</v>
      </c>
      <c r="P6120" s="12">
        <v>19.99</v>
      </c>
      <c r="Q6120" s="13">
        <v>2969.81</v>
      </c>
      <c r="R6120" s="36" t="s">
        <v>429</v>
      </c>
      <c r="S6120" s="7">
        <f t="shared" si="528"/>
        <v>2</v>
      </c>
      <c r="T6120" s="15" t="str">
        <f>VLOOKUP(R6120,产品分类!$C$2:$D$1278,2,0)</f>
        <v>办公用品</v>
      </c>
    </row>
    <row r="6121" spans="1:20">
      <c r="A6121" s="8">
        <f>DATE(2012,12,31)-599</f>
        <v>40675</v>
      </c>
      <c r="B6121" s="8">
        <f>DATE(2012,12,31)-599</f>
        <v>40675</v>
      </c>
      <c r="C6121" s="9" t="s">
        <v>405</v>
      </c>
      <c r="D6121">
        <v>10021280916</v>
      </c>
      <c r="E6121" t="s">
        <v>47</v>
      </c>
      <c r="F6121" t="s">
        <v>48</v>
      </c>
      <c r="G6121" t="s">
        <v>49</v>
      </c>
      <c r="H6121" t="s">
        <v>2474</v>
      </c>
      <c r="I6121" t="s">
        <v>2475</v>
      </c>
      <c r="J6121" t="s">
        <v>52</v>
      </c>
      <c r="K6121" s="3">
        <v>100917954861</v>
      </c>
      <c r="L6121" s="10">
        <v>40676</v>
      </c>
      <c r="M6121">
        <v>2130.31</v>
      </c>
      <c r="N6121" s="11">
        <v>35</v>
      </c>
      <c r="O6121" s="12">
        <v>60.89</v>
      </c>
      <c r="P6121" s="12">
        <v>32.41</v>
      </c>
      <c r="Q6121" s="13">
        <v>-319.26</v>
      </c>
      <c r="R6121" s="36" t="s">
        <v>901</v>
      </c>
      <c r="S6121" s="7">
        <f t="shared" si="528"/>
        <v>1</v>
      </c>
      <c r="T6121" s="15" t="str">
        <f>VLOOKUP(R6121,产品分类!$C$2:$D$1278,2,0)</f>
        <v>家具产品</v>
      </c>
    </row>
    <row r="6122" spans="1:20">
      <c r="A6122" s="8">
        <f>DATE(2012,12,31)-617</f>
        <v>40657</v>
      </c>
      <c r="B6122" s="8">
        <f>DATE(2012,12,31)-617</f>
        <v>40657</v>
      </c>
      <c r="C6122" s="9" t="s">
        <v>2102</v>
      </c>
      <c r="D6122">
        <v>10021340512</v>
      </c>
      <c r="E6122" t="s">
        <v>47</v>
      </c>
      <c r="F6122" t="s">
        <v>66</v>
      </c>
      <c r="G6122" t="s">
        <v>67</v>
      </c>
      <c r="H6122" t="s">
        <v>2467</v>
      </c>
      <c r="I6122" t="s">
        <v>2468</v>
      </c>
      <c r="J6122" t="s">
        <v>52</v>
      </c>
      <c r="K6122" s="3">
        <v>100426159223</v>
      </c>
      <c r="L6122" s="10">
        <v>40658</v>
      </c>
      <c r="M6122">
        <v>1600.85</v>
      </c>
      <c r="N6122" s="11">
        <v>10</v>
      </c>
      <c r="O6122" s="12">
        <v>159.31</v>
      </c>
      <c r="P6122" s="12">
        <v>60</v>
      </c>
      <c r="Q6122" s="13">
        <v>-193.97</v>
      </c>
      <c r="R6122" s="36" t="s">
        <v>2139</v>
      </c>
      <c r="S6122" s="7">
        <f t="shared" si="528"/>
        <v>1</v>
      </c>
      <c r="T6122" s="15" t="str">
        <f>VLOOKUP(R6122,产品分类!$C$2:$D$1278,2,0)</f>
        <v>数码电子</v>
      </c>
    </row>
    <row r="6123" spans="1:20">
      <c r="A6123" s="8">
        <f t="shared" ref="A6123:B6125" si="532">DATE(2012,12,31)-1250</f>
        <v>40024</v>
      </c>
      <c r="B6123" s="8">
        <f t="shared" si="532"/>
        <v>40024</v>
      </c>
      <c r="C6123" s="9" t="s">
        <v>2102</v>
      </c>
      <c r="D6123">
        <v>10021253370</v>
      </c>
      <c r="E6123" t="s">
        <v>47</v>
      </c>
      <c r="F6123" t="s">
        <v>66</v>
      </c>
      <c r="G6123" t="s">
        <v>67</v>
      </c>
      <c r="H6123" t="s">
        <v>2467</v>
      </c>
      <c r="I6123" t="s">
        <v>2468</v>
      </c>
      <c r="J6123" t="s">
        <v>52</v>
      </c>
      <c r="K6123" s="3">
        <v>100118997277</v>
      </c>
      <c r="L6123" s="10">
        <v>40025</v>
      </c>
      <c r="M6123">
        <v>59.66</v>
      </c>
      <c r="N6123" s="11">
        <v>35</v>
      </c>
      <c r="O6123" s="12">
        <v>1.68</v>
      </c>
      <c r="P6123" s="12">
        <v>1.57</v>
      </c>
      <c r="Q6123" s="13">
        <v>-33.34</v>
      </c>
      <c r="R6123" s="36" t="s">
        <v>1873</v>
      </c>
      <c r="S6123" s="7">
        <f t="shared" si="528"/>
        <v>1</v>
      </c>
      <c r="T6123" s="15" t="str">
        <f>VLOOKUP(R6123,产品分类!$C$2:$D$1278,2,0)</f>
        <v>数码电子</v>
      </c>
    </row>
    <row r="6124" spans="1:20">
      <c r="A6124" s="8">
        <f t="shared" si="532"/>
        <v>40024</v>
      </c>
      <c r="B6124" s="8">
        <f t="shared" si="532"/>
        <v>40024</v>
      </c>
      <c r="C6124" s="9" t="s">
        <v>754</v>
      </c>
      <c r="D6124">
        <v>10021675788</v>
      </c>
      <c r="E6124" t="s">
        <v>47</v>
      </c>
      <c r="F6124" t="s">
        <v>72</v>
      </c>
      <c r="G6124" t="s">
        <v>73</v>
      </c>
      <c r="H6124" t="s">
        <v>2417</v>
      </c>
      <c r="I6124" t="s">
        <v>2418</v>
      </c>
      <c r="J6124" t="s">
        <v>52</v>
      </c>
      <c r="K6124" s="3">
        <v>100132515888</v>
      </c>
      <c r="L6124" s="10">
        <v>40026</v>
      </c>
      <c r="M6124">
        <v>377.016</v>
      </c>
      <c r="N6124" s="11">
        <v>2</v>
      </c>
      <c r="O6124" s="12">
        <v>218.75</v>
      </c>
      <c r="P6124" s="12">
        <v>69.64</v>
      </c>
      <c r="Q6124" s="13">
        <v>-201.276</v>
      </c>
      <c r="R6124" s="36" t="s">
        <v>1319</v>
      </c>
      <c r="S6124" s="7">
        <f t="shared" si="528"/>
        <v>2</v>
      </c>
      <c r="T6124" s="15" t="str">
        <f>VLOOKUP(R6124,产品分类!$C$2:$D$1278,2,0)</f>
        <v>家具产品</v>
      </c>
    </row>
    <row r="6125" spans="1:20">
      <c r="A6125" s="8">
        <f t="shared" si="532"/>
        <v>40024</v>
      </c>
      <c r="B6125" s="8">
        <f t="shared" si="532"/>
        <v>40024</v>
      </c>
      <c r="C6125" s="9" t="s">
        <v>562</v>
      </c>
      <c r="D6125">
        <v>10021574940</v>
      </c>
      <c r="E6125" t="s">
        <v>47</v>
      </c>
      <c r="F6125" t="s">
        <v>72</v>
      </c>
      <c r="G6125" t="s">
        <v>73</v>
      </c>
      <c r="H6125" t="s">
        <v>2417</v>
      </c>
      <c r="I6125" t="s">
        <v>2418</v>
      </c>
      <c r="J6125" t="s">
        <v>52</v>
      </c>
      <c r="K6125" s="3">
        <v>10049134904</v>
      </c>
      <c r="L6125" s="10">
        <v>40026</v>
      </c>
      <c r="M6125">
        <v>124.7</v>
      </c>
      <c r="N6125" s="11">
        <v>8</v>
      </c>
      <c r="O6125" s="12">
        <v>15.04</v>
      </c>
      <c r="P6125" s="12">
        <v>1.97</v>
      </c>
      <c r="Q6125" s="13">
        <v>31.94</v>
      </c>
      <c r="R6125" s="36" t="s">
        <v>1639</v>
      </c>
      <c r="S6125" s="7">
        <f t="shared" si="528"/>
        <v>2</v>
      </c>
      <c r="T6125" s="15" t="str">
        <f>VLOOKUP(R6125,产品分类!$C$2:$D$1278,2,0)</f>
        <v>办公用品</v>
      </c>
    </row>
    <row r="6126" spans="1:20">
      <c r="A6126" s="8">
        <f>DATE(2012,12,31)-501</f>
        <v>40773</v>
      </c>
      <c r="B6126" s="8">
        <f>DATE(2012,12,31)-501</f>
        <v>40773</v>
      </c>
      <c r="C6126" s="9" t="s">
        <v>1906</v>
      </c>
      <c r="D6126">
        <v>10021703880</v>
      </c>
      <c r="E6126" t="s">
        <v>47</v>
      </c>
      <c r="F6126" t="s">
        <v>72</v>
      </c>
      <c r="G6126" t="s">
        <v>73</v>
      </c>
      <c r="H6126" t="s">
        <v>2417</v>
      </c>
      <c r="I6126" t="s">
        <v>2418</v>
      </c>
      <c r="J6126" t="s">
        <v>52</v>
      </c>
      <c r="K6126" s="3">
        <v>100715676005</v>
      </c>
      <c r="L6126" s="10">
        <v>40775</v>
      </c>
      <c r="M6126">
        <v>772.56</v>
      </c>
      <c r="N6126" s="11">
        <v>34</v>
      </c>
      <c r="O6126" s="12">
        <v>22.98</v>
      </c>
      <c r="P6126" s="12">
        <v>4.5</v>
      </c>
      <c r="Q6126" s="13">
        <v>143.87</v>
      </c>
      <c r="R6126" s="36" t="s">
        <v>325</v>
      </c>
      <c r="S6126" s="7">
        <f t="shared" si="528"/>
        <v>2</v>
      </c>
      <c r="T6126" s="15" t="str">
        <f>VLOOKUP(R6126,产品分类!$C$2:$D$1278,2,0)</f>
        <v>数码电子</v>
      </c>
    </row>
    <row r="6127" spans="1:20">
      <c r="A6127" s="8">
        <f>DATE(2012,12,31)-420</f>
        <v>40854</v>
      </c>
      <c r="B6127" s="8">
        <f>DATE(2012,12,31)-420</f>
        <v>40854</v>
      </c>
      <c r="C6127" s="9" t="s">
        <v>1906</v>
      </c>
      <c r="D6127">
        <v>10021693304</v>
      </c>
      <c r="E6127" t="s">
        <v>47</v>
      </c>
      <c r="F6127" t="s">
        <v>78</v>
      </c>
      <c r="G6127" t="s">
        <v>79</v>
      </c>
      <c r="H6127" t="s">
        <v>2489</v>
      </c>
      <c r="I6127" t="s">
        <v>2490</v>
      </c>
      <c r="J6127" t="s">
        <v>52</v>
      </c>
      <c r="K6127" s="3">
        <v>100729882795</v>
      </c>
      <c r="L6127" s="10">
        <v>40855</v>
      </c>
      <c r="M6127">
        <v>13905.88</v>
      </c>
      <c r="N6127" s="11">
        <v>26</v>
      </c>
      <c r="O6127" s="12">
        <v>574.74</v>
      </c>
      <c r="P6127" s="12">
        <v>24.49</v>
      </c>
      <c r="Q6127" s="13">
        <v>6441.18</v>
      </c>
      <c r="R6127" s="36" t="s">
        <v>1974</v>
      </c>
      <c r="S6127" s="7">
        <f t="shared" si="528"/>
        <v>1</v>
      </c>
      <c r="T6127" s="15" t="str">
        <f>VLOOKUP(R6127,产品分类!$C$2:$D$1278,2,0)</f>
        <v>办公用品</v>
      </c>
    </row>
    <row r="6128" spans="1:20">
      <c r="A6128" s="8">
        <f>DATE(2012,12,31)-203</f>
        <v>41071</v>
      </c>
      <c r="B6128" s="8">
        <f>DATE(2012,12,31)-203</f>
        <v>41071</v>
      </c>
      <c r="C6128" s="9" t="s">
        <v>1906</v>
      </c>
      <c r="D6128">
        <v>10021673255</v>
      </c>
      <c r="E6128" t="s">
        <v>47</v>
      </c>
      <c r="F6128" t="s">
        <v>78</v>
      </c>
      <c r="G6128" t="s">
        <v>79</v>
      </c>
      <c r="H6128" t="s">
        <v>2489</v>
      </c>
      <c r="I6128" t="s">
        <v>2490</v>
      </c>
      <c r="J6128" t="s">
        <v>52</v>
      </c>
      <c r="K6128" s="3">
        <v>100131833228</v>
      </c>
      <c r="L6128" s="10">
        <v>41072</v>
      </c>
      <c r="M6128">
        <v>25.09</v>
      </c>
      <c r="N6128" s="11">
        <v>2</v>
      </c>
      <c r="O6128" s="12">
        <v>8.04</v>
      </c>
      <c r="P6128" s="12">
        <v>8.94</v>
      </c>
      <c r="Q6128" s="13">
        <v>-17.595</v>
      </c>
      <c r="R6128" s="36" t="s">
        <v>1310</v>
      </c>
      <c r="S6128" s="7">
        <f t="shared" si="528"/>
        <v>1</v>
      </c>
      <c r="T6128" s="15" t="str">
        <f>VLOOKUP(R6128,产品分类!$C$2:$D$1278,2,0)</f>
        <v>办公用品</v>
      </c>
    </row>
    <row r="6129" spans="1:20">
      <c r="A6129" s="16">
        <f t="shared" ref="A6129:B6133" si="533">DATE(2012,12,31)-196</f>
        <v>41078</v>
      </c>
      <c r="B6129" s="16">
        <f t="shared" si="533"/>
        <v>41078</v>
      </c>
      <c r="C6129" s="9" t="s">
        <v>1592</v>
      </c>
      <c r="D6129">
        <v>10021249778</v>
      </c>
      <c r="E6129" t="s">
        <v>47</v>
      </c>
      <c r="F6129" t="s">
        <v>78</v>
      </c>
      <c r="G6129" t="s">
        <v>79</v>
      </c>
      <c r="H6129" t="s">
        <v>2489</v>
      </c>
      <c r="I6129" t="s">
        <v>2490</v>
      </c>
      <c r="J6129" t="s">
        <v>52</v>
      </c>
      <c r="K6129" s="3">
        <v>100410060184</v>
      </c>
      <c r="L6129" s="10">
        <v>41079</v>
      </c>
      <c r="M6129">
        <v>2116.2</v>
      </c>
      <c r="N6129" s="17">
        <v>46</v>
      </c>
      <c r="O6129" s="5">
        <v>48.92</v>
      </c>
      <c r="P6129" s="5">
        <v>4.5</v>
      </c>
      <c r="Q6129" s="6">
        <v>483.67</v>
      </c>
      <c r="R6129" s="37" t="s">
        <v>778</v>
      </c>
      <c r="S6129" s="7">
        <f t="shared" si="528"/>
        <v>1</v>
      </c>
      <c r="T6129" s="15" t="str">
        <f>VLOOKUP(R6129,产品分类!$C$2:$D$1278,2,0)</f>
        <v>办公用品</v>
      </c>
    </row>
    <row r="6130" spans="1:20">
      <c r="A6130" s="8">
        <f t="shared" si="533"/>
        <v>41078</v>
      </c>
      <c r="B6130" s="8">
        <f t="shared" si="533"/>
        <v>41078</v>
      </c>
      <c r="C6130" s="9" t="s">
        <v>1266</v>
      </c>
      <c r="D6130">
        <v>10021590052</v>
      </c>
      <c r="E6130" t="s">
        <v>47</v>
      </c>
      <c r="F6130" t="s">
        <v>72</v>
      </c>
      <c r="G6130" t="s">
        <v>73</v>
      </c>
      <c r="H6130" t="s">
        <v>2417</v>
      </c>
      <c r="I6130" t="s">
        <v>2418</v>
      </c>
      <c r="J6130" t="s">
        <v>52</v>
      </c>
      <c r="K6130" s="3">
        <v>100115188638</v>
      </c>
      <c r="L6130" s="10">
        <v>41079</v>
      </c>
      <c r="M6130">
        <v>766.36</v>
      </c>
      <c r="N6130" s="11">
        <v>46</v>
      </c>
      <c r="O6130" s="12">
        <v>15.57</v>
      </c>
      <c r="P6130" s="12">
        <v>1.39</v>
      </c>
      <c r="Q6130" s="13">
        <v>399.12</v>
      </c>
      <c r="R6130" s="36" t="s">
        <v>519</v>
      </c>
      <c r="S6130" s="7">
        <f t="shared" si="528"/>
        <v>1</v>
      </c>
      <c r="T6130" s="15" t="str">
        <f>VLOOKUP(R6130,产品分类!$C$2:$D$1278,2,0)</f>
        <v>家具产品</v>
      </c>
    </row>
    <row r="6131" spans="1:20">
      <c r="A6131" s="8">
        <f t="shared" si="533"/>
        <v>41078</v>
      </c>
      <c r="B6131" s="8">
        <f t="shared" si="533"/>
        <v>41078</v>
      </c>
      <c r="C6131" s="9" t="s">
        <v>1882</v>
      </c>
      <c r="D6131">
        <v>10021690785</v>
      </c>
      <c r="E6131" t="s">
        <v>47</v>
      </c>
      <c r="F6131" t="s">
        <v>78</v>
      </c>
      <c r="G6131" t="s">
        <v>79</v>
      </c>
      <c r="H6131" t="s">
        <v>2489</v>
      </c>
      <c r="I6131" t="s">
        <v>2490</v>
      </c>
      <c r="J6131" t="s">
        <v>52</v>
      </c>
      <c r="K6131" s="3">
        <v>100126006457</v>
      </c>
      <c r="L6131" s="10">
        <v>41079</v>
      </c>
      <c r="M6131">
        <v>547.32</v>
      </c>
      <c r="N6131" s="11">
        <v>28</v>
      </c>
      <c r="O6131" s="12">
        <v>20.24</v>
      </c>
      <c r="P6131" s="12">
        <v>6.67</v>
      </c>
      <c r="Q6131" s="13">
        <v>42.39</v>
      </c>
      <c r="R6131" s="36" t="s">
        <v>717</v>
      </c>
      <c r="S6131" s="7">
        <f t="shared" si="528"/>
        <v>1</v>
      </c>
      <c r="T6131" s="15" t="str">
        <f>VLOOKUP(R6131,产品分类!$C$2:$D$1278,2,0)</f>
        <v>办公用品</v>
      </c>
    </row>
    <row r="6132" spans="1:20">
      <c r="A6132" s="8">
        <f t="shared" si="533"/>
        <v>41078</v>
      </c>
      <c r="B6132" s="8">
        <f t="shared" si="533"/>
        <v>41078</v>
      </c>
      <c r="C6132" s="9" t="s">
        <v>1941</v>
      </c>
      <c r="D6132">
        <v>10021424952</v>
      </c>
      <c r="E6132" t="s">
        <v>47</v>
      </c>
      <c r="F6132" t="s">
        <v>72</v>
      </c>
      <c r="G6132" t="s">
        <v>73</v>
      </c>
      <c r="H6132" t="s">
        <v>2417</v>
      </c>
      <c r="I6132" t="s">
        <v>2418</v>
      </c>
      <c r="J6132" t="s">
        <v>52</v>
      </c>
      <c r="K6132" s="3">
        <v>100129238646</v>
      </c>
      <c r="L6132" s="10">
        <v>41080</v>
      </c>
      <c r="M6132">
        <v>192.44</v>
      </c>
      <c r="N6132" s="11">
        <v>13</v>
      </c>
      <c r="O6132" s="12">
        <v>14.48</v>
      </c>
      <c r="P6132" s="12">
        <v>6.46</v>
      </c>
      <c r="Q6132" s="13">
        <v>6.7745</v>
      </c>
      <c r="R6132" s="36" t="s">
        <v>881</v>
      </c>
      <c r="S6132" s="7">
        <f t="shared" si="528"/>
        <v>2</v>
      </c>
      <c r="T6132" s="15" t="str">
        <f>VLOOKUP(R6132,产品分类!$C$2:$D$1278,2,0)</f>
        <v>家具产品</v>
      </c>
    </row>
    <row r="6133" spans="1:20">
      <c r="A6133" s="8">
        <f t="shared" si="533"/>
        <v>41078</v>
      </c>
      <c r="B6133" s="8">
        <f t="shared" si="533"/>
        <v>41078</v>
      </c>
      <c r="C6133" s="9" t="s">
        <v>1941</v>
      </c>
      <c r="D6133">
        <v>10021423397</v>
      </c>
      <c r="E6133" t="s">
        <v>47</v>
      </c>
      <c r="F6133" t="s">
        <v>78</v>
      </c>
      <c r="G6133" t="s">
        <v>79</v>
      </c>
      <c r="H6133" t="s">
        <v>2489</v>
      </c>
      <c r="I6133" t="s">
        <v>2490</v>
      </c>
      <c r="J6133" t="s">
        <v>52</v>
      </c>
      <c r="K6133" s="3">
        <v>100327810309</v>
      </c>
      <c r="L6133" s="10">
        <v>41080</v>
      </c>
      <c r="M6133">
        <v>1294.35</v>
      </c>
      <c r="N6133" s="11">
        <v>3</v>
      </c>
      <c r="O6133" s="12">
        <v>449.99</v>
      </c>
      <c r="P6133" s="12">
        <v>24.49</v>
      </c>
      <c r="Q6133" s="13">
        <v>-1569.06</v>
      </c>
      <c r="R6133" s="36" t="s">
        <v>456</v>
      </c>
      <c r="S6133" s="7">
        <f t="shared" si="528"/>
        <v>2</v>
      </c>
      <c r="T6133" s="15" t="str">
        <f>VLOOKUP(R6133,产品分类!$C$2:$D$1278,2,0)</f>
        <v>办公用品</v>
      </c>
    </row>
    <row r="6134" spans="1:20">
      <c r="A6134" s="8">
        <f t="shared" ref="A6134:B6136" si="534">DATE(2012,12,31)-235</f>
        <v>41039</v>
      </c>
      <c r="B6134" s="8">
        <f t="shared" si="534"/>
        <v>41039</v>
      </c>
      <c r="C6134" s="9" t="s">
        <v>1941</v>
      </c>
      <c r="D6134">
        <v>10021503179</v>
      </c>
      <c r="E6134" t="s">
        <v>47</v>
      </c>
      <c r="F6134" t="s">
        <v>78</v>
      </c>
      <c r="G6134" t="s">
        <v>79</v>
      </c>
      <c r="H6134" t="s">
        <v>2489</v>
      </c>
      <c r="I6134" t="s">
        <v>2490</v>
      </c>
      <c r="J6134" t="s">
        <v>52</v>
      </c>
      <c r="K6134" s="3">
        <v>10039207859</v>
      </c>
      <c r="L6134" s="10">
        <v>41040</v>
      </c>
      <c r="M6134">
        <v>152.52</v>
      </c>
      <c r="N6134" s="11">
        <v>22</v>
      </c>
      <c r="O6134" s="12">
        <v>6.48</v>
      </c>
      <c r="P6134" s="12">
        <v>5.94</v>
      </c>
      <c r="Q6134" s="13">
        <v>-43.87</v>
      </c>
      <c r="R6134" s="36" t="s">
        <v>1755</v>
      </c>
      <c r="S6134" s="7">
        <f t="shared" si="528"/>
        <v>1</v>
      </c>
      <c r="T6134" s="15" t="str">
        <f>VLOOKUP(R6134,产品分类!$C$2:$D$1278,2,0)</f>
        <v>办公用品</v>
      </c>
    </row>
    <row r="6135" spans="1:20">
      <c r="A6135" s="16">
        <f t="shared" si="534"/>
        <v>41039</v>
      </c>
      <c r="B6135" s="16">
        <f t="shared" si="534"/>
        <v>41039</v>
      </c>
      <c r="C6135" s="9" t="s">
        <v>1564</v>
      </c>
      <c r="D6135">
        <v>10021613092</v>
      </c>
      <c r="E6135" t="s">
        <v>47</v>
      </c>
      <c r="F6135" t="s">
        <v>230</v>
      </c>
      <c r="G6135" t="s">
        <v>231</v>
      </c>
      <c r="H6135" t="s">
        <v>2477</v>
      </c>
      <c r="I6135" t="s">
        <v>2478</v>
      </c>
      <c r="J6135" t="s">
        <v>52</v>
      </c>
      <c r="K6135" s="3">
        <v>100114118258</v>
      </c>
      <c r="L6135" s="10">
        <v>41041</v>
      </c>
      <c r="M6135">
        <v>71.6</v>
      </c>
      <c r="N6135" s="17">
        <v>14</v>
      </c>
      <c r="O6135" s="5">
        <v>4.98</v>
      </c>
      <c r="P6135" s="5">
        <v>4.7</v>
      </c>
      <c r="Q6135" s="6">
        <v>-30.65</v>
      </c>
      <c r="R6135" s="37" t="s">
        <v>831</v>
      </c>
      <c r="S6135" s="7">
        <f t="shared" si="528"/>
        <v>2</v>
      </c>
      <c r="T6135" s="15" t="str">
        <f>VLOOKUP(R6135,产品分类!$C$2:$D$1278,2,0)</f>
        <v>家具产品</v>
      </c>
    </row>
    <row r="6136" spans="1:20">
      <c r="A6136" s="8">
        <f t="shared" si="534"/>
        <v>41039</v>
      </c>
      <c r="B6136" s="8">
        <f t="shared" si="534"/>
        <v>41039</v>
      </c>
      <c r="C6136" s="9" t="s">
        <v>421</v>
      </c>
      <c r="D6136">
        <v>10021676319</v>
      </c>
      <c r="E6136" t="s">
        <v>47</v>
      </c>
      <c r="F6136" t="s">
        <v>78</v>
      </c>
      <c r="G6136" t="s">
        <v>79</v>
      </c>
      <c r="H6136" t="s">
        <v>2489</v>
      </c>
      <c r="I6136" t="s">
        <v>2490</v>
      </c>
      <c r="J6136" t="s">
        <v>52</v>
      </c>
      <c r="K6136" s="3">
        <v>100132549197</v>
      </c>
      <c r="L6136" s="10">
        <v>41042</v>
      </c>
      <c r="M6136">
        <v>1699.983</v>
      </c>
      <c r="N6136" s="11">
        <v>37</v>
      </c>
      <c r="O6136" s="12">
        <v>55.99</v>
      </c>
      <c r="P6136" s="12">
        <v>5</v>
      </c>
      <c r="Q6136" s="13">
        <v>-202.862</v>
      </c>
      <c r="R6136" s="36" t="s">
        <v>1526</v>
      </c>
      <c r="S6136" s="7">
        <f t="shared" si="528"/>
        <v>3</v>
      </c>
      <c r="T6136" s="15" t="str">
        <f>VLOOKUP(R6136,产品分类!$C$2:$D$1278,2,0)</f>
        <v>办公用品</v>
      </c>
    </row>
    <row r="6137" spans="1:20">
      <c r="A6137" s="8">
        <f>DATE(2012,12,31)-363</f>
        <v>40911</v>
      </c>
      <c r="B6137" s="8">
        <f>DATE(2012,12,31)-363</f>
        <v>40911</v>
      </c>
      <c r="C6137" s="9" t="s">
        <v>1246</v>
      </c>
      <c r="D6137">
        <v>10021637457</v>
      </c>
      <c r="E6137" t="s">
        <v>47</v>
      </c>
      <c r="F6137" t="s">
        <v>230</v>
      </c>
      <c r="G6137" t="s">
        <v>231</v>
      </c>
      <c r="H6137" t="s">
        <v>2497</v>
      </c>
      <c r="I6137" t="s">
        <v>2498</v>
      </c>
      <c r="J6137" t="s">
        <v>52</v>
      </c>
      <c r="K6137" s="3">
        <v>10077005215</v>
      </c>
      <c r="L6137" s="10">
        <v>40912</v>
      </c>
      <c r="M6137">
        <v>3668.28</v>
      </c>
      <c r="N6137" s="11">
        <v>2</v>
      </c>
      <c r="O6137" s="12">
        <v>1938.02</v>
      </c>
      <c r="P6137" s="12">
        <v>13.99</v>
      </c>
      <c r="Q6137" s="13">
        <v>-4858.6716</v>
      </c>
      <c r="R6137" s="36" t="s">
        <v>1042</v>
      </c>
      <c r="S6137" s="7">
        <f t="shared" si="528"/>
        <v>1</v>
      </c>
      <c r="T6137" s="15" t="str">
        <f>VLOOKUP(R6137,产品分类!$C$2:$D$1278,2,0)</f>
        <v>家具产品</v>
      </c>
    </row>
    <row r="6138" spans="1:20">
      <c r="A6138" s="8">
        <f>DATE(2012,12,31)-222</f>
        <v>41052</v>
      </c>
      <c r="B6138" s="8">
        <f>DATE(2012,12,31)-222</f>
        <v>41052</v>
      </c>
      <c r="C6138" s="9" t="s">
        <v>2355</v>
      </c>
      <c r="D6138">
        <v>10021606332</v>
      </c>
      <c r="E6138" t="s">
        <v>47</v>
      </c>
      <c r="F6138" t="s">
        <v>230</v>
      </c>
      <c r="G6138" t="s">
        <v>231</v>
      </c>
      <c r="H6138" t="s">
        <v>2497</v>
      </c>
      <c r="I6138" t="s">
        <v>2498</v>
      </c>
      <c r="J6138" t="s">
        <v>52</v>
      </c>
      <c r="K6138" s="3">
        <v>100716161375</v>
      </c>
      <c r="L6138" s="10">
        <v>41054</v>
      </c>
      <c r="M6138">
        <v>295.37</v>
      </c>
      <c r="N6138" s="11">
        <v>50</v>
      </c>
      <c r="O6138" s="12">
        <v>5.98</v>
      </c>
      <c r="P6138" s="12">
        <v>5.46</v>
      </c>
      <c r="Q6138" s="13">
        <v>-97.23</v>
      </c>
      <c r="R6138" s="36" t="s">
        <v>1539</v>
      </c>
      <c r="S6138" s="7">
        <f t="shared" si="528"/>
        <v>2</v>
      </c>
      <c r="T6138" s="15" t="str">
        <f>VLOOKUP(R6138,产品分类!$C$2:$D$1278,2,0)</f>
        <v>数码电子</v>
      </c>
    </row>
    <row r="6139" spans="1:20">
      <c r="A6139" s="8">
        <f>DATE(2012,12,31)-950</f>
        <v>40324</v>
      </c>
      <c r="B6139" s="8">
        <f>DATE(2012,12,31)-950</f>
        <v>40324</v>
      </c>
      <c r="C6139" s="9" t="s">
        <v>2355</v>
      </c>
      <c r="D6139">
        <v>10021637447</v>
      </c>
      <c r="E6139" t="s">
        <v>47</v>
      </c>
      <c r="F6139" t="s">
        <v>473</v>
      </c>
      <c r="G6139" t="s">
        <v>474</v>
      </c>
      <c r="H6139" t="s">
        <v>2406</v>
      </c>
      <c r="I6139" t="s">
        <v>2407</v>
      </c>
      <c r="J6139" t="s">
        <v>52</v>
      </c>
      <c r="K6139" s="3">
        <v>10016572776</v>
      </c>
      <c r="L6139" s="10">
        <v>40324</v>
      </c>
      <c r="M6139">
        <v>561.06</v>
      </c>
      <c r="N6139" s="11">
        <v>49</v>
      </c>
      <c r="O6139" s="12">
        <v>11.58</v>
      </c>
      <c r="P6139" s="12">
        <v>6.97</v>
      </c>
      <c r="Q6139" s="13">
        <v>-2.23</v>
      </c>
      <c r="R6139" s="36" t="s">
        <v>843</v>
      </c>
      <c r="S6139" s="7">
        <f t="shared" si="528"/>
        <v>0</v>
      </c>
      <c r="T6139" s="15" t="str">
        <f>VLOOKUP(R6139,产品分类!$C$2:$D$1278,2,0)</f>
        <v>办公用品</v>
      </c>
    </row>
    <row r="6140" spans="1:20">
      <c r="A6140" s="8">
        <f>DATE(2012,12,31)-950</f>
        <v>40324</v>
      </c>
      <c r="B6140" s="8">
        <f>DATE(2012,12,31)-950</f>
        <v>40324</v>
      </c>
      <c r="C6140" s="9" t="s">
        <v>2355</v>
      </c>
      <c r="D6140">
        <v>10021296159</v>
      </c>
      <c r="E6140" t="s">
        <v>47</v>
      </c>
      <c r="F6140" t="s">
        <v>277</v>
      </c>
      <c r="G6140" t="s">
        <v>278</v>
      </c>
      <c r="H6140" t="s">
        <v>279</v>
      </c>
      <c r="I6140" t="s">
        <v>280</v>
      </c>
      <c r="J6140" t="s">
        <v>52</v>
      </c>
      <c r="K6140" s="3">
        <v>100920728281</v>
      </c>
      <c r="L6140" s="10">
        <v>40325</v>
      </c>
      <c r="M6140">
        <v>320.03</v>
      </c>
      <c r="N6140" s="11">
        <v>19</v>
      </c>
      <c r="O6140" s="12">
        <v>15.31</v>
      </c>
      <c r="P6140" s="12">
        <v>8.78</v>
      </c>
      <c r="Q6140" s="13">
        <v>-43.22</v>
      </c>
      <c r="R6140" s="36" t="s">
        <v>1005</v>
      </c>
      <c r="S6140" s="7">
        <f t="shared" si="528"/>
        <v>1</v>
      </c>
      <c r="T6140" s="15" t="str">
        <f>VLOOKUP(R6140,产品分类!$C$2:$D$1278,2,0)</f>
        <v>办公用品</v>
      </c>
    </row>
    <row r="6141" spans="1:20">
      <c r="A6141" s="8">
        <f>DATE(2012,12,31)-1327</f>
        <v>39947</v>
      </c>
      <c r="B6141" s="8">
        <f>DATE(2012,12,31)-1327</f>
        <v>39947</v>
      </c>
      <c r="C6141" s="9" t="s">
        <v>2355</v>
      </c>
      <c r="D6141">
        <v>10021646323</v>
      </c>
      <c r="E6141" t="s">
        <v>47</v>
      </c>
      <c r="F6141" t="s">
        <v>434</v>
      </c>
      <c r="G6141" t="s">
        <v>435</v>
      </c>
      <c r="H6141" t="s">
        <v>436</v>
      </c>
      <c r="I6141" t="s">
        <v>437</v>
      </c>
      <c r="J6141" t="s">
        <v>52</v>
      </c>
      <c r="K6141" s="3">
        <v>100917036931</v>
      </c>
      <c r="L6141" s="10">
        <v>39948</v>
      </c>
      <c r="M6141">
        <v>143.29</v>
      </c>
      <c r="N6141" s="11">
        <v>29</v>
      </c>
      <c r="O6141" s="12">
        <v>4.98</v>
      </c>
      <c r="P6141" s="12">
        <v>4.72</v>
      </c>
      <c r="Q6141" s="13">
        <v>-55.54</v>
      </c>
      <c r="R6141" s="36" t="s">
        <v>684</v>
      </c>
      <c r="S6141" s="7">
        <f t="shared" si="528"/>
        <v>1</v>
      </c>
      <c r="T6141" s="15" t="str">
        <f>VLOOKUP(R6141,产品分类!$C$2:$D$1278,2,0)</f>
        <v>办公用品</v>
      </c>
    </row>
    <row r="6142" spans="1:20">
      <c r="A6142" s="16">
        <f>DATE(2012,12,31)-1158</f>
        <v>40116</v>
      </c>
      <c r="B6142" s="16">
        <f>DATE(2012,12,31)-1158</f>
        <v>40116</v>
      </c>
      <c r="C6142" s="9" t="s">
        <v>2355</v>
      </c>
      <c r="D6142">
        <v>10021511216</v>
      </c>
      <c r="E6142" t="s">
        <v>47</v>
      </c>
      <c r="F6142" t="s">
        <v>277</v>
      </c>
      <c r="G6142" t="s">
        <v>278</v>
      </c>
      <c r="H6142" t="s">
        <v>279</v>
      </c>
      <c r="I6142" t="s">
        <v>280</v>
      </c>
      <c r="J6142" t="s">
        <v>52</v>
      </c>
      <c r="K6142" s="3">
        <v>100819921792</v>
      </c>
      <c r="L6142" s="10">
        <v>40119</v>
      </c>
      <c r="M6142">
        <v>34.18</v>
      </c>
      <c r="N6142" s="17">
        <v>9</v>
      </c>
      <c r="O6142" s="5">
        <v>3.6</v>
      </c>
      <c r="P6142" s="5">
        <v>2.2</v>
      </c>
      <c r="Q6142" s="6">
        <v>-5.46</v>
      </c>
      <c r="R6142" s="37" t="s">
        <v>2499</v>
      </c>
      <c r="S6142" s="7">
        <f t="shared" si="528"/>
        <v>3</v>
      </c>
      <c r="T6142" s="15" t="str">
        <f>VLOOKUP(R6142,产品分类!$C$2:$D$1278,2,0)</f>
        <v>办公用品</v>
      </c>
    </row>
    <row r="6143" spans="1:20">
      <c r="A6143" s="8">
        <f>DATE(2012,12,31)-181</f>
        <v>41093</v>
      </c>
      <c r="B6143" s="8">
        <f>DATE(2012,12,31)-181</f>
        <v>41093</v>
      </c>
      <c r="C6143" s="9" t="s">
        <v>2002</v>
      </c>
      <c r="D6143">
        <v>10021286230</v>
      </c>
      <c r="E6143" t="s">
        <v>47</v>
      </c>
      <c r="F6143" t="s">
        <v>114</v>
      </c>
      <c r="G6143" t="s">
        <v>115</v>
      </c>
      <c r="H6143" t="s">
        <v>2500</v>
      </c>
      <c r="I6143" t="s">
        <v>2501</v>
      </c>
      <c r="J6143" t="s">
        <v>52</v>
      </c>
      <c r="K6143" s="3">
        <v>100330788329</v>
      </c>
      <c r="L6143" s="10">
        <v>41095</v>
      </c>
      <c r="M6143">
        <v>43.54</v>
      </c>
      <c r="N6143" s="11">
        <v>34</v>
      </c>
      <c r="O6143" s="12">
        <v>1.26</v>
      </c>
      <c r="P6143" s="12">
        <v>0.7</v>
      </c>
      <c r="Q6143" s="13">
        <v>-17.48</v>
      </c>
      <c r="R6143" s="36" t="s">
        <v>1284</v>
      </c>
      <c r="S6143" s="7">
        <f t="shared" si="528"/>
        <v>2</v>
      </c>
      <c r="T6143" s="15" t="str">
        <f>VLOOKUP(R6143,产品分类!$C$2:$D$1278,2,0)</f>
        <v>家具产品</v>
      </c>
    </row>
    <row r="6144" spans="1:20">
      <c r="A6144" s="16">
        <f>DATE(2012,12,31)-162</f>
        <v>41112</v>
      </c>
      <c r="B6144" s="16">
        <f>DATE(2012,12,31)-162</f>
        <v>41112</v>
      </c>
      <c r="C6144" s="9" t="s">
        <v>2002</v>
      </c>
      <c r="D6144">
        <v>10021703524</v>
      </c>
      <c r="E6144" t="s">
        <v>47</v>
      </c>
      <c r="F6144" t="s">
        <v>434</v>
      </c>
      <c r="G6144" t="s">
        <v>435</v>
      </c>
      <c r="H6144" t="s">
        <v>436</v>
      </c>
      <c r="I6144" t="s">
        <v>437</v>
      </c>
      <c r="J6144" t="s">
        <v>52</v>
      </c>
      <c r="K6144" s="3">
        <v>100913015281</v>
      </c>
      <c r="L6144" s="10">
        <v>41117</v>
      </c>
      <c r="M6144">
        <v>477.16</v>
      </c>
      <c r="N6144" s="17">
        <v>31</v>
      </c>
      <c r="O6144" s="5">
        <v>15.04</v>
      </c>
      <c r="P6144" s="5">
        <v>1.97</v>
      </c>
      <c r="Q6144" s="6">
        <v>204.18</v>
      </c>
      <c r="R6144" s="37" t="s">
        <v>1648</v>
      </c>
      <c r="S6144" s="7">
        <f t="shared" si="528"/>
        <v>5</v>
      </c>
      <c r="T6144" s="15" t="str">
        <f>VLOOKUP(R6144,产品分类!$C$2:$D$1278,2,0)</f>
        <v>办公用品</v>
      </c>
    </row>
    <row r="6145" spans="1:20">
      <c r="A6145" s="8">
        <f>DATE(2012,12,31)-782</f>
        <v>40492</v>
      </c>
      <c r="B6145" s="8">
        <f>DATE(2012,12,31)-782</f>
        <v>40492</v>
      </c>
      <c r="C6145" s="9" t="s">
        <v>2002</v>
      </c>
      <c r="D6145">
        <v>10021433484</v>
      </c>
      <c r="E6145" t="s">
        <v>47</v>
      </c>
      <c r="F6145" t="s">
        <v>55</v>
      </c>
      <c r="G6145" t="s">
        <v>56</v>
      </c>
      <c r="H6145" t="s">
        <v>2471</v>
      </c>
      <c r="I6145" t="s">
        <v>2472</v>
      </c>
      <c r="J6145" t="s">
        <v>52</v>
      </c>
      <c r="K6145" s="3">
        <v>100132617407</v>
      </c>
      <c r="L6145" s="10">
        <v>40494</v>
      </c>
      <c r="M6145">
        <v>1004.18</v>
      </c>
      <c r="N6145" s="11">
        <v>19</v>
      </c>
      <c r="O6145" s="12">
        <v>55.48</v>
      </c>
      <c r="P6145" s="12">
        <v>6.79</v>
      </c>
      <c r="Q6145" s="13">
        <v>374.19</v>
      </c>
      <c r="R6145" s="36" t="s">
        <v>1453</v>
      </c>
      <c r="S6145" s="7">
        <f t="shared" si="528"/>
        <v>2</v>
      </c>
      <c r="T6145" s="15" t="str">
        <f>VLOOKUP(R6145,产品分类!$C$2:$D$1278,2,0)</f>
        <v>办公用品</v>
      </c>
    </row>
    <row r="6146" spans="1:20">
      <c r="A6146" s="8">
        <f>DATE(2012,12,31)-121</f>
        <v>41153</v>
      </c>
      <c r="B6146" s="8">
        <f>DATE(2012,12,31)-121</f>
        <v>41153</v>
      </c>
      <c r="C6146" s="9" t="s">
        <v>1828</v>
      </c>
      <c r="D6146">
        <v>10021613603</v>
      </c>
      <c r="E6146" t="s">
        <v>47</v>
      </c>
      <c r="F6146" t="s">
        <v>91</v>
      </c>
      <c r="G6146" t="s">
        <v>92</v>
      </c>
      <c r="H6146" t="s">
        <v>2481</v>
      </c>
      <c r="I6146" t="s">
        <v>2482</v>
      </c>
      <c r="J6146" t="s">
        <v>52</v>
      </c>
      <c r="K6146" s="3">
        <v>100432264274</v>
      </c>
      <c r="L6146" s="10">
        <v>41156</v>
      </c>
      <c r="M6146">
        <v>3075.752</v>
      </c>
      <c r="N6146" s="11">
        <v>16</v>
      </c>
      <c r="O6146" s="12">
        <v>236.97</v>
      </c>
      <c r="P6146" s="12">
        <v>59.24</v>
      </c>
      <c r="Q6146" s="13">
        <v>-572.685399</v>
      </c>
      <c r="R6146" s="36" t="s">
        <v>1737</v>
      </c>
      <c r="S6146" s="7">
        <f t="shared" si="528"/>
        <v>3</v>
      </c>
      <c r="T6146" s="15" t="str">
        <f>VLOOKUP(R6146,产品分类!$C$2:$D$1278,2,0)</f>
        <v>数码电子</v>
      </c>
    </row>
    <row r="6147" spans="1:20">
      <c r="A6147" s="8">
        <f>DATE(2012,12,31)-1208</f>
        <v>40066</v>
      </c>
      <c r="B6147" s="8">
        <f>DATE(2012,12,31)-1208</f>
        <v>40066</v>
      </c>
      <c r="C6147" s="9" t="s">
        <v>1106</v>
      </c>
      <c r="D6147">
        <v>10021248161</v>
      </c>
      <c r="E6147" t="s">
        <v>47</v>
      </c>
      <c r="F6147" t="s">
        <v>91</v>
      </c>
      <c r="G6147" t="s">
        <v>92</v>
      </c>
      <c r="H6147" t="s">
        <v>2481</v>
      </c>
      <c r="I6147" t="s">
        <v>2482</v>
      </c>
      <c r="J6147" t="s">
        <v>52</v>
      </c>
      <c r="K6147" s="3">
        <v>1007479965</v>
      </c>
      <c r="L6147" s="10">
        <v>40068</v>
      </c>
      <c r="M6147">
        <v>3118.6</v>
      </c>
      <c r="N6147" s="11">
        <v>24</v>
      </c>
      <c r="O6147" s="12">
        <v>128.24</v>
      </c>
      <c r="P6147" s="12">
        <v>12.65</v>
      </c>
      <c r="Q6147" s="13">
        <v>804.2</v>
      </c>
      <c r="R6147" s="36" t="s">
        <v>1990</v>
      </c>
      <c r="S6147" s="7">
        <f t="shared" ref="S6147:S6210" si="535">+L6147-B6147</f>
        <v>2</v>
      </c>
      <c r="T6147" s="15" t="str">
        <f>VLOOKUP(R6147,产品分类!$C$2:$D$1278,2,0)</f>
        <v>家具产品</v>
      </c>
    </row>
    <row r="6148" spans="1:20">
      <c r="A6148" s="16">
        <f>DATE(2012,12,31)-1444</f>
        <v>39830</v>
      </c>
      <c r="B6148" s="16">
        <f>DATE(2012,12,31)-1444</f>
        <v>39830</v>
      </c>
      <c r="C6148" s="9" t="s">
        <v>500</v>
      </c>
      <c r="D6148">
        <v>10021675991</v>
      </c>
      <c r="E6148" t="s">
        <v>47</v>
      </c>
      <c r="F6148" t="s">
        <v>122</v>
      </c>
      <c r="G6148" t="s">
        <v>123</v>
      </c>
      <c r="H6148" t="s">
        <v>2458</v>
      </c>
      <c r="I6148" t="s">
        <v>2459</v>
      </c>
      <c r="J6148" t="s">
        <v>52</v>
      </c>
      <c r="K6148" s="3">
        <v>100832528532</v>
      </c>
      <c r="L6148" s="10">
        <v>39833</v>
      </c>
      <c r="M6148">
        <v>196.22</v>
      </c>
      <c r="N6148" s="17">
        <v>13</v>
      </c>
      <c r="O6148" s="5">
        <v>14.81</v>
      </c>
      <c r="P6148" s="5">
        <v>13.32</v>
      </c>
      <c r="Q6148" s="6">
        <v>-89.35</v>
      </c>
      <c r="R6148" s="37" t="s">
        <v>1022</v>
      </c>
      <c r="S6148" s="7">
        <f t="shared" si="535"/>
        <v>3</v>
      </c>
      <c r="T6148" s="15" t="str">
        <f>VLOOKUP(R6148,产品分类!$C$2:$D$1278,2,0)</f>
        <v>办公用品</v>
      </c>
    </row>
    <row r="6149" spans="1:20">
      <c r="A6149" s="8">
        <f>DATE(2012,12,31)-1444</f>
        <v>39830</v>
      </c>
      <c r="B6149" s="8">
        <f>DATE(2012,12,31)-1444</f>
        <v>39830</v>
      </c>
      <c r="C6149" s="9" t="s">
        <v>500</v>
      </c>
      <c r="D6149">
        <v>10021418506</v>
      </c>
      <c r="E6149" t="s">
        <v>47</v>
      </c>
      <c r="F6149" t="s">
        <v>91</v>
      </c>
      <c r="G6149" t="s">
        <v>92</v>
      </c>
      <c r="H6149" t="s">
        <v>2481</v>
      </c>
      <c r="I6149" t="s">
        <v>2482</v>
      </c>
      <c r="J6149" t="s">
        <v>52</v>
      </c>
      <c r="K6149" s="3">
        <v>100315271879</v>
      </c>
      <c r="L6149" s="10">
        <v>39832</v>
      </c>
      <c r="M6149">
        <v>49.76</v>
      </c>
      <c r="N6149" s="11">
        <v>11</v>
      </c>
      <c r="O6149" s="12">
        <v>4.2</v>
      </c>
      <c r="P6149" s="12">
        <v>2.26</v>
      </c>
      <c r="Q6149" s="13">
        <v>-0.130000000000001</v>
      </c>
      <c r="R6149" s="36" t="s">
        <v>1131</v>
      </c>
      <c r="S6149" s="7">
        <f t="shared" si="535"/>
        <v>2</v>
      </c>
      <c r="T6149" s="15" t="str">
        <f>VLOOKUP(R6149,产品分类!$C$2:$D$1278,2,0)</f>
        <v>数码电子</v>
      </c>
    </row>
    <row r="6150" spans="1:20">
      <c r="A6150" s="8">
        <f>DATE(2012,12,31)-1379</f>
        <v>39895</v>
      </c>
      <c r="B6150" s="8">
        <f>DATE(2012,12,31)-1379</f>
        <v>39895</v>
      </c>
      <c r="C6150" s="9" t="s">
        <v>162</v>
      </c>
      <c r="D6150">
        <v>10021495416</v>
      </c>
      <c r="E6150" t="s">
        <v>47</v>
      </c>
      <c r="F6150" t="s">
        <v>55</v>
      </c>
      <c r="G6150" t="s">
        <v>56</v>
      </c>
      <c r="H6150" t="s">
        <v>2471</v>
      </c>
      <c r="I6150" t="s">
        <v>2472</v>
      </c>
      <c r="J6150" t="s">
        <v>52</v>
      </c>
      <c r="K6150" s="3">
        <v>10017027707</v>
      </c>
      <c r="L6150" s="10">
        <v>39896</v>
      </c>
      <c r="M6150">
        <v>1759.65</v>
      </c>
      <c r="N6150" s="11">
        <v>3</v>
      </c>
      <c r="O6150" s="12">
        <v>599.99</v>
      </c>
      <c r="P6150" s="12">
        <v>24.49</v>
      </c>
      <c r="Q6150" s="13">
        <v>-2213.75</v>
      </c>
      <c r="R6150" s="36" t="s">
        <v>331</v>
      </c>
      <c r="S6150" s="7">
        <f t="shared" si="535"/>
        <v>1</v>
      </c>
      <c r="T6150" s="15" t="str">
        <f>VLOOKUP(R6150,产品分类!$C$2:$D$1278,2,0)</f>
        <v>数码电子</v>
      </c>
    </row>
    <row r="6151" spans="1:20">
      <c r="A6151" s="8">
        <f>DATE(2012,12,31)-1379</f>
        <v>39895</v>
      </c>
      <c r="B6151" s="8">
        <f>DATE(2012,12,31)-1379</f>
        <v>39895</v>
      </c>
      <c r="C6151" s="9" t="s">
        <v>2292</v>
      </c>
      <c r="D6151">
        <v>10021428587</v>
      </c>
      <c r="E6151" t="s">
        <v>47</v>
      </c>
      <c r="F6151" t="s">
        <v>91</v>
      </c>
      <c r="G6151" t="s">
        <v>92</v>
      </c>
      <c r="H6151" t="s">
        <v>2481</v>
      </c>
      <c r="I6151" t="s">
        <v>2482</v>
      </c>
      <c r="J6151" t="s">
        <v>52</v>
      </c>
      <c r="K6151" s="3">
        <v>100931071621</v>
      </c>
      <c r="L6151" s="10">
        <v>39897</v>
      </c>
      <c r="M6151">
        <v>88.59</v>
      </c>
      <c r="N6151" s="11">
        <v>7</v>
      </c>
      <c r="O6151" s="12">
        <v>11.97</v>
      </c>
      <c r="P6151" s="12">
        <v>5.81</v>
      </c>
      <c r="Q6151" s="13">
        <v>-26.29</v>
      </c>
      <c r="R6151" s="36" t="s">
        <v>2044</v>
      </c>
      <c r="S6151" s="7">
        <f t="shared" si="535"/>
        <v>2</v>
      </c>
      <c r="T6151" s="15" t="str">
        <f>VLOOKUP(R6151,产品分类!$C$2:$D$1278,2,0)</f>
        <v>数码电子</v>
      </c>
    </row>
    <row r="6152" spans="1:20">
      <c r="A6152" s="8">
        <f t="shared" ref="A6152:B6154" si="536">DATE(2012,12,31)-62</f>
        <v>41212</v>
      </c>
      <c r="B6152" s="8">
        <f t="shared" si="536"/>
        <v>41212</v>
      </c>
      <c r="C6152" s="9" t="s">
        <v>439</v>
      </c>
      <c r="D6152">
        <v>10021387329</v>
      </c>
      <c r="E6152" t="s">
        <v>47</v>
      </c>
      <c r="F6152" t="s">
        <v>55</v>
      </c>
      <c r="G6152" t="s">
        <v>56</v>
      </c>
      <c r="H6152" t="s">
        <v>2471</v>
      </c>
      <c r="I6152" t="s">
        <v>2472</v>
      </c>
      <c r="J6152" t="s">
        <v>52</v>
      </c>
      <c r="K6152" s="3">
        <v>100118435126</v>
      </c>
      <c r="L6152" s="10">
        <v>41212</v>
      </c>
      <c r="M6152">
        <v>10.62</v>
      </c>
      <c r="N6152" s="11">
        <v>3</v>
      </c>
      <c r="O6152" s="12">
        <v>3.29</v>
      </c>
      <c r="P6152" s="12">
        <v>1.35</v>
      </c>
      <c r="Q6152" s="13">
        <v>-3.96</v>
      </c>
      <c r="R6152" s="36" t="s">
        <v>339</v>
      </c>
      <c r="S6152" s="7">
        <f t="shared" si="535"/>
        <v>0</v>
      </c>
      <c r="T6152" s="15" t="str">
        <f>VLOOKUP(R6152,产品分类!$C$2:$D$1278,2,0)</f>
        <v>数码电子</v>
      </c>
    </row>
    <row r="6153" spans="1:20">
      <c r="A6153" s="8">
        <f t="shared" si="536"/>
        <v>41212</v>
      </c>
      <c r="B6153" s="8">
        <f t="shared" si="536"/>
        <v>41212</v>
      </c>
      <c r="C6153" s="9" t="s">
        <v>1616</v>
      </c>
      <c r="D6153">
        <v>10021556160</v>
      </c>
      <c r="E6153" t="s">
        <v>47</v>
      </c>
      <c r="F6153" t="s">
        <v>122</v>
      </c>
      <c r="G6153" t="s">
        <v>123</v>
      </c>
      <c r="H6153" t="s">
        <v>2458</v>
      </c>
      <c r="I6153" t="s">
        <v>2459</v>
      </c>
      <c r="J6153" t="s">
        <v>52</v>
      </c>
      <c r="K6153" s="3">
        <v>100122545066</v>
      </c>
      <c r="L6153" s="10">
        <v>41213</v>
      </c>
      <c r="M6153">
        <v>666.4</v>
      </c>
      <c r="N6153" s="11">
        <v>39</v>
      </c>
      <c r="O6153" s="12">
        <v>15.73</v>
      </c>
      <c r="P6153" s="12">
        <v>7.42</v>
      </c>
      <c r="Q6153" s="13">
        <v>2.02</v>
      </c>
      <c r="R6153" s="36" t="s">
        <v>1755</v>
      </c>
      <c r="S6153" s="7">
        <f t="shared" si="535"/>
        <v>1</v>
      </c>
      <c r="T6153" s="15" t="str">
        <f>VLOOKUP(R6153,产品分类!$C$2:$D$1278,2,0)</f>
        <v>办公用品</v>
      </c>
    </row>
    <row r="6154" spans="1:20">
      <c r="A6154" s="8">
        <f t="shared" si="536"/>
        <v>41212</v>
      </c>
      <c r="B6154" s="8">
        <f t="shared" si="536"/>
        <v>41212</v>
      </c>
      <c r="C6154" s="9" t="s">
        <v>2271</v>
      </c>
      <c r="D6154">
        <v>10021585012</v>
      </c>
      <c r="E6154" t="s">
        <v>47</v>
      </c>
      <c r="F6154" t="s">
        <v>91</v>
      </c>
      <c r="G6154" t="s">
        <v>92</v>
      </c>
      <c r="H6154" t="s">
        <v>2481</v>
      </c>
      <c r="I6154" t="s">
        <v>2482</v>
      </c>
      <c r="J6154" t="s">
        <v>52</v>
      </c>
      <c r="K6154" s="3">
        <v>1004383484</v>
      </c>
      <c r="L6154" s="10">
        <v>41214</v>
      </c>
      <c r="M6154">
        <v>351.3</v>
      </c>
      <c r="N6154" s="11">
        <v>10</v>
      </c>
      <c r="O6154" s="12">
        <v>34.76</v>
      </c>
      <c r="P6154" s="12">
        <v>8.22</v>
      </c>
      <c r="Q6154" s="13">
        <v>1.45</v>
      </c>
      <c r="R6154" s="36" t="s">
        <v>1562</v>
      </c>
      <c r="S6154" s="7">
        <f t="shared" si="535"/>
        <v>2</v>
      </c>
      <c r="T6154" s="15" t="str">
        <f>VLOOKUP(R6154,产品分类!$C$2:$D$1278,2,0)</f>
        <v>办公用品</v>
      </c>
    </row>
    <row r="6155" spans="1:20">
      <c r="A6155" s="8">
        <f>DATE(2012,12,31)-126</f>
        <v>41148</v>
      </c>
      <c r="B6155" s="8">
        <f>DATE(2012,12,31)-126</f>
        <v>41148</v>
      </c>
      <c r="C6155" s="9" t="s">
        <v>1414</v>
      </c>
      <c r="D6155">
        <v>10021386991</v>
      </c>
      <c r="E6155" t="s">
        <v>47</v>
      </c>
      <c r="F6155" t="s">
        <v>91</v>
      </c>
      <c r="G6155" t="s">
        <v>92</v>
      </c>
      <c r="H6155" t="s">
        <v>2502</v>
      </c>
      <c r="I6155" t="s">
        <v>2503</v>
      </c>
      <c r="J6155" t="s">
        <v>52</v>
      </c>
      <c r="K6155" s="3">
        <v>100414740293</v>
      </c>
      <c r="L6155" s="10">
        <v>41150</v>
      </c>
      <c r="M6155">
        <v>1849.6</v>
      </c>
      <c r="N6155" s="11">
        <v>14</v>
      </c>
      <c r="O6155" s="12">
        <v>155.99</v>
      </c>
      <c r="P6155" s="12">
        <v>8.99</v>
      </c>
      <c r="Q6155" s="13">
        <v>62.163</v>
      </c>
      <c r="R6155" s="36" t="s">
        <v>2104</v>
      </c>
      <c r="S6155" s="7">
        <f t="shared" si="535"/>
        <v>2</v>
      </c>
      <c r="T6155" s="15" t="str">
        <f>VLOOKUP(R6155,产品分类!$C$2:$D$1278,2,0)</f>
        <v>办公用品</v>
      </c>
    </row>
    <row r="6156" spans="1:20">
      <c r="A6156" s="8">
        <f>DATE(2012,12,31)-604</f>
        <v>40670</v>
      </c>
      <c r="B6156" s="8">
        <f>DATE(2012,12,31)-604</f>
        <v>40670</v>
      </c>
      <c r="C6156" s="9" t="s">
        <v>1414</v>
      </c>
      <c r="D6156">
        <v>10021262353</v>
      </c>
      <c r="E6156" t="s">
        <v>47</v>
      </c>
      <c r="F6156" t="s">
        <v>122</v>
      </c>
      <c r="G6156" t="s">
        <v>123</v>
      </c>
      <c r="H6156" t="s">
        <v>2458</v>
      </c>
      <c r="I6156" t="s">
        <v>2459</v>
      </c>
      <c r="J6156" t="s">
        <v>52</v>
      </c>
      <c r="K6156" s="3">
        <v>100930057231</v>
      </c>
      <c r="L6156" s="10">
        <v>40671</v>
      </c>
      <c r="M6156">
        <v>1313.64</v>
      </c>
      <c r="N6156" s="11">
        <v>16</v>
      </c>
      <c r="O6156" s="12">
        <v>83.1</v>
      </c>
      <c r="P6156" s="12">
        <v>6.13</v>
      </c>
      <c r="Q6156" s="13">
        <v>284.84</v>
      </c>
      <c r="R6156" s="36" t="s">
        <v>2188</v>
      </c>
      <c r="S6156" s="7">
        <f t="shared" si="535"/>
        <v>1</v>
      </c>
      <c r="T6156" s="15" t="str">
        <f>VLOOKUP(R6156,产品分类!$C$2:$D$1278,2,0)</f>
        <v>办公用品</v>
      </c>
    </row>
    <row r="6157" spans="1:20">
      <c r="A6157" s="8">
        <f>DATE(2012,12,31)-115</f>
        <v>41159</v>
      </c>
      <c r="B6157" s="8">
        <f>DATE(2012,12,31)-115</f>
        <v>41159</v>
      </c>
      <c r="C6157" s="9" t="s">
        <v>504</v>
      </c>
      <c r="D6157">
        <v>10021529907</v>
      </c>
      <c r="E6157" t="s">
        <v>47</v>
      </c>
      <c r="F6157" t="s">
        <v>122</v>
      </c>
      <c r="G6157" t="s">
        <v>123</v>
      </c>
      <c r="H6157" t="s">
        <v>2458</v>
      </c>
      <c r="I6157" t="s">
        <v>2459</v>
      </c>
      <c r="J6157" t="s">
        <v>52</v>
      </c>
      <c r="K6157" s="3">
        <v>100929662691</v>
      </c>
      <c r="L6157" s="10">
        <v>41161</v>
      </c>
      <c r="M6157">
        <v>34.41</v>
      </c>
      <c r="N6157" s="11">
        <v>12</v>
      </c>
      <c r="O6157" s="12">
        <v>2.6</v>
      </c>
      <c r="P6157" s="12">
        <v>2.4</v>
      </c>
      <c r="Q6157" s="13">
        <v>-17.69</v>
      </c>
      <c r="R6157" s="36" t="s">
        <v>622</v>
      </c>
      <c r="S6157" s="7">
        <f t="shared" si="535"/>
        <v>2</v>
      </c>
      <c r="T6157" s="15" t="str">
        <f>VLOOKUP(R6157,产品分类!$C$2:$D$1278,2,0)</f>
        <v>办公用品</v>
      </c>
    </row>
    <row r="6158" spans="1:20">
      <c r="A6158" s="16">
        <f t="shared" ref="A6158:B6163" si="537">DATE(2012,12,31)-791</f>
        <v>40483</v>
      </c>
      <c r="B6158" s="16">
        <f t="shared" si="537"/>
        <v>40483</v>
      </c>
      <c r="C6158" s="9" t="s">
        <v>1738</v>
      </c>
      <c r="D6158">
        <v>10021423459</v>
      </c>
      <c r="E6158" t="s">
        <v>47</v>
      </c>
      <c r="F6158" t="s">
        <v>91</v>
      </c>
      <c r="G6158" t="s">
        <v>92</v>
      </c>
      <c r="H6158" t="s">
        <v>2502</v>
      </c>
      <c r="I6158" t="s">
        <v>2503</v>
      </c>
      <c r="J6158" t="s">
        <v>52</v>
      </c>
      <c r="K6158" s="3">
        <v>10015922886</v>
      </c>
      <c r="L6158" s="10">
        <v>40483</v>
      </c>
      <c r="M6158">
        <v>2433.53</v>
      </c>
      <c r="N6158" s="17">
        <v>43</v>
      </c>
      <c r="O6158" s="5">
        <v>54.48</v>
      </c>
      <c r="P6158" s="5">
        <v>0.99</v>
      </c>
      <c r="Q6158" s="6">
        <v>946.7</v>
      </c>
      <c r="R6158" s="37" t="s">
        <v>676</v>
      </c>
      <c r="S6158" s="7">
        <f t="shared" si="535"/>
        <v>0</v>
      </c>
      <c r="T6158" s="15" t="str">
        <f>VLOOKUP(R6158,产品分类!$C$2:$D$1278,2,0)</f>
        <v>办公用品</v>
      </c>
    </row>
    <row r="6159" spans="1:20">
      <c r="A6159" s="8">
        <f t="shared" si="537"/>
        <v>40483</v>
      </c>
      <c r="B6159" s="8">
        <f t="shared" si="537"/>
        <v>40483</v>
      </c>
      <c r="C6159" s="9" t="s">
        <v>1738</v>
      </c>
      <c r="D6159">
        <v>10021691535</v>
      </c>
      <c r="E6159" t="s">
        <v>47</v>
      </c>
      <c r="F6159" t="s">
        <v>91</v>
      </c>
      <c r="G6159" t="s">
        <v>92</v>
      </c>
      <c r="H6159" t="s">
        <v>2502</v>
      </c>
      <c r="I6159" t="s">
        <v>2503</v>
      </c>
      <c r="J6159" t="s">
        <v>52</v>
      </c>
      <c r="K6159" s="3">
        <v>10074794015</v>
      </c>
      <c r="L6159" s="10">
        <v>40485</v>
      </c>
      <c r="M6159">
        <v>1368.03</v>
      </c>
      <c r="N6159" s="11">
        <v>26</v>
      </c>
      <c r="O6159" s="12">
        <v>50.98</v>
      </c>
      <c r="P6159" s="12">
        <v>6.5</v>
      </c>
      <c r="Q6159" s="13">
        <v>27.51</v>
      </c>
      <c r="R6159" s="36" t="s">
        <v>2445</v>
      </c>
      <c r="S6159" s="7">
        <f t="shared" si="535"/>
        <v>2</v>
      </c>
      <c r="T6159" s="15" t="str">
        <f>VLOOKUP(R6159,产品分类!$C$2:$D$1278,2,0)</f>
        <v>办公用品</v>
      </c>
    </row>
    <row r="6160" spans="1:20">
      <c r="A6160" s="8">
        <f t="shared" si="537"/>
        <v>40483</v>
      </c>
      <c r="B6160" s="8">
        <f t="shared" si="537"/>
        <v>40483</v>
      </c>
      <c r="C6160" s="9" t="s">
        <v>1083</v>
      </c>
      <c r="D6160">
        <v>10021580631</v>
      </c>
      <c r="E6160" t="s">
        <v>47</v>
      </c>
      <c r="F6160" t="s">
        <v>83</v>
      </c>
      <c r="G6160" t="s">
        <v>84</v>
      </c>
      <c r="H6160" t="s">
        <v>2349</v>
      </c>
      <c r="I6160" t="s">
        <v>2350</v>
      </c>
      <c r="J6160" t="s">
        <v>52</v>
      </c>
      <c r="K6160" s="3">
        <v>100723141225</v>
      </c>
      <c r="L6160" s="10">
        <v>40485</v>
      </c>
      <c r="M6160">
        <v>260.64</v>
      </c>
      <c r="N6160" s="11">
        <v>41</v>
      </c>
      <c r="O6160" s="12">
        <v>6.68</v>
      </c>
      <c r="P6160" s="12">
        <v>6.15</v>
      </c>
      <c r="Q6160" s="13">
        <v>-106.21</v>
      </c>
      <c r="R6160" s="36" t="s">
        <v>1785</v>
      </c>
      <c r="S6160" s="7">
        <f t="shared" si="535"/>
        <v>2</v>
      </c>
      <c r="T6160" s="15" t="str">
        <f>VLOOKUP(R6160,产品分类!$C$2:$D$1278,2,0)</f>
        <v>数码电子</v>
      </c>
    </row>
    <row r="6161" spans="1:20">
      <c r="A6161" s="8">
        <f t="shared" si="537"/>
        <v>40483</v>
      </c>
      <c r="B6161" s="8">
        <f t="shared" si="537"/>
        <v>40483</v>
      </c>
      <c r="C6161" s="9" t="s">
        <v>1083</v>
      </c>
      <c r="D6161">
        <v>10021420944</v>
      </c>
      <c r="E6161" t="s">
        <v>47</v>
      </c>
      <c r="F6161" t="s">
        <v>91</v>
      </c>
      <c r="G6161" t="s">
        <v>92</v>
      </c>
      <c r="H6161" t="s">
        <v>2502</v>
      </c>
      <c r="I6161" t="s">
        <v>2503</v>
      </c>
      <c r="J6161" t="s">
        <v>52</v>
      </c>
      <c r="K6161" s="3">
        <v>100925261031</v>
      </c>
      <c r="L6161" s="10">
        <v>40483</v>
      </c>
      <c r="M6161">
        <v>1250.4265</v>
      </c>
      <c r="N6161" s="11">
        <v>32</v>
      </c>
      <c r="O6161" s="12">
        <v>45.99</v>
      </c>
      <c r="P6161" s="12">
        <v>2.5</v>
      </c>
      <c r="Q6161" s="13">
        <v>303.3</v>
      </c>
      <c r="R6161" s="36" t="s">
        <v>499</v>
      </c>
      <c r="S6161" s="7">
        <f t="shared" si="535"/>
        <v>0</v>
      </c>
      <c r="T6161" s="15" t="str">
        <f>VLOOKUP(R6161,产品分类!$C$2:$D$1278,2,0)</f>
        <v>办公用品</v>
      </c>
    </row>
    <row r="6162" spans="1:20">
      <c r="A6162" s="8">
        <f t="shared" si="537"/>
        <v>40483</v>
      </c>
      <c r="B6162" s="8">
        <f t="shared" si="537"/>
        <v>40483</v>
      </c>
      <c r="C6162" s="9" t="s">
        <v>1347</v>
      </c>
      <c r="D6162">
        <v>10021248389</v>
      </c>
      <c r="E6162" t="s">
        <v>47</v>
      </c>
      <c r="F6162" t="s">
        <v>91</v>
      </c>
      <c r="G6162" t="s">
        <v>92</v>
      </c>
      <c r="H6162" t="s">
        <v>2502</v>
      </c>
      <c r="I6162" t="s">
        <v>2503</v>
      </c>
      <c r="J6162" t="s">
        <v>52</v>
      </c>
      <c r="K6162" s="3">
        <v>10081859872</v>
      </c>
      <c r="L6162" s="10">
        <v>40490</v>
      </c>
      <c r="M6162">
        <v>128.59</v>
      </c>
      <c r="N6162" s="11">
        <v>5</v>
      </c>
      <c r="O6162" s="12">
        <v>25.98</v>
      </c>
      <c r="P6162" s="12">
        <v>5.37</v>
      </c>
      <c r="Q6162" s="13">
        <v>-15.17</v>
      </c>
      <c r="R6162" s="36" t="s">
        <v>908</v>
      </c>
      <c r="S6162" s="7">
        <f t="shared" si="535"/>
        <v>7</v>
      </c>
      <c r="T6162" s="15" t="str">
        <f>VLOOKUP(R6162,产品分类!$C$2:$D$1278,2,0)</f>
        <v>办公用品</v>
      </c>
    </row>
    <row r="6163" spans="1:20">
      <c r="A6163" s="16">
        <f t="shared" si="537"/>
        <v>40483</v>
      </c>
      <c r="B6163" s="16">
        <f t="shared" si="537"/>
        <v>40483</v>
      </c>
      <c r="C6163" s="9" t="s">
        <v>1347</v>
      </c>
      <c r="D6163">
        <v>10021444025</v>
      </c>
      <c r="E6163" t="s">
        <v>47</v>
      </c>
      <c r="F6163" t="s">
        <v>91</v>
      </c>
      <c r="G6163" t="s">
        <v>92</v>
      </c>
      <c r="H6163" t="s">
        <v>2502</v>
      </c>
      <c r="I6163" t="s">
        <v>2503</v>
      </c>
      <c r="J6163" t="s">
        <v>52</v>
      </c>
      <c r="K6163" s="3">
        <v>10084151252</v>
      </c>
      <c r="L6163" s="10">
        <v>40487</v>
      </c>
      <c r="M6163">
        <v>4.97</v>
      </c>
      <c r="N6163" s="17">
        <v>1</v>
      </c>
      <c r="O6163" s="5">
        <v>3.55</v>
      </c>
      <c r="P6163" s="5">
        <v>1.43</v>
      </c>
      <c r="Q6163" s="6">
        <v>-4.91</v>
      </c>
      <c r="R6163" s="37" t="s">
        <v>1579</v>
      </c>
      <c r="S6163" s="7">
        <f t="shared" si="535"/>
        <v>4</v>
      </c>
      <c r="T6163" s="15" t="str">
        <f>VLOOKUP(R6163,产品分类!$C$2:$D$1278,2,0)</f>
        <v>数码电子</v>
      </c>
    </row>
    <row r="6164" spans="1:20">
      <c r="A6164" s="16">
        <f>DATE(2012,12,31)-187</f>
        <v>41087</v>
      </c>
      <c r="B6164" s="16">
        <f>DATE(2012,12,31)-187</f>
        <v>41087</v>
      </c>
      <c r="C6164" s="9" t="s">
        <v>1347</v>
      </c>
      <c r="D6164">
        <v>10021500810</v>
      </c>
      <c r="E6164" t="s">
        <v>47</v>
      </c>
      <c r="F6164" t="s">
        <v>55</v>
      </c>
      <c r="G6164" t="s">
        <v>56</v>
      </c>
      <c r="H6164" t="s">
        <v>2471</v>
      </c>
      <c r="I6164" t="s">
        <v>2472</v>
      </c>
      <c r="J6164" t="s">
        <v>52</v>
      </c>
      <c r="K6164" s="3">
        <v>100826703462</v>
      </c>
      <c r="L6164" s="10">
        <v>41089</v>
      </c>
      <c r="M6164">
        <v>621.44</v>
      </c>
      <c r="N6164" s="17">
        <v>43</v>
      </c>
      <c r="O6164" s="5">
        <v>15.14</v>
      </c>
      <c r="P6164" s="5">
        <v>4.53</v>
      </c>
      <c r="Q6164" s="6">
        <v>-130.96</v>
      </c>
      <c r="R6164" s="37" t="s">
        <v>732</v>
      </c>
      <c r="S6164" s="7">
        <f t="shared" si="535"/>
        <v>2</v>
      </c>
      <c r="T6164" s="15" t="str">
        <f>VLOOKUP(R6164,产品分类!$C$2:$D$1278,2,0)</f>
        <v>家具产品</v>
      </c>
    </row>
    <row r="6165" spans="1:20">
      <c r="A6165" s="8">
        <f>DATE(2012,12,31)-1228</f>
        <v>40046</v>
      </c>
      <c r="B6165" s="8">
        <f>DATE(2012,12,31)-1228</f>
        <v>40046</v>
      </c>
      <c r="C6165" s="9" t="s">
        <v>1862</v>
      </c>
      <c r="D6165">
        <v>10021674910</v>
      </c>
      <c r="E6165" t="s">
        <v>47</v>
      </c>
      <c r="F6165" t="s">
        <v>91</v>
      </c>
      <c r="G6165" t="s">
        <v>92</v>
      </c>
      <c r="H6165" t="s">
        <v>2502</v>
      </c>
      <c r="I6165" t="s">
        <v>2503</v>
      </c>
      <c r="J6165" t="s">
        <v>52</v>
      </c>
      <c r="K6165" s="3">
        <v>100832195082</v>
      </c>
      <c r="L6165" s="10">
        <v>40049</v>
      </c>
      <c r="M6165">
        <v>3878.49</v>
      </c>
      <c r="N6165" s="11">
        <v>20</v>
      </c>
      <c r="O6165" s="12">
        <v>209.84</v>
      </c>
      <c r="P6165" s="12">
        <v>21.21</v>
      </c>
      <c r="Q6165" s="13">
        <v>1397.86</v>
      </c>
      <c r="R6165" s="36" t="s">
        <v>2243</v>
      </c>
      <c r="S6165" s="7">
        <f t="shared" si="535"/>
        <v>3</v>
      </c>
      <c r="T6165" s="15" t="str">
        <f>VLOOKUP(R6165,产品分类!$C$2:$D$1278,2,0)</f>
        <v>数码电子</v>
      </c>
    </row>
    <row r="6166" spans="1:20">
      <c r="A6166" s="8">
        <f>DATE(2012,12,31)-1063</f>
        <v>40211</v>
      </c>
      <c r="B6166" s="8">
        <f>DATE(2012,12,31)-1063</f>
        <v>40211</v>
      </c>
      <c r="C6166" s="9" t="s">
        <v>1358</v>
      </c>
      <c r="D6166">
        <v>10021668962</v>
      </c>
      <c r="E6166" t="s">
        <v>47</v>
      </c>
      <c r="F6166" t="s">
        <v>171</v>
      </c>
      <c r="G6166" t="s">
        <v>172</v>
      </c>
      <c r="H6166" t="s">
        <v>2486</v>
      </c>
      <c r="I6166" t="s">
        <v>2310</v>
      </c>
      <c r="J6166" t="s">
        <v>52</v>
      </c>
      <c r="K6166" s="3">
        <v>100329519509</v>
      </c>
      <c r="L6166" s="10">
        <v>40211</v>
      </c>
      <c r="M6166">
        <v>497.14</v>
      </c>
      <c r="N6166" s="11">
        <v>45</v>
      </c>
      <c r="O6166" s="12">
        <v>10.94</v>
      </c>
      <c r="P6166" s="12">
        <v>1.39</v>
      </c>
      <c r="Q6166" s="13">
        <v>240.41</v>
      </c>
      <c r="R6166" s="36" t="s">
        <v>1148</v>
      </c>
      <c r="S6166" s="7">
        <f t="shared" si="535"/>
        <v>0</v>
      </c>
      <c r="T6166" s="15" t="str">
        <f>VLOOKUP(R6166,产品分类!$C$2:$D$1278,2,0)</f>
        <v>家具产品</v>
      </c>
    </row>
    <row r="6167" spans="1:20">
      <c r="A6167" s="8">
        <f>DATE(2012,12,31)-1063</f>
        <v>40211</v>
      </c>
      <c r="B6167" s="8">
        <f>DATE(2012,12,31)-1063</f>
        <v>40211</v>
      </c>
      <c r="C6167" s="9" t="s">
        <v>1010</v>
      </c>
      <c r="D6167">
        <v>10021413602</v>
      </c>
      <c r="E6167" t="s">
        <v>47</v>
      </c>
      <c r="F6167" t="s">
        <v>127</v>
      </c>
      <c r="G6167" t="s">
        <v>128</v>
      </c>
      <c r="H6167" t="s">
        <v>2462</v>
      </c>
      <c r="I6167" t="s">
        <v>2463</v>
      </c>
      <c r="J6167" t="s">
        <v>52</v>
      </c>
      <c r="K6167" s="3">
        <v>10031246449</v>
      </c>
      <c r="L6167" s="10">
        <v>40212</v>
      </c>
      <c r="M6167">
        <v>917.39</v>
      </c>
      <c r="N6167" s="11">
        <v>21</v>
      </c>
      <c r="O6167" s="12">
        <v>40.98</v>
      </c>
      <c r="P6167" s="12">
        <v>2.99</v>
      </c>
      <c r="Q6167" s="13">
        <v>393.4055</v>
      </c>
      <c r="R6167" s="36" t="s">
        <v>1884</v>
      </c>
      <c r="S6167" s="7">
        <f t="shared" si="535"/>
        <v>1</v>
      </c>
      <c r="T6167" s="15" t="str">
        <f>VLOOKUP(R6167,产品分类!$C$2:$D$1278,2,0)</f>
        <v>数码电子</v>
      </c>
    </row>
    <row r="6168" spans="1:20">
      <c r="A6168" s="8">
        <f>DATE(2012,12,31)-779</f>
        <v>40495</v>
      </c>
      <c r="B6168" s="8">
        <f>DATE(2012,12,31)-779</f>
        <v>40495</v>
      </c>
      <c r="C6168" s="9" t="s">
        <v>1774</v>
      </c>
      <c r="D6168">
        <v>10021585015</v>
      </c>
      <c r="E6168" t="s">
        <v>47</v>
      </c>
      <c r="F6168" t="s">
        <v>183</v>
      </c>
      <c r="G6168" t="s">
        <v>184</v>
      </c>
      <c r="H6168" t="s">
        <v>2436</v>
      </c>
      <c r="I6168" t="s">
        <v>2277</v>
      </c>
      <c r="J6168" t="s">
        <v>52</v>
      </c>
      <c r="K6168" s="3">
        <v>10091106471</v>
      </c>
      <c r="L6168" s="10">
        <v>40497</v>
      </c>
      <c r="M6168">
        <v>194.35</v>
      </c>
      <c r="N6168" s="11">
        <v>27</v>
      </c>
      <c r="O6168" s="12">
        <v>6.75</v>
      </c>
      <c r="P6168" s="12">
        <v>2.99</v>
      </c>
      <c r="Q6168" s="13">
        <v>30.8805</v>
      </c>
      <c r="R6168" s="36" t="s">
        <v>1425</v>
      </c>
      <c r="S6168" s="7">
        <f t="shared" si="535"/>
        <v>2</v>
      </c>
      <c r="T6168" s="15" t="str">
        <f>VLOOKUP(R6168,产品分类!$C$2:$D$1278,2,0)</f>
        <v>家具产品</v>
      </c>
    </row>
    <row r="6169" spans="1:20">
      <c r="A6169" s="8">
        <f>DATE(2012,12,31)-725</f>
        <v>40549</v>
      </c>
      <c r="B6169" s="8">
        <f>DATE(2012,12,31)-725</f>
        <v>40549</v>
      </c>
      <c r="C6169" s="9" t="s">
        <v>1774</v>
      </c>
      <c r="D6169">
        <v>10021444175</v>
      </c>
      <c r="E6169" t="s">
        <v>47</v>
      </c>
      <c r="F6169" t="s">
        <v>97</v>
      </c>
      <c r="G6169" t="s">
        <v>98</v>
      </c>
      <c r="H6169" t="s">
        <v>99</v>
      </c>
      <c r="I6169" t="s">
        <v>98</v>
      </c>
      <c r="J6169" t="s">
        <v>52</v>
      </c>
      <c r="K6169" s="3">
        <v>10095602241</v>
      </c>
      <c r="L6169" s="10">
        <v>40556</v>
      </c>
      <c r="M6169">
        <v>108.73</v>
      </c>
      <c r="N6169" s="11">
        <v>16</v>
      </c>
      <c r="O6169" s="12">
        <v>6.24</v>
      </c>
      <c r="P6169" s="12">
        <v>5.22</v>
      </c>
      <c r="Q6169" s="13">
        <v>-22.21</v>
      </c>
      <c r="R6169" s="36" t="s">
        <v>1501</v>
      </c>
      <c r="S6169" s="7">
        <f t="shared" si="535"/>
        <v>7</v>
      </c>
      <c r="T6169" s="15" t="str">
        <f>VLOOKUP(R6169,产品分类!$C$2:$D$1278,2,0)</f>
        <v>家具产品</v>
      </c>
    </row>
    <row r="6170" spans="1:20">
      <c r="A6170" s="8">
        <f>DATE(2012,12,31)-1259</f>
        <v>40015</v>
      </c>
      <c r="B6170" s="8">
        <f>DATE(2012,12,31)-1259</f>
        <v>40015</v>
      </c>
      <c r="C6170" s="9" t="s">
        <v>1774</v>
      </c>
      <c r="D6170">
        <v>10021505739</v>
      </c>
      <c r="E6170" t="s">
        <v>47</v>
      </c>
      <c r="F6170" t="s">
        <v>97</v>
      </c>
      <c r="G6170" t="s">
        <v>98</v>
      </c>
      <c r="H6170" t="s">
        <v>99</v>
      </c>
      <c r="I6170" t="s">
        <v>98</v>
      </c>
      <c r="J6170" t="s">
        <v>52</v>
      </c>
      <c r="K6170" s="3">
        <v>100331123659</v>
      </c>
      <c r="L6170" s="10">
        <v>40017</v>
      </c>
      <c r="M6170">
        <v>384.21</v>
      </c>
      <c r="N6170" s="11">
        <v>23</v>
      </c>
      <c r="O6170" s="12">
        <v>15.51</v>
      </c>
      <c r="P6170" s="12">
        <v>17.78</v>
      </c>
      <c r="Q6170" s="13">
        <v>-266.22</v>
      </c>
      <c r="R6170" s="36" t="s">
        <v>2411</v>
      </c>
      <c r="S6170" s="7">
        <f t="shared" si="535"/>
        <v>2</v>
      </c>
      <c r="T6170" s="15" t="str">
        <f>VLOOKUP(R6170,产品分类!$C$2:$D$1278,2,0)</f>
        <v>家具产品</v>
      </c>
    </row>
    <row r="6171" spans="1:20">
      <c r="A6171" s="8">
        <f>DATE(2012,12,31)-722</f>
        <v>40552</v>
      </c>
      <c r="B6171" s="8">
        <f>DATE(2012,12,31)-722</f>
        <v>40552</v>
      </c>
      <c r="C6171" s="9" t="s">
        <v>1774</v>
      </c>
      <c r="D6171">
        <v>10021284999</v>
      </c>
      <c r="E6171" t="s">
        <v>47</v>
      </c>
      <c r="F6171" t="s">
        <v>132</v>
      </c>
      <c r="G6171" t="s">
        <v>133</v>
      </c>
      <c r="H6171" t="s">
        <v>134</v>
      </c>
      <c r="I6171" t="s">
        <v>133</v>
      </c>
      <c r="J6171" t="s">
        <v>52</v>
      </c>
      <c r="K6171" s="3">
        <v>100429397253</v>
      </c>
      <c r="L6171" s="10">
        <v>40553</v>
      </c>
      <c r="M6171">
        <v>197.1</v>
      </c>
      <c r="N6171" s="11">
        <v>40</v>
      </c>
      <c r="O6171" s="12">
        <v>5.28</v>
      </c>
      <c r="P6171" s="12">
        <v>2.99</v>
      </c>
      <c r="Q6171" s="13">
        <v>-12.88</v>
      </c>
      <c r="R6171" s="36" t="s">
        <v>2057</v>
      </c>
      <c r="S6171" s="7">
        <f t="shared" si="535"/>
        <v>1</v>
      </c>
      <c r="T6171" s="15" t="str">
        <f>VLOOKUP(R6171,产品分类!$C$2:$D$1278,2,0)</f>
        <v>办公用品</v>
      </c>
    </row>
    <row r="6172" spans="1:20">
      <c r="A6172" s="8">
        <f>DATE(2012,12,31)-722</f>
        <v>40552</v>
      </c>
      <c r="B6172" s="8">
        <f>DATE(2012,12,31)-722</f>
        <v>40552</v>
      </c>
      <c r="C6172" s="9" t="s">
        <v>1774</v>
      </c>
      <c r="D6172">
        <v>10021335432</v>
      </c>
      <c r="E6172" t="s">
        <v>47</v>
      </c>
      <c r="F6172" t="s">
        <v>97</v>
      </c>
      <c r="G6172" t="s">
        <v>98</v>
      </c>
      <c r="H6172" t="s">
        <v>99</v>
      </c>
      <c r="I6172" t="s">
        <v>98</v>
      </c>
      <c r="J6172" t="s">
        <v>52</v>
      </c>
      <c r="K6172" s="3">
        <v>100912060821</v>
      </c>
      <c r="L6172" s="10">
        <v>40553</v>
      </c>
      <c r="M6172">
        <v>199.48</v>
      </c>
      <c r="N6172" s="11">
        <v>47</v>
      </c>
      <c r="O6172" s="12">
        <v>4.2</v>
      </c>
      <c r="P6172" s="12">
        <v>2.26</v>
      </c>
      <c r="Q6172" s="13">
        <v>13.8</v>
      </c>
      <c r="R6172" s="36" t="s">
        <v>1173</v>
      </c>
      <c r="S6172" s="7">
        <f t="shared" si="535"/>
        <v>1</v>
      </c>
      <c r="T6172" s="15" t="str">
        <f>VLOOKUP(R6172,产品分类!$C$2:$D$1278,2,0)</f>
        <v>家具产品</v>
      </c>
    </row>
    <row r="6173" spans="1:20">
      <c r="A6173" s="8">
        <f t="shared" ref="A6173:B6175" si="538">DATE(2012,12,31)-201</f>
        <v>41073</v>
      </c>
      <c r="B6173" s="8">
        <f t="shared" si="538"/>
        <v>41073</v>
      </c>
      <c r="C6173" s="9" t="s">
        <v>1774</v>
      </c>
      <c r="D6173">
        <v>10021364535</v>
      </c>
      <c r="E6173" t="s">
        <v>47</v>
      </c>
      <c r="F6173" t="s">
        <v>97</v>
      </c>
      <c r="G6173" t="s">
        <v>98</v>
      </c>
      <c r="H6173" t="s">
        <v>99</v>
      </c>
      <c r="I6173" t="s">
        <v>98</v>
      </c>
      <c r="J6173" t="s">
        <v>52</v>
      </c>
      <c r="K6173" s="3">
        <v>100714622915</v>
      </c>
      <c r="L6173" s="10">
        <v>41074</v>
      </c>
      <c r="M6173">
        <v>635.59</v>
      </c>
      <c r="N6173" s="11">
        <v>40</v>
      </c>
      <c r="O6173" s="12">
        <v>16.51</v>
      </c>
      <c r="P6173" s="12">
        <v>2.99</v>
      </c>
      <c r="Q6173" s="13">
        <v>202.827</v>
      </c>
      <c r="R6173" s="36" t="s">
        <v>2434</v>
      </c>
      <c r="S6173" s="7">
        <f t="shared" si="535"/>
        <v>1</v>
      </c>
      <c r="T6173" s="15" t="str">
        <f>VLOOKUP(R6173,产品分类!$C$2:$D$1278,2,0)</f>
        <v>数码电子</v>
      </c>
    </row>
    <row r="6174" spans="1:20">
      <c r="A6174" s="8">
        <f t="shared" si="538"/>
        <v>41073</v>
      </c>
      <c r="B6174" s="8">
        <f t="shared" si="538"/>
        <v>41073</v>
      </c>
      <c r="C6174" s="9" t="s">
        <v>1188</v>
      </c>
      <c r="D6174">
        <v>10021672847</v>
      </c>
      <c r="E6174" t="s">
        <v>47</v>
      </c>
      <c r="F6174" t="s">
        <v>132</v>
      </c>
      <c r="G6174" t="s">
        <v>133</v>
      </c>
      <c r="H6174" t="s">
        <v>134</v>
      </c>
      <c r="I6174" t="s">
        <v>133</v>
      </c>
      <c r="J6174" t="s">
        <v>52</v>
      </c>
      <c r="K6174" s="3">
        <v>100931595521</v>
      </c>
      <c r="L6174" s="10">
        <v>41074</v>
      </c>
      <c r="M6174">
        <v>1251.4</v>
      </c>
      <c r="N6174" s="11">
        <v>22</v>
      </c>
      <c r="O6174" s="12">
        <v>55.48</v>
      </c>
      <c r="P6174" s="12">
        <v>6.79</v>
      </c>
      <c r="Q6174" s="13">
        <v>539.45</v>
      </c>
      <c r="R6174" s="36" t="s">
        <v>836</v>
      </c>
      <c r="S6174" s="7">
        <f t="shared" si="535"/>
        <v>1</v>
      </c>
      <c r="T6174" s="15" t="str">
        <f>VLOOKUP(R6174,产品分类!$C$2:$D$1278,2,0)</f>
        <v>办公用品</v>
      </c>
    </row>
    <row r="6175" spans="1:20">
      <c r="A6175" s="8">
        <f t="shared" si="538"/>
        <v>41073</v>
      </c>
      <c r="B6175" s="8">
        <f t="shared" si="538"/>
        <v>41073</v>
      </c>
      <c r="C6175" s="9" t="s">
        <v>1254</v>
      </c>
      <c r="D6175">
        <v>10021523991</v>
      </c>
      <c r="E6175" t="s">
        <v>47</v>
      </c>
      <c r="F6175" t="s">
        <v>97</v>
      </c>
      <c r="G6175" t="s">
        <v>98</v>
      </c>
      <c r="H6175" t="s">
        <v>99</v>
      </c>
      <c r="I6175" t="s">
        <v>98</v>
      </c>
      <c r="J6175" t="s">
        <v>52</v>
      </c>
      <c r="K6175" s="3">
        <v>100915390481</v>
      </c>
      <c r="L6175" s="10">
        <v>41074</v>
      </c>
      <c r="M6175">
        <v>3577.81</v>
      </c>
      <c r="N6175" s="11">
        <v>45</v>
      </c>
      <c r="O6175" s="12">
        <v>78.8</v>
      </c>
      <c r="P6175" s="12">
        <v>35</v>
      </c>
      <c r="Q6175" s="13">
        <v>-1097.97</v>
      </c>
      <c r="R6175" s="36" t="s">
        <v>1085</v>
      </c>
      <c r="S6175" s="7">
        <f t="shared" si="535"/>
        <v>1</v>
      </c>
      <c r="T6175" s="15" t="str">
        <f>VLOOKUP(R6175,产品分类!$C$2:$D$1278,2,0)</f>
        <v>数码电子</v>
      </c>
    </row>
    <row r="6176" spans="1:20">
      <c r="A6176" s="8">
        <f>DATE(2012,12,31)-792</f>
        <v>40482</v>
      </c>
      <c r="B6176" s="8">
        <f>DATE(2012,12,31)-792</f>
        <v>40482</v>
      </c>
      <c r="C6176" s="9" t="s">
        <v>384</v>
      </c>
      <c r="D6176">
        <v>10021320125</v>
      </c>
      <c r="E6176" t="s">
        <v>47</v>
      </c>
      <c r="F6176" t="s">
        <v>304</v>
      </c>
      <c r="G6176" t="s">
        <v>305</v>
      </c>
      <c r="H6176" t="s">
        <v>2383</v>
      </c>
      <c r="I6176" t="s">
        <v>2384</v>
      </c>
      <c r="J6176" t="s">
        <v>52</v>
      </c>
      <c r="K6176" s="3">
        <v>100417351553</v>
      </c>
      <c r="L6176" s="10">
        <v>40482</v>
      </c>
      <c r="M6176">
        <v>1009.868</v>
      </c>
      <c r="N6176" s="11">
        <v>25</v>
      </c>
      <c r="O6176" s="12">
        <v>45.99</v>
      </c>
      <c r="P6176" s="12">
        <v>4.99</v>
      </c>
      <c r="Q6176" s="13">
        <v>170.568</v>
      </c>
      <c r="R6176" s="36" t="s">
        <v>2264</v>
      </c>
      <c r="S6176" s="7">
        <f t="shared" si="535"/>
        <v>0</v>
      </c>
      <c r="T6176" s="15" t="str">
        <f>VLOOKUP(R6176,产品分类!$C$2:$D$1278,2,0)</f>
        <v>家具产品</v>
      </c>
    </row>
    <row r="6177" spans="1:20">
      <c r="A6177" s="8">
        <f>DATE(2012,12,31)-1404</f>
        <v>39870</v>
      </c>
      <c r="B6177" s="8">
        <f>DATE(2012,12,31)-1404</f>
        <v>39870</v>
      </c>
      <c r="C6177" s="9" t="s">
        <v>384</v>
      </c>
      <c r="D6177">
        <v>10021343784</v>
      </c>
      <c r="E6177" t="s">
        <v>47</v>
      </c>
      <c r="F6177" t="s">
        <v>102</v>
      </c>
      <c r="G6177" t="s">
        <v>103</v>
      </c>
      <c r="H6177" t="s">
        <v>2483</v>
      </c>
      <c r="I6177" t="s">
        <v>2484</v>
      </c>
      <c r="J6177" t="s">
        <v>52</v>
      </c>
      <c r="K6177" s="3">
        <v>100129171046</v>
      </c>
      <c r="L6177" s="10">
        <v>39871</v>
      </c>
      <c r="M6177">
        <v>31.36</v>
      </c>
      <c r="N6177" s="11">
        <v>9</v>
      </c>
      <c r="O6177" s="12">
        <v>3.6</v>
      </c>
      <c r="P6177" s="12">
        <v>2.2</v>
      </c>
      <c r="Q6177" s="13">
        <v>-8.28</v>
      </c>
      <c r="R6177" s="36" t="s">
        <v>374</v>
      </c>
      <c r="S6177" s="7">
        <f t="shared" si="535"/>
        <v>1</v>
      </c>
      <c r="T6177" s="15" t="str">
        <f>VLOOKUP(R6177,产品分类!$C$2:$D$1278,2,0)</f>
        <v>办公用品</v>
      </c>
    </row>
    <row r="6178" spans="1:20">
      <c r="A6178" s="8">
        <f>DATE(2012,12,31)-204</f>
        <v>41070</v>
      </c>
      <c r="B6178" s="8">
        <f>DATE(2012,12,31)-204</f>
        <v>41070</v>
      </c>
      <c r="C6178" s="9" t="s">
        <v>2366</v>
      </c>
      <c r="D6178">
        <v>10021577759</v>
      </c>
      <c r="E6178" t="s">
        <v>47</v>
      </c>
      <c r="F6178" t="s">
        <v>137</v>
      </c>
      <c r="G6178" t="s">
        <v>138</v>
      </c>
      <c r="H6178" t="s">
        <v>2504</v>
      </c>
      <c r="I6178" t="s">
        <v>2505</v>
      </c>
      <c r="J6178" t="s">
        <v>52</v>
      </c>
      <c r="K6178" s="3">
        <v>100914870641</v>
      </c>
      <c r="L6178" s="10">
        <v>41071</v>
      </c>
      <c r="M6178">
        <v>153.28</v>
      </c>
      <c r="N6178" s="11">
        <v>46</v>
      </c>
      <c r="O6178" s="12">
        <v>3.28</v>
      </c>
      <c r="P6178" s="12">
        <v>5</v>
      </c>
      <c r="Q6178" s="13">
        <v>-161.21</v>
      </c>
      <c r="R6178" s="36" t="s">
        <v>1532</v>
      </c>
      <c r="S6178" s="7">
        <f t="shared" si="535"/>
        <v>1</v>
      </c>
      <c r="T6178" s="15" t="str">
        <f>VLOOKUP(R6178,产品分类!$C$2:$D$1278,2,0)</f>
        <v>办公用品</v>
      </c>
    </row>
    <row r="6179" spans="1:20">
      <c r="A6179" s="16">
        <f t="shared" ref="A6179:B6183" si="539">DATE(2012,12,31)-390</f>
        <v>40884</v>
      </c>
      <c r="B6179" s="16">
        <f t="shared" si="539"/>
        <v>40884</v>
      </c>
      <c r="C6179" s="9" t="s">
        <v>953</v>
      </c>
      <c r="D6179">
        <v>10021524142</v>
      </c>
      <c r="E6179" t="s">
        <v>47</v>
      </c>
      <c r="F6179" t="s">
        <v>102</v>
      </c>
      <c r="G6179" t="s">
        <v>103</v>
      </c>
      <c r="H6179" t="s">
        <v>2483</v>
      </c>
      <c r="I6179" t="s">
        <v>2484</v>
      </c>
      <c r="J6179" t="s">
        <v>52</v>
      </c>
      <c r="K6179" s="3">
        <v>100116253706</v>
      </c>
      <c r="L6179" s="10">
        <v>40887</v>
      </c>
      <c r="M6179">
        <v>382.19</v>
      </c>
      <c r="N6179" s="17">
        <v>24</v>
      </c>
      <c r="O6179" s="5">
        <v>14.42</v>
      </c>
      <c r="P6179" s="5">
        <v>6.75</v>
      </c>
      <c r="Q6179" s="6">
        <v>11.39</v>
      </c>
      <c r="R6179" s="37" t="s">
        <v>368</v>
      </c>
      <c r="S6179" s="7">
        <f t="shared" si="535"/>
        <v>3</v>
      </c>
      <c r="T6179" s="15" t="str">
        <f>VLOOKUP(R6179,产品分类!$C$2:$D$1278,2,0)</f>
        <v>办公用品</v>
      </c>
    </row>
    <row r="6180" spans="1:20">
      <c r="A6180" s="8">
        <f t="shared" si="539"/>
        <v>40884</v>
      </c>
      <c r="B6180" s="8">
        <f t="shared" si="539"/>
        <v>40884</v>
      </c>
      <c r="C6180" s="9" t="s">
        <v>1019</v>
      </c>
      <c r="D6180">
        <v>10021260906</v>
      </c>
      <c r="E6180" t="s">
        <v>47</v>
      </c>
      <c r="F6180" t="s">
        <v>304</v>
      </c>
      <c r="G6180" t="s">
        <v>305</v>
      </c>
      <c r="H6180" t="s">
        <v>2383</v>
      </c>
      <c r="I6180" t="s">
        <v>2384</v>
      </c>
      <c r="J6180" t="s">
        <v>52</v>
      </c>
      <c r="K6180" s="3">
        <v>100929075061</v>
      </c>
      <c r="L6180" s="10">
        <v>40886</v>
      </c>
      <c r="M6180">
        <v>2573.92</v>
      </c>
      <c r="N6180" s="11">
        <v>17</v>
      </c>
      <c r="O6180" s="12">
        <v>150.98</v>
      </c>
      <c r="P6180" s="12">
        <v>143.71</v>
      </c>
      <c r="Q6180" s="13">
        <v>117.23</v>
      </c>
      <c r="R6180" s="36" t="s">
        <v>1513</v>
      </c>
      <c r="S6180" s="7">
        <f t="shared" si="535"/>
        <v>2</v>
      </c>
      <c r="T6180" s="15" t="str">
        <f>VLOOKUP(R6180,产品分类!$C$2:$D$1278,2,0)</f>
        <v>家具产品</v>
      </c>
    </row>
    <row r="6181" spans="1:20">
      <c r="A6181" s="8">
        <f t="shared" si="539"/>
        <v>40884</v>
      </c>
      <c r="B6181" s="8">
        <f t="shared" si="539"/>
        <v>40884</v>
      </c>
      <c r="C6181" s="9" t="s">
        <v>506</v>
      </c>
      <c r="D6181">
        <v>10021428137</v>
      </c>
      <c r="E6181" t="s">
        <v>47</v>
      </c>
      <c r="F6181" t="s">
        <v>102</v>
      </c>
      <c r="G6181" t="s">
        <v>103</v>
      </c>
      <c r="H6181" t="s">
        <v>2483</v>
      </c>
      <c r="I6181" t="s">
        <v>2484</v>
      </c>
      <c r="J6181" t="s">
        <v>52</v>
      </c>
      <c r="K6181" s="3">
        <v>100131028448</v>
      </c>
      <c r="L6181" s="10">
        <v>40886</v>
      </c>
      <c r="M6181">
        <v>727.64</v>
      </c>
      <c r="N6181" s="11">
        <v>40</v>
      </c>
      <c r="O6181" s="12">
        <v>17.98</v>
      </c>
      <c r="P6181" s="12">
        <v>8.51</v>
      </c>
      <c r="Q6181" s="13">
        <v>27.64</v>
      </c>
      <c r="R6181" s="36" t="s">
        <v>385</v>
      </c>
      <c r="S6181" s="7">
        <f t="shared" si="535"/>
        <v>2</v>
      </c>
      <c r="T6181" s="15" t="str">
        <f>VLOOKUP(R6181,产品分类!$C$2:$D$1278,2,0)</f>
        <v>数码电子</v>
      </c>
    </row>
    <row r="6182" spans="1:20">
      <c r="A6182" s="8">
        <f t="shared" si="539"/>
        <v>40884</v>
      </c>
      <c r="B6182" s="8">
        <f t="shared" si="539"/>
        <v>40884</v>
      </c>
      <c r="C6182" s="9" t="s">
        <v>506</v>
      </c>
      <c r="D6182">
        <v>10021369545</v>
      </c>
      <c r="E6182" t="s">
        <v>47</v>
      </c>
      <c r="F6182" t="s">
        <v>603</v>
      </c>
      <c r="G6182" t="s">
        <v>604</v>
      </c>
      <c r="H6182" t="s">
        <v>605</v>
      </c>
      <c r="I6182" t="s">
        <v>606</v>
      </c>
      <c r="J6182" t="s">
        <v>52</v>
      </c>
      <c r="K6182" s="3">
        <v>100920778151</v>
      </c>
      <c r="L6182" s="10">
        <v>40885</v>
      </c>
      <c r="M6182">
        <v>2795.004</v>
      </c>
      <c r="N6182" s="11">
        <v>16</v>
      </c>
      <c r="O6182" s="12">
        <v>195.99</v>
      </c>
      <c r="P6182" s="12">
        <v>8.99</v>
      </c>
      <c r="Q6182" s="13">
        <v>311.094</v>
      </c>
      <c r="R6182" s="36" t="s">
        <v>2445</v>
      </c>
      <c r="S6182" s="7">
        <f t="shared" si="535"/>
        <v>1</v>
      </c>
      <c r="T6182" s="15" t="str">
        <f>VLOOKUP(R6182,产品分类!$C$2:$D$1278,2,0)</f>
        <v>办公用品</v>
      </c>
    </row>
    <row r="6183" spans="1:20">
      <c r="A6183" s="8">
        <f t="shared" si="539"/>
        <v>40884</v>
      </c>
      <c r="B6183" s="8">
        <f t="shared" si="539"/>
        <v>40884</v>
      </c>
      <c r="C6183" s="9" t="s">
        <v>477</v>
      </c>
      <c r="D6183">
        <v>10021430867</v>
      </c>
      <c r="E6183" t="s">
        <v>47</v>
      </c>
      <c r="F6183" t="s">
        <v>102</v>
      </c>
      <c r="G6183" t="s">
        <v>103</v>
      </c>
      <c r="H6183" t="s">
        <v>2483</v>
      </c>
      <c r="I6183" t="s">
        <v>2484</v>
      </c>
      <c r="J6183" t="s">
        <v>52</v>
      </c>
      <c r="K6183" s="3">
        <v>100431959724</v>
      </c>
      <c r="L6183" s="10">
        <v>40886</v>
      </c>
      <c r="M6183">
        <v>2564.5775</v>
      </c>
      <c r="N6183" s="11">
        <v>25</v>
      </c>
      <c r="O6183" s="12">
        <v>125.99</v>
      </c>
      <c r="P6183" s="12">
        <v>7.69</v>
      </c>
      <c r="Q6183" s="13">
        <v>331.29</v>
      </c>
      <c r="R6183" s="36" t="s">
        <v>1134</v>
      </c>
      <c r="S6183" s="7">
        <f t="shared" si="535"/>
        <v>2</v>
      </c>
      <c r="T6183" s="15" t="str">
        <f>VLOOKUP(R6183,产品分类!$C$2:$D$1278,2,0)</f>
        <v>数码电子</v>
      </c>
    </row>
    <row r="6184" spans="1:20">
      <c r="A6184" s="8">
        <f>DATE(2012,12,31)-1022</f>
        <v>40252</v>
      </c>
      <c r="B6184" s="8">
        <f>DATE(2012,12,31)-1022</f>
        <v>40252</v>
      </c>
      <c r="C6184" s="9" t="s">
        <v>477</v>
      </c>
      <c r="D6184">
        <v>10021574603</v>
      </c>
      <c r="E6184" t="s">
        <v>47</v>
      </c>
      <c r="F6184" t="s">
        <v>102</v>
      </c>
      <c r="G6184" t="s">
        <v>103</v>
      </c>
      <c r="H6184" t="s">
        <v>2483</v>
      </c>
      <c r="I6184" t="s">
        <v>2484</v>
      </c>
      <c r="J6184" t="s">
        <v>52</v>
      </c>
      <c r="K6184" s="3">
        <v>10093913121</v>
      </c>
      <c r="L6184" s="10">
        <v>40252</v>
      </c>
      <c r="M6184">
        <v>580.04</v>
      </c>
      <c r="N6184" s="11">
        <v>36</v>
      </c>
      <c r="O6184" s="12">
        <v>16.91</v>
      </c>
      <c r="P6184" s="12">
        <v>6.25</v>
      </c>
      <c r="Q6184" s="13">
        <v>-31.86</v>
      </c>
      <c r="R6184" s="36" t="s">
        <v>1562</v>
      </c>
      <c r="S6184" s="7">
        <f t="shared" si="535"/>
        <v>0</v>
      </c>
      <c r="T6184" s="15" t="str">
        <f>VLOOKUP(R6184,产品分类!$C$2:$D$1278,2,0)</f>
        <v>办公用品</v>
      </c>
    </row>
    <row r="6185" spans="1:20">
      <c r="A6185" s="8">
        <f>DATE(2012,12,31)-975</f>
        <v>40299</v>
      </c>
      <c r="B6185" s="8">
        <f>DATE(2012,12,31)-975</f>
        <v>40299</v>
      </c>
      <c r="C6185" s="9" t="s">
        <v>477</v>
      </c>
      <c r="D6185">
        <v>10021282430</v>
      </c>
      <c r="E6185" t="s">
        <v>47</v>
      </c>
      <c r="F6185" t="s">
        <v>102</v>
      </c>
      <c r="G6185" t="s">
        <v>103</v>
      </c>
      <c r="H6185" t="s">
        <v>2483</v>
      </c>
      <c r="I6185" t="s">
        <v>2484</v>
      </c>
      <c r="J6185" t="s">
        <v>52</v>
      </c>
      <c r="K6185" s="3">
        <v>10082513252</v>
      </c>
      <c r="L6185" s="10">
        <v>40301</v>
      </c>
      <c r="M6185">
        <v>413.83</v>
      </c>
      <c r="N6185" s="11">
        <v>43</v>
      </c>
      <c r="O6185" s="12">
        <v>10.01</v>
      </c>
      <c r="P6185" s="12">
        <v>1.99</v>
      </c>
      <c r="Q6185" s="13">
        <v>111.74</v>
      </c>
      <c r="R6185" s="36" t="s">
        <v>1810</v>
      </c>
      <c r="S6185" s="7">
        <f t="shared" si="535"/>
        <v>2</v>
      </c>
      <c r="T6185" s="15" t="str">
        <f>VLOOKUP(R6185,产品分类!$C$2:$D$1278,2,0)</f>
        <v>办公用品</v>
      </c>
    </row>
    <row r="6186" spans="1:20">
      <c r="A6186" s="8">
        <f>DATE(2012,12,31)-975</f>
        <v>40299</v>
      </c>
      <c r="B6186" s="8">
        <f>DATE(2012,12,31)-975</f>
        <v>40299</v>
      </c>
      <c r="C6186" s="9" t="s">
        <v>1612</v>
      </c>
      <c r="D6186">
        <v>10021529482</v>
      </c>
      <c r="E6186" t="s">
        <v>47</v>
      </c>
      <c r="F6186" t="s">
        <v>603</v>
      </c>
      <c r="G6186" t="s">
        <v>604</v>
      </c>
      <c r="H6186" t="s">
        <v>605</v>
      </c>
      <c r="I6186" t="s">
        <v>606</v>
      </c>
      <c r="J6186" t="s">
        <v>52</v>
      </c>
      <c r="K6186" s="3">
        <v>100329064739</v>
      </c>
      <c r="L6186" s="10">
        <v>40300</v>
      </c>
      <c r="M6186">
        <v>3339.65</v>
      </c>
      <c r="N6186" s="11">
        <v>30</v>
      </c>
      <c r="O6186" s="12">
        <v>125.99</v>
      </c>
      <c r="P6186" s="12">
        <v>7.69</v>
      </c>
      <c r="Q6186" s="13">
        <v>788.508</v>
      </c>
      <c r="R6186" s="36" t="s">
        <v>1108</v>
      </c>
      <c r="S6186" s="7">
        <f t="shared" si="535"/>
        <v>1</v>
      </c>
      <c r="T6186" s="15" t="str">
        <f>VLOOKUP(R6186,产品分类!$C$2:$D$1278,2,0)</f>
        <v>办公用品</v>
      </c>
    </row>
    <row r="6187" spans="1:20">
      <c r="A6187" s="8">
        <f>DATE(2012,12,31)-327</f>
        <v>40947</v>
      </c>
      <c r="B6187" s="8">
        <f>DATE(2012,12,31)-327</f>
        <v>40947</v>
      </c>
      <c r="C6187" s="9" t="s">
        <v>1828</v>
      </c>
      <c r="D6187">
        <v>10021350059</v>
      </c>
      <c r="E6187" t="s">
        <v>47</v>
      </c>
      <c r="F6187" t="s">
        <v>102</v>
      </c>
      <c r="G6187" t="s">
        <v>103</v>
      </c>
      <c r="H6187" t="s">
        <v>2483</v>
      </c>
      <c r="I6187" t="s">
        <v>2484</v>
      </c>
      <c r="J6187" t="s">
        <v>52</v>
      </c>
      <c r="K6187" s="3">
        <v>100418728563</v>
      </c>
      <c r="L6187" s="10">
        <v>40948</v>
      </c>
      <c r="M6187">
        <v>3601.07</v>
      </c>
      <c r="N6187" s="11">
        <v>50</v>
      </c>
      <c r="O6187" s="12">
        <v>73.98</v>
      </c>
      <c r="P6187" s="12">
        <v>14.52</v>
      </c>
      <c r="Q6187" s="13">
        <v>174.8</v>
      </c>
      <c r="R6187" s="36" t="s">
        <v>2044</v>
      </c>
      <c r="S6187" s="7">
        <f t="shared" si="535"/>
        <v>1</v>
      </c>
      <c r="T6187" s="15" t="str">
        <f>VLOOKUP(R6187,产品分类!$C$2:$D$1278,2,0)</f>
        <v>数码电子</v>
      </c>
    </row>
    <row r="6188" spans="1:20">
      <c r="A6188" s="8">
        <f>DATE(2012,12,31)-166</f>
        <v>41108</v>
      </c>
      <c r="B6188" s="8">
        <f>DATE(2012,12,31)-166</f>
        <v>41108</v>
      </c>
      <c r="C6188" s="9" t="s">
        <v>1549</v>
      </c>
      <c r="D6188">
        <v>10021581168</v>
      </c>
      <c r="E6188" t="s">
        <v>47</v>
      </c>
      <c r="F6188" t="s">
        <v>78</v>
      </c>
      <c r="G6188" t="s">
        <v>79</v>
      </c>
      <c r="H6188" t="s">
        <v>2489</v>
      </c>
      <c r="I6188" t="s">
        <v>2490</v>
      </c>
      <c r="J6188" t="s">
        <v>52</v>
      </c>
      <c r="K6188" s="3">
        <v>100923936971</v>
      </c>
      <c r="L6188" s="10">
        <v>41110</v>
      </c>
      <c r="M6188">
        <v>1392.77</v>
      </c>
      <c r="N6188" s="11">
        <v>42</v>
      </c>
      <c r="O6188" s="12">
        <v>31.76</v>
      </c>
      <c r="P6188" s="12">
        <v>45.51</v>
      </c>
      <c r="Q6188" s="13">
        <v>-1981.551</v>
      </c>
      <c r="R6188" s="36" t="s">
        <v>906</v>
      </c>
      <c r="S6188" s="7">
        <f t="shared" si="535"/>
        <v>2</v>
      </c>
      <c r="T6188" s="15" t="str">
        <f>VLOOKUP(R6188,产品分类!$C$2:$D$1278,2,0)</f>
        <v>数码电子</v>
      </c>
    </row>
    <row r="6189" spans="1:20">
      <c r="A6189" s="8">
        <f>DATE(2012,12,31)-1454</f>
        <v>39820</v>
      </c>
      <c r="B6189" s="8">
        <f>DATE(2012,12,31)-1454</f>
        <v>39820</v>
      </c>
      <c r="C6189" s="9" t="s">
        <v>681</v>
      </c>
      <c r="D6189">
        <v>10021267135</v>
      </c>
      <c r="E6189" t="s">
        <v>47</v>
      </c>
      <c r="F6189" t="s">
        <v>171</v>
      </c>
      <c r="G6189" t="s">
        <v>172</v>
      </c>
      <c r="H6189" t="s">
        <v>2486</v>
      </c>
      <c r="I6189" t="s">
        <v>2310</v>
      </c>
      <c r="J6189" t="s">
        <v>52</v>
      </c>
      <c r="K6189" s="3">
        <v>100712225035</v>
      </c>
      <c r="L6189" s="10">
        <v>39821</v>
      </c>
      <c r="M6189">
        <v>737.25</v>
      </c>
      <c r="N6189" s="11">
        <v>46</v>
      </c>
      <c r="O6189" s="12">
        <v>15.99</v>
      </c>
      <c r="P6189" s="12">
        <v>13.18</v>
      </c>
      <c r="Q6189" s="13">
        <v>-199.134</v>
      </c>
      <c r="R6189" s="36" t="s">
        <v>441</v>
      </c>
      <c r="S6189" s="7">
        <f t="shared" si="535"/>
        <v>1</v>
      </c>
      <c r="T6189" s="15" t="str">
        <f>VLOOKUP(R6189,产品分类!$C$2:$D$1278,2,0)</f>
        <v>办公用品</v>
      </c>
    </row>
    <row r="6190" spans="1:20">
      <c r="A6190" s="8">
        <f t="shared" ref="A6190:B6192" si="540">DATE(2012,12,31)-1447</f>
        <v>39827</v>
      </c>
      <c r="B6190" s="8">
        <f t="shared" si="540"/>
        <v>39827</v>
      </c>
      <c r="C6190" s="9" t="s">
        <v>681</v>
      </c>
      <c r="D6190">
        <v>10021503679</v>
      </c>
      <c r="E6190" t="s">
        <v>47</v>
      </c>
      <c r="F6190" t="s">
        <v>171</v>
      </c>
      <c r="G6190" t="s">
        <v>172</v>
      </c>
      <c r="H6190" t="s">
        <v>2486</v>
      </c>
      <c r="I6190" t="s">
        <v>2310</v>
      </c>
      <c r="J6190" t="s">
        <v>52</v>
      </c>
      <c r="K6190" s="3">
        <v>100829705412</v>
      </c>
      <c r="L6190" s="10">
        <v>39827</v>
      </c>
      <c r="M6190">
        <v>577.89</v>
      </c>
      <c r="N6190" s="11">
        <v>29</v>
      </c>
      <c r="O6190" s="12">
        <v>19.99</v>
      </c>
      <c r="P6190" s="12">
        <v>11.17</v>
      </c>
      <c r="Q6190" s="13">
        <v>-53.89</v>
      </c>
      <c r="R6190" s="36" t="s">
        <v>1144</v>
      </c>
      <c r="S6190" s="7">
        <f t="shared" si="535"/>
        <v>0</v>
      </c>
      <c r="T6190" s="15" t="str">
        <f>VLOOKUP(R6190,产品分类!$C$2:$D$1278,2,0)</f>
        <v>办公用品</v>
      </c>
    </row>
    <row r="6191" spans="1:20">
      <c r="A6191" s="8">
        <f t="shared" si="540"/>
        <v>39827</v>
      </c>
      <c r="B6191" s="8">
        <f t="shared" si="540"/>
        <v>39827</v>
      </c>
      <c r="C6191" s="9" t="s">
        <v>681</v>
      </c>
      <c r="D6191">
        <v>10021253025</v>
      </c>
      <c r="E6191" t="s">
        <v>47</v>
      </c>
      <c r="F6191" t="s">
        <v>171</v>
      </c>
      <c r="G6191" t="s">
        <v>172</v>
      </c>
      <c r="H6191" t="s">
        <v>2486</v>
      </c>
      <c r="I6191" t="s">
        <v>2310</v>
      </c>
      <c r="J6191" t="s">
        <v>52</v>
      </c>
      <c r="K6191" s="3">
        <v>100117497976</v>
      </c>
      <c r="L6191" s="10">
        <v>39828</v>
      </c>
      <c r="M6191">
        <v>9920.85</v>
      </c>
      <c r="N6191" s="11">
        <v>36</v>
      </c>
      <c r="O6191" s="12">
        <v>264.98</v>
      </c>
      <c r="P6191" s="12">
        <v>17.86</v>
      </c>
      <c r="Q6191" s="13">
        <v>2685.19</v>
      </c>
      <c r="R6191" s="36" t="s">
        <v>1430</v>
      </c>
      <c r="S6191" s="7">
        <f t="shared" si="535"/>
        <v>1</v>
      </c>
      <c r="T6191" s="15" t="str">
        <f>VLOOKUP(R6191,产品分类!$C$2:$D$1278,2,0)</f>
        <v>办公用品</v>
      </c>
    </row>
    <row r="6192" spans="1:20">
      <c r="A6192" s="8">
        <f t="shared" si="540"/>
        <v>39827</v>
      </c>
      <c r="B6192" s="8">
        <f t="shared" si="540"/>
        <v>39827</v>
      </c>
      <c r="C6192" s="9" t="s">
        <v>681</v>
      </c>
      <c r="D6192">
        <v>10021589068</v>
      </c>
      <c r="E6192" t="s">
        <v>47</v>
      </c>
      <c r="F6192" t="s">
        <v>171</v>
      </c>
      <c r="G6192" t="s">
        <v>172</v>
      </c>
      <c r="H6192" t="s">
        <v>2486</v>
      </c>
      <c r="I6192" t="s">
        <v>2310</v>
      </c>
      <c r="J6192" t="s">
        <v>52</v>
      </c>
      <c r="K6192" s="3">
        <v>100421402894</v>
      </c>
      <c r="L6192" s="10">
        <v>39829</v>
      </c>
      <c r="M6192">
        <v>7484.31</v>
      </c>
      <c r="N6192" s="11">
        <v>23</v>
      </c>
      <c r="O6192" s="12">
        <v>320.98</v>
      </c>
      <c r="P6192" s="12">
        <v>58.95</v>
      </c>
      <c r="Q6192" s="13">
        <v>1278.45</v>
      </c>
      <c r="R6192" s="36" t="s">
        <v>1611</v>
      </c>
      <c r="S6192" s="7">
        <f t="shared" si="535"/>
        <v>2</v>
      </c>
      <c r="T6192" s="15" t="str">
        <f>VLOOKUP(R6192,产品分类!$C$2:$D$1278,2,0)</f>
        <v>数码电子</v>
      </c>
    </row>
    <row r="6193" spans="1:20">
      <c r="A6193" s="8">
        <f>DATE(2012,12,31)-1024</f>
        <v>40250</v>
      </c>
      <c r="B6193" s="8">
        <f>DATE(2012,12,31)-1024</f>
        <v>40250</v>
      </c>
      <c r="C6193" s="9" t="s">
        <v>681</v>
      </c>
      <c r="D6193">
        <v>10021351958</v>
      </c>
      <c r="E6193" t="s">
        <v>47</v>
      </c>
      <c r="F6193" t="s">
        <v>171</v>
      </c>
      <c r="G6193" t="s">
        <v>172</v>
      </c>
      <c r="H6193" t="s">
        <v>2486</v>
      </c>
      <c r="I6193" t="s">
        <v>2310</v>
      </c>
      <c r="J6193" t="s">
        <v>52</v>
      </c>
      <c r="K6193" s="3">
        <v>100432510054</v>
      </c>
      <c r="L6193" s="10">
        <v>40251</v>
      </c>
      <c r="M6193">
        <v>670.65</v>
      </c>
      <c r="N6193" s="11">
        <v>42</v>
      </c>
      <c r="O6193" s="12">
        <v>15.94</v>
      </c>
      <c r="P6193" s="12">
        <v>5.45</v>
      </c>
      <c r="Q6193" s="13">
        <v>41.66</v>
      </c>
      <c r="R6193" s="36" t="s">
        <v>903</v>
      </c>
      <c r="S6193" s="7">
        <f t="shared" si="535"/>
        <v>1</v>
      </c>
      <c r="T6193" s="15" t="str">
        <f>VLOOKUP(R6193,产品分类!$C$2:$D$1278,2,0)</f>
        <v>家具产品</v>
      </c>
    </row>
    <row r="6194" spans="1:20">
      <c r="A6194" s="8">
        <f>DATE(2012,12,31)-1044</f>
        <v>40230</v>
      </c>
      <c r="B6194" s="8">
        <f>DATE(2012,12,31)-1044</f>
        <v>40230</v>
      </c>
      <c r="C6194" s="9" t="s">
        <v>201</v>
      </c>
      <c r="D6194">
        <v>10021387141</v>
      </c>
      <c r="E6194" t="s">
        <v>47</v>
      </c>
      <c r="F6194" t="s">
        <v>527</v>
      </c>
      <c r="G6194" t="s">
        <v>528</v>
      </c>
      <c r="H6194" t="s">
        <v>2454</v>
      </c>
      <c r="I6194" t="s">
        <v>2455</v>
      </c>
      <c r="J6194" t="s">
        <v>52</v>
      </c>
      <c r="K6194" s="3">
        <v>100116315158</v>
      </c>
      <c r="L6194" s="10">
        <v>40231</v>
      </c>
      <c r="M6194">
        <v>1940.21</v>
      </c>
      <c r="N6194" s="11">
        <v>12</v>
      </c>
      <c r="O6194" s="12">
        <v>200.99</v>
      </c>
      <c r="P6194" s="12">
        <v>4.2</v>
      </c>
      <c r="Q6194" s="13">
        <v>-215.336</v>
      </c>
      <c r="R6194" s="36" t="s">
        <v>1673</v>
      </c>
      <c r="S6194" s="7">
        <f t="shared" si="535"/>
        <v>1</v>
      </c>
      <c r="T6194" s="15" t="str">
        <f>VLOOKUP(R6194,产品分类!$C$2:$D$1278,2,0)</f>
        <v>家具产品</v>
      </c>
    </row>
    <row r="6195" spans="1:20">
      <c r="A6195" s="8">
        <f>DATE(2012,12,31)-1044</f>
        <v>40230</v>
      </c>
      <c r="B6195" s="8">
        <f>DATE(2012,12,31)-1044</f>
        <v>40230</v>
      </c>
      <c r="C6195" s="9" t="s">
        <v>1773</v>
      </c>
      <c r="D6195">
        <v>10021346636</v>
      </c>
      <c r="E6195" t="s">
        <v>47</v>
      </c>
      <c r="F6195" t="s">
        <v>171</v>
      </c>
      <c r="G6195" t="s">
        <v>172</v>
      </c>
      <c r="H6195" t="s">
        <v>2486</v>
      </c>
      <c r="I6195" t="s">
        <v>2310</v>
      </c>
      <c r="J6195" t="s">
        <v>52</v>
      </c>
      <c r="K6195" s="3">
        <v>100930915651</v>
      </c>
      <c r="L6195" s="10">
        <v>40231</v>
      </c>
      <c r="M6195">
        <v>1717.21</v>
      </c>
      <c r="N6195" s="11">
        <v>44</v>
      </c>
      <c r="O6195" s="12">
        <v>40.97</v>
      </c>
      <c r="P6195" s="12">
        <v>8.99</v>
      </c>
      <c r="Q6195" s="13">
        <v>176.13</v>
      </c>
      <c r="R6195" s="36" t="s">
        <v>503</v>
      </c>
      <c r="S6195" s="7">
        <f t="shared" si="535"/>
        <v>1</v>
      </c>
      <c r="T6195" s="15" t="str">
        <f>VLOOKUP(R6195,产品分类!$C$2:$D$1278,2,0)</f>
        <v>数码电子</v>
      </c>
    </row>
    <row r="6196" spans="1:20">
      <c r="A6196" s="8">
        <f>DATE(2012,12,31)-1021</f>
        <v>40253</v>
      </c>
      <c r="B6196" s="8">
        <f>DATE(2012,12,31)-1021</f>
        <v>40253</v>
      </c>
      <c r="C6196" s="9" t="s">
        <v>1773</v>
      </c>
      <c r="D6196">
        <v>10021338399</v>
      </c>
      <c r="E6196" t="s">
        <v>47</v>
      </c>
      <c r="F6196" t="s">
        <v>177</v>
      </c>
      <c r="G6196" t="s">
        <v>178</v>
      </c>
      <c r="H6196" t="s">
        <v>2492</v>
      </c>
      <c r="I6196" t="s">
        <v>2493</v>
      </c>
      <c r="J6196" t="s">
        <v>52</v>
      </c>
      <c r="K6196" s="3">
        <v>100823892132</v>
      </c>
      <c r="L6196" s="10">
        <v>40255</v>
      </c>
      <c r="M6196">
        <v>714.391</v>
      </c>
      <c r="N6196" s="11">
        <v>12</v>
      </c>
      <c r="O6196" s="12">
        <v>65.99</v>
      </c>
      <c r="P6196" s="12">
        <v>8.99</v>
      </c>
      <c r="Q6196" s="13">
        <v>-62.326</v>
      </c>
      <c r="R6196" s="36" t="s">
        <v>903</v>
      </c>
      <c r="S6196" s="7">
        <f t="shared" si="535"/>
        <v>2</v>
      </c>
      <c r="T6196" s="15" t="str">
        <f>VLOOKUP(R6196,产品分类!$C$2:$D$1278,2,0)</f>
        <v>家具产品</v>
      </c>
    </row>
    <row r="6197" spans="1:20">
      <c r="A6197" s="16">
        <f>DATE(2012,12,31)-1202</f>
        <v>40072</v>
      </c>
      <c r="B6197" s="16">
        <f>DATE(2012,12,31)-1202</f>
        <v>40072</v>
      </c>
      <c r="C6197" s="9" t="s">
        <v>268</v>
      </c>
      <c r="D6197">
        <v>10021415475</v>
      </c>
      <c r="E6197" t="s">
        <v>47</v>
      </c>
      <c r="F6197" t="s">
        <v>167</v>
      </c>
      <c r="G6197" t="s">
        <v>168</v>
      </c>
      <c r="H6197" t="s">
        <v>169</v>
      </c>
      <c r="I6197" t="s">
        <v>168</v>
      </c>
      <c r="J6197" t="s">
        <v>52</v>
      </c>
      <c r="K6197" s="3">
        <v>10044043243</v>
      </c>
      <c r="L6197" s="10">
        <v>40073</v>
      </c>
      <c r="M6197">
        <v>64.23</v>
      </c>
      <c r="N6197" s="17">
        <v>8</v>
      </c>
      <c r="O6197" s="5">
        <v>7.64</v>
      </c>
      <c r="P6197" s="5">
        <v>1.39</v>
      </c>
      <c r="Q6197" s="6">
        <v>15.83</v>
      </c>
      <c r="R6197" s="37" t="s">
        <v>885</v>
      </c>
      <c r="S6197" s="7">
        <f t="shared" si="535"/>
        <v>1</v>
      </c>
      <c r="T6197" s="15" t="str">
        <f>VLOOKUP(R6197,产品分类!$C$2:$D$1278,2,0)</f>
        <v>办公用品</v>
      </c>
    </row>
    <row r="6198" spans="1:20">
      <c r="A6198" s="8">
        <f t="shared" ref="A6198:B6201" si="541">DATE(2012,12,31)-88</f>
        <v>41186</v>
      </c>
      <c r="B6198" s="8">
        <f t="shared" si="541"/>
        <v>41186</v>
      </c>
      <c r="C6198" s="9" t="s">
        <v>1578</v>
      </c>
      <c r="D6198">
        <v>10021582063</v>
      </c>
      <c r="E6198" t="s">
        <v>47</v>
      </c>
      <c r="F6198" t="s">
        <v>342</v>
      </c>
      <c r="G6198" t="s">
        <v>343</v>
      </c>
      <c r="H6198" t="s">
        <v>2429</v>
      </c>
      <c r="I6198" t="s">
        <v>2430</v>
      </c>
      <c r="J6198" t="s">
        <v>52</v>
      </c>
      <c r="K6198" s="3">
        <v>100310320509</v>
      </c>
      <c r="L6198" s="10">
        <v>41186</v>
      </c>
      <c r="M6198">
        <v>85.03</v>
      </c>
      <c r="N6198" s="11">
        <v>18</v>
      </c>
      <c r="O6198" s="12">
        <v>4.28</v>
      </c>
      <c r="P6198" s="12">
        <v>6.72</v>
      </c>
      <c r="Q6198" s="13">
        <v>-75.31</v>
      </c>
      <c r="R6198" s="36" t="s">
        <v>576</v>
      </c>
      <c r="S6198" s="7">
        <f t="shared" si="535"/>
        <v>0</v>
      </c>
      <c r="T6198" s="15" t="str">
        <f>VLOOKUP(R6198,产品分类!$C$2:$D$1278,2,0)</f>
        <v>办公用品</v>
      </c>
    </row>
    <row r="6199" spans="1:20">
      <c r="A6199" s="8">
        <f t="shared" si="541"/>
        <v>41186</v>
      </c>
      <c r="B6199" s="8">
        <f t="shared" si="541"/>
        <v>41186</v>
      </c>
      <c r="C6199" s="9" t="s">
        <v>2447</v>
      </c>
      <c r="D6199">
        <v>10021622463</v>
      </c>
      <c r="E6199" t="s">
        <v>47</v>
      </c>
      <c r="F6199" t="s">
        <v>253</v>
      </c>
      <c r="G6199" t="s">
        <v>254</v>
      </c>
      <c r="H6199" t="s">
        <v>2438</v>
      </c>
      <c r="I6199" t="s">
        <v>2439</v>
      </c>
      <c r="J6199" t="s">
        <v>52</v>
      </c>
      <c r="K6199" s="3">
        <v>100417453424</v>
      </c>
      <c r="L6199" s="10">
        <v>41186</v>
      </c>
      <c r="M6199">
        <v>119.51</v>
      </c>
      <c r="N6199" s="11">
        <v>17</v>
      </c>
      <c r="O6199" s="12">
        <v>7.1</v>
      </c>
      <c r="P6199" s="12">
        <v>6.05</v>
      </c>
      <c r="Q6199" s="13">
        <v>-51.3015</v>
      </c>
      <c r="R6199" s="36" t="s">
        <v>511</v>
      </c>
      <c r="S6199" s="7">
        <f t="shared" si="535"/>
        <v>0</v>
      </c>
      <c r="T6199" s="15" t="str">
        <f>VLOOKUP(R6199,产品分类!$C$2:$D$1278,2,0)</f>
        <v>数码电子</v>
      </c>
    </row>
    <row r="6200" spans="1:20">
      <c r="A6200" s="8">
        <f t="shared" si="541"/>
        <v>41186</v>
      </c>
      <c r="B6200" s="8">
        <f t="shared" si="541"/>
        <v>41186</v>
      </c>
      <c r="C6200" s="9" t="s">
        <v>1415</v>
      </c>
      <c r="D6200">
        <v>10021593434</v>
      </c>
      <c r="E6200" t="s">
        <v>47</v>
      </c>
      <c r="F6200" t="s">
        <v>61</v>
      </c>
      <c r="G6200" t="s">
        <v>62</v>
      </c>
      <c r="H6200" t="s">
        <v>2431</v>
      </c>
      <c r="I6200" t="s">
        <v>2432</v>
      </c>
      <c r="J6200" t="s">
        <v>52</v>
      </c>
      <c r="K6200" s="3">
        <v>100432421413</v>
      </c>
      <c r="L6200" s="10">
        <v>41187</v>
      </c>
      <c r="M6200">
        <v>332.38</v>
      </c>
      <c r="N6200" s="11">
        <v>19</v>
      </c>
      <c r="O6200" s="12">
        <v>17.78</v>
      </c>
      <c r="P6200" s="12">
        <v>5.03</v>
      </c>
      <c r="Q6200" s="13">
        <v>89.95</v>
      </c>
      <c r="R6200" s="36" t="s">
        <v>2017</v>
      </c>
      <c r="S6200" s="7">
        <f t="shared" si="535"/>
        <v>1</v>
      </c>
      <c r="T6200" s="15" t="str">
        <f>VLOOKUP(R6200,产品分类!$C$2:$D$1278,2,0)</f>
        <v>家具产品</v>
      </c>
    </row>
    <row r="6201" spans="1:20">
      <c r="A6201" s="8">
        <f t="shared" si="541"/>
        <v>41186</v>
      </c>
      <c r="B6201" s="8">
        <f t="shared" si="541"/>
        <v>41186</v>
      </c>
      <c r="C6201" s="9" t="s">
        <v>1415</v>
      </c>
      <c r="D6201">
        <v>10021667540</v>
      </c>
      <c r="E6201" t="s">
        <v>47</v>
      </c>
      <c r="F6201" t="s">
        <v>61</v>
      </c>
      <c r="G6201" t="s">
        <v>62</v>
      </c>
      <c r="H6201" t="s">
        <v>2431</v>
      </c>
      <c r="I6201" t="s">
        <v>2432</v>
      </c>
      <c r="J6201" t="s">
        <v>52</v>
      </c>
      <c r="K6201" s="3">
        <v>100128211907</v>
      </c>
      <c r="L6201" s="10">
        <v>41186</v>
      </c>
      <c r="M6201">
        <v>502.8</v>
      </c>
      <c r="N6201" s="11">
        <v>15</v>
      </c>
      <c r="O6201" s="12">
        <v>30.98</v>
      </c>
      <c r="P6201" s="12">
        <v>19.51</v>
      </c>
      <c r="Q6201" s="13">
        <v>-19.1</v>
      </c>
      <c r="R6201" s="36" t="s">
        <v>821</v>
      </c>
      <c r="S6201" s="7">
        <f t="shared" si="535"/>
        <v>0</v>
      </c>
      <c r="T6201" s="15" t="str">
        <f>VLOOKUP(R6201,产品分类!$C$2:$D$1278,2,0)</f>
        <v>办公用品</v>
      </c>
    </row>
    <row r="6202" spans="1:20">
      <c r="A6202" s="16">
        <f>DATE(2012,12,31)-1423</f>
        <v>39851</v>
      </c>
      <c r="B6202" s="16">
        <f>DATE(2012,12,31)-1423</f>
        <v>39851</v>
      </c>
      <c r="C6202" s="9" t="s">
        <v>1415</v>
      </c>
      <c r="D6202">
        <v>10021510178</v>
      </c>
      <c r="E6202" t="s">
        <v>47</v>
      </c>
      <c r="F6202" t="s">
        <v>55</v>
      </c>
      <c r="G6202" t="s">
        <v>56</v>
      </c>
      <c r="H6202" t="s">
        <v>2471</v>
      </c>
      <c r="I6202" t="s">
        <v>2472</v>
      </c>
      <c r="J6202" t="s">
        <v>52</v>
      </c>
      <c r="K6202" s="3">
        <v>100110894567</v>
      </c>
      <c r="L6202" s="10">
        <v>39853</v>
      </c>
      <c r="M6202">
        <v>320.93</v>
      </c>
      <c r="N6202" s="17">
        <v>46</v>
      </c>
      <c r="O6202" s="5">
        <v>6.68</v>
      </c>
      <c r="P6202" s="5">
        <v>5.66</v>
      </c>
      <c r="Q6202" s="6">
        <v>-66.48</v>
      </c>
      <c r="R6202" s="37" t="s">
        <v>310</v>
      </c>
      <c r="S6202" s="7">
        <f t="shared" si="535"/>
        <v>2</v>
      </c>
      <c r="T6202" s="15" t="str">
        <f>VLOOKUP(R6202,产品分类!$C$2:$D$1278,2,0)</f>
        <v>办公用品</v>
      </c>
    </row>
    <row r="6203" spans="1:20">
      <c r="A6203" s="8">
        <f>DATE(2012,12,31)-1423</f>
        <v>39851</v>
      </c>
      <c r="B6203" s="8">
        <f>DATE(2012,12,31)-1423</f>
        <v>39851</v>
      </c>
      <c r="C6203" s="9" t="s">
        <v>1092</v>
      </c>
      <c r="D6203">
        <v>10021350131</v>
      </c>
      <c r="E6203" t="s">
        <v>47</v>
      </c>
      <c r="F6203" t="s">
        <v>61</v>
      </c>
      <c r="G6203" t="s">
        <v>62</v>
      </c>
      <c r="H6203" t="s">
        <v>2431</v>
      </c>
      <c r="I6203" t="s">
        <v>2432</v>
      </c>
      <c r="J6203" t="s">
        <v>52</v>
      </c>
      <c r="K6203" s="3">
        <v>100429821323</v>
      </c>
      <c r="L6203" s="10">
        <v>39851</v>
      </c>
      <c r="M6203">
        <v>261.85</v>
      </c>
      <c r="N6203" s="11">
        <v>14</v>
      </c>
      <c r="O6203" s="12">
        <v>17.7</v>
      </c>
      <c r="P6203" s="12">
        <v>9.47</v>
      </c>
      <c r="Q6203" s="13">
        <v>-52.33</v>
      </c>
      <c r="R6203" s="36" t="s">
        <v>794</v>
      </c>
      <c r="S6203" s="7">
        <f t="shared" si="535"/>
        <v>0</v>
      </c>
      <c r="T6203" s="15" t="str">
        <f>VLOOKUP(R6203,产品分类!$C$2:$D$1278,2,0)</f>
        <v>数码电子</v>
      </c>
    </row>
    <row r="6204" spans="1:20">
      <c r="A6204" s="8">
        <f>DATE(2012,12,31)-410</f>
        <v>40864</v>
      </c>
      <c r="B6204" s="8">
        <f>DATE(2012,12,31)-410</f>
        <v>40864</v>
      </c>
      <c r="C6204" s="9" t="s">
        <v>145</v>
      </c>
      <c r="D6204">
        <v>10021340687</v>
      </c>
      <c r="E6204" t="s">
        <v>47</v>
      </c>
      <c r="F6204" t="s">
        <v>61</v>
      </c>
      <c r="G6204" t="s">
        <v>62</v>
      </c>
      <c r="H6204" t="s">
        <v>2431</v>
      </c>
      <c r="I6204" t="s">
        <v>2432</v>
      </c>
      <c r="J6204" t="s">
        <v>52</v>
      </c>
      <c r="K6204" s="3">
        <v>100126496157</v>
      </c>
      <c r="L6204" s="10">
        <v>40868</v>
      </c>
      <c r="M6204">
        <v>202.42</v>
      </c>
      <c r="N6204" s="11">
        <v>38</v>
      </c>
      <c r="O6204" s="12">
        <v>5.34</v>
      </c>
      <c r="P6204" s="12">
        <v>2.99</v>
      </c>
      <c r="Q6204" s="13">
        <v>0.8585</v>
      </c>
      <c r="R6204" s="36" t="s">
        <v>779</v>
      </c>
      <c r="S6204" s="7">
        <f t="shared" si="535"/>
        <v>4</v>
      </c>
      <c r="T6204" s="15" t="str">
        <f>VLOOKUP(R6204,产品分类!$C$2:$D$1278,2,0)</f>
        <v>家具产品</v>
      </c>
    </row>
    <row r="6205" spans="1:20">
      <c r="A6205" s="8">
        <f>DATE(2012,12,31)-850</f>
        <v>40424</v>
      </c>
      <c r="B6205" s="8">
        <f>DATE(2012,12,31)-850</f>
        <v>40424</v>
      </c>
      <c r="C6205" s="9" t="s">
        <v>145</v>
      </c>
      <c r="D6205">
        <v>10021335474</v>
      </c>
      <c r="E6205" t="s">
        <v>47</v>
      </c>
      <c r="F6205" t="s">
        <v>61</v>
      </c>
      <c r="G6205" t="s">
        <v>62</v>
      </c>
      <c r="H6205" t="s">
        <v>2431</v>
      </c>
      <c r="I6205" t="s">
        <v>2432</v>
      </c>
      <c r="J6205" t="s">
        <v>52</v>
      </c>
      <c r="K6205" s="3">
        <v>100312117549</v>
      </c>
      <c r="L6205" s="10">
        <v>40425</v>
      </c>
      <c r="M6205">
        <v>733.36</v>
      </c>
      <c r="N6205" s="11">
        <v>7</v>
      </c>
      <c r="O6205" s="12">
        <v>99.99</v>
      </c>
      <c r="P6205" s="12">
        <v>19.99</v>
      </c>
      <c r="Q6205" s="13">
        <v>-270.48</v>
      </c>
      <c r="R6205" s="36" t="s">
        <v>983</v>
      </c>
      <c r="S6205" s="7">
        <f t="shared" si="535"/>
        <v>1</v>
      </c>
      <c r="T6205" s="15" t="str">
        <f>VLOOKUP(R6205,产品分类!$C$2:$D$1278,2,0)</f>
        <v>办公用品</v>
      </c>
    </row>
    <row r="6206" spans="1:20">
      <c r="A6206" s="8">
        <f>DATE(2012,12,31)-581</f>
        <v>40693</v>
      </c>
      <c r="B6206" s="8">
        <f>DATE(2012,12,31)-581</f>
        <v>40693</v>
      </c>
      <c r="C6206" s="9" t="s">
        <v>2086</v>
      </c>
      <c r="D6206">
        <v>10021459753</v>
      </c>
      <c r="E6206" t="s">
        <v>47</v>
      </c>
      <c r="F6206" t="s">
        <v>61</v>
      </c>
      <c r="G6206" t="s">
        <v>62</v>
      </c>
      <c r="H6206" t="s">
        <v>2506</v>
      </c>
      <c r="I6206" t="s">
        <v>2507</v>
      </c>
      <c r="J6206" t="s">
        <v>52</v>
      </c>
      <c r="K6206" s="3">
        <v>10074162395</v>
      </c>
      <c r="L6206" s="10">
        <v>40693</v>
      </c>
      <c r="M6206">
        <v>281.81</v>
      </c>
      <c r="N6206" s="11">
        <v>50</v>
      </c>
      <c r="O6206" s="12">
        <v>5.98</v>
      </c>
      <c r="P6206" s="12">
        <v>0.96</v>
      </c>
      <c r="Q6206" s="13">
        <v>42.45</v>
      </c>
      <c r="R6206" s="36" t="s">
        <v>1298</v>
      </c>
      <c r="S6206" s="7">
        <f t="shared" si="535"/>
        <v>0</v>
      </c>
      <c r="T6206" s="15" t="str">
        <f>VLOOKUP(R6206,产品分类!$C$2:$D$1278,2,0)</f>
        <v>办公用品</v>
      </c>
    </row>
    <row r="6207" spans="1:20">
      <c r="A6207" s="8">
        <f>DATE(2012,12,31)-356</f>
        <v>40918</v>
      </c>
      <c r="B6207" s="8">
        <f>DATE(2012,12,31)-356</f>
        <v>40918</v>
      </c>
      <c r="C6207" s="9" t="s">
        <v>417</v>
      </c>
      <c r="D6207">
        <v>10021576480</v>
      </c>
      <c r="E6207" t="s">
        <v>47</v>
      </c>
      <c r="F6207" t="s">
        <v>61</v>
      </c>
      <c r="G6207" t="s">
        <v>62</v>
      </c>
      <c r="H6207" t="s">
        <v>2506</v>
      </c>
      <c r="I6207" t="s">
        <v>2507</v>
      </c>
      <c r="J6207" t="s">
        <v>52</v>
      </c>
      <c r="K6207" s="3">
        <v>100113683838</v>
      </c>
      <c r="L6207" s="10">
        <v>40920</v>
      </c>
      <c r="M6207">
        <v>5811.97</v>
      </c>
      <c r="N6207" s="11">
        <v>45</v>
      </c>
      <c r="O6207" s="12">
        <v>124.49</v>
      </c>
      <c r="P6207" s="12">
        <v>51.94</v>
      </c>
      <c r="Q6207" s="13">
        <v>-434.148</v>
      </c>
      <c r="R6207" s="36" t="s">
        <v>1338</v>
      </c>
      <c r="S6207" s="7">
        <f t="shared" si="535"/>
        <v>2</v>
      </c>
      <c r="T6207" s="15" t="str">
        <f>VLOOKUP(R6207,产品分类!$C$2:$D$1278,2,0)</f>
        <v>办公用品</v>
      </c>
    </row>
    <row r="6208" spans="1:20">
      <c r="A6208" s="16">
        <f>DATE(2012,12,31)-355</f>
        <v>40919</v>
      </c>
      <c r="B6208" s="16">
        <f>DATE(2012,12,31)-355</f>
        <v>40919</v>
      </c>
      <c r="C6208" s="9" t="s">
        <v>982</v>
      </c>
      <c r="D6208">
        <v>10021257035</v>
      </c>
      <c r="E6208" t="s">
        <v>47</v>
      </c>
      <c r="F6208" t="s">
        <v>61</v>
      </c>
      <c r="G6208" t="s">
        <v>62</v>
      </c>
      <c r="H6208" t="s">
        <v>2506</v>
      </c>
      <c r="I6208" t="s">
        <v>2507</v>
      </c>
      <c r="J6208" t="s">
        <v>52</v>
      </c>
      <c r="K6208" s="3">
        <v>100125974238</v>
      </c>
      <c r="L6208" s="10">
        <v>40921</v>
      </c>
      <c r="M6208">
        <v>250.13</v>
      </c>
      <c r="N6208" s="17">
        <v>40</v>
      </c>
      <c r="O6208" s="5">
        <v>5.84</v>
      </c>
      <c r="P6208" s="5">
        <v>1.2</v>
      </c>
      <c r="Q6208" s="6">
        <v>61.97</v>
      </c>
      <c r="R6208" s="37" t="s">
        <v>833</v>
      </c>
      <c r="S6208" s="7">
        <f t="shared" si="535"/>
        <v>2</v>
      </c>
      <c r="T6208" s="15" t="str">
        <f>VLOOKUP(R6208,产品分类!$C$2:$D$1278,2,0)</f>
        <v>家具产品</v>
      </c>
    </row>
    <row r="6209" spans="1:20">
      <c r="A6209" s="8">
        <f>DATE(2012,12,31)-186</f>
        <v>41088</v>
      </c>
      <c r="B6209" s="8">
        <f>DATE(2012,12,31)-186</f>
        <v>41088</v>
      </c>
      <c r="C6209" s="9" t="s">
        <v>982</v>
      </c>
      <c r="D6209">
        <v>10021594281</v>
      </c>
      <c r="E6209" t="s">
        <v>47</v>
      </c>
      <c r="F6209" t="s">
        <v>61</v>
      </c>
      <c r="G6209" t="s">
        <v>62</v>
      </c>
      <c r="H6209" t="s">
        <v>2506</v>
      </c>
      <c r="I6209" t="s">
        <v>2507</v>
      </c>
      <c r="J6209" t="s">
        <v>52</v>
      </c>
      <c r="K6209" s="3">
        <v>100932478961</v>
      </c>
      <c r="L6209" s="10">
        <v>41090</v>
      </c>
      <c r="M6209">
        <v>835.55</v>
      </c>
      <c r="N6209" s="11">
        <v>39</v>
      </c>
      <c r="O6209" s="12">
        <v>22.23</v>
      </c>
      <c r="P6209" s="12">
        <v>5.08</v>
      </c>
      <c r="Q6209" s="13">
        <v>326.43</v>
      </c>
      <c r="R6209" s="36" t="s">
        <v>958</v>
      </c>
      <c r="S6209" s="7">
        <f t="shared" si="535"/>
        <v>2</v>
      </c>
      <c r="T6209" s="15" t="str">
        <f>VLOOKUP(R6209,产品分类!$C$2:$D$1278,2,0)</f>
        <v>办公用品</v>
      </c>
    </row>
    <row r="6210" spans="1:20">
      <c r="A6210" s="8">
        <f>DATE(2012,12,31)-186</f>
        <v>41088</v>
      </c>
      <c r="B6210" s="8">
        <f>DATE(2012,12,31)-186</f>
        <v>41088</v>
      </c>
      <c r="C6210" s="9" t="s">
        <v>982</v>
      </c>
      <c r="D6210">
        <v>10021500672</v>
      </c>
      <c r="E6210" t="s">
        <v>47</v>
      </c>
      <c r="F6210" t="s">
        <v>253</v>
      </c>
      <c r="G6210" t="s">
        <v>254</v>
      </c>
      <c r="H6210" t="s">
        <v>2508</v>
      </c>
      <c r="I6210" t="s">
        <v>2509</v>
      </c>
      <c r="J6210" t="s">
        <v>52</v>
      </c>
      <c r="K6210" s="3">
        <v>100326410359</v>
      </c>
      <c r="L6210" s="10">
        <v>41090</v>
      </c>
      <c r="M6210">
        <v>1799.6115</v>
      </c>
      <c r="N6210" s="11">
        <v>38</v>
      </c>
      <c r="O6210" s="12">
        <v>55.99</v>
      </c>
      <c r="P6210" s="12">
        <v>1.25</v>
      </c>
      <c r="Q6210" s="13">
        <v>557.595</v>
      </c>
      <c r="R6210" s="36" t="s">
        <v>1190</v>
      </c>
      <c r="S6210" s="7">
        <f t="shared" si="535"/>
        <v>2</v>
      </c>
      <c r="T6210" s="15" t="str">
        <f>VLOOKUP(R6210,产品分类!$C$2:$D$1278,2,0)</f>
        <v>办公用品</v>
      </c>
    </row>
    <row r="6211" spans="1:20">
      <c r="A6211" s="16">
        <f>DATE(2012,12,31)-1034</f>
        <v>40240</v>
      </c>
      <c r="B6211" s="16">
        <f>DATE(2012,12,31)-1034</f>
        <v>40240</v>
      </c>
      <c r="C6211" s="9" t="s">
        <v>982</v>
      </c>
      <c r="D6211">
        <v>10021677898</v>
      </c>
      <c r="E6211" t="s">
        <v>47</v>
      </c>
      <c r="F6211" t="s">
        <v>61</v>
      </c>
      <c r="G6211" t="s">
        <v>62</v>
      </c>
      <c r="H6211" t="s">
        <v>2506</v>
      </c>
      <c r="I6211" t="s">
        <v>2507</v>
      </c>
      <c r="J6211" t="s">
        <v>52</v>
      </c>
      <c r="K6211" s="3">
        <v>100432919303</v>
      </c>
      <c r="L6211" s="10">
        <v>40242</v>
      </c>
      <c r="M6211">
        <v>468.48</v>
      </c>
      <c r="N6211" s="17">
        <v>43</v>
      </c>
      <c r="O6211" s="5">
        <v>11.34</v>
      </c>
      <c r="P6211" s="5">
        <v>11.25</v>
      </c>
      <c r="Q6211" s="6">
        <v>-213.49</v>
      </c>
      <c r="R6211" s="37" t="s">
        <v>1385</v>
      </c>
      <c r="S6211" s="7">
        <f t="shared" ref="S6211:S6274" si="542">+L6211-B6211</f>
        <v>2</v>
      </c>
      <c r="T6211" s="15" t="str">
        <f>VLOOKUP(R6211,产品分类!$C$2:$D$1278,2,0)</f>
        <v>家具产品</v>
      </c>
    </row>
    <row r="6212" spans="1:20">
      <c r="A6212" s="8">
        <f>DATE(2012,12,31)-1034</f>
        <v>40240</v>
      </c>
      <c r="B6212" s="8">
        <f>DATE(2012,12,31)-1034</f>
        <v>40240</v>
      </c>
      <c r="C6212" s="9" t="s">
        <v>1882</v>
      </c>
      <c r="D6212">
        <v>10021345660</v>
      </c>
      <c r="E6212" t="s">
        <v>47</v>
      </c>
      <c r="F6212" t="s">
        <v>83</v>
      </c>
      <c r="G6212" t="s">
        <v>84</v>
      </c>
      <c r="H6212" t="s">
        <v>2510</v>
      </c>
      <c r="I6212" t="s">
        <v>2511</v>
      </c>
      <c r="J6212" t="s">
        <v>52</v>
      </c>
      <c r="K6212" s="3">
        <v>100130202148</v>
      </c>
      <c r="L6212" s="10">
        <v>40243</v>
      </c>
      <c r="M6212">
        <v>284.14</v>
      </c>
      <c r="N6212" s="11">
        <v>23</v>
      </c>
      <c r="O6212" s="12">
        <v>11.66</v>
      </c>
      <c r="P6212" s="12">
        <v>8.99</v>
      </c>
      <c r="Q6212" s="13">
        <v>-104.18</v>
      </c>
      <c r="R6212" s="36" t="s">
        <v>662</v>
      </c>
      <c r="S6212" s="7">
        <f t="shared" si="542"/>
        <v>3</v>
      </c>
      <c r="T6212" s="15" t="str">
        <f>VLOOKUP(R6212,产品分类!$C$2:$D$1278,2,0)</f>
        <v>数码电子</v>
      </c>
    </row>
    <row r="6213" spans="1:20">
      <c r="A6213" s="8">
        <f>DATE(2012,12,31)-912</f>
        <v>40362</v>
      </c>
      <c r="B6213" s="8">
        <f>DATE(2012,12,31)-912</f>
        <v>40362</v>
      </c>
      <c r="C6213" s="9" t="s">
        <v>1882</v>
      </c>
      <c r="D6213">
        <v>10021443807</v>
      </c>
      <c r="E6213" t="s">
        <v>47</v>
      </c>
      <c r="F6213" t="s">
        <v>61</v>
      </c>
      <c r="G6213" t="s">
        <v>62</v>
      </c>
      <c r="H6213" t="s">
        <v>2506</v>
      </c>
      <c r="I6213" t="s">
        <v>2507</v>
      </c>
      <c r="J6213" t="s">
        <v>52</v>
      </c>
      <c r="K6213" s="3">
        <v>10032305019</v>
      </c>
      <c r="L6213" s="10">
        <v>40369</v>
      </c>
      <c r="M6213">
        <v>1914.16</v>
      </c>
      <c r="N6213" s="11">
        <v>23</v>
      </c>
      <c r="O6213" s="12">
        <v>80.97</v>
      </c>
      <c r="P6213" s="12">
        <v>33.6</v>
      </c>
      <c r="Q6213" s="13">
        <v>128.43</v>
      </c>
      <c r="R6213" s="36" t="s">
        <v>290</v>
      </c>
      <c r="S6213" s="7">
        <f t="shared" si="542"/>
        <v>7</v>
      </c>
      <c r="T6213" s="15" t="str">
        <f>VLOOKUP(R6213,产品分类!$C$2:$D$1278,2,0)</f>
        <v>办公用品</v>
      </c>
    </row>
    <row r="6214" spans="1:20">
      <c r="A6214" s="16">
        <f>DATE(2012,12,31)-1459</f>
        <v>39815</v>
      </c>
      <c r="B6214" s="16">
        <f>DATE(2012,12,31)-1459</f>
        <v>39815</v>
      </c>
      <c r="C6214" s="9" t="s">
        <v>2172</v>
      </c>
      <c r="D6214">
        <v>10021495326</v>
      </c>
      <c r="E6214" t="s">
        <v>47</v>
      </c>
      <c r="F6214" t="s">
        <v>61</v>
      </c>
      <c r="G6214" t="s">
        <v>62</v>
      </c>
      <c r="H6214" t="s">
        <v>2506</v>
      </c>
      <c r="I6214" t="s">
        <v>2507</v>
      </c>
      <c r="J6214" t="s">
        <v>52</v>
      </c>
      <c r="K6214" s="3">
        <v>10036510729</v>
      </c>
      <c r="L6214" s="10">
        <v>39817</v>
      </c>
      <c r="M6214">
        <v>137.63</v>
      </c>
      <c r="N6214" s="17">
        <v>16</v>
      </c>
      <c r="O6214" s="5">
        <v>9.11</v>
      </c>
      <c r="P6214" s="5">
        <v>2.15</v>
      </c>
      <c r="Q6214" s="6">
        <v>26.71</v>
      </c>
      <c r="R6214" s="37" t="s">
        <v>415</v>
      </c>
      <c r="S6214" s="7">
        <f t="shared" si="542"/>
        <v>2</v>
      </c>
      <c r="T6214" s="15" t="str">
        <f>VLOOKUP(R6214,产品分类!$C$2:$D$1278,2,0)</f>
        <v>办公用品</v>
      </c>
    </row>
    <row r="6215" spans="1:20">
      <c r="A6215" s="8">
        <f>DATE(2012,12,31)-1459</f>
        <v>39815</v>
      </c>
      <c r="B6215" s="8">
        <f>DATE(2012,12,31)-1459</f>
        <v>39815</v>
      </c>
      <c r="C6215" s="9" t="s">
        <v>2285</v>
      </c>
      <c r="D6215">
        <v>10021574294</v>
      </c>
      <c r="E6215" t="s">
        <v>47</v>
      </c>
      <c r="F6215" t="s">
        <v>61</v>
      </c>
      <c r="G6215" t="s">
        <v>62</v>
      </c>
      <c r="H6215" t="s">
        <v>2506</v>
      </c>
      <c r="I6215" t="s">
        <v>2507</v>
      </c>
      <c r="J6215" t="s">
        <v>52</v>
      </c>
      <c r="K6215" s="3">
        <v>10031875649</v>
      </c>
      <c r="L6215" s="10">
        <v>39815</v>
      </c>
      <c r="M6215">
        <v>614.8</v>
      </c>
      <c r="N6215" s="11">
        <v>43</v>
      </c>
      <c r="O6215" s="12">
        <v>15.04</v>
      </c>
      <c r="P6215" s="12">
        <v>1.97</v>
      </c>
      <c r="Q6215" s="13">
        <v>247.79</v>
      </c>
      <c r="R6215" s="36" t="s">
        <v>532</v>
      </c>
      <c r="S6215" s="7">
        <f t="shared" si="542"/>
        <v>0</v>
      </c>
      <c r="T6215" s="15" t="str">
        <f>VLOOKUP(R6215,产品分类!$C$2:$D$1278,2,0)</f>
        <v>办公用品</v>
      </c>
    </row>
    <row r="6216" spans="1:20">
      <c r="A6216" s="8">
        <f>DATE(2012,12,31)-260</f>
        <v>41014</v>
      </c>
      <c r="B6216" s="8">
        <f>DATE(2012,12,31)-260</f>
        <v>41014</v>
      </c>
      <c r="C6216" s="9" t="s">
        <v>716</v>
      </c>
      <c r="D6216">
        <v>10021250785</v>
      </c>
      <c r="E6216" t="s">
        <v>47</v>
      </c>
      <c r="F6216" t="s">
        <v>61</v>
      </c>
      <c r="G6216" t="s">
        <v>62</v>
      </c>
      <c r="H6216" t="s">
        <v>2506</v>
      </c>
      <c r="I6216" t="s">
        <v>2507</v>
      </c>
      <c r="J6216" t="s">
        <v>52</v>
      </c>
      <c r="K6216" s="3">
        <v>100914530161</v>
      </c>
      <c r="L6216" s="10">
        <v>41015</v>
      </c>
      <c r="M6216">
        <v>110.67</v>
      </c>
      <c r="N6216" s="11">
        <v>19</v>
      </c>
      <c r="O6216" s="12">
        <v>5.99</v>
      </c>
      <c r="P6216" s="12">
        <v>4.92</v>
      </c>
      <c r="Q6216" s="13">
        <v>-43.746</v>
      </c>
      <c r="R6216" s="36" t="s">
        <v>702</v>
      </c>
      <c r="S6216" s="7">
        <f t="shared" si="542"/>
        <v>1</v>
      </c>
      <c r="T6216" s="15" t="str">
        <f>VLOOKUP(R6216,产品分类!$C$2:$D$1278,2,0)</f>
        <v>办公用品</v>
      </c>
    </row>
    <row r="6217" spans="1:20">
      <c r="A6217" s="8">
        <f>DATE(2012,12,31)-260</f>
        <v>41014</v>
      </c>
      <c r="B6217" s="8">
        <f>DATE(2012,12,31)-260</f>
        <v>41014</v>
      </c>
      <c r="C6217" s="9" t="s">
        <v>2512</v>
      </c>
      <c r="D6217">
        <v>10021283024</v>
      </c>
      <c r="E6217" t="s">
        <v>47</v>
      </c>
      <c r="F6217" t="s">
        <v>83</v>
      </c>
      <c r="G6217" t="s">
        <v>84</v>
      </c>
      <c r="H6217" t="s">
        <v>2510</v>
      </c>
      <c r="I6217" t="s">
        <v>2511</v>
      </c>
      <c r="J6217" t="s">
        <v>52</v>
      </c>
      <c r="K6217" s="3">
        <v>100826521572</v>
      </c>
      <c r="L6217" s="10">
        <v>41015</v>
      </c>
      <c r="M6217">
        <v>1163.123</v>
      </c>
      <c r="N6217" s="11">
        <v>20</v>
      </c>
      <c r="O6217" s="12">
        <v>65.99</v>
      </c>
      <c r="P6217" s="12">
        <v>8.99</v>
      </c>
      <c r="Q6217" s="13">
        <v>83.835</v>
      </c>
      <c r="R6217" s="36" t="s">
        <v>237</v>
      </c>
      <c r="S6217" s="7">
        <f t="shared" si="542"/>
        <v>1</v>
      </c>
      <c r="T6217" s="15" t="str">
        <f>VLOOKUP(R6217,产品分类!$C$2:$D$1278,2,0)</f>
        <v>数码电子</v>
      </c>
    </row>
    <row r="6218" spans="1:20">
      <c r="A6218" s="8">
        <f>DATE(2012,12,31)-1069</f>
        <v>40205</v>
      </c>
      <c r="B6218" s="8">
        <f>DATE(2012,12,31)-1069</f>
        <v>40205</v>
      </c>
      <c r="C6218" s="9" t="s">
        <v>815</v>
      </c>
      <c r="D6218">
        <v>10021496680</v>
      </c>
      <c r="E6218" t="s">
        <v>47</v>
      </c>
      <c r="F6218" t="s">
        <v>61</v>
      </c>
      <c r="G6218" t="s">
        <v>62</v>
      </c>
      <c r="H6218" t="s">
        <v>2506</v>
      </c>
      <c r="I6218" t="s">
        <v>2507</v>
      </c>
      <c r="J6218" t="s">
        <v>52</v>
      </c>
      <c r="K6218" s="3">
        <v>100412503874</v>
      </c>
      <c r="L6218" s="10">
        <v>40209</v>
      </c>
      <c r="M6218">
        <v>5.06</v>
      </c>
      <c r="N6218" s="11">
        <v>1</v>
      </c>
      <c r="O6218" s="12">
        <v>3.14</v>
      </c>
      <c r="P6218" s="12">
        <v>1.92</v>
      </c>
      <c r="Q6218" s="13">
        <v>-2.64</v>
      </c>
      <c r="R6218" s="36" t="s">
        <v>1478</v>
      </c>
      <c r="S6218" s="7">
        <f t="shared" si="542"/>
        <v>4</v>
      </c>
      <c r="T6218" s="15" t="str">
        <f>VLOOKUP(R6218,产品分类!$C$2:$D$1278,2,0)</f>
        <v>办公用品</v>
      </c>
    </row>
    <row r="6219" spans="1:20">
      <c r="A6219" s="8">
        <f>DATE(2012,12,31)-294</f>
        <v>40980</v>
      </c>
      <c r="B6219" s="8">
        <f>DATE(2012,12,31)-294</f>
        <v>40980</v>
      </c>
      <c r="C6219" s="9" t="s">
        <v>275</v>
      </c>
      <c r="D6219">
        <v>10021262915</v>
      </c>
      <c r="E6219" t="s">
        <v>47</v>
      </c>
      <c r="F6219" t="s">
        <v>83</v>
      </c>
      <c r="G6219" t="s">
        <v>84</v>
      </c>
      <c r="H6219" t="s">
        <v>2510</v>
      </c>
      <c r="I6219" t="s">
        <v>2511</v>
      </c>
      <c r="J6219" t="s">
        <v>52</v>
      </c>
      <c r="K6219" s="3">
        <v>100330434349</v>
      </c>
      <c r="L6219" s="10">
        <v>40982</v>
      </c>
      <c r="M6219">
        <v>11823.52</v>
      </c>
      <c r="N6219" s="11">
        <v>34</v>
      </c>
      <c r="O6219" s="12">
        <v>367.99</v>
      </c>
      <c r="P6219" s="12">
        <v>19.99</v>
      </c>
      <c r="Q6219" s="13">
        <v>4592.737</v>
      </c>
      <c r="R6219" s="36" t="s">
        <v>1193</v>
      </c>
      <c r="S6219" s="7">
        <f t="shared" si="542"/>
        <v>2</v>
      </c>
      <c r="T6219" s="15" t="str">
        <f>VLOOKUP(R6219,产品分类!$C$2:$D$1278,2,0)</f>
        <v>办公用品</v>
      </c>
    </row>
    <row r="6220" spans="1:20">
      <c r="A6220" s="8">
        <f>DATE(2012,12,31)-294</f>
        <v>40980</v>
      </c>
      <c r="B6220" s="8">
        <f>DATE(2012,12,31)-294</f>
        <v>40980</v>
      </c>
      <c r="C6220" s="9" t="s">
        <v>275</v>
      </c>
      <c r="D6220">
        <v>10021288886</v>
      </c>
      <c r="E6220" t="s">
        <v>47</v>
      </c>
      <c r="F6220" t="s">
        <v>122</v>
      </c>
      <c r="G6220" t="s">
        <v>123</v>
      </c>
      <c r="H6220" t="s">
        <v>2458</v>
      </c>
      <c r="I6220" t="s">
        <v>2459</v>
      </c>
      <c r="J6220" t="s">
        <v>52</v>
      </c>
      <c r="K6220" s="3">
        <v>100432783133</v>
      </c>
      <c r="L6220" s="10">
        <v>40982</v>
      </c>
      <c r="M6220">
        <v>80.81</v>
      </c>
      <c r="N6220" s="11">
        <v>19</v>
      </c>
      <c r="O6220" s="12">
        <v>4.24</v>
      </c>
      <c r="P6220" s="12">
        <v>5.41</v>
      </c>
      <c r="Q6220" s="13">
        <v>-67.459</v>
      </c>
      <c r="R6220" s="36" t="s">
        <v>1075</v>
      </c>
      <c r="S6220" s="7">
        <f t="shared" si="542"/>
        <v>2</v>
      </c>
      <c r="T6220" s="15" t="str">
        <f>VLOOKUP(R6220,产品分类!$C$2:$D$1278,2,0)</f>
        <v>数码电子</v>
      </c>
    </row>
    <row r="6221" spans="1:20">
      <c r="A6221" s="8">
        <f>DATE(2012,12,31)-1090</f>
        <v>40184</v>
      </c>
      <c r="B6221" s="8">
        <f>DATE(2012,12,31)-1090</f>
        <v>40184</v>
      </c>
      <c r="C6221" s="9" t="s">
        <v>1132</v>
      </c>
      <c r="D6221">
        <v>10021442534</v>
      </c>
      <c r="E6221" t="s">
        <v>47</v>
      </c>
      <c r="F6221" t="s">
        <v>72</v>
      </c>
      <c r="G6221" t="s">
        <v>73</v>
      </c>
      <c r="H6221" t="s">
        <v>2417</v>
      </c>
      <c r="I6221" t="s">
        <v>2418</v>
      </c>
      <c r="J6221" t="s">
        <v>52</v>
      </c>
      <c r="K6221" s="3">
        <v>100432983483</v>
      </c>
      <c r="L6221" s="10">
        <v>40185</v>
      </c>
      <c r="M6221">
        <v>181.15</v>
      </c>
      <c r="N6221" s="11">
        <v>35</v>
      </c>
      <c r="O6221" s="12">
        <v>5.28</v>
      </c>
      <c r="P6221" s="12">
        <v>3.96</v>
      </c>
      <c r="Q6221" s="13">
        <v>-46.68</v>
      </c>
      <c r="R6221" s="36" t="s">
        <v>699</v>
      </c>
      <c r="S6221" s="7">
        <f t="shared" si="542"/>
        <v>1</v>
      </c>
      <c r="T6221" s="15" t="str">
        <f>VLOOKUP(R6221,产品分类!$C$2:$D$1278,2,0)</f>
        <v>办公用品</v>
      </c>
    </row>
    <row r="6222" spans="1:20">
      <c r="A6222" s="8">
        <f>DATE(2012,12,31)-1158</f>
        <v>40116</v>
      </c>
      <c r="B6222" s="8">
        <f>DATE(2012,12,31)-1158</f>
        <v>40116</v>
      </c>
      <c r="C6222" s="9" t="s">
        <v>1132</v>
      </c>
      <c r="D6222">
        <v>10021288666</v>
      </c>
      <c r="E6222" t="s">
        <v>47</v>
      </c>
      <c r="F6222" t="s">
        <v>230</v>
      </c>
      <c r="G6222" t="s">
        <v>231</v>
      </c>
      <c r="H6222" t="s">
        <v>2497</v>
      </c>
      <c r="I6222" t="s">
        <v>2498</v>
      </c>
      <c r="J6222" t="s">
        <v>52</v>
      </c>
      <c r="K6222" s="3">
        <v>100432782233</v>
      </c>
      <c r="L6222" s="10">
        <v>40118</v>
      </c>
      <c r="M6222">
        <v>620.02</v>
      </c>
      <c r="N6222" s="11">
        <v>35</v>
      </c>
      <c r="O6222" s="12">
        <v>17.67</v>
      </c>
      <c r="P6222" s="12">
        <v>8.99</v>
      </c>
      <c r="Q6222" s="13">
        <v>50.04</v>
      </c>
      <c r="R6222" s="36" t="s">
        <v>963</v>
      </c>
      <c r="S6222" s="7">
        <f t="shared" si="542"/>
        <v>2</v>
      </c>
      <c r="T6222" s="15" t="str">
        <f>VLOOKUP(R6222,产品分类!$C$2:$D$1278,2,0)</f>
        <v>家具产品</v>
      </c>
    </row>
    <row r="6223" spans="1:20">
      <c r="A6223" s="8">
        <f>DATE(2012,12,31)-1018</f>
        <v>40256</v>
      </c>
      <c r="B6223" s="8">
        <f>DATE(2012,12,31)-1018</f>
        <v>40256</v>
      </c>
      <c r="C6223" s="9" t="s">
        <v>941</v>
      </c>
      <c r="D6223">
        <v>10021553206</v>
      </c>
      <c r="E6223" t="s">
        <v>47</v>
      </c>
      <c r="F6223" t="s">
        <v>114</v>
      </c>
      <c r="G6223" t="s">
        <v>115</v>
      </c>
      <c r="H6223" t="s">
        <v>2500</v>
      </c>
      <c r="I6223" t="s">
        <v>2501</v>
      </c>
      <c r="J6223" t="s">
        <v>52</v>
      </c>
      <c r="K6223" s="3">
        <v>100733115115</v>
      </c>
      <c r="L6223" s="10">
        <v>40257</v>
      </c>
      <c r="M6223">
        <v>507.64</v>
      </c>
      <c r="N6223" s="11">
        <v>46</v>
      </c>
      <c r="O6223" s="12">
        <v>10.98</v>
      </c>
      <c r="P6223" s="12">
        <v>3.37</v>
      </c>
      <c r="Q6223" s="13">
        <v>42.76</v>
      </c>
      <c r="R6223" s="36" t="s">
        <v>1183</v>
      </c>
      <c r="S6223" s="7">
        <f t="shared" si="542"/>
        <v>1</v>
      </c>
      <c r="T6223" s="15" t="str">
        <f>VLOOKUP(R6223,产品分类!$C$2:$D$1278,2,0)</f>
        <v>办公用品</v>
      </c>
    </row>
    <row r="6224" spans="1:20">
      <c r="A6224" s="8">
        <f>DATE(2012,12,31)-336</f>
        <v>40938</v>
      </c>
      <c r="B6224" s="8">
        <f>DATE(2012,12,31)-336</f>
        <v>40938</v>
      </c>
      <c r="C6224" s="9" t="s">
        <v>1921</v>
      </c>
      <c r="D6224">
        <v>10021478097</v>
      </c>
      <c r="E6224" t="s">
        <v>47</v>
      </c>
      <c r="F6224" t="s">
        <v>91</v>
      </c>
      <c r="G6224" t="s">
        <v>92</v>
      </c>
      <c r="H6224" t="s">
        <v>2502</v>
      </c>
      <c r="I6224" t="s">
        <v>2503</v>
      </c>
      <c r="J6224" t="s">
        <v>52</v>
      </c>
      <c r="K6224" s="3">
        <v>100833016232</v>
      </c>
      <c r="L6224" s="10">
        <v>40939</v>
      </c>
      <c r="M6224">
        <v>3194.05</v>
      </c>
      <c r="N6224" s="11">
        <v>23</v>
      </c>
      <c r="O6224" s="12">
        <v>142.86</v>
      </c>
      <c r="P6224" s="12">
        <v>19.99</v>
      </c>
      <c r="Q6224" s="13">
        <v>608.52</v>
      </c>
      <c r="R6224" s="36" t="s">
        <v>1449</v>
      </c>
      <c r="S6224" s="7">
        <f t="shared" si="542"/>
        <v>1</v>
      </c>
      <c r="T6224" s="15" t="str">
        <f>VLOOKUP(R6224,产品分类!$C$2:$D$1278,2,0)</f>
        <v>家具产品</v>
      </c>
    </row>
    <row r="6225" spans="1:20">
      <c r="A6225" s="8">
        <f>DATE(2012,12,31)-1227</f>
        <v>40047</v>
      </c>
      <c r="B6225" s="8">
        <f>DATE(2012,12,31)-1227</f>
        <v>40047</v>
      </c>
      <c r="C6225" s="9" t="s">
        <v>1921</v>
      </c>
      <c r="D6225">
        <v>10021454407</v>
      </c>
      <c r="E6225" t="s">
        <v>47</v>
      </c>
      <c r="F6225" t="s">
        <v>527</v>
      </c>
      <c r="G6225" t="s">
        <v>528</v>
      </c>
      <c r="H6225" t="s">
        <v>2454</v>
      </c>
      <c r="I6225" t="s">
        <v>2455</v>
      </c>
      <c r="J6225" t="s">
        <v>52</v>
      </c>
      <c r="K6225" s="3">
        <v>100132986958</v>
      </c>
      <c r="L6225" s="10">
        <v>40048</v>
      </c>
      <c r="M6225">
        <v>653.786</v>
      </c>
      <c r="N6225" s="11">
        <v>12</v>
      </c>
      <c r="O6225" s="12">
        <v>65.99</v>
      </c>
      <c r="P6225" s="12">
        <v>5.31</v>
      </c>
      <c r="Q6225" s="13">
        <v>-83.468</v>
      </c>
      <c r="R6225" s="36" t="s">
        <v>1755</v>
      </c>
      <c r="S6225" s="7">
        <f t="shared" si="542"/>
        <v>1</v>
      </c>
      <c r="T6225" s="15" t="str">
        <f>VLOOKUP(R6225,产品分类!$C$2:$D$1278,2,0)</f>
        <v>办公用品</v>
      </c>
    </row>
    <row r="6226" spans="1:20">
      <c r="A6226" s="8">
        <f>DATE(2012,12,31)-1227</f>
        <v>40047</v>
      </c>
      <c r="B6226" s="8">
        <f>DATE(2012,12,31)-1227</f>
        <v>40047</v>
      </c>
      <c r="C6226" s="9" t="s">
        <v>1119</v>
      </c>
      <c r="D6226">
        <v>10021437776</v>
      </c>
      <c r="E6226" t="s">
        <v>47</v>
      </c>
      <c r="F6226" t="s">
        <v>171</v>
      </c>
      <c r="G6226" t="s">
        <v>172</v>
      </c>
      <c r="H6226" t="s">
        <v>2486</v>
      </c>
      <c r="I6226" t="s">
        <v>2310</v>
      </c>
      <c r="J6226" t="s">
        <v>52</v>
      </c>
      <c r="K6226" s="3">
        <v>100132970478</v>
      </c>
      <c r="L6226" s="10">
        <v>40049</v>
      </c>
      <c r="M6226">
        <v>56.91</v>
      </c>
      <c r="N6226" s="11">
        <v>10</v>
      </c>
      <c r="O6226" s="12">
        <v>5.18</v>
      </c>
      <c r="P6226" s="12">
        <v>2.04</v>
      </c>
      <c r="Q6226" s="13">
        <v>7.5</v>
      </c>
      <c r="R6226" s="36" t="s">
        <v>223</v>
      </c>
      <c r="S6226" s="7">
        <f t="shared" si="542"/>
        <v>2</v>
      </c>
      <c r="T6226" s="15" t="str">
        <f>VLOOKUP(R6226,产品分类!$C$2:$D$1278,2,0)</f>
        <v>办公用品</v>
      </c>
    </row>
    <row r="6227" spans="1:20">
      <c r="A6227" s="8">
        <f>DATE(2012,12,31)-1441</f>
        <v>39833</v>
      </c>
      <c r="B6227" s="8">
        <f>DATE(2012,12,31)-1441</f>
        <v>39833</v>
      </c>
      <c r="C6227" s="9" t="s">
        <v>1119</v>
      </c>
      <c r="D6227">
        <v>10021490508</v>
      </c>
      <c r="E6227" t="s">
        <v>47</v>
      </c>
      <c r="F6227" t="s">
        <v>527</v>
      </c>
      <c r="G6227" t="s">
        <v>528</v>
      </c>
      <c r="H6227" t="s">
        <v>2513</v>
      </c>
      <c r="I6227" t="s">
        <v>2514</v>
      </c>
      <c r="J6227" t="s">
        <v>52</v>
      </c>
      <c r="K6227" s="3">
        <v>100933048391</v>
      </c>
      <c r="L6227" s="10">
        <v>39836</v>
      </c>
      <c r="M6227">
        <v>3970.33</v>
      </c>
      <c r="N6227" s="11">
        <v>27</v>
      </c>
      <c r="O6227" s="12">
        <v>140.98</v>
      </c>
      <c r="P6227" s="12">
        <v>53.48</v>
      </c>
      <c r="Q6227" s="13">
        <v>-229.79</v>
      </c>
      <c r="R6227" s="36" t="s">
        <v>1298</v>
      </c>
      <c r="S6227" s="7">
        <f t="shared" si="542"/>
        <v>3</v>
      </c>
      <c r="T6227" s="15" t="str">
        <f>VLOOKUP(R6227,产品分类!$C$2:$D$1278,2,0)</f>
        <v>办公用品</v>
      </c>
    </row>
    <row r="6228" spans="1:20">
      <c r="A6228" s="8">
        <f>DATE(2012,12,31)-727</f>
        <v>40547</v>
      </c>
      <c r="B6228" s="8">
        <f>DATE(2012,12,31)-727</f>
        <v>40547</v>
      </c>
      <c r="C6228" s="9" t="s">
        <v>1397</v>
      </c>
      <c r="D6228">
        <v>10021552543</v>
      </c>
      <c r="E6228" t="s">
        <v>47</v>
      </c>
      <c r="F6228" t="s">
        <v>61</v>
      </c>
      <c r="G6228" t="s">
        <v>62</v>
      </c>
      <c r="H6228" t="s">
        <v>2506</v>
      </c>
      <c r="I6228" t="s">
        <v>2507</v>
      </c>
      <c r="J6228" t="s">
        <v>52</v>
      </c>
      <c r="K6228" s="3">
        <v>100433113694</v>
      </c>
      <c r="L6228" s="10">
        <v>40547</v>
      </c>
      <c r="M6228">
        <v>625.9485</v>
      </c>
      <c r="N6228" s="11">
        <v>35</v>
      </c>
      <c r="O6228" s="12">
        <v>20.99</v>
      </c>
      <c r="P6228" s="12">
        <v>3.3</v>
      </c>
      <c r="Q6228" s="13">
        <v>-87.021</v>
      </c>
      <c r="R6228" s="36" t="s">
        <v>157</v>
      </c>
      <c r="S6228" s="7">
        <f t="shared" si="542"/>
        <v>0</v>
      </c>
      <c r="T6228" s="15" t="str">
        <f>VLOOKUP(R6228,产品分类!$C$2:$D$1278,2,0)</f>
        <v>数码电子</v>
      </c>
    </row>
    <row r="6229" spans="1:20">
      <c r="A6229" s="8">
        <f>DATE(2012,12,31)-302</f>
        <v>40972</v>
      </c>
      <c r="B6229" s="8">
        <f>DATE(2012,12,31)-302</f>
        <v>40972</v>
      </c>
      <c r="C6229" s="9" t="s">
        <v>776</v>
      </c>
      <c r="D6229">
        <v>10021393328</v>
      </c>
      <c r="E6229" t="s">
        <v>47</v>
      </c>
      <c r="F6229" t="s">
        <v>97</v>
      </c>
      <c r="G6229" t="s">
        <v>98</v>
      </c>
      <c r="H6229" t="s">
        <v>99</v>
      </c>
      <c r="I6229" t="s">
        <v>98</v>
      </c>
      <c r="J6229" t="s">
        <v>52</v>
      </c>
      <c r="K6229" s="3">
        <v>100132916586</v>
      </c>
      <c r="L6229" s="10">
        <v>40976</v>
      </c>
      <c r="M6229">
        <v>50.69</v>
      </c>
      <c r="N6229" s="11">
        <v>12</v>
      </c>
      <c r="O6229" s="12">
        <v>3.95</v>
      </c>
      <c r="P6229" s="12">
        <v>2</v>
      </c>
      <c r="Q6229" s="13">
        <v>-6.33</v>
      </c>
      <c r="R6229" s="36" t="s">
        <v>2165</v>
      </c>
      <c r="S6229" s="7">
        <f t="shared" si="542"/>
        <v>4</v>
      </c>
      <c r="T6229" s="15" t="str">
        <f>VLOOKUP(R6229,产品分类!$C$2:$D$1278,2,0)</f>
        <v>办公用品</v>
      </c>
    </row>
    <row r="6230" spans="1:20">
      <c r="A6230" s="8">
        <f>DATE(2012,12,31)-875</f>
        <v>40399</v>
      </c>
      <c r="B6230" s="8">
        <f>DATE(2012,12,31)-875</f>
        <v>40399</v>
      </c>
      <c r="C6230" s="9" t="s">
        <v>776</v>
      </c>
      <c r="D6230">
        <v>10021378605</v>
      </c>
      <c r="E6230" t="s">
        <v>47</v>
      </c>
      <c r="F6230" t="s">
        <v>72</v>
      </c>
      <c r="G6230" t="s">
        <v>73</v>
      </c>
      <c r="H6230" t="s">
        <v>2417</v>
      </c>
      <c r="I6230" t="s">
        <v>2418</v>
      </c>
      <c r="J6230" t="s">
        <v>52</v>
      </c>
      <c r="K6230" s="3">
        <v>100432904903</v>
      </c>
      <c r="L6230" s="10">
        <v>40400</v>
      </c>
      <c r="M6230">
        <v>198.7</v>
      </c>
      <c r="N6230" s="11">
        <v>32</v>
      </c>
      <c r="O6230" s="12">
        <v>6.48</v>
      </c>
      <c r="P6230" s="12">
        <v>2.74</v>
      </c>
      <c r="Q6230" s="13">
        <v>-62.13</v>
      </c>
      <c r="R6230" s="36" t="s">
        <v>445</v>
      </c>
      <c r="S6230" s="7">
        <f t="shared" si="542"/>
        <v>1</v>
      </c>
      <c r="T6230" s="15" t="str">
        <f>VLOOKUP(R6230,产品分类!$C$2:$D$1278,2,0)</f>
        <v>数码电子</v>
      </c>
    </row>
    <row r="6231" spans="1:20">
      <c r="A6231" s="8">
        <f>DATE(2012,12,31)-1368</f>
        <v>39906</v>
      </c>
      <c r="B6231" s="8">
        <f>DATE(2012,12,31)-1368</f>
        <v>39906</v>
      </c>
      <c r="C6231" s="9" t="s">
        <v>1323</v>
      </c>
      <c r="D6231">
        <v>10021643726</v>
      </c>
      <c r="E6231" t="s">
        <v>47</v>
      </c>
      <c r="F6231" t="s">
        <v>230</v>
      </c>
      <c r="G6231" t="s">
        <v>231</v>
      </c>
      <c r="H6231" t="s">
        <v>2497</v>
      </c>
      <c r="I6231" t="s">
        <v>2498</v>
      </c>
      <c r="J6231" t="s">
        <v>52</v>
      </c>
      <c r="K6231" s="3">
        <v>100833230612</v>
      </c>
      <c r="L6231" s="10">
        <v>39908</v>
      </c>
      <c r="M6231">
        <v>1958.32</v>
      </c>
      <c r="N6231" s="11">
        <v>29</v>
      </c>
      <c r="O6231" s="12">
        <v>62.18</v>
      </c>
      <c r="P6231" s="12">
        <v>10.84</v>
      </c>
      <c r="Q6231" s="13">
        <v>632.29</v>
      </c>
      <c r="R6231" s="36" t="s">
        <v>807</v>
      </c>
      <c r="S6231" s="7">
        <f t="shared" si="542"/>
        <v>2</v>
      </c>
      <c r="T6231" s="15" t="str">
        <f>VLOOKUP(R6231,产品分类!$C$2:$D$1278,2,0)</f>
        <v>家具产品</v>
      </c>
    </row>
    <row r="6232" spans="1:20">
      <c r="A6232" s="8">
        <f>DATE(2012,12,31)-962</f>
        <v>40312</v>
      </c>
      <c r="B6232" s="8">
        <f>DATE(2012,12,31)-962</f>
        <v>40312</v>
      </c>
      <c r="C6232" s="9" t="s">
        <v>851</v>
      </c>
      <c r="D6232">
        <v>10021515576</v>
      </c>
      <c r="E6232" t="s">
        <v>47</v>
      </c>
      <c r="F6232" t="s">
        <v>473</v>
      </c>
      <c r="G6232" t="s">
        <v>474</v>
      </c>
      <c r="H6232" t="s">
        <v>2406</v>
      </c>
      <c r="I6232" t="s">
        <v>2407</v>
      </c>
      <c r="J6232" t="s">
        <v>52</v>
      </c>
      <c r="K6232" s="3">
        <v>100133066417</v>
      </c>
      <c r="L6232" s="10">
        <v>40312</v>
      </c>
      <c r="M6232">
        <v>185.69</v>
      </c>
      <c r="N6232" s="11">
        <v>39</v>
      </c>
      <c r="O6232" s="12">
        <v>4.84</v>
      </c>
      <c r="P6232" s="12">
        <v>0.71</v>
      </c>
      <c r="Q6232" s="13">
        <v>50.16</v>
      </c>
      <c r="R6232" s="36" t="s">
        <v>491</v>
      </c>
      <c r="S6232" s="7">
        <f t="shared" si="542"/>
        <v>0</v>
      </c>
      <c r="T6232" s="15" t="str">
        <f>VLOOKUP(R6232,产品分类!$C$2:$D$1278,2,0)</f>
        <v>办公用品</v>
      </c>
    </row>
    <row r="6233" spans="1:20">
      <c r="A6233" s="8">
        <f t="shared" ref="A6233:B6235" si="543">DATE(2012,12,31)-1154</f>
        <v>40120</v>
      </c>
      <c r="B6233" s="8">
        <f t="shared" si="543"/>
        <v>40120</v>
      </c>
      <c r="C6233" s="9" t="s">
        <v>77</v>
      </c>
      <c r="D6233">
        <v>10021273818</v>
      </c>
      <c r="E6233" t="s">
        <v>47</v>
      </c>
      <c r="F6233" t="s">
        <v>83</v>
      </c>
      <c r="G6233" t="s">
        <v>84</v>
      </c>
      <c r="H6233" t="s">
        <v>2510</v>
      </c>
      <c r="I6233" t="s">
        <v>2511</v>
      </c>
      <c r="J6233" t="s">
        <v>52</v>
      </c>
      <c r="K6233" s="3">
        <v>100732765845</v>
      </c>
      <c r="L6233" s="10">
        <v>40122</v>
      </c>
      <c r="M6233">
        <v>1865.94</v>
      </c>
      <c r="N6233" s="11">
        <v>11</v>
      </c>
      <c r="O6233" s="12">
        <v>160.98</v>
      </c>
      <c r="P6233" s="12">
        <v>30</v>
      </c>
      <c r="Q6233" s="13">
        <v>116.1</v>
      </c>
      <c r="R6233" s="36" t="s">
        <v>1792</v>
      </c>
      <c r="S6233" s="7">
        <f t="shared" si="542"/>
        <v>2</v>
      </c>
      <c r="T6233" s="15" t="str">
        <f>VLOOKUP(R6233,产品分类!$C$2:$D$1278,2,0)</f>
        <v>办公用品</v>
      </c>
    </row>
    <row r="6234" spans="1:20">
      <c r="A6234" s="8">
        <f t="shared" si="543"/>
        <v>40120</v>
      </c>
      <c r="B6234" s="8">
        <f t="shared" si="543"/>
        <v>40120</v>
      </c>
      <c r="C6234" s="9" t="s">
        <v>413</v>
      </c>
      <c r="D6234">
        <v>10021435611</v>
      </c>
      <c r="E6234" t="s">
        <v>47</v>
      </c>
      <c r="F6234" t="s">
        <v>66</v>
      </c>
      <c r="G6234" t="s">
        <v>67</v>
      </c>
      <c r="H6234" t="s">
        <v>2467</v>
      </c>
      <c r="I6234" t="s">
        <v>2468</v>
      </c>
      <c r="J6234" t="s">
        <v>52</v>
      </c>
      <c r="K6234" s="3">
        <v>100332964439</v>
      </c>
      <c r="L6234" s="10">
        <v>40122</v>
      </c>
      <c r="M6234">
        <v>784.72</v>
      </c>
      <c r="N6234" s="11">
        <v>43</v>
      </c>
      <c r="O6234" s="12">
        <v>17.98</v>
      </c>
      <c r="P6234" s="12">
        <v>4</v>
      </c>
      <c r="Q6234" s="13">
        <v>-87.96</v>
      </c>
      <c r="R6234" s="36" t="s">
        <v>1067</v>
      </c>
      <c r="S6234" s="7">
        <f t="shared" si="542"/>
        <v>2</v>
      </c>
      <c r="T6234" s="15" t="str">
        <f>VLOOKUP(R6234,产品分类!$C$2:$D$1278,2,0)</f>
        <v>办公用品</v>
      </c>
    </row>
    <row r="6235" spans="1:20">
      <c r="A6235" s="8">
        <f t="shared" si="543"/>
        <v>40120</v>
      </c>
      <c r="B6235" s="8">
        <f t="shared" si="543"/>
        <v>40120</v>
      </c>
      <c r="C6235" s="9" t="s">
        <v>1643</v>
      </c>
      <c r="D6235">
        <v>10021313122</v>
      </c>
      <c r="E6235" t="s">
        <v>47</v>
      </c>
      <c r="F6235" t="s">
        <v>78</v>
      </c>
      <c r="G6235" t="s">
        <v>79</v>
      </c>
      <c r="H6235" t="s">
        <v>2489</v>
      </c>
      <c r="I6235" t="s">
        <v>2490</v>
      </c>
      <c r="J6235" t="s">
        <v>52</v>
      </c>
      <c r="K6235" s="3">
        <v>100132813238</v>
      </c>
      <c r="L6235" s="10">
        <v>40121</v>
      </c>
      <c r="M6235">
        <v>2343.076</v>
      </c>
      <c r="N6235" s="11">
        <v>24</v>
      </c>
      <c r="O6235" s="12">
        <v>115.99</v>
      </c>
      <c r="P6235" s="12">
        <v>8.99</v>
      </c>
      <c r="Q6235" s="13">
        <v>311.643</v>
      </c>
      <c r="R6235" s="36" t="s">
        <v>1452</v>
      </c>
      <c r="S6235" s="7">
        <f t="shared" si="542"/>
        <v>1</v>
      </c>
      <c r="T6235" s="15" t="str">
        <f>VLOOKUP(R6235,产品分类!$C$2:$D$1278,2,0)</f>
        <v>办公用品</v>
      </c>
    </row>
    <row r="6236" spans="1:20">
      <c r="A6236" s="8">
        <f t="shared" ref="A6236:B6238" si="544">DATE(2012,12,31)-408</f>
        <v>40866</v>
      </c>
      <c r="B6236" s="8">
        <f t="shared" si="544"/>
        <v>40866</v>
      </c>
      <c r="C6236" s="9" t="s">
        <v>1643</v>
      </c>
      <c r="D6236">
        <v>10021407163</v>
      </c>
      <c r="E6236" t="s">
        <v>47</v>
      </c>
      <c r="F6236" t="s">
        <v>122</v>
      </c>
      <c r="G6236" t="s">
        <v>123</v>
      </c>
      <c r="H6236" t="s">
        <v>2458</v>
      </c>
      <c r="I6236" t="s">
        <v>2459</v>
      </c>
      <c r="J6236" t="s">
        <v>52</v>
      </c>
      <c r="K6236" s="3">
        <v>100332945269</v>
      </c>
      <c r="L6236" s="10">
        <v>40875</v>
      </c>
      <c r="M6236">
        <v>301.36</v>
      </c>
      <c r="N6236" s="11">
        <v>39</v>
      </c>
      <c r="O6236" s="12">
        <v>8.01</v>
      </c>
      <c r="P6236" s="12">
        <v>2.87</v>
      </c>
      <c r="Q6236" s="13">
        <v>48.45</v>
      </c>
      <c r="R6236" s="36" t="s">
        <v>1522</v>
      </c>
      <c r="S6236" s="7">
        <f t="shared" si="542"/>
        <v>9</v>
      </c>
      <c r="T6236" s="15" t="str">
        <f>VLOOKUP(R6236,产品分类!$C$2:$D$1278,2,0)</f>
        <v>办公用品</v>
      </c>
    </row>
    <row r="6237" spans="1:20">
      <c r="A6237" s="8">
        <f t="shared" si="544"/>
        <v>40866</v>
      </c>
      <c r="B6237" s="8">
        <f t="shared" si="544"/>
        <v>40866</v>
      </c>
      <c r="C6237" s="9" t="s">
        <v>1233</v>
      </c>
      <c r="D6237">
        <v>10021361795</v>
      </c>
      <c r="E6237" t="s">
        <v>47</v>
      </c>
      <c r="F6237" t="s">
        <v>55</v>
      </c>
      <c r="G6237" t="s">
        <v>56</v>
      </c>
      <c r="H6237" t="s">
        <v>2471</v>
      </c>
      <c r="I6237" t="s">
        <v>2472</v>
      </c>
      <c r="J6237" t="s">
        <v>52</v>
      </c>
      <c r="K6237" s="3">
        <v>100332886049</v>
      </c>
      <c r="L6237" s="10">
        <v>40871</v>
      </c>
      <c r="M6237">
        <v>114.28</v>
      </c>
      <c r="N6237" s="11">
        <v>17</v>
      </c>
      <c r="O6237" s="12">
        <v>6.48</v>
      </c>
      <c r="P6237" s="12">
        <v>5.84</v>
      </c>
      <c r="Q6237" s="13">
        <v>-38.72</v>
      </c>
      <c r="R6237" s="36" t="s">
        <v>1086</v>
      </c>
      <c r="S6237" s="7">
        <f t="shared" si="542"/>
        <v>5</v>
      </c>
      <c r="T6237" s="15" t="str">
        <f>VLOOKUP(R6237,产品分类!$C$2:$D$1278,2,0)</f>
        <v>办公用品</v>
      </c>
    </row>
    <row r="6238" spans="1:20">
      <c r="A6238" s="8">
        <f t="shared" si="544"/>
        <v>40866</v>
      </c>
      <c r="B6238" s="8">
        <f t="shared" si="544"/>
        <v>40866</v>
      </c>
      <c r="C6238" s="9" t="s">
        <v>1318</v>
      </c>
      <c r="D6238">
        <v>10021721162</v>
      </c>
      <c r="E6238" t="s">
        <v>47</v>
      </c>
      <c r="F6238" t="s">
        <v>122</v>
      </c>
      <c r="G6238" t="s">
        <v>123</v>
      </c>
      <c r="H6238" t="s">
        <v>2458</v>
      </c>
      <c r="I6238" t="s">
        <v>2459</v>
      </c>
      <c r="J6238" t="s">
        <v>52</v>
      </c>
      <c r="K6238" s="3">
        <v>100333319849</v>
      </c>
      <c r="L6238" s="10">
        <v>40873</v>
      </c>
      <c r="M6238">
        <v>1889.04</v>
      </c>
      <c r="N6238" s="11">
        <v>49</v>
      </c>
      <c r="O6238" s="12">
        <v>40.97</v>
      </c>
      <c r="P6238" s="12">
        <v>8.99</v>
      </c>
      <c r="Q6238" s="13">
        <v>182.15</v>
      </c>
      <c r="R6238" s="36" t="s">
        <v>810</v>
      </c>
      <c r="S6238" s="7">
        <f t="shared" si="542"/>
        <v>7</v>
      </c>
      <c r="T6238" s="15" t="str">
        <f>VLOOKUP(R6238,产品分类!$C$2:$D$1278,2,0)</f>
        <v>家具产品</v>
      </c>
    </row>
    <row r="6239" spans="1:20">
      <c r="A6239" s="8">
        <f t="shared" ref="A6239:B6242" si="545">DATE(2012,12,31)-283</f>
        <v>40991</v>
      </c>
      <c r="B6239" s="8">
        <f t="shared" si="545"/>
        <v>40991</v>
      </c>
      <c r="C6239" s="9" t="s">
        <v>2075</v>
      </c>
      <c r="D6239">
        <v>10021321258</v>
      </c>
      <c r="E6239" t="s">
        <v>47</v>
      </c>
      <c r="F6239" t="s">
        <v>91</v>
      </c>
      <c r="G6239" t="s">
        <v>92</v>
      </c>
      <c r="H6239" t="s">
        <v>2502</v>
      </c>
      <c r="I6239" t="s">
        <v>2503</v>
      </c>
      <c r="J6239" t="s">
        <v>52</v>
      </c>
      <c r="K6239" s="3">
        <v>100332830699</v>
      </c>
      <c r="L6239" s="10">
        <v>40993</v>
      </c>
      <c r="M6239">
        <v>13064.06</v>
      </c>
      <c r="N6239" s="11">
        <v>31</v>
      </c>
      <c r="O6239" s="12">
        <v>420.98</v>
      </c>
      <c r="P6239" s="12">
        <v>19.99</v>
      </c>
      <c r="Q6239" s="13">
        <v>5979.563</v>
      </c>
      <c r="R6239" s="36" t="s">
        <v>354</v>
      </c>
      <c r="S6239" s="7">
        <f t="shared" si="542"/>
        <v>2</v>
      </c>
      <c r="T6239" s="15" t="str">
        <f>VLOOKUP(R6239,产品分类!$C$2:$D$1278,2,0)</f>
        <v>办公用品</v>
      </c>
    </row>
    <row r="6240" spans="1:20">
      <c r="A6240" s="8">
        <f t="shared" si="545"/>
        <v>40991</v>
      </c>
      <c r="B6240" s="8">
        <f t="shared" si="545"/>
        <v>40991</v>
      </c>
      <c r="C6240" s="9" t="s">
        <v>1247</v>
      </c>
      <c r="D6240">
        <v>10021435714</v>
      </c>
      <c r="E6240" t="s">
        <v>47</v>
      </c>
      <c r="F6240" t="s">
        <v>83</v>
      </c>
      <c r="G6240" t="s">
        <v>84</v>
      </c>
      <c r="H6240" t="s">
        <v>2510</v>
      </c>
      <c r="I6240" t="s">
        <v>2511</v>
      </c>
      <c r="J6240" t="s">
        <v>52</v>
      </c>
      <c r="K6240" s="3">
        <v>100432964844</v>
      </c>
      <c r="L6240" s="10">
        <v>40993</v>
      </c>
      <c r="M6240">
        <v>4771.89</v>
      </c>
      <c r="N6240" s="11">
        <v>34</v>
      </c>
      <c r="O6240" s="12">
        <v>140.98</v>
      </c>
      <c r="P6240" s="12">
        <v>36.09</v>
      </c>
      <c r="Q6240" s="13">
        <v>-427.99</v>
      </c>
      <c r="R6240" s="36" t="s">
        <v>1309</v>
      </c>
      <c r="S6240" s="7">
        <f t="shared" si="542"/>
        <v>2</v>
      </c>
      <c r="T6240" s="15" t="str">
        <f>VLOOKUP(R6240,产品分类!$C$2:$D$1278,2,0)</f>
        <v>数码电子</v>
      </c>
    </row>
    <row r="6241" spans="1:20">
      <c r="A6241" s="8">
        <f t="shared" si="545"/>
        <v>40991</v>
      </c>
      <c r="B6241" s="8">
        <f t="shared" si="545"/>
        <v>40991</v>
      </c>
      <c r="C6241" s="9" t="s">
        <v>766</v>
      </c>
      <c r="D6241">
        <v>10021309241</v>
      </c>
      <c r="E6241" t="s">
        <v>47</v>
      </c>
      <c r="F6241" t="s">
        <v>61</v>
      </c>
      <c r="G6241" t="s">
        <v>62</v>
      </c>
      <c r="H6241" t="s">
        <v>2506</v>
      </c>
      <c r="I6241" t="s">
        <v>2507</v>
      </c>
      <c r="J6241" t="s">
        <v>52</v>
      </c>
      <c r="K6241" s="3">
        <v>100132809008</v>
      </c>
      <c r="L6241" s="10">
        <v>40992</v>
      </c>
      <c r="M6241">
        <v>3360.3</v>
      </c>
      <c r="N6241" s="11">
        <v>1</v>
      </c>
      <c r="O6241" s="12">
        <v>3502.14</v>
      </c>
      <c r="P6241" s="12">
        <v>8.73</v>
      </c>
      <c r="Q6241" s="13">
        <v>-7961.4309</v>
      </c>
      <c r="R6241" s="36" t="s">
        <v>1933</v>
      </c>
      <c r="S6241" s="7">
        <f t="shared" si="542"/>
        <v>1</v>
      </c>
      <c r="T6241" s="15" t="str">
        <f>VLOOKUP(R6241,产品分类!$C$2:$D$1278,2,0)</f>
        <v>办公用品</v>
      </c>
    </row>
    <row r="6242" spans="1:20">
      <c r="A6242" s="8">
        <f t="shared" si="545"/>
        <v>40991</v>
      </c>
      <c r="B6242" s="8">
        <f t="shared" si="545"/>
        <v>40991</v>
      </c>
      <c r="C6242" s="9" t="s">
        <v>909</v>
      </c>
      <c r="D6242">
        <v>10021594708</v>
      </c>
      <c r="E6242" t="s">
        <v>47</v>
      </c>
      <c r="F6242" t="s">
        <v>132</v>
      </c>
      <c r="G6242" t="s">
        <v>133</v>
      </c>
      <c r="H6242" t="s">
        <v>134</v>
      </c>
      <c r="I6242" t="s">
        <v>133</v>
      </c>
      <c r="J6242" t="s">
        <v>52</v>
      </c>
      <c r="K6242" s="3">
        <v>100832766402</v>
      </c>
      <c r="L6242" s="10">
        <v>40994</v>
      </c>
      <c r="M6242">
        <v>306.663</v>
      </c>
      <c r="N6242" s="11">
        <v>10</v>
      </c>
      <c r="O6242" s="12">
        <v>35.99</v>
      </c>
      <c r="P6242" s="12">
        <v>5.99</v>
      </c>
      <c r="Q6242" s="13">
        <v>-17.413</v>
      </c>
      <c r="R6242" s="36" t="s">
        <v>946</v>
      </c>
      <c r="S6242" s="7">
        <f t="shared" si="542"/>
        <v>3</v>
      </c>
      <c r="T6242" s="15" t="str">
        <f>VLOOKUP(R6242,产品分类!$C$2:$D$1278,2,0)</f>
        <v>数码电子</v>
      </c>
    </row>
    <row r="6243" spans="1:20">
      <c r="A6243" s="8">
        <f t="shared" ref="A6243:B6245" si="546">DATE(2012,12,31)-1016</f>
        <v>40258</v>
      </c>
      <c r="B6243" s="8">
        <f t="shared" si="546"/>
        <v>40258</v>
      </c>
      <c r="C6243" s="9" t="s">
        <v>567</v>
      </c>
      <c r="D6243">
        <v>10021511275</v>
      </c>
      <c r="E6243" t="s">
        <v>47</v>
      </c>
      <c r="F6243" t="s">
        <v>83</v>
      </c>
      <c r="G6243" t="s">
        <v>84</v>
      </c>
      <c r="H6243" t="s">
        <v>2510</v>
      </c>
      <c r="I6243" t="s">
        <v>2511</v>
      </c>
      <c r="J6243" t="s">
        <v>52</v>
      </c>
      <c r="K6243" s="3">
        <v>100129801118</v>
      </c>
      <c r="L6243" s="10">
        <v>40260</v>
      </c>
      <c r="M6243">
        <v>508.38</v>
      </c>
      <c r="N6243" s="11">
        <v>49</v>
      </c>
      <c r="O6243" s="12">
        <v>10.4</v>
      </c>
      <c r="P6243" s="12">
        <v>5.4</v>
      </c>
      <c r="Q6243" s="13">
        <v>4.68</v>
      </c>
      <c r="R6243" s="36" t="s">
        <v>764</v>
      </c>
      <c r="S6243" s="7">
        <f t="shared" si="542"/>
        <v>2</v>
      </c>
      <c r="T6243" s="15" t="str">
        <f>VLOOKUP(R6243,产品分类!$C$2:$D$1278,2,0)</f>
        <v>家具产品</v>
      </c>
    </row>
    <row r="6244" spans="1:20">
      <c r="A6244" s="8">
        <f t="shared" si="546"/>
        <v>40258</v>
      </c>
      <c r="B6244" s="8">
        <f t="shared" si="546"/>
        <v>40258</v>
      </c>
      <c r="C6244" s="9" t="s">
        <v>567</v>
      </c>
      <c r="D6244">
        <v>10021510457</v>
      </c>
      <c r="E6244" t="s">
        <v>47</v>
      </c>
      <c r="F6244" t="s">
        <v>171</v>
      </c>
      <c r="G6244" t="s">
        <v>172</v>
      </c>
      <c r="H6244" t="s">
        <v>2486</v>
      </c>
      <c r="I6244" t="s">
        <v>2310</v>
      </c>
      <c r="J6244" t="s">
        <v>52</v>
      </c>
      <c r="K6244" s="3">
        <v>100432677843</v>
      </c>
      <c r="L6244" s="10">
        <v>40260</v>
      </c>
      <c r="M6244">
        <v>281.09</v>
      </c>
      <c r="N6244" s="11">
        <v>28</v>
      </c>
      <c r="O6244" s="12">
        <v>9.06</v>
      </c>
      <c r="P6244" s="12">
        <v>9.86</v>
      </c>
      <c r="Q6244" s="13">
        <v>-114.58</v>
      </c>
      <c r="R6244" s="36" t="s">
        <v>1584</v>
      </c>
      <c r="S6244" s="7">
        <f t="shared" si="542"/>
        <v>2</v>
      </c>
      <c r="T6244" s="15" t="str">
        <f>VLOOKUP(R6244,产品分类!$C$2:$D$1278,2,0)</f>
        <v>办公用品</v>
      </c>
    </row>
    <row r="6245" spans="1:20">
      <c r="A6245" s="8">
        <f t="shared" si="546"/>
        <v>40258</v>
      </c>
      <c r="B6245" s="8">
        <f t="shared" si="546"/>
        <v>40258</v>
      </c>
      <c r="C6245" s="9" t="s">
        <v>567</v>
      </c>
      <c r="D6245">
        <v>10021297031</v>
      </c>
      <c r="E6245" t="s">
        <v>47</v>
      </c>
      <c r="F6245" t="s">
        <v>167</v>
      </c>
      <c r="G6245" t="s">
        <v>168</v>
      </c>
      <c r="H6245" t="s">
        <v>169</v>
      </c>
      <c r="I6245" t="s">
        <v>168</v>
      </c>
      <c r="J6245" t="s">
        <v>52</v>
      </c>
      <c r="K6245" s="3">
        <v>100723661255</v>
      </c>
      <c r="L6245" s="10">
        <v>40260</v>
      </c>
      <c r="M6245">
        <v>276.65</v>
      </c>
      <c r="N6245" s="11">
        <v>41</v>
      </c>
      <c r="O6245" s="12">
        <v>6.48</v>
      </c>
      <c r="P6245" s="12">
        <v>5.87</v>
      </c>
      <c r="Q6245" s="13">
        <v>-75.28</v>
      </c>
      <c r="R6245" s="36" t="s">
        <v>2295</v>
      </c>
      <c r="S6245" s="7">
        <f t="shared" si="542"/>
        <v>2</v>
      </c>
      <c r="T6245" s="15" t="str">
        <f>VLOOKUP(R6245,产品分类!$C$2:$D$1278,2,0)</f>
        <v>家具产品</v>
      </c>
    </row>
    <row r="6246" spans="1:20">
      <c r="A6246" s="8">
        <f>DATE(2012,12,31)-566</f>
        <v>40708</v>
      </c>
      <c r="B6246" s="8">
        <f>DATE(2012,12,31)-566</f>
        <v>40708</v>
      </c>
      <c r="C6246" s="9" t="s">
        <v>1537</v>
      </c>
      <c r="D6246">
        <v>10021503094</v>
      </c>
      <c r="E6246" t="s">
        <v>47</v>
      </c>
      <c r="F6246" t="s">
        <v>83</v>
      </c>
      <c r="G6246" t="s">
        <v>84</v>
      </c>
      <c r="H6246" t="s">
        <v>2510</v>
      </c>
      <c r="I6246" t="s">
        <v>2511</v>
      </c>
      <c r="J6246" t="s">
        <v>52</v>
      </c>
      <c r="K6246" s="3">
        <v>100729361955</v>
      </c>
      <c r="L6246" s="10">
        <v>40709</v>
      </c>
      <c r="M6246">
        <v>10.48</v>
      </c>
      <c r="N6246" s="11">
        <v>1</v>
      </c>
      <c r="O6246" s="12">
        <v>5.18</v>
      </c>
      <c r="P6246" s="12">
        <v>2.04</v>
      </c>
      <c r="Q6246" s="13">
        <v>-3.78</v>
      </c>
      <c r="R6246" s="36" t="s">
        <v>677</v>
      </c>
      <c r="S6246" s="7">
        <f t="shared" si="542"/>
        <v>1</v>
      </c>
      <c r="T6246" s="15" t="str">
        <f>VLOOKUP(R6246,产品分类!$C$2:$D$1278,2,0)</f>
        <v>办公用品</v>
      </c>
    </row>
    <row r="6247" spans="1:20">
      <c r="A6247" s="8">
        <f t="shared" ref="A6247:B6249" si="547">DATE(2012,12,31)-1307</f>
        <v>39967</v>
      </c>
      <c r="B6247" s="8">
        <f t="shared" si="547"/>
        <v>39967</v>
      </c>
      <c r="C6247" s="9" t="s">
        <v>1537</v>
      </c>
      <c r="D6247">
        <v>10021333929</v>
      </c>
      <c r="E6247" t="s">
        <v>47</v>
      </c>
      <c r="F6247" t="s">
        <v>253</v>
      </c>
      <c r="G6247" t="s">
        <v>254</v>
      </c>
      <c r="H6247" t="s">
        <v>2508</v>
      </c>
      <c r="I6247" t="s">
        <v>2509</v>
      </c>
      <c r="J6247" t="s">
        <v>52</v>
      </c>
      <c r="K6247" s="3">
        <v>100114737648</v>
      </c>
      <c r="L6247" s="10">
        <v>39974</v>
      </c>
      <c r="M6247">
        <v>107.86</v>
      </c>
      <c r="N6247" s="11">
        <v>15</v>
      </c>
      <c r="O6247" s="12">
        <v>6.48</v>
      </c>
      <c r="P6247" s="12">
        <v>9.68</v>
      </c>
      <c r="Q6247" s="13">
        <v>-85.29</v>
      </c>
      <c r="R6247" s="36" t="s">
        <v>2176</v>
      </c>
      <c r="S6247" s="7">
        <f t="shared" si="542"/>
        <v>7</v>
      </c>
      <c r="T6247" s="15" t="str">
        <f>VLOOKUP(R6247,产品分类!$C$2:$D$1278,2,0)</f>
        <v>办公用品</v>
      </c>
    </row>
    <row r="6248" spans="1:20">
      <c r="A6248" s="8">
        <f t="shared" si="547"/>
        <v>39967</v>
      </c>
      <c r="B6248" s="8">
        <f t="shared" si="547"/>
        <v>39967</v>
      </c>
      <c r="C6248" s="9" t="s">
        <v>1537</v>
      </c>
      <c r="D6248">
        <v>10021410708</v>
      </c>
      <c r="E6248" t="s">
        <v>47</v>
      </c>
      <c r="F6248" t="s">
        <v>48</v>
      </c>
      <c r="G6248" t="s">
        <v>49</v>
      </c>
      <c r="H6248" t="s">
        <v>2474</v>
      </c>
      <c r="I6248" t="s">
        <v>2475</v>
      </c>
      <c r="J6248" t="s">
        <v>52</v>
      </c>
      <c r="K6248" s="3">
        <v>100832953152</v>
      </c>
      <c r="L6248" s="10">
        <v>39967</v>
      </c>
      <c r="M6248">
        <v>305.6</v>
      </c>
      <c r="N6248" s="11">
        <v>13</v>
      </c>
      <c r="O6248" s="12">
        <v>20.98</v>
      </c>
      <c r="P6248" s="12">
        <v>45</v>
      </c>
      <c r="Q6248" s="13">
        <v>-445.77</v>
      </c>
      <c r="R6248" s="36" t="s">
        <v>983</v>
      </c>
      <c r="S6248" s="7">
        <f t="shared" si="542"/>
        <v>0</v>
      </c>
      <c r="T6248" s="15" t="str">
        <f>VLOOKUP(R6248,产品分类!$C$2:$D$1278,2,0)</f>
        <v>办公用品</v>
      </c>
    </row>
    <row r="6249" spans="1:20">
      <c r="A6249" s="8">
        <f t="shared" si="547"/>
        <v>39967</v>
      </c>
      <c r="B6249" s="8">
        <f t="shared" si="547"/>
        <v>39967</v>
      </c>
      <c r="C6249" s="9" t="s">
        <v>1879</v>
      </c>
      <c r="D6249">
        <v>10021374740</v>
      </c>
      <c r="E6249" t="s">
        <v>47</v>
      </c>
      <c r="F6249" t="s">
        <v>66</v>
      </c>
      <c r="G6249" t="s">
        <v>67</v>
      </c>
      <c r="H6249" t="s">
        <v>2467</v>
      </c>
      <c r="I6249" t="s">
        <v>2468</v>
      </c>
      <c r="J6249" t="s">
        <v>52</v>
      </c>
      <c r="K6249" s="3">
        <v>100922927711</v>
      </c>
      <c r="L6249" s="10">
        <v>39969</v>
      </c>
      <c r="M6249">
        <v>447.0405</v>
      </c>
      <c r="N6249" s="11">
        <v>8</v>
      </c>
      <c r="O6249" s="12">
        <v>65.99</v>
      </c>
      <c r="P6249" s="12">
        <v>8.99</v>
      </c>
      <c r="Q6249" s="13">
        <v>-206.151</v>
      </c>
      <c r="R6249" s="36" t="s">
        <v>498</v>
      </c>
      <c r="S6249" s="7">
        <f t="shared" si="542"/>
        <v>2</v>
      </c>
      <c r="T6249" s="15" t="str">
        <f>VLOOKUP(R6249,产品分类!$C$2:$D$1278,2,0)</f>
        <v>家具产品</v>
      </c>
    </row>
    <row r="6250" spans="1:20">
      <c r="A6250" s="8">
        <f>DATE(2012,12,31)-1073</f>
        <v>40201</v>
      </c>
      <c r="B6250" s="8">
        <f>DATE(2012,12,31)-1073</f>
        <v>40201</v>
      </c>
      <c r="C6250" s="9" t="s">
        <v>1879</v>
      </c>
      <c r="D6250">
        <v>10021273689</v>
      </c>
      <c r="E6250" t="s">
        <v>47</v>
      </c>
      <c r="F6250" t="s">
        <v>72</v>
      </c>
      <c r="G6250" t="s">
        <v>73</v>
      </c>
      <c r="H6250" t="s">
        <v>2417</v>
      </c>
      <c r="I6250" t="s">
        <v>2418</v>
      </c>
      <c r="J6250" t="s">
        <v>52</v>
      </c>
      <c r="K6250" s="3">
        <v>100127131637</v>
      </c>
      <c r="L6250" s="10">
        <v>40203</v>
      </c>
      <c r="M6250">
        <v>4524.907</v>
      </c>
      <c r="N6250" s="11">
        <v>47</v>
      </c>
      <c r="O6250" s="12">
        <v>115.99</v>
      </c>
      <c r="P6250" s="12">
        <v>2.5</v>
      </c>
      <c r="Q6250" s="13">
        <v>1464.867</v>
      </c>
      <c r="R6250" s="36" t="s">
        <v>1090</v>
      </c>
      <c r="S6250" s="7">
        <f t="shared" si="542"/>
        <v>2</v>
      </c>
      <c r="T6250" s="15" t="str">
        <f>VLOOKUP(R6250,产品分类!$C$2:$D$1278,2,0)</f>
        <v>办公用品</v>
      </c>
    </row>
    <row r="6251" spans="1:20">
      <c r="A6251" s="8">
        <f>DATE(2012,12,31)-1342</f>
        <v>39932</v>
      </c>
      <c r="B6251" s="8">
        <f>DATE(2012,12,31)-1342</f>
        <v>39932</v>
      </c>
      <c r="C6251" s="9" t="s">
        <v>1879</v>
      </c>
      <c r="D6251">
        <v>10021617383</v>
      </c>
      <c r="E6251" t="s">
        <v>47</v>
      </c>
      <c r="F6251" t="s">
        <v>277</v>
      </c>
      <c r="G6251" t="s">
        <v>278</v>
      </c>
      <c r="H6251" t="s">
        <v>279</v>
      </c>
      <c r="I6251" t="s">
        <v>280</v>
      </c>
      <c r="J6251" t="s">
        <v>52</v>
      </c>
      <c r="K6251" s="3">
        <v>100131377748</v>
      </c>
      <c r="L6251" s="10">
        <v>39933</v>
      </c>
      <c r="M6251">
        <v>7002.08</v>
      </c>
      <c r="N6251" s="11">
        <v>49</v>
      </c>
      <c r="O6251" s="12">
        <v>154.13</v>
      </c>
      <c r="P6251" s="12">
        <v>69</v>
      </c>
      <c r="Q6251" s="13">
        <v>-1640.511</v>
      </c>
      <c r="R6251" s="36" t="s">
        <v>650</v>
      </c>
      <c r="S6251" s="7">
        <f t="shared" si="542"/>
        <v>1</v>
      </c>
      <c r="T6251" s="15" t="str">
        <f>VLOOKUP(R6251,产品分类!$C$2:$D$1278,2,0)</f>
        <v>家具产品</v>
      </c>
    </row>
    <row r="6252" spans="1:20">
      <c r="A6252" s="8">
        <f>DATE(2012,12,31)-446</f>
        <v>40828</v>
      </c>
      <c r="B6252" s="8">
        <f>DATE(2012,12,31)-446</f>
        <v>40828</v>
      </c>
      <c r="C6252" s="9" t="s">
        <v>1879</v>
      </c>
      <c r="D6252">
        <v>10021378005</v>
      </c>
      <c r="E6252" t="s">
        <v>47</v>
      </c>
      <c r="F6252" t="s">
        <v>91</v>
      </c>
      <c r="G6252" t="s">
        <v>92</v>
      </c>
      <c r="H6252" t="s">
        <v>2502</v>
      </c>
      <c r="I6252" t="s">
        <v>2503</v>
      </c>
      <c r="J6252" t="s">
        <v>52</v>
      </c>
      <c r="K6252" s="3">
        <v>1004925554</v>
      </c>
      <c r="L6252" s="10">
        <v>40830</v>
      </c>
      <c r="M6252">
        <v>600.8</v>
      </c>
      <c r="N6252" s="11">
        <v>15</v>
      </c>
      <c r="O6252" s="12">
        <v>42.76</v>
      </c>
      <c r="P6252" s="12">
        <v>6.22</v>
      </c>
      <c r="Q6252" s="13">
        <v>43.55</v>
      </c>
      <c r="R6252" s="36" t="s">
        <v>1664</v>
      </c>
      <c r="S6252" s="7">
        <f t="shared" si="542"/>
        <v>2</v>
      </c>
      <c r="T6252" s="15" t="str">
        <f>VLOOKUP(R6252,产品分类!$C$2:$D$1278,2,0)</f>
        <v>数码电子</v>
      </c>
    </row>
    <row r="6253" spans="1:20">
      <c r="A6253" s="8">
        <f>DATE(2012,12,31)-146</f>
        <v>41128</v>
      </c>
      <c r="B6253" s="8">
        <f>DATE(2012,12,31)-146</f>
        <v>41128</v>
      </c>
      <c r="C6253" s="9" t="s">
        <v>176</v>
      </c>
      <c r="D6253">
        <v>10021515600</v>
      </c>
      <c r="E6253" t="s">
        <v>47</v>
      </c>
      <c r="F6253" t="s">
        <v>171</v>
      </c>
      <c r="G6253" t="s">
        <v>172</v>
      </c>
      <c r="H6253" t="s">
        <v>2486</v>
      </c>
      <c r="I6253" t="s">
        <v>2310</v>
      </c>
      <c r="J6253" t="s">
        <v>52</v>
      </c>
      <c r="K6253" s="3">
        <v>10072895105</v>
      </c>
      <c r="L6253" s="10">
        <v>41130</v>
      </c>
      <c r="M6253">
        <v>21320.58</v>
      </c>
      <c r="N6253" s="11">
        <v>27</v>
      </c>
      <c r="O6253" s="12">
        <v>810.98</v>
      </c>
      <c r="P6253" s="12">
        <v>16.06</v>
      </c>
      <c r="Q6253" s="13">
        <v>5381.02</v>
      </c>
      <c r="R6253" s="36" t="s">
        <v>1514</v>
      </c>
      <c r="S6253" s="7">
        <f t="shared" si="542"/>
        <v>2</v>
      </c>
      <c r="T6253" s="15" t="str">
        <f>VLOOKUP(R6253,产品分类!$C$2:$D$1278,2,0)</f>
        <v>家具产品</v>
      </c>
    </row>
    <row r="6254" spans="1:20">
      <c r="A6254" s="8">
        <f>DATE(2012,12,31)-1420</f>
        <v>39854</v>
      </c>
      <c r="B6254" s="8">
        <f>DATE(2012,12,31)-1420</f>
        <v>39854</v>
      </c>
      <c r="C6254" s="9" t="s">
        <v>176</v>
      </c>
      <c r="D6254">
        <v>10021309631</v>
      </c>
      <c r="E6254" t="s">
        <v>47</v>
      </c>
      <c r="F6254" t="s">
        <v>177</v>
      </c>
      <c r="G6254" t="s">
        <v>178</v>
      </c>
      <c r="H6254" t="s">
        <v>2492</v>
      </c>
      <c r="I6254" t="s">
        <v>2493</v>
      </c>
      <c r="J6254" t="s">
        <v>52</v>
      </c>
      <c r="K6254" s="3">
        <v>100932089531</v>
      </c>
      <c r="L6254" s="10">
        <v>39856</v>
      </c>
      <c r="M6254">
        <v>951.33</v>
      </c>
      <c r="N6254" s="11">
        <v>44</v>
      </c>
      <c r="O6254" s="12">
        <v>20.28</v>
      </c>
      <c r="P6254" s="12">
        <v>14.39</v>
      </c>
      <c r="Q6254" s="13">
        <v>-60.66</v>
      </c>
      <c r="R6254" s="36" t="s">
        <v>2101</v>
      </c>
      <c r="S6254" s="7">
        <f t="shared" si="542"/>
        <v>2</v>
      </c>
      <c r="T6254" s="15" t="str">
        <f>VLOOKUP(R6254,产品分类!$C$2:$D$1278,2,0)</f>
        <v>办公用品</v>
      </c>
    </row>
    <row r="6255" spans="1:20">
      <c r="A6255" s="8">
        <f>DATE(2012,12,31)-1203</f>
        <v>40071</v>
      </c>
      <c r="B6255" s="8">
        <f>DATE(2012,12,31)-1203</f>
        <v>40071</v>
      </c>
      <c r="C6255" s="9" t="s">
        <v>176</v>
      </c>
      <c r="D6255">
        <v>10021700438</v>
      </c>
      <c r="E6255" t="s">
        <v>47</v>
      </c>
      <c r="F6255" t="s">
        <v>61</v>
      </c>
      <c r="G6255" t="s">
        <v>62</v>
      </c>
      <c r="H6255" t="s">
        <v>2506</v>
      </c>
      <c r="I6255" t="s">
        <v>2507</v>
      </c>
      <c r="J6255" t="s">
        <v>52</v>
      </c>
      <c r="K6255" s="3">
        <v>10097961331</v>
      </c>
      <c r="L6255" s="10">
        <v>40073</v>
      </c>
      <c r="M6255">
        <v>81.76</v>
      </c>
      <c r="N6255" s="11">
        <v>25</v>
      </c>
      <c r="O6255" s="12">
        <v>3.29</v>
      </c>
      <c r="P6255" s="12">
        <v>1.35</v>
      </c>
      <c r="Q6255" s="13">
        <v>8.53</v>
      </c>
      <c r="R6255" s="36" t="s">
        <v>2207</v>
      </c>
      <c r="S6255" s="7">
        <f t="shared" si="542"/>
        <v>2</v>
      </c>
      <c r="T6255" s="15" t="str">
        <f>VLOOKUP(R6255,产品分类!$C$2:$D$1278,2,0)</f>
        <v>办公用品</v>
      </c>
    </row>
    <row r="6256" spans="1:20">
      <c r="A6256" s="8">
        <f>DATE(2012,12,31)-1005</f>
        <v>40269</v>
      </c>
      <c r="B6256" s="8">
        <f>DATE(2012,12,31)-1005</f>
        <v>40269</v>
      </c>
      <c r="C6256" s="9" t="s">
        <v>2115</v>
      </c>
      <c r="D6256">
        <v>10021310270</v>
      </c>
      <c r="E6256" t="s">
        <v>47</v>
      </c>
      <c r="F6256" t="s">
        <v>61</v>
      </c>
      <c r="G6256" t="s">
        <v>62</v>
      </c>
      <c r="H6256" t="s">
        <v>2506</v>
      </c>
      <c r="I6256" t="s">
        <v>2507</v>
      </c>
      <c r="J6256" t="s">
        <v>52</v>
      </c>
      <c r="K6256" s="3">
        <v>10032280369</v>
      </c>
      <c r="L6256" s="10">
        <v>40271</v>
      </c>
      <c r="M6256">
        <v>5288.89</v>
      </c>
      <c r="N6256" s="11">
        <v>22</v>
      </c>
      <c r="O6256" s="12">
        <v>227.55</v>
      </c>
      <c r="P6256" s="12">
        <v>32.48</v>
      </c>
      <c r="Q6256" s="13">
        <v>547.0362</v>
      </c>
      <c r="R6256" s="36" t="s">
        <v>1522</v>
      </c>
      <c r="S6256" s="7">
        <f t="shared" si="542"/>
        <v>2</v>
      </c>
      <c r="T6256" s="15" t="str">
        <f>VLOOKUP(R6256,产品分类!$C$2:$D$1278,2,0)</f>
        <v>办公用品</v>
      </c>
    </row>
    <row r="6257" spans="1:20">
      <c r="A6257" s="8">
        <f>DATE(2012,12,31)-763</f>
        <v>40511</v>
      </c>
      <c r="B6257" s="8">
        <f>DATE(2012,12,31)-763</f>
        <v>40511</v>
      </c>
      <c r="C6257" s="9" t="s">
        <v>1722</v>
      </c>
      <c r="D6257">
        <v>10021402044</v>
      </c>
      <c r="E6257" t="s">
        <v>47</v>
      </c>
      <c r="F6257" t="s">
        <v>66</v>
      </c>
      <c r="G6257" t="s">
        <v>67</v>
      </c>
      <c r="H6257" t="s">
        <v>2467</v>
      </c>
      <c r="I6257" t="s">
        <v>2468</v>
      </c>
      <c r="J6257" t="s">
        <v>1225</v>
      </c>
      <c r="K6257" s="3">
        <v>100418041754</v>
      </c>
      <c r="L6257" s="10">
        <v>40513</v>
      </c>
      <c r="M6257">
        <v>113.2</v>
      </c>
      <c r="N6257" s="11">
        <v>19</v>
      </c>
      <c r="O6257" s="12">
        <v>6.08</v>
      </c>
      <c r="P6257" s="12">
        <v>0.91</v>
      </c>
      <c r="Q6257" s="13">
        <v>24.83</v>
      </c>
      <c r="R6257" s="36" t="s">
        <v>1905</v>
      </c>
      <c r="S6257" s="7">
        <f t="shared" si="542"/>
        <v>2</v>
      </c>
      <c r="T6257" s="15" t="str">
        <f>VLOOKUP(R6257,产品分类!$C$2:$D$1278,2,0)</f>
        <v>数码电子</v>
      </c>
    </row>
    <row r="6258" spans="1:20">
      <c r="A6258" s="8">
        <f>DATE(2012,12,31)-266</f>
        <v>41008</v>
      </c>
      <c r="B6258" s="8">
        <f>DATE(2012,12,31)-266</f>
        <v>41008</v>
      </c>
      <c r="C6258" s="9" t="s">
        <v>1722</v>
      </c>
      <c r="D6258">
        <v>10021686152</v>
      </c>
      <c r="E6258" t="s">
        <v>47</v>
      </c>
      <c r="F6258" t="s">
        <v>72</v>
      </c>
      <c r="G6258" t="s">
        <v>73</v>
      </c>
      <c r="H6258" t="s">
        <v>2417</v>
      </c>
      <c r="I6258" t="s">
        <v>2418</v>
      </c>
      <c r="J6258" t="s">
        <v>1225</v>
      </c>
      <c r="K6258" s="3">
        <v>100126698586</v>
      </c>
      <c r="L6258" s="10">
        <v>41010</v>
      </c>
      <c r="M6258">
        <v>129.06</v>
      </c>
      <c r="N6258" s="11">
        <v>27</v>
      </c>
      <c r="O6258" s="12">
        <v>4.91</v>
      </c>
      <c r="P6258" s="12">
        <v>4.97</v>
      </c>
      <c r="Q6258" s="13">
        <v>-75.1295</v>
      </c>
      <c r="R6258" s="36" t="s">
        <v>944</v>
      </c>
      <c r="S6258" s="7">
        <f t="shared" si="542"/>
        <v>2</v>
      </c>
      <c r="T6258" s="15" t="str">
        <f>VLOOKUP(R6258,产品分类!$C$2:$D$1278,2,0)</f>
        <v>数码电子</v>
      </c>
    </row>
    <row r="6259" spans="1:20">
      <c r="A6259" s="8">
        <f>DATE(2012,12,31)-266</f>
        <v>41008</v>
      </c>
      <c r="B6259" s="8">
        <f>DATE(2012,12,31)-266</f>
        <v>41008</v>
      </c>
      <c r="C6259" s="9" t="s">
        <v>1722</v>
      </c>
      <c r="D6259">
        <v>10021701431</v>
      </c>
      <c r="E6259" t="s">
        <v>47</v>
      </c>
      <c r="F6259" t="s">
        <v>91</v>
      </c>
      <c r="G6259" t="s">
        <v>92</v>
      </c>
      <c r="H6259" t="s">
        <v>2502</v>
      </c>
      <c r="I6259" t="s">
        <v>2503</v>
      </c>
      <c r="J6259" t="s">
        <v>1225</v>
      </c>
      <c r="K6259" s="3">
        <v>10019118506</v>
      </c>
      <c r="L6259" s="10">
        <v>41010</v>
      </c>
      <c r="M6259">
        <v>1236.64</v>
      </c>
      <c r="N6259" s="11">
        <v>43</v>
      </c>
      <c r="O6259" s="12">
        <v>28.48</v>
      </c>
      <c r="P6259" s="12">
        <v>1.99</v>
      </c>
      <c r="Q6259" s="13">
        <v>518.81</v>
      </c>
      <c r="R6259" s="36" t="s">
        <v>501</v>
      </c>
      <c r="S6259" s="7">
        <f t="shared" si="542"/>
        <v>2</v>
      </c>
      <c r="T6259" s="15" t="str">
        <f>VLOOKUP(R6259,产品分类!$C$2:$D$1278,2,0)</f>
        <v>家具产品</v>
      </c>
    </row>
    <row r="6260" spans="1:20">
      <c r="A6260" s="8">
        <f>DATE(2012,12,31)-1426</f>
        <v>39848</v>
      </c>
      <c r="B6260" s="8">
        <f>DATE(2012,12,31)-1426</f>
        <v>39848</v>
      </c>
      <c r="C6260" s="9" t="s">
        <v>1362</v>
      </c>
      <c r="D6260">
        <v>10021519032</v>
      </c>
      <c r="E6260" t="s">
        <v>47</v>
      </c>
      <c r="F6260" t="s">
        <v>171</v>
      </c>
      <c r="G6260" t="s">
        <v>172</v>
      </c>
      <c r="H6260" t="s">
        <v>2486</v>
      </c>
      <c r="I6260" t="s">
        <v>2310</v>
      </c>
      <c r="J6260" t="s">
        <v>1225</v>
      </c>
      <c r="K6260" s="3">
        <v>100932472481</v>
      </c>
      <c r="L6260" s="10">
        <v>39853</v>
      </c>
      <c r="M6260">
        <v>1441.57</v>
      </c>
      <c r="N6260" s="11">
        <v>50</v>
      </c>
      <c r="O6260" s="12">
        <v>29.89</v>
      </c>
      <c r="P6260" s="12">
        <v>1.99</v>
      </c>
      <c r="Q6260" s="13">
        <v>475.26</v>
      </c>
      <c r="R6260" s="36" t="s">
        <v>857</v>
      </c>
      <c r="S6260" s="7">
        <f t="shared" si="542"/>
        <v>5</v>
      </c>
      <c r="T6260" s="15" t="str">
        <f>VLOOKUP(R6260,产品分类!$C$2:$D$1278,2,0)</f>
        <v>办公用品</v>
      </c>
    </row>
    <row r="6261" spans="1:20">
      <c r="A6261" s="16">
        <f>DATE(2012,12,31)-1426</f>
        <v>39848</v>
      </c>
      <c r="B6261" s="16">
        <f>DATE(2012,12,31)-1426</f>
        <v>39848</v>
      </c>
      <c r="C6261" s="9" t="s">
        <v>562</v>
      </c>
      <c r="D6261">
        <v>10021361620</v>
      </c>
      <c r="E6261" t="s">
        <v>47</v>
      </c>
      <c r="F6261" t="s">
        <v>171</v>
      </c>
      <c r="G6261" t="s">
        <v>172</v>
      </c>
      <c r="H6261" t="s">
        <v>2486</v>
      </c>
      <c r="I6261" t="s">
        <v>2310</v>
      </c>
      <c r="J6261" t="s">
        <v>1225</v>
      </c>
      <c r="K6261" s="3">
        <v>100119449067</v>
      </c>
      <c r="L6261" s="10">
        <v>39852</v>
      </c>
      <c r="M6261">
        <v>173.09</v>
      </c>
      <c r="N6261" s="17">
        <v>20</v>
      </c>
      <c r="O6261" s="5">
        <v>8.34</v>
      </c>
      <c r="P6261" s="5">
        <v>4.82</v>
      </c>
      <c r="Q6261" s="6">
        <v>-6.71</v>
      </c>
      <c r="R6261" s="37" t="s">
        <v>2042</v>
      </c>
      <c r="S6261" s="7">
        <f t="shared" si="542"/>
        <v>4</v>
      </c>
      <c r="T6261" s="15" t="str">
        <f>VLOOKUP(R6261,产品分类!$C$2:$D$1278,2,0)</f>
        <v>家具产品</v>
      </c>
    </row>
    <row r="6262" spans="1:20">
      <c r="A6262" s="8">
        <f>DATE(2012,12,31)-759</f>
        <v>40515</v>
      </c>
      <c r="B6262" s="8">
        <f>DATE(2012,12,31)-759</f>
        <v>40515</v>
      </c>
      <c r="C6262" s="9" t="s">
        <v>405</v>
      </c>
      <c r="D6262">
        <v>10021652448</v>
      </c>
      <c r="E6262" t="s">
        <v>47</v>
      </c>
      <c r="F6262" t="s">
        <v>342</v>
      </c>
      <c r="G6262" t="s">
        <v>343</v>
      </c>
      <c r="H6262" t="s">
        <v>2515</v>
      </c>
      <c r="I6262" t="s">
        <v>2516</v>
      </c>
      <c r="J6262" t="s">
        <v>1225</v>
      </c>
      <c r="K6262" s="3">
        <v>10049471793</v>
      </c>
      <c r="L6262" s="10">
        <v>40517</v>
      </c>
      <c r="M6262">
        <v>3234.1</v>
      </c>
      <c r="N6262" s="11">
        <v>32</v>
      </c>
      <c r="O6262" s="12">
        <v>99.23</v>
      </c>
      <c r="P6262" s="12">
        <v>8.99</v>
      </c>
      <c r="Q6262" s="13">
        <v>2033.5</v>
      </c>
      <c r="R6262" s="36" t="s">
        <v>296</v>
      </c>
      <c r="S6262" s="7">
        <f t="shared" si="542"/>
        <v>2</v>
      </c>
      <c r="T6262" s="15" t="str">
        <f>VLOOKUP(R6262,产品分类!$C$2:$D$1278,2,0)</f>
        <v>家具产品</v>
      </c>
    </row>
    <row r="6263" spans="1:20">
      <c r="A6263" s="8">
        <f>DATE(2012,12,31)-1451</f>
        <v>39823</v>
      </c>
      <c r="B6263" s="8">
        <f>DATE(2012,12,31)-1451</f>
        <v>39823</v>
      </c>
      <c r="C6263" s="9" t="s">
        <v>1191</v>
      </c>
      <c r="D6263">
        <v>10021347161</v>
      </c>
      <c r="E6263" t="s">
        <v>47</v>
      </c>
      <c r="F6263" t="s">
        <v>66</v>
      </c>
      <c r="G6263" t="s">
        <v>67</v>
      </c>
      <c r="H6263" t="s">
        <v>2467</v>
      </c>
      <c r="I6263" t="s">
        <v>2468</v>
      </c>
      <c r="J6263" t="s">
        <v>1225</v>
      </c>
      <c r="K6263" s="3">
        <v>100830971442</v>
      </c>
      <c r="L6263" s="10">
        <v>39824</v>
      </c>
      <c r="M6263">
        <v>112.81</v>
      </c>
      <c r="N6263" s="11">
        <v>16</v>
      </c>
      <c r="O6263" s="12">
        <v>6.48</v>
      </c>
      <c r="P6263" s="12">
        <v>9.17</v>
      </c>
      <c r="Q6263" s="13">
        <v>-85.23</v>
      </c>
      <c r="R6263" s="36" t="s">
        <v>1967</v>
      </c>
      <c r="S6263" s="7">
        <f t="shared" si="542"/>
        <v>1</v>
      </c>
      <c r="T6263" s="15" t="str">
        <f>VLOOKUP(R6263,产品分类!$C$2:$D$1278,2,0)</f>
        <v>数码电子</v>
      </c>
    </row>
    <row r="6264" spans="1:20">
      <c r="A6264" s="8">
        <f t="shared" ref="A6264:B6266" si="548">DATE(2012,12,31)-262</f>
        <v>41012</v>
      </c>
      <c r="B6264" s="8">
        <f t="shared" si="548"/>
        <v>41012</v>
      </c>
      <c r="C6264" s="9" t="s">
        <v>502</v>
      </c>
      <c r="D6264">
        <v>10021417681</v>
      </c>
      <c r="E6264" t="s">
        <v>47</v>
      </c>
      <c r="F6264" t="s">
        <v>152</v>
      </c>
      <c r="G6264" t="s">
        <v>153</v>
      </c>
      <c r="H6264" t="s">
        <v>2441</v>
      </c>
      <c r="I6264" t="s">
        <v>2442</v>
      </c>
      <c r="J6264" t="s">
        <v>1225</v>
      </c>
      <c r="K6264" s="3">
        <v>100417216184</v>
      </c>
      <c r="L6264" s="10">
        <v>41014</v>
      </c>
      <c r="M6264">
        <v>15.72</v>
      </c>
      <c r="N6264" s="11">
        <v>1</v>
      </c>
      <c r="O6264" s="12">
        <v>10.89</v>
      </c>
      <c r="P6264" s="12">
        <v>4.5</v>
      </c>
      <c r="Q6264" s="13">
        <v>-6.1</v>
      </c>
      <c r="R6264" s="36" t="s">
        <v>1295</v>
      </c>
      <c r="S6264" s="7">
        <f t="shared" si="542"/>
        <v>2</v>
      </c>
      <c r="T6264" s="15" t="str">
        <f>VLOOKUP(R6264,产品分类!$C$2:$D$1278,2,0)</f>
        <v>数码电子</v>
      </c>
    </row>
    <row r="6265" spans="1:20">
      <c r="A6265" s="8">
        <f t="shared" si="548"/>
        <v>41012</v>
      </c>
      <c r="B6265" s="8">
        <f t="shared" si="548"/>
        <v>41012</v>
      </c>
      <c r="C6265" s="9" t="s">
        <v>1955</v>
      </c>
      <c r="D6265">
        <v>10021593468</v>
      </c>
      <c r="E6265" t="s">
        <v>47</v>
      </c>
      <c r="F6265" t="s">
        <v>152</v>
      </c>
      <c r="G6265" t="s">
        <v>153</v>
      </c>
      <c r="H6265" t="s">
        <v>2441</v>
      </c>
      <c r="I6265" t="s">
        <v>2442</v>
      </c>
      <c r="J6265" t="s">
        <v>1225</v>
      </c>
      <c r="K6265" s="3">
        <v>100932425951</v>
      </c>
      <c r="L6265" s="10">
        <v>41014</v>
      </c>
      <c r="M6265">
        <v>313.83</v>
      </c>
      <c r="N6265" s="11">
        <v>36</v>
      </c>
      <c r="O6265" s="12">
        <v>8.69</v>
      </c>
      <c r="P6265" s="12">
        <v>2.99</v>
      </c>
      <c r="Q6265" s="13">
        <v>56.78</v>
      </c>
      <c r="R6265" s="36" t="s">
        <v>908</v>
      </c>
      <c r="S6265" s="7">
        <f t="shared" si="542"/>
        <v>2</v>
      </c>
      <c r="T6265" s="15" t="str">
        <f>VLOOKUP(R6265,产品分类!$C$2:$D$1278,2,0)</f>
        <v>办公用品</v>
      </c>
    </row>
    <row r="6266" spans="1:20">
      <c r="A6266" s="8">
        <f t="shared" si="548"/>
        <v>41012</v>
      </c>
      <c r="B6266" s="8">
        <f t="shared" si="548"/>
        <v>41012</v>
      </c>
      <c r="C6266" s="9" t="s">
        <v>1844</v>
      </c>
      <c r="D6266">
        <v>10021667658</v>
      </c>
      <c r="E6266" t="s">
        <v>47</v>
      </c>
      <c r="F6266" t="s">
        <v>152</v>
      </c>
      <c r="G6266" t="s">
        <v>153</v>
      </c>
      <c r="H6266" t="s">
        <v>2441</v>
      </c>
      <c r="I6266" t="s">
        <v>2442</v>
      </c>
      <c r="J6266" t="s">
        <v>1225</v>
      </c>
      <c r="K6266" s="3">
        <v>100128273657</v>
      </c>
      <c r="L6266" s="10">
        <v>41014</v>
      </c>
      <c r="M6266">
        <v>201.5945</v>
      </c>
      <c r="N6266" s="11">
        <v>11</v>
      </c>
      <c r="O6266" s="12">
        <v>20.99</v>
      </c>
      <c r="P6266" s="12">
        <v>0.99</v>
      </c>
      <c r="Q6266" s="13">
        <v>32.31</v>
      </c>
      <c r="R6266" s="36" t="s">
        <v>399</v>
      </c>
      <c r="S6266" s="7">
        <f t="shared" si="542"/>
        <v>2</v>
      </c>
      <c r="T6266" s="15" t="str">
        <f>VLOOKUP(R6266,产品分类!$C$2:$D$1278,2,0)</f>
        <v>办公用品</v>
      </c>
    </row>
    <row r="6267" spans="1:20">
      <c r="A6267" s="8">
        <f>DATE(2012,12,31)-155</f>
        <v>41119</v>
      </c>
      <c r="B6267" s="8">
        <f>DATE(2012,12,31)-155</f>
        <v>41119</v>
      </c>
      <c r="C6267" s="9" t="s">
        <v>111</v>
      </c>
      <c r="D6267">
        <v>10021657608</v>
      </c>
      <c r="E6267" t="s">
        <v>47</v>
      </c>
      <c r="F6267" t="s">
        <v>97</v>
      </c>
      <c r="G6267" t="s">
        <v>98</v>
      </c>
      <c r="H6267" t="s">
        <v>99</v>
      </c>
      <c r="I6267" t="s">
        <v>98</v>
      </c>
      <c r="J6267" t="s">
        <v>1225</v>
      </c>
      <c r="K6267" s="3">
        <v>10019445747</v>
      </c>
      <c r="L6267" s="10">
        <v>41120</v>
      </c>
      <c r="M6267">
        <v>248.64</v>
      </c>
      <c r="N6267" s="11">
        <v>39</v>
      </c>
      <c r="O6267" s="12">
        <v>6.28</v>
      </c>
      <c r="P6267" s="12">
        <v>5.29</v>
      </c>
      <c r="Q6267" s="13">
        <v>-69.27</v>
      </c>
      <c r="R6267" s="36" t="s">
        <v>1556</v>
      </c>
      <c r="S6267" s="7">
        <f t="shared" si="542"/>
        <v>1</v>
      </c>
      <c r="T6267" s="15" t="str">
        <f>VLOOKUP(R6267,产品分类!$C$2:$D$1278,2,0)</f>
        <v>家具产品</v>
      </c>
    </row>
    <row r="6268" spans="1:20">
      <c r="A6268" s="8">
        <f>DATE(2012,12,31)-1358</f>
        <v>39916</v>
      </c>
      <c r="B6268" s="8">
        <f>DATE(2012,12,31)-1358</f>
        <v>39916</v>
      </c>
      <c r="C6268" s="9" t="s">
        <v>1946</v>
      </c>
      <c r="D6268">
        <v>10021522173</v>
      </c>
      <c r="E6268" t="s">
        <v>47</v>
      </c>
      <c r="F6268" t="s">
        <v>66</v>
      </c>
      <c r="G6268" t="s">
        <v>67</v>
      </c>
      <c r="H6268" t="s">
        <v>2467</v>
      </c>
      <c r="I6268" t="s">
        <v>2468</v>
      </c>
      <c r="J6268" t="s">
        <v>1225</v>
      </c>
      <c r="K6268" s="3">
        <v>10019908437</v>
      </c>
      <c r="L6268" s="10">
        <v>39918</v>
      </c>
      <c r="M6268">
        <v>951.06</v>
      </c>
      <c r="N6268" s="11">
        <v>28</v>
      </c>
      <c r="O6268" s="12">
        <v>33.98</v>
      </c>
      <c r="P6268" s="12">
        <v>1.99</v>
      </c>
      <c r="Q6268" s="13">
        <v>331.27</v>
      </c>
      <c r="R6268" s="36" t="s">
        <v>2133</v>
      </c>
      <c r="S6268" s="7">
        <f t="shared" si="542"/>
        <v>2</v>
      </c>
      <c r="T6268" s="15" t="str">
        <f>VLOOKUP(R6268,产品分类!$C$2:$D$1278,2,0)</f>
        <v>数码电子</v>
      </c>
    </row>
    <row r="6269" spans="1:20">
      <c r="A6269" s="8">
        <f>DATE(2012,12,31)-814</f>
        <v>40460</v>
      </c>
      <c r="B6269" s="8">
        <f>DATE(2012,12,31)-814</f>
        <v>40460</v>
      </c>
      <c r="C6269" s="9" t="s">
        <v>1946</v>
      </c>
      <c r="D6269">
        <v>10021414933</v>
      </c>
      <c r="E6269" t="s">
        <v>47</v>
      </c>
      <c r="F6269" t="s">
        <v>66</v>
      </c>
      <c r="G6269" t="s">
        <v>67</v>
      </c>
      <c r="H6269" t="s">
        <v>2467</v>
      </c>
      <c r="I6269" t="s">
        <v>2468</v>
      </c>
      <c r="J6269" t="s">
        <v>1225</v>
      </c>
      <c r="K6269" s="3">
        <v>10089722352</v>
      </c>
      <c r="L6269" s="10">
        <v>40461</v>
      </c>
      <c r="M6269">
        <v>243.23</v>
      </c>
      <c r="N6269" s="11">
        <v>14</v>
      </c>
      <c r="O6269" s="12">
        <v>17.48</v>
      </c>
      <c r="P6269" s="12">
        <v>1.99</v>
      </c>
      <c r="Q6269" s="13">
        <v>35.33</v>
      </c>
      <c r="R6269" s="36" t="s">
        <v>409</v>
      </c>
      <c r="S6269" s="7">
        <f t="shared" si="542"/>
        <v>1</v>
      </c>
      <c r="T6269" s="15" t="str">
        <f>VLOOKUP(R6269,产品分类!$C$2:$D$1278,2,0)</f>
        <v>办公用品</v>
      </c>
    </row>
    <row r="6270" spans="1:20">
      <c r="A6270" s="8">
        <f>DATE(2012,12,31)-814</f>
        <v>40460</v>
      </c>
      <c r="B6270" s="8">
        <f>DATE(2012,12,31)-814</f>
        <v>40460</v>
      </c>
      <c r="C6270" s="9" t="s">
        <v>989</v>
      </c>
      <c r="D6270">
        <v>10021596151</v>
      </c>
      <c r="E6270" t="s">
        <v>47</v>
      </c>
      <c r="F6270" t="s">
        <v>48</v>
      </c>
      <c r="G6270" t="s">
        <v>49</v>
      </c>
      <c r="H6270" t="s">
        <v>2474</v>
      </c>
      <c r="I6270" t="s">
        <v>2475</v>
      </c>
      <c r="J6270" t="s">
        <v>1225</v>
      </c>
      <c r="K6270" s="3">
        <v>100132830626</v>
      </c>
      <c r="L6270" s="10">
        <v>40460</v>
      </c>
      <c r="M6270">
        <v>1326.51</v>
      </c>
      <c r="N6270" s="11">
        <v>24</v>
      </c>
      <c r="O6270" s="12">
        <v>65.99</v>
      </c>
      <c r="P6270" s="12">
        <v>8.99</v>
      </c>
      <c r="Q6270" s="13">
        <v>58.167</v>
      </c>
      <c r="R6270" s="36" t="s">
        <v>866</v>
      </c>
      <c r="S6270" s="7">
        <f t="shared" si="542"/>
        <v>0</v>
      </c>
      <c r="T6270" s="15" t="str">
        <f>VLOOKUP(R6270,产品分类!$C$2:$D$1278,2,0)</f>
        <v>办公用品</v>
      </c>
    </row>
    <row r="6271" spans="1:20">
      <c r="A6271" s="8">
        <f>DATE(2012,12,31)-477</f>
        <v>40797</v>
      </c>
      <c r="B6271" s="8">
        <f>DATE(2012,12,31)-477</f>
        <v>40797</v>
      </c>
      <c r="C6271" s="9" t="s">
        <v>989</v>
      </c>
      <c r="D6271">
        <v>10021267123</v>
      </c>
      <c r="E6271" t="s">
        <v>47</v>
      </c>
      <c r="F6271" t="s">
        <v>66</v>
      </c>
      <c r="G6271" t="s">
        <v>67</v>
      </c>
      <c r="H6271" t="s">
        <v>2467</v>
      </c>
      <c r="I6271" t="s">
        <v>2468</v>
      </c>
      <c r="J6271" t="s">
        <v>1225</v>
      </c>
      <c r="K6271" s="3">
        <v>10037664449</v>
      </c>
      <c r="L6271" s="10">
        <v>40801</v>
      </c>
      <c r="M6271">
        <v>12.49</v>
      </c>
      <c r="N6271" s="11">
        <v>4</v>
      </c>
      <c r="O6271" s="12">
        <v>1.98</v>
      </c>
      <c r="P6271" s="12">
        <v>4.77</v>
      </c>
      <c r="Q6271" s="13">
        <v>-13.501</v>
      </c>
      <c r="R6271" s="36" t="s">
        <v>548</v>
      </c>
      <c r="S6271" s="7">
        <f t="shared" si="542"/>
        <v>4</v>
      </c>
      <c r="T6271" s="15" t="str">
        <f>VLOOKUP(R6271,产品分类!$C$2:$D$1278,2,0)</f>
        <v>办公用品</v>
      </c>
    </row>
    <row r="6272" spans="1:20">
      <c r="A6272" s="8">
        <f>DATE(2012,12,31)-477</f>
        <v>40797</v>
      </c>
      <c r="B6272" s="8">
        <f>DATE(2012,12,31)-477</f>
        <v>40797</v>
      </c>
      <c r="C6272" s="9" t="s">
        <v>492</v>
      </c>
      <c r="D6272">
        <v>10021671236</v>
      </c>
      <c r="E6272" t="s">
        <v>47</v>
      </c>
      <c r="F6272" t="s">
        <v>152</v>
      </c>
      <c r="G6272" t="s">
        <v>153</v>
      </c>
      <c r="H6272" t="s">
        <v>2441</v>
      </c>
      <c r="I6272" t="s">
        <v>2442</v>
      </c>
      <c r="J6272" t="s">
        <v>1225</v>
      </c>
      <c r="K6272" s="3">
        <v>100430942363</v>
      </c>
      <c r="L6272" s="10">
        <v>40799</v>
      </c>
      <c r="M6272">
        <v>103.9</v>
      </c>
      <c r="N6272" s="11">
        <v>4</v>
      </c>
      <c r="O6272" s="12">
        <v>22.98</v>
      </c>
      <c r="P6272" s="12">
        <v>7.58</v>
      </c>
      <c r="Q6272" s="13">
        <v>-19.26</v>
      </c>
      <c r="R6272" s="36" t="s">
        <v>1484</v>
      </c>
      <c r="S6272" s="7">
        <f t="shared" si="542"/>
        <v>2</v>
      </c>
      <c r="T6272" s="15" t="str">
        <f>VLOOKUP(R6272,产品分类!$C$2:$D$1278,2,0)</f>
        <v>数码电子</v>
      </c>
    </row>
    <row r="6273" spans="1:20">
      <c r="A6273" s="8">
        <f>DATE(2012,12,31)-388</f>
        <v>40886</v>
      </c>
      <c r="B6273" s="8">
        <f>DATE(2012,12,31)-388</f>
        <v>40886</v>
      </c>
      <c r="C6273" s="9" t="s">
        <v>1714</v>
      </c>
      <c r="D6273">
        <v>10021303640</v>
      </c>
      <c r="E6273" t="s">
        <v>47</v>
      </c>
      <c r="F6273" t="s">
        <v>152</v>
      </c>
      <c r="G6273" t="s">
        <v>153</v>
      </c>
      <c r="H6273" t="s">
        <v>2441</v>
      </c>
      <c r="I6273" t="s">
        <v>2442</v>
      </c>
      <c r="J6273" t="s">
        <v>1225</v>
      </c>
      <c r="K6273" s="3">
        <v>100111987608</v>
      </c>
      <c r="L6273" s="10">
        <v>40888</v>
      </c>
      <c r="M6273">
        <v>330.27</v>
      </c>
      <c r="N6273" s="11">
        <v>50</v>
      </c>
      <c r="O6273" s="12">
        <v>6.48</v>
      </c>
      <c r="P6273" s="12">
        <v>7.86</v>
      </c>
      <c r="Q6273" s="13">
        <v>-195.57</v>
      </c>
      <c r="R6273" s="36" t="s">
        <v>1600</v>
      </c>
      <c r="S6273" s="7">
        <f t="shared" si="542"/>
        <v>2</v>
      </c>
      <c r="T6273" s="15" t="str">
        <f>VLOOKUP(R6273,产品分类!$C$2:$D$1278,2,0)</f>
        <v>办公用品</v>
      </c>
    </row>
    <row r="6274" spans="1:20">
      <c r="A6274" s="16">
        <f>DATE(2012,12,31)-964</f>
        <v>40310</v>
      </c>
      <c r="B6274" s="16">
        <f>DATE(2012,12,31)-964</f>
        <v>40310</v>
      </c>
      <c r="C6274" s="9" t="s">
        <v>341</v>
      </c>
      <c r="D6274">
        <v>10021502407</v>
      </c>
      <c r="E6274" t="s">
        <v>47</v>
      </c>
      <c r="F6274" t="s">
        <v>152</v>
      </c>
      <c r="G6274" t="s">
        <v>153</v>
      </c>
      <c r="H6274" t="s">
        <v>2441</v>
      </c>
      <c r="I6274" t="s">
        <v>2442</v>
      </c>
      <c r="J6274" t="s">
        <v>1225</v>
      </c>
      <c r="K6274" s="3">
        <v>100928490151</v>
      </c>
      <c r="L6274" s="10">
        <v>40312</v>
      </c>
      <c r="M6274">
        <v>1321.55</v>
      </c>
      <c r="N6274" s="17">
        <v>25</v>
      </c>
      <c r="O6274" s="5">
        <v>54.96</v>
      </c>
      <c r="P6274" s="5">
        <v>10.75</v>
      </c>
      <c r="Q6274" s="6">
        <v>448.24</v>
      </c>
      <c r="R6274" s="37" t="s">
        <v>269</v>
      </c>
      <c r="S6274" s="7">
        <f t="shared" si="542"/>
        <v>2</v>
      </c>
      <c r="T6274" s="15" t="str">
        <f>VLOOKUP(R6274,产品分类!$C$2:$D$1278,2,0)</f>
        <v>办公用品</v>
      </c>
    </row>
    <row r="6275" spans="1:20">
      <c r="A6275" s="8">
        <f>DATE(2012,12,31)-175</f>
        <v>41099</v>
      </c>
      <c r="B6275" s="8">
        <f>DATE(2012,12,31)-175</f>
        <v>41099</v>
      </c>
      <c r="C6275" s="9" t="s">
        <v>341</v>
      </c>
      <c r="D6275">
        <v>10021658703</v>
      </c>
      <c r="E6275" t="s">
        <v>47</v>
      </c>
      <c r="F6275" t="s">
        <v>66</v>
      </c>
      <c r="G6275" t="s">
        <v>67</v>
      </c>
      <c r="H6275" t="s">
        <v>2467</v>
      </c>
      <c r="I6275" t="s">
        <v>2468</v>
      </c>
      <c r="J6275" t="s">
        <v>1225</v>
      </c>
      <c r="K6275" s="3">
        <v>100110450217</v>
      </c>
      <c r="L6275" s="10">
        <v>41102</v>
      </c>
      <c r="M6275">
        <v>198.1</v>
      </c>
      <c r="N6275" s="11">
        <v>36</v>
      </c>
      <c r="O6275" s="12">
        <v>5.78</v>
      </c>
      <c r="P6275" s="12">
        <v>4.96</v>
      </c>
      <c r="Q6275" s="13">
        <v>-66.93</v>
      </c>
      <c r="R6275" s="36" t="s">
        <v>206</v>
      </c>
      <c r="S6275" s="7">
        <f t="shared" ref="S6275:S6338" si="549">+L6275-B6275</f>
        <v>3</v>
      </c>
      <c r="T6275" s="15" t="str">
        <f>VLOOKUP(R6275,产品分类!$C$2:$D$1278,2,0)</f>
        <v>数码电子</v>
      </c>
    </row>
    <row r="6276" spans="1:20">
      <c r="A6276" s="8">
        <f>DATE(2012,12,31)-1207</f>
        <v>40067</v>
      </c>
      <c r="B6276" s="8">
        <f>DATE(2012,12,31)-1207</f>
        <v>40067</v>
      </c>
      <c r="C6276" s="9" t="s">
        <v>341</v>
      </c>
      <c r="D6276">
        <v>10021431309</v>
      </c>
      <c r="E6276" t="s">
        <v>47</v>
      </c>
      <c r="F6276" t="s">
        <v>66</v>
      </c>
      <c r="G6276" t="s">
        <v>67</v>
      </c>
      <c r="H6276" t="s">
        <v>2467</v>
      </c>
      <c r="I6276" t="s">
        <v>2468</v>
      </c>
      <c r="J6276" t="s">
        <v>1225</v>
      </c>
      <c r="K6276" s="3">
        <v>100132226078</v>
      </c>
      <c r="L6276" s="10">
        <v>40068</v>
      </c>
      <c r="M6276">
        <v>28.15</v>
      </c>
      <c r="N6276" s="11">
        <v>4</v>
      </c>
      <c r="O6276" s="12">
        <v>6.28</v>
      </c>
      <c r="P6276" s="12">
        <v>5.29</v>
      </c>
      <c r="Q6276" s="13">
        <v>-10.09</v>
      </c>
      <c r="R6276" s="36" t="s">
        <v>1154</v>
      </c>
      <c r="S6276" s="7">
        <f t="shared" si="549"/>
        <v>1</v>
      </c>
      <c r="T6276" s="15" t="str">
        <f>VLOOKUP(R6276,产品分类!$C$2:$D$1278,2,0)</f>
        <v>办公用品</v>
      </c>
    </row>
    <row r="6277" spans="1:20">
      <c r="A6277" s="8">
        <f>DATE(2012,12,31)-1207</f>
        <v>40067</v>
      </c>
      <c r="B6277" s="8">
        <f>DATE(2012,12,31)-1207</f>
        <v>40067</v>
      </c>
      <c r="C6277" s="9" t="s">
        <v>538</v>
      </c>
      <c r="D6277">
        <v>10021707584</v>
      </c>
      <c r="E6277" t="s">
        <v>47</v>
      </c>
      <c r="F6277" t="s">
        <v>66</v>
      </c>
      <c r="G6277" t="s">
        <v>67</v>
      </c>
      <c r="H6277" t="s">
        <v>2467</v>
      </c>
      <c r="I6277" t="s">
        <v>2468</v>
      </c>
      <c r="J6277" t="s">
        <v>1225</v>
      </c>
      <c r="K6277" s="3">
        <v>100928386841</v>
      </c>
      <c r="L6277" s="10">
        <v>40069</v>
      </c>
      <c r="M6277">
        <v>558.77</v>
      </c>
      <c r="N6277" s="11">
        <v>37</v>
      </c>
      <c r="O6277" s="12">
        <v>15.14</v>
      </c>
      <c r="P6277" s="12">
        <v>4.53</v>
      </c>
      <c r="Q6277" s="13">
        <v>-92.87</v>
      </c>
      <c r="R6277" s="36" t="s">
        <v>560</v>
      </c>
      <c r="S6277" s="7">
        <f t="shared" si="549"/>
        <v>2</v>
      </c>
      <c r="T6277" s="15" t="str">
        <f>VLOOKUP(R6277,产品分类!$C$2:$D$1278,2,0)</f>
        <v>数码电子</v>
      </c>
    </row>
    <row r="6278" spans="1:20">
      <c r="A6278" s="8">
        <f>DATE(2012,12,31)-551</f>
        <v>40723</v>
      </c>
      <c r="B6278" s="8">
        <f>DATE(2012,12,31)-551</f>
        <v>40723</v>
      </c>
      <c r="C6278" s="9" t="s">
        <v>1130</v>
      </c>
      <c r="D6278">
        <v>10021469099</v>
      </c>
      <c r="E6278" t="s">
        <v>47</v>
      </c>
      <c r="F6278" t="s">
        <v>152</v>
      </c>
      <c r="G6278" t="s">
        <v>153</v>
      </c>
      <c r="H6278" t="s">
        <v>2441</v>
      </c>
      <c r="I6278" t="s">
        <v>2442</v>
      </c>
      <c r="J6278" t="s">
        <v>1225</v>
      </c>
      <c r="K6278" s="3">
        <v>100831891332</v>
      </c>
      <c r="L6278" s="10">
        <v>40723</v>
      </c>
      <c r="M6278">
        <v>57.96</v>
      </c>
      <c r="N6278" s="11">
        <v>17</v>
      </c>
      <c r="O6278" s="12">
        <v>3.28</v>
      </c>
      <c r="P6278" s="12">
        <v>3.97</v>
      </c>
      <c r="Q6278" s="13">
        <v>-47.32</v>
      </c>
      <c r="R6278" s="36" t="s">
        <v>1044</v>
      </c>
      <c r="S6278" s="7">
        <f t="shared" si="549"/>
        <v>0</v>
      </c>
      <c r="T6278" s="15" t="str">
        <f>VLOOKUP(R6278,产品分类!$C$2:$D$1278,2,0)</f>
        <v>办公用品</v>
      </c>
    </row>
    <row r="6279" spans="1:20">
      <c r="A6279" s="8">
        <f>DATE(2012,12,31)-1348</f>
        <v>39926</v>
      </c>
      <c r="B6279" s="8">
        <f>DATE(2012,12,31)-1348</f>
        <v>39926</v>
      </c>
      <c r="C6279" s="9" t="s">
        <v>1069</v>
      </c>
      <c r="D6279">
        <v>10021691553</v>
      </c>
      <c r="E6279" t="s">
        <v>47</v>
      </c>
      <c r="F6279" t="s">
        <v>208</v>
      </c>
      <c r="G6279" t="s">
        <v>209</v>
      </c>
      <c r="H6279" t="s">
        <v>2300</v>
      </c>
      <c r="I6279" t="s">
        <v>2301</v>
      </c>
      <c r="J6279" t="s">
        <v>1225</v>
      </c>
      <c r="K6279" s="3">
        <v>10019474817</v>
      </c>
      <c r="L6279" s="10">
        <v>39927</v>
      </c>
      <c r="M6279">
        <v>32.5</v>
      </c>
      <c r="N6279" s="11">
        <v>5</v>
      </c>
      <c r="O6279" s="12">
        <v>5.28</v>
      </c>
      <c r="P6279" s="12">
        <v>5.61</v>
      </c>
      <c r="Q6279" s="13">
        <v>-16.67</v>
      </c>
      <c r="R6279" s="36" t="s">
        <v>1327</v>
      </c>
      <c r="S6279" s="7">
        <f t="shared" si="549"/>
        <v>1</v>
      </c>
      <c r="T6279" s="15" t="str">
        <f>VLOOKUP(R6279,产品分类!$C$2:$D$1278,2,0)</f>
        <v>数码电子</v>
      </c>
    </row>
    <row r="6280" spans="1:20">
      <c r="A6280" s="8">
        <f t="shared" ref="A6280:B6282" si="550">DATE(2012,12,31)-957</f>
        <v>40317</v>
      </c>
      <c r="B6280" s="8">
        <f t="shared" si="550"/>
        <v>40317</v>
      </c>
      <c r="C6280" s="9" t="s">
        <v>1069</v>
      </c>
      <c r="D6280">
        <v>10021579736</v>
      </c>
      <c r="E6280" t="s">
        <v>47</v>
      </c>
      <c r="F6280" t="s">
        <v>78</v>
      </c>
      <c r="G6280" t="s">
        <v>79</v>
      </c>
      <c r="H6280" t="s">
        <v>2489</v>
      </c>
      <c r="I6280" t="s">
        <v>2490</v>
      </c>
      <c r="J6280" t="s">
        <v>1225</v>
      </c>
      <c r="K6280" s="3">
        <v>100121251496</v>
      </c>
      <c r="L6280" s="10">
        <v>40318</v>
      </c>
      <c r="M6280">
        <v>224.58</v>
      </c>
      <c r="N6280" s="11">
        <v>48</v>
      </c>
      <c r="O6280" s="12">
        <v>4.57</v>
      </c>
      <c r="P6280" s="12">
        <v>5.42</v>
      </c>
      <c r="Q6280" s="13">
        <v>-144.762</v>
      </c>
      <c r="R6280" s="36" t="s">
        <v>2164</v>
      </c>
      <c r="S6280" s="7">
        <f t="shared" si="549"/>
        <v>1</v>
      </c>
      <c r="T6280" s="15" t="str">
        <f>VLOOKUP(R6280,产品分类!$C$2:$D$1278,2,0)</f>
        <v>办公用品</v>
      </c>
    </row>
    <row r="6281" spans="1:20">
      <c r="A6281" s="8">
        <f t="shared" si="550"/>
        <v>40317</v>
      </c>
      <c r="B6281" s="8">
        <f t="shared" si="550"/>
        <v>40317</v>
      </c>
      <c r="C6281" s="9" t="s">
        <v>1088</v>
      </c>
      <c r="D6281">
        <v>10021499888</v>
      </c>
      <c r="E6281" t="s">
        <v>47</v>
      </c>
      <c r="F6281" t="s">
        <v>72</v>
      </c>
      <c r="G6281" t="s">
        <v>73</v>
      </c>
      <c r="H6281" t="s">
        <v>2417</v>
      </c>
      <c r="I6281" t="s">
        <v>2418</v>
      </c>
      <c r="J6281" t="s">
        <v>1225</v>
      </c>
      <c r="K6281" s="3">
        <v>100725323285</v>
      </c>
      <c r="L6281" s="10">
        <v>40318</v>
      </c>
      <c r="M6281">
        <v>365.77</v>
      </c>
      <c r="N6281" s="11">
        <v>34</v>
      </c>
      <c r="O6281" s="12">
        <v>10.67</v>
      </c>
      <c r="P6281" s="12">
        <v>1.39</v>
      </c>
      <c r="Q6281" s="13">
        <v>155.69</v>
      </c>
      <c r="R6281" s="36" t="s">
        <v>787</v>
      </c>
      <c r="S6281" s="7">
        <f t="shared" si="549"/>
        <v>1</v>
      </c>
      <c r="T6281" s="15" t="str">
        <f>VLOOKUP(R6281,产品分类!$C$2:$D$1278,2,0)</f>
        <v>办公用品</v>
      </c>
    </row>
    <row r="6282" spans="1:20">
      <c r="A6282" s="8">
        <f t="shared" si="550"/>
        <v>40317</v>
      </c>
      <c r="B6282" s="8">
        <f t="shared" si="550"/>
        <v>40317</v>
      </c>
      <c r="C6282" s="9" t="s">
        <v>1424</v>
      </c>
      <c r="D6282">
        <v>10021506617</v>
      </c>
      <c r="E6282" t="s">
        <v>47</v>
      </c>
      <c r="F6282" t="s">
        <v>72</v>
      </c>
      <c r="G6282" t="s">
        <v>73</v>
      </c>
      <c r="H6282" t="s">
        <v>2417</v>
      </c>
      <c r="I6282" t="s">
        <v>2418</v>
      </c>
      <c r="J6282" t="s">
        <v>1225</v>
      </c>
      <c r="K6282" s="3">
        <v>100131473868</v>
      </c>
      <c r="L6282" s="10">
        <v>40318</v>
      </c>
      <c r="M6282">
        <v>16073.03</v>
      </c>
      <c r="N6282" s="11">
        <v>34</v>
      </c>
      <c r="O6282" s="12">
        <v>442.14</v>
      </c>
      <c r="P6282" s="12">
        <v>14.7</v>
      </c>
      <c r="Q6282" s="13">
        <v>5386.32</v>
      </c>
      <c r="R6282" s="36" t="s">
        <v>616</v>
      </c>
      <c r="S6282" s="7">
        <f t="shared" si="549"/>
        <v>1</v>
      </c>
      <c r="T6282" s="15" t="str">
        <f>VLOOKUP(R6282,产品分类!$C$2:$D$1278,2,0)</f>
        <v>家具产品</v>
      </c>
    </row>
    <row r="6283" spans="1:20">
      <c r="A6283" s="8">
        <f>DATE(2012,12,31)-1013</f>
        <v>40261</v>
      </c>
      <c r="B6283" s="8">
        <f>DATE(2012,12,31)-1013</f>
        <v>40261</v>
      </c>
      <c r="C6283" s="9" t="s">
        <v>1597</v>
      </c>
      <c r="D6283">
        <v>10021421277</v>
      </c>
      <c r="E6283" t="s">
        <v>47</v>
      </c>
      <c r="F6283" t="s">
        <v>72</v>
      </c>
      <c r="G6283" t="s">
        <v>73</v>
      </c>
      <c r="H6283" t="s">
        <v>2417</v>
      </c>
      <c r="I6283" t="s">
        <v>2418</v>
      </c>
      <c r="J6283" t="s">
        <v>1225</v>
      </c>
      <c r="K6283" s="3">
        <v>100925738871</v>
      </c>
      <c r="L6283" s="10">
        <v>40262</v>
      </c>
      <c r="M6283">
        <v>55.2</v>
      </c>
      <c r="N6283" s="11">
        <v>15</v>
      </c>
      <c r="O6283" s="12">
        <v>3.58</v>
      </c>
      <c r="P6283" s="12">
        <v>1.63</v>
      </c>
      <c r="Q6283" s="13">
        <v>4.26</v>
      </c>
      <c r="R6283" s="36" t="s">
        <v>957</v>
      </c>
      <c r="S6283" s="7">
        <f t="shared" si="549"/>
        <v>1</v>
      </c>
      <c r="T6283" s="15" t="str">
        <f>VLOOKUP(R6283,产品分类!$C$2:$D$1278,2,0)</f>
        <v>办公用品</v>
      </c>
    </row>
    <row r="6284" spans="1:20">
      <c r="A6284" s="8">
        <f>DATE(2012,12,31)-344</f>
        <v>40930</v>
      </c>
      <c r="B6284" s="8">
        <f>DATE(2012,12,31)-344</f>
        <v>40930</v>
      </c>
      <c r="C6284" s="9" t="s">
        <v>2354</v>
      </c>
      <c r="D6284">
        <v>10021506853</v>
      </c>
      <c r="E6284" t="s">
        <v>47</v>
      </c>
      <c r="F6284" t="s">
        <v>72</v>
      </c>
      <c r="G6284" t="s">
        <v>73</v>
      </c>
      <c r="H6284" t="s">
        <v>2417</v>
      </c>
      <c r="I6284" t="s">
        <v>2418</v>
      </c>
      <c r="J6284" t="s">
        <v>1225</v>
      </c>
      <c r="K6284" s="3">
        <v>100731711115</v>
      </c>
      <c r="L6284" s="10">
        <v>40931</v>
      </c>
      <c r="M6284">
        <v>11.25</v>
      </c>
      <c r="N6284" s="11">
        <v>5</v>
      </c>
      <c r="O6284" s="12">
        <v>2.08</v>
      </c>
      <c r="P6284" s="12">
        <v>1.49</v>
      </c>
      <c r="Q6284" s="13">
        <v>-4.9565</v>
      </c>
      <c r="R6284" s="36" t="s">
        <v>1702</v>
      </c>
      <c r="S6284" s="7">
        <f t="shared" si="549"/>
        <v>1</v>
      </c>
      <c r="T6284" s="15" t="str">
        <f>VLOOKUP(R6284,产品分类!$C$2:$D$1278,2,0)</f>
        <v>办公用品</v>
      </c>
    </row>
    <row r="6285" spans="1:20">
      <c r="A6285" s="8">
        <f>DATE(2012,12,31)-1102</f>
        <v>40172</v>
      </c>
      <c r="B6285" s="8">
        <f>DATE(2012,12,31)-1102</f>
        <v>40172</v>
      </c>
      <c r="C6285" s="9" t="s">
        <v>868</v>
      </c>
      <c r="D6285">
        <v>10021659958</v>
      </c>
      <c r="E6285" t="s">
        <v>47</v>
      </c>
      <c r="F6285" t="s">
        <v>72</v>
      </c>
      <c r="G6285" t="s">
        <v>73</v>
      </c>
      <c r="H6285" t="s">
        <v>2417</v>
      </c>
      <c r="I6285" t="s">
        <v>2418</v>
      </c>
      <c r="J6285" t="s">
        <v>1225</v>
      </c>
      <c r="K6285" s="3">
        <v>100316335859</v>
      </c>
      <c r="L6285" s="10">
        <v>40173</v>
      </c>
      <c r="M6285">
        <v>5016.25</v>
      </c>
      <c r="N6285" s="11">
        <v>38</v>
      </c>
      <c r="O6285" s="12">
        <v>124.49</v>
      </c>
      <c r="P6285" s="12">
        <v>51.94</v>
      </c>
      <c r="Q6285" s="13">
        <v>-189.34929</v>
      </c>
      <c r="R6285" s="36" t="s">
        <v>674</v>
      </c>
      <c r="S6285" s="7">
        <f t="shared" si="549"/>
        <v>1</v>
      </c>
      <c r="T6285" s="15" t="str">
        <f>VLOOKUP(R6285,产品分类!$C$2:$D$1278,2,0)</f>
        <v>家具产品</v>
      </c>
    </row>
    <row r="6286" spans="1:20">
      <c r="A6286" s="8">
        <f>DATE(2012,12,31)-1102</f>
        <v>40172</v>
      </c>
      <c r="B6286" s="8">
        <f>DATE(2012,12,31)-1102</f>
        <v>40172</v>
      </c>
      <c r="C6286" s="9" t="s">
        <v>108</v>
      </c>
      <c r="D6286">
        <v>10021415163</v>
      </c>
      <c r="E6286" t="s">
        <v>47</v>
      </c>
      <c r="F6286" t="s">
        <v>78</v>
      </c>
      <c r="G6286" t="s">
        <v>79</v>
      </c>
      <c r="H6286" t="s">
        <v>2489</v>
      </c>
      <c r="I6286" t="s">
        <v>2490</v>
      </c>
      <c r="J6286" t="s">
        <v>1225</v>
      </c>
      <c r="K6286" s="3">
        <v>100110486038</v>
      </c>
      <c r="L6286" s="10">
        <v>40173</v>
      </c>
      <c r="M6286">
        <v>1653.607</v>
      </c>
      <c r="N6286" s="11">
        <v>30</v>
      </c>
      <c r="O6286" s="12">
        <v>65.99</v>
      </c>
      <c r="P6286" s="12">
        <v>5.31</v>
      </c>
      <c r="Q6286" s="13">
        <v>294.966</v>
      </c>
      <c r="R6286" s="36" t="s">
        <v>560</v>
      </c>
      <c r="S6286" s="7">
        <f t="shared" si="549"/>
        <v>1</v>
      </c>
      <c r="T6286" s="15" t="str">
        <f>VLOOKUP(R6286,产品分类!$C$2:$D$1278,2,0)</f>
        <v>数码电子</v>
      </c>
    </row>
    <row r="6287" spans="1:20">
      <c r="A6287" s="8">
        <f>DATE(2012,12,31)-577</f>
        <v>40697</v>
      </c>
      <c r="B6287" s="8">
        <f>DATE(2012,12,31)-577</f>
        <v>40697</v>
      </c>
      <c r="C6287" s="9" t="s">
        <v>108</v>
      </c>
      <c r="D6287">
        <v>10021268613</v>
      </c>
      <c r="E6287" t="s">
        <v>47</v>
      </c>
      <c r="F6287" t="s">
        <v>72</v>
      </c>
      <c r="G6287" t="s">
        <v>73</v>
      </c>
      <c r="H6287" t="s">
        <v>2417</v>
      </c>
      <c r="I6287" t="s">
        <v>2418</v>
      </c>
      <c r="J6287" t="s">
        <v>1225</v>
      </c>
      <c r="K6287" s="3">
        <v>100132404656</v>
      </c>
      <c r="L6287" s="10">
        <v>40698</v>
      </c>
      <c r="M6287">
        <v>3896.39</v>
      </c>
      <c r="N6287" s="11">
        <v>19</v>
      </c>
      <c r="O6287" s="12">
        <v>218.08</v>
      </c>
      <c r="P6287" s="12">
        <v>18.06</v>
      </c>
      <c r="Q6287" s="13">
        <v>755.28</v>
      </c>
      <c r="R6287" s="36" t="s">
        <v>836</v>
      </c>
      <c r="S6287" s="7">
        <f t="shared" si="549"/>
        <v>1</v>
      </c>
      <c r="T6287" s="15" t="str">
        <f>VLOOKUP(R6287,产品分类!$C$2:$D$1278,2,0)</f>
        <v>办公用品</v>
      </c>
    </row>
    <row r="6288" spans="1:20">
      <c r="A6288" s="16">
        <f>DATE(2012,12,31)-1184</f>
        <v>40090</v>
      </c>
      <c r="B6288" s="16">
        <f>DATE(2012,12,31)-1184</f>
        <v>40090</v>
      </c>
      <c r="C6288" s="9" t="s">
        <v>1523</v>
      </c>
      <c r="D6288">
        <v>10021499056</v>
      </c>
      <c r="E6288" t="s">
        <v>47</v>
      </c>
      <c r="F6288" t="s">
        <v>78</v>
      </c>
      <c r="G6288" t="s">
        <v>79</v>
      </c>
      <c r="H6288" t="s">
        <v>2489</v>
      </c>
      <c r="I6288" t="s">
        <v>2490</v>
      </c>
      <c r="J6288" t="s">
        <v>1225</v>
      </c>
      <c r="K6288" s="3">
        <v>100824137012</v>
      </c>
      <c r="L6288" s="10">
        <v>40095</v>
      </c>
      <c r="M6288">
        <v>17.59</v>
      </c>
      <c r="N6288" s="17">
        <v>6</v>
      </c>
      <c r="O6288" s="5">
        <v>2.22</v>
      </c>
      <c r="P6288" s="5">
        <v>5</v>
      </c>
      <c r="Q6288" s="6">
        <v>-19.74</v>
      </c>
      <c r="R6288" s="37" t="s">
        <v>1756</v>
      </c>
      <c r="S6288" s="7">
        <f t="shared" si="549"/>
        <v>5</v>
      </c>
      <c r="T6288" s="15" t="str">
        <f>VLOOKUP(R6288,产品分类!$C$2:$D$1278,2,0)</f>
        <v>办公用品</v>
      </c>
    </row>
    <row r="6289" spans="1:20">
      <c r="A6289" s="8">
        <f>DATE(2012,12,31)-1184</f>
        <v>40090</v>
      </c>
      <c r="B6289" s="8">
        <f>DATE(2012,12,31)-1184</f>
        <v>40090</v>
      </c>
      <c r="C6289" s="9" t="s">
        <v>785</v>
      </c>
      <c r="D6289">
        <v>10021530935</v>
      </c>
      <c r="E6289" t="s">
        <v>47</v>
      </c>
      <c r="F6289" t="s">
        <v>72</v>
      </c>
      <c r="G6289" t="s">
        <v>73</v>
      </c>
      <c r="H6289" t="s">
        <v>2417</v>
      </c>
      <c r="I6289" t="s">
        <v>2418</v>
      </c>
      <c r="J6289" t="s">
        <v>1225</v>
      </c>
      <c r="K6289" s="3">
        <v>100130420038</v>
      </c>
      <c r="L6289" s="10">
        <v>40092</v>
      </c>
      <c r="M6289">
        <v>315.07</v>
      </c>
      <c r="N6289" s="11">
        <v>21</v>
      </c>
      <c r="O6289" s="12">
        <v>14.2</v>
      </c>
      <c r="P6289" s="12">
        <v>5.3</v>
      </c>
      <c r="Q6289" s="13">
        <v>95</v>
      </c>
      <c r="R6289" s="36" t="s">
        <v>1607</v>
      </c>
      <c r="S6289" s="7">
        <f t="shared" si="549"/>
        <v>2</v>
      </c>
      <c r="T6289" s="15" t="str">
        <f>VLOOKUP(R6289,产品分类!$C$2:$D$1278,2,0)</f>
        <v>办公用品</v>
      </c>
    </row>
    <row r="6290" spans="1:20">
      <c r="A6290" s="16">
        <f>DATE(2012,12,31)-562</f>
        <v>40712</v>
      </c>
      <c r="B6290" s="16">
        <f>DATE(2012,12,31)-562</f>
        <v>40712</v>
      </c>
      <c r="C6290" s="9" t="s">
        <v>940</v>
      </c>
      <c r="D6290">
        <v>10021261067</v>
      </c>
      <c r="E6290" t="s">
        <v>47</v>
      </c>
      <c r="F6290" t="s">
        <v>72</v>
      </c>
      <c r="G6290" t="s">
        <v>73</v>
      </c>
      <c r="H6290" t="s">
        <v>2417</v>
      </c>
      <c r="I6290" t="s">
        <v>2418</v>
      </c>
      <c r="J6290" t="s">
        <v>1225</v>
      </c>
      <c r="K6290" s="3">
        <v>100329119189</v>
      </c>
      <c r="L6290" s="10">
        <v>40717</v>
      </c>
      <c r="M6290">
        <v>525.4</v>
      </c>
      <c r="N6290" s="17">
        <v>28</v>
      </c>
      <c r="O6290" s="5">
        <v>19.84</v>
      </c>
      <c r="P6290" s="5">
        <v>4.1</v>
      </c>
      <c r="Q6290" s="6">
        <v>126.49</v>
      </c>
      <c r="R6290" s="37" t="s">
        <v>577</v>
      </c>
      <c r="S6290" s="7">
        <f t="shared" si="549"/>
        <v>5</v>
      </c>
      <c r="T6290" s="15" t="str">
        <f>VLOOKUP(R6290,产品分类!$C$2:$D$1278,2,0)</f>
        <v>办公用品</v>
      </c>
    </row>
    <row r="6291" spans="1:20">
      <c r="A6291" s="8">
        <f>DATE(2012,12,31)-562</f>
        <v>40712</v>
      </c>
      <c r="B6291" s="8">
        <f>DATE(2012,12,31)-562</f>
        <v>40712</v>
      </c>
      <c r="C6291" s="9" t="s">
        <v>940</v>
      </c>
      <c r="D6291">
        <v>10021263560</v>
      </c>
      <c r="E6291" t="s">
        <v>47</v>
      </c>
      <c r="F6291" t="s">
        <v>78</v>
      </c>
      <c r="G6291" t="s">
        <v>79</v>
      </c>
      <c r="H6291" t="s">
        <v>2489</v>
      </c>
      <c r="I6291" t="s">
        <v>2490</v>
      </c>
      <c r="J6291" t="s">
        <v>1225</v>
      </c>
      <c r="K6291" s="3">
        <v>100930812871</v>
      </c>
      <c r="L6291" s="10">
        <v>40716</v>
      </c>
      <c r="M6291">
        <v>61.77</v>
      </c>
      <c r="N6291" s="11">
        <v>37</v>
      </c>
      <c r="O6291" s="12">
        <v>1.48</v>
      </c>
      <c r="P6291" s="12">
        <v>0.7</v>
      </c>
      <c r="Q6291" s="13">
        <v>12.65</v>
      </c>
      <c r="R6291" s="36" t="s">
        <v>2265</v>
      </c>
      <c r="S6291" s="7">
        <f t="shared" si="549"/>
        <v>4</v>
      </c>
      <c r="T6291" s="15" t="str">
        <f>VLOOKUP(R6291,产品分类!$C$2:$D$1278,2,0)</f>
        <v>办公用品</v>
      </c>
    </row>
    <row r="6292" spans="1:20">
      <c r="A6292" s="8">
        <f>DATE(2012,12,31)-662</f>
        <v>40612</v>
      </c>
      <c r="B6292" s="8">
        <f>DATE(2012,12,31)-662</f>
        <v>40612</v>
      </c>
      <c r="C6292" s="9" t="s">
        <v>940</v>
      </c>
      <c r="D6292">
        <v>10021511438</v>
      </c>
      <c r="E6292" t="s">
        <v>47</v>
      </c>
      <c r="F6292" t="s">
        <v>72</v>
      </c>
      <c r="G6292" t="s">
        <v>73</v>
      </c>
      <c r="H6292" t="s">
        <v>2417</v>
      </c>
      <c r="I6292" t="s">
        <v>2418</v>
      </c>
      <c r="J6292" t="s">
        <v>1225</v>
      </c>
      <c r="K6292" s="3">
        <v>100132719378</v>
      </c>
      <c r="L6292" s="10">
        <v>40612</v>
      </c>
      <c r="M6292">
        <v>127.9</v>
      </c>
      <c r="N6292" s="11">
        <v>31</v>
      </c>
      <c r="O6292" s="12">
        <v>4.13</v>
      </c>
      <c r="P6292" s="12">
        <v>0.5</v>
      </c>
      <c r="Q6292" s="13">
        <v>54.21</v>
      </c>
      <c r="R6292" s="36" t="s">
        <v>1214</v>
      </c>
      <c r="S6292" s="7">
        <f t="shared" si="549"/>
        <v>0</v>
      </c>
      <c r="T6292" s="15" t="str">
        <f>VLOOKUP(R6292,产品分类!$C$2:$D$1278,2,0)</f>
        <v>数码电子</v>
      </c>
    </row>
    <row r="6293" spans="1:20">
      <c r="A6293" s="8">
        <f>DATE(2012,12,31)-659</f>
        <v>40615</v>
      </c>
      <c r="B6293" s="8">
        <f>DATE(2012,12,31)-659</f>
        <v>40615</v>
      </c>
      <c r="C6293" s="9" t="s">
        <v>2354</v>
      </c>
      <c r="D6293">
        <v>10021303635</v>
      </c>
      <c r="E6293" t="s">
        <v>47</v>
      </c>
      <c r="F6293" t="s">
        <v>230</v>
      </c>
      <c r="G6293" t="s">
        <v>231</v>
      </c>
      <c r="H6293" t="s">
        <v>2497</v>
      </c>
      <c r="I6293" t="s">
        <v>2498</v>
      </c>
      <c r="J6293" t="s">
        <v>1225</v>
      </c>
      <c r="K6293" s="3">
        <v>100310728679</v>
      </c>
      <c r="L6293" s="10">
        <v>40617</v>
      </c>
      <c r="M6293">
        <v>428.723</v>
      </c>
      <c r="N6293" s="11">
        <v>6</v>
      </c>
      <c r="O6293" s="12">
        <v>85.99</v>
      </c>
      <c r="P6293" s="12">
        <v>1.25</v>
      </c>
      <c r="Q6293" s="13">
        <v>-147.719</v>
      </c>
      <c r="R6293" s="36" t="s">
        <v>401</v>
      </c>
      <c r="S6293" s="7">
        <f t="shared" si="549"/>
        <v>2</v>
      </c>
      <c r="T6293" s="15" t="str">
        <f>VLOOKUP(R6293,产品分类!$C$2:$D$1278,2,0)</f>
        <v>办公用品</v>
      </c>
    </row>
    <row r="6294" spans="1:20">
      <c r="A6294" s="8">
        <f t="shared" ref="A6294:B6296" si="551">DATE(2012,12,31)-854</f>
        <v>40420</v>
      </c>
      <c r="B6294" s="8">
        <f t="shared" si="551"/>
        <v>40420</v>
      </c>
      <c r="C6294" s="9" t="s">
        <v>721</v>
      </c>
      <c r="D6294">
        <v>10021498196</v>
      </c>
      <c r="E6294" t="s">
        <v>47</v>
      </c>
      <c r="F6294" t="s">
        <v>230</v>
      </c>
      <c r="G6294" t="s">
        <v>231</v>
      </c>
      <c r="H6294" t="s">
        <v>2497</v>
      </c>
      <c r="I6294" t="s">
        <v>2498</v>
      </c>
      <c r="J6294" t="s">
        <v>1225</v>
      </c>
      <c r="K6294" s="3">
        <v>10039884669</v>
      </c>
      <c r="L6294" s="10">
        <v>40421</v>
      </c>
      <c r="M6294">
        <v>1911.69</v>
      </c>
      <c r="N6294" s="11">
        <v>34</v>
      </c>
      <c r="O6294" s="12">
        <v>55.98</v>
      </c>
      <c r="P6294" s="12">
        <v>5.15</v>
      </c>
      <c r="Q6294" s="13">
        <v>939.43</v>
      </c>
      <c r="R6294" s="36" t="s">
        <v>2023</v>
      </c>
      <c r="S6294" s="7">
        <f t="shared" si="549"/>
        <v>1</v>
      </c>
      <c r="T6294" s="15" t="str">
        <f>VLOOKUP(R6294,产品分类!$C$2:$D$1278,2,0)</f>
        <v>数码电子</v>
      </c>
    </row>
    <row r="6295" spans="1:20">
      <c r="A6295" s="8">
        <f t="shared" si="551"/>
        <v>40420</v>
      </c>
      <c r="B6295" s="8">
        <f t="shared" si="551"/>
        <v>40420</v>
      </c>
      <c r="C6295" s="9" t="s">
        <v>1764</v>
      </c>
      <c r="D6295">
        <v>10021711097</v>
      </c>
      <c r="E6295" t="s">
        <v>47</v>
      </c>
      <c r="F6295" t="s">
        <v>78</v>
      </c>
      <c r="G6295" t="s">
        <v>79</v>
      </c>
      <c r="H6295" t="s">
        <v>2489</v>
      </c>
      <c r="I6295" t="s">
        <v>2490</v>
      </c>
      <c r="J6295" t="s">
        <v>1225</v>
      </c>
      <c r="K6295" s="3">
        <v>10041716744</v>
      </c>
      <c r="L6295" s="10">
        <v>40421</v>
      </c>
      <c r="M6295">
        <v>120.751</v>
      </c>
      <c r="N6295" s="11">
        <v>17</v>
      </c>
      <c r="O6295" s="12">
        <v>7.99</v>
      </c>
      <c r="P6295" s="12">
        <v>5.03</v>
      </c>
      <c r="Q6295" s="13">
        <v>-71.39</v>
      </c>
      <c r="R6295" s="36" t="s">
        <v>237</v>
      </c>
      <c r="S6295" s="7">
        <f t="shared" si="549"/>
        <v>1</v>
      </c>
      <c r="T6295" s="15" t="str">
        <f>VLOOKUP(R6295,产品分类!$C$2:$D$1278,2,0)</f>
        <v>数码电子</v>
      </c>
    </row>
    <row r="6296" spans="1:20">
      <c r="A6296" s="8">
        <f t="shared" si="551"/>
        <v>40420</v>
      </c>
      <c r="B6296" s="8">
        <f t="shared" si="551"/>
        <v>40420</v>
      </c>
      <c r="C6296" s="9" t="s">
        <v>1764</v>
      </c>
      <c r="D6296">
        <v>10021510478</v>
      </c>
      <c r="E6296" t="s">
        <v>47</v>
      </c>
      <c r="F6296" t="s">
        <v>230</v>
      </c>
      <c r="G6296" t="s">
        <v>231</v>
      </c>
      <c r="H6296" t="s">
        <v>2497</v>
      </c>
      <c r="I6296" t="s">
        <v>2498</v>
      </c>
      <c r="J6296" t="s">
        <v>1225</v>
      </c>
      <c r="K6296" s="3">
        <v>100832678662</v>
      </c>
      <c r="L6296" s="10">
        <v>40421</v>
      </c>
      <c r="M6296">
        <v>245.55</v>
      </c>
      <c r="N6296" s="11">
        <v>45</v>
      </c>
      <c r="O6296" s="12">
        <v>5.28</v>
      </c>
      <c r="P6296" s="12">
        <v>8.16</v>
      </c>
      <c r="Q6296" s="13">
        <v>-227.25</v>
      </c>
      <c r="R6296" s="36" t="s">
        <v>1452</v>
      </c>
      <c r="S6296" s="7">
        <f t="shared" si="549"/>
        <v>1</v>
      </c>
      <c r="T6296" s="15" t="str">
        <f>VLOOKUP(R6296,产品分类!$C$2:$D$1278,2,0)</f>
        <v>办公用品</v>
      </c>
    </row>
    <row r="6297" spans="1:20">
      <c r="A6297" s="8">
        <f>DATE(2012,12,31)-931</f>
        <v>40343</v>
      </c>
      <c r="B6297" s="8">
        <f>DATE(2012,12,31)-931</f>
        <v>40343</v>
      </c>
      <c r="C6297" s="9" t="s">
        <v>1015</v>
      </c>
      <c r="D6297">
        <v>10021279625</v>
      </c>
      <c r="E6297" t="s">
        <v>47</v>
      </c>
      <c r="F6297" t="s">
        <v>78</v>
      </c>
      <c r="G6297" t="s">
        <v>79</v>
      </c>
      <c r="H6297" t="s">
        <v>2489</v>
      </c>
      <c r="I6297" t="s">
        <v>2490</v>
      </c>
      <c r="J6297" t="s">
        <v>1225</v>
      </c>
      <c r="K6297" s="3">
        <v>10094107801</v>
      </c>
      <c r="L6297" s="10">
        <v>40347</v>
      </c>
      <c r="M6297">
        <v>55.35</v>
      </c>
      <c r="N6297" s="11">
        <v>18</v>
      </c>
      <c r="O6297" s="12">
        <v>2.22</v>
      </c>
      <c r="P6297" s="12">
        <v>5</v>
      </c>
      <c r="Q6297" s="13">
        <v>-56.63</v>
      </c>
      <c r="R6297" s="36" t="s">
        <v>272</v>
      </c>
      <c r="S6297" s="7">
        <f t="shared" si="549"/>
        <v>4</v>
      </c>
      <c r="T6297" s="15" t="str">
        <f>VLOOKUP(R6297,产品分类!$C$2:$D$1278,2,0)</f>
        <v>数码电子</v>
      </c>
    </row>
    <row r="6298" spans="1:20">
      <c r="A6298" s="8">
        <f>DATE(2012,12,31)-931</f>
        <v>40343</v>
      </c>
      <c r="B6298" s="8">
        <f>DATE(2012,12,31)-931</f>
        <v>40343</v>
      </c>
      <c r="C6298" s="9" t="s">
        <v>553</v>
      </c>
      <c r="D6298">
        <v>10021577383</v>
      </c>
      <c r="E6298" t="s">
        <v>47</v>
      </c>
      <c r="F6298" t="s">
        <v>114</v>
      </c>
      <c r="G6298" t="s">
        <v>115</v>
      </c>
      <c r="H6298" t="s">
        <v>2500</v>
      </c>
      <c r="I6298" t="s">
        <v>2501</v>
      </c>
      <c r="J6298" t="s">
        <v>1225</v>
      </c>
      <c r="K6298" s="3">
        <v>100910582591</v>
      </c>
      <c r="L6298" s="10">
        <v>40352</v>
      </c>
      <c r="M6298">
        <v>700.35</v>
      </c>
      <c r="N6298" s="11">
        <v>27</v>
      </c>
      <c r="O6298" s="12">
        <v>26.31</v>
      </c>
      <c r="P6298" s="12">
        <v>5.89</v>
      </c>
      <c r="Q6298" s="13">
        <v>-123.01</v>
      </c>
      <c r="R6298" s="36" t="s">
        <v>2311</v>
      </c>
      <c r="S6298" s="7">
        <f t="shared" si="549"/>
        <v>9</v>
      </c>
      <c r="T6298" s="15" t="str">
        <f>VLOOKUP(R6298,产品分类!$C$2:$D$1278,2,0)</f>
        <v>家具产品</v>
      </c>
    </row>
    <row r="6299" spans="1:20">
      <c r="A6299" s="8">
        <f>DATE(2012,12,31)-967</f>
        <v>40307</v>
      </c>
      <c r="B6299" s="8">
        <f>DATE(2012,12,31)-967</f>
        <v>40307</v>
      </c>
      <c r="C6299" s="9" t="s">
        <v>553</v>
      </c>
      <c r="D6299">
        <v>10021248313</v>
      </c>
      <c r="E6299" t="s">
        <v>47</v>
      </c>
      <c r="F6299" t="s">
        <v>114</v>
      </c>
      <c r="G6299" t="s">
        <v>115</v>
      </c>
      <c r="H6299" t="s">
        <v>2500</v>
      </c>
      <c r="I6299" t="s">
        <v>2501</v>
      </c>
      <c r="J6299" t="s">
        <v>1225</v>
      </c>
      <c r="K6299" s="3">
        <v>10071399765</v>
      </c>
      <c r="L6299" s="10">
        <v>40308</v>
      </c>
      <c r="M6299">
        <v>36.37</v>
      </c>
      <c r="N6299" s="11">
        <v>19</v>
      </c>
      <c r="O6299" s="12">
        <v>1.88</v>
      </c>
      <c r="P6299" s="12">
        <v>1.49</v>
      </c>
      <c r="Q6299" s="13">
        <v>-10.258</v>
      </c>
      <c r="R6299" s="36" t="s">
        <v>975</v>
      </c>
      <c r="S6299" s="7">
        <f t="shared" si="549"/>
        <v>1</v>
      </c>
      <c r="T6299" s="15" t="str">
        <f>VLOOKUP(R6299,产品分类!$C$2:$D$1278,2,0)</f>
        <v>家具产品</v>
      </c>
    </row>
    <row r="6300" spans="1:20">
      <c r="A6300" s="8">
        <f>DATE(2012,12,31)-362</f>
        <v>40912</v>
      </c>
      <c r="B6300" s="8">
        <f>DATE(2012,12,31)-362</f>
        <v>40912</v>
      </c>
      <c r="C6300" s="9" t="s">
        <v>1773</v>
      </c>
      <c r="D6300">
        <v>10021662118</v>
      </c>
      <c r="E6300" t="s">
        <v>47</v>
      </c>
      <c r="F6300" t="s">
        <v>2517</v>
      </c>
      <c r="G6300" t="s">
        <v>2518</v>
      </c>
      <c r="H6300" t="s">
        <v>2519</v>
      </c>
      <c r="I6300" t="s">
        <v>2520</v>
      </c>
      <c r="J6300" t="s">
        <v>1225</v>
      </c>
      <c r="K6300" s="3">
        <v>100121419968</v>
      </c>
      <c r="L6300" s="10">
        <v>40916</v>
      </c>
      <c r="M6300">
        <v>12723.95</v>
      </c>
      <c r="N6300" s="11">
        <v>47</v>
      </c>
      <c r="O6300" s="12">
        <v>279.48</v>
      </c>
      <c r="P6300" s="12">
        <v>35</v>
      </c>
      <c r="Q6300" s="13">
        <v>11.54</v>
      </c>
      <c r="R6300" s="36" t="s">
        <v>175</v>
      </c>
      <c r="S6300" s="7">
        <f t="shared" si="549"/>
        <v>4</v>
      </c>
      <c r="T6300" s="15" t="str">
        <f>VLOOKUP(R6300,产品分类!$C$2:$D$1278,2,0)</f>
        <v>办公用品</v>
      </c>
    </row>
    <row r="6301" spans="1:20">
      <c r="A6301" s="8">
        <f>DATE(2012,12,31)-342</f>
        <v>40932</v>
      </c>
      <c r="B6301" s="8">
        <f>DATE(2012,12,31)-342</f>
        <v>40932</v>
      </c>
      <c r="C6301" s="9" t="s">
        <v>1773</v>
      </c>
      <c r="D6301">
        <v>10021591184</v>
      </c>
      <c r="E6301" t="s">
        <v>47</v>
      </c>
      <c r="F6301" t="s">
        <v>2517</v>
      </c>
      <c r="G6301" t="s">
        <v>2518</v>
      </c>
      <c r="H6301" t="s">
        <v>2519</v>
      </c>
      <c r="I6301" t="s">
        <v>2520</v>
      </c>
      <c r="J6301" t="s">
        <v>1225</v>
      </c>
      <c r="K6301" s="3">
        <v>100731761985</v>
      </c>
      <c r="L6301" s="10">
        <v>40932</v>
      </c>
      <c r="M6301">
        <v>23239.96</v>
      </c>
      <c r="N6301" s="11">
        <v>47</v>
      </c>
      <c r="O6301" s="12">
        <v>500.98</v>
      </c>
      <c r="P6301" s="12">
        <v>26</v>
      </c>
      <c r="Q6301" s="13">
        <v>6888.36</v>
      </c>
      <c r="R6301" s="36" t="s">
        <v>1220</v>
      </c>
      <c r="S6301" s="7">
        <f t="shared" si="549"/>
        <v>0</v>
      </c>
      <c r="T6301" s="15" t="str">
        <f>VLOOKUP(R6301,产品分类!$C$2:$D$1278,2,0)</f>
        <v>家具产品</v>
      </c>
    </row>
    <row r="6302" spans="1:20">
      <c r="A6302" s="8">
        <f>DATE(2012,12,31)-342</f>
        <v>40932</v>
      </c>
      <c r="B6302" s="8">
        <f>DATE(2012,12,31)-342</f>
        <v>40932</v>
      </c>
      <c r="C6302" s="9" t="s">
        <v>1518</v>
      </c>
      <c r="D6302">
        <v>10021249316</v>
      </c>
      <c r="E6302" t="s">
        <v>47</v>
      </c>
      <c r="F6302" t="s">
        <v>91</v>
      </c>
      <c r="G6302" t="s">
        <v>92</v>
      </c>
      <c r="H6302" t="s">
        <v>2502</v>
      </c>
      <c r="I6302" t="s">
        <v>2503</v>
      </c>
      <c r="J6302" t="s">
        <v>1225</v>
      </c>
      <c r="K6302" s="3">
        <v>10095243971</v>
      </c>
      <c r="L6302" s="10">
        <v>40936</v>
      </c>
      <c r="M6302">
        <v>302.91</v>
      </c>
      <c r="N6302" s="11">
        <v>24</v>
      </c>
      <c r="O6302" s="12">
        <v>12.28</v>
      </c>
      <c r="P6302" s="12">
        <v>6.13</v>
      </c>
      <c r="Q6302" s="13">
        <v>-36.76</v>
      </c>
      <c r="R6302" s="36" t="s">
        <v>691</v>
      </c>
      <c r="S6302" s="7">
        <f t="shared" si="549"/>
        <v>4</v>
      </c>
      <c r="T6302" s="15" t="str">
        <f>VLOOKUP(R6302,产品分类!$C$2:$D$1278,2,0)</f>
        <v>办公用品</v>
      </c>
    </row>
    <row r="6303" spans="1:20">
      <c r="A6303" s="8">
        <f>DATE(2012,12,31)-79</f>
        <v>41195</v>
      </c>
      <c r="B6303" s="8">
        <f>DATE(2012,12,31)-79</f>
        <v>41195</v>
      </c>
      <c r="C6303" s="9" t="s">
        <v>2512</v>
      </c>
      <c r="D6303">
        <v>10021434192</v>
      </c>
      <c r="E6303" t="s">
        <v>47</v>
      </c>
      <c r="F6303" t="s">
        <v>91</v>
      </c>
      <c r="G6303" t="s">
        <v>92</v>
      </c>
      <c r="H6303" t="s">
        <v>2502</v>
      </c>
      <c r="I6303" t="s">
        <v>2503</v>
      </c>
      <c r="J6303" t="s">
        <v>1225</v>
      </c>
      <c r="K6303" s="3">
        <v>100832653542</v>
      </c>
      <c r="L6303" s="10">
        <v>41195</v>
      </c>
      <c r="M6303">
        <v>1152.63</v>
      </c>
      <c r="N6303" s="11">
        <v>36</v>
      </c>
      <c r="O6303" s="12">
        <v>32.48</v>
      </c>
      <c r="P6303" s="12">
        <v>7.09</v>
      </c>
      <c r="Q6303" s="13">
        <v>389.4</v>
      </c>
      <c r="R6303" s="36" t="s">
        <v>723</v>
      </c>
      <c r="S6303" s="7">
        <f t="shared" si="549"/>
        <v>0</v>
      </c>
      <c r="T6303" s="15" t="str">
        <f>VLOOKUP(R6303,产品分类!$C$2:$D$1278,2,0)</f>
        <v>办公用品</v>
      </c>
    </row>
    <row r="6304" spans="1:20">
      <c r="A6304" s="8">
        <f>DATE(2012,12,31)-79</f>
        <v>41195</v>
      </c>
      <c r="B6304" s="8">
        <f>DATE(2012,12,31)-79</f>
        <v>41195</v>
      </c>
      <c r="C6304" s="9" t="s">
        <v>2393</v>
      </c>
      <c r="D6304">
        <v>10021620025</v>
      </c>
      <c r="E6304" t="s">
        <v>47</v>
      </c>
      <c r="F6304" t="s">
        <v>91</v>
      </c>
      <c r="G6304" t="s">
        <v>92</v>
      </c>
      <c r="H6304" t="s">
        <v>2502</v>
      </c>
      <c r="I6304" t="s">
        <v>2503</v>
      </c>
      <c r="J6304" t="s">
        <v>1225</v>
      </c>
      <c r="K6304" s="3">
        <v>10033978599</v>
      </c>
      <c r="L6304" s="10">
        <v>41197</v>
      </c>
      <c r="M6304">
        <v>7.56</v>
      </c>
      <c r="N6304" s="11">
        <v>4</v>
      </c>
      <c r="O6304" s="12">
        <v>1.89</v>
      </c>
      <c r="P6304" s="12">
        <v>0.76</v>
      </c>
      <c r="Q6304" s="13">
        <v>-5.53</v>
      </c>
      <c r="R6304" s="36" t="s">
        <v>1743</v>
      </c>
      <c r="S6304" s="7">
        <f t="shared" si="549"/>
        <v>2</v>
      </c>
      <c r="T6304" s="15" t="str">
        <f>VLOOKUP(R6304,产品分类!$C$2:$D$1278,2,0)</f>
        <v>办公用品</v>
      </c>
    </row>
    <row r="6305" spans="1:20">
      <c r="A6305" s="8">
        <f>DATE(2012,12,31)-211</f>
        <v>41063</v>
      </c>
      <c r="B6305" s="8">
        <f>DATE(2012,12,31)-211</f>
        <v>41063</v>
      </c>
      <c r="C6305" s="9" t="s">
        <v>2393</v>
      </c>
      <c r="D6305">
        <v>10021659545</v>
      </c>
      <c r="E6305" t="s">
        <v>47</v>
      </c>
      <c r="F6305" t="s">
        <v>83</v>
      </c>
      <c r="G6305" t="s">
        <v>84</v>
      </c>
      <c r="H6305" t="s">
        <v>2510</v>
      </c>
      <c r="I6305" t="s">
        <v>2511</v>
      </c>
      <c r="J6305" t="s">
        <v>1225</v>
      </c>
      <c r="K6305" s="3">
        <v>100911207711</v>
      </c>
      <c r="L6305" s="10">
        <v>41064</v>
      </c>
      <c r="M6305">
        <v>127.51</v>
      </c>
      <c r="N6305" s="11">
        <v>22</v>
      </c>
      <c r="O6305" s="12">
        <v>5.98</v>
      </c>
      <c r="P6305" s="12">
        <v>1.49</v>
      </c>
      <c r="Q6305" s="13">
        <v>26.741</v>
      </c>
      <c r="R6305" s="36" t="s">
        <v>71</v>
      </c>
      <c r="S6305" s="7">
        <f t="shared" si="549"/>
        <v>1</v>
      </c>
      <c r="T6305" s="15" t="str">
        <f>VLOOKUP(R6305,产品分类!$C$2:$D$1278,2,0)</f>
        <v>办公用品</v>
      </c>
    </row>
    <row r="6306" spans="1:20">
      <c r="A6306" s="8">
        <f>DATE(2012,12,31)-211</f>
        <v>41063</v>
      </c>
      <c r="B6306" s="8">
        <f>DATE(2012,12,31)-211</f>
        <v>41063</v>
      </c>
      <c r="C6306" s="9" t="s">
        <v>2393</v>
      </c>
      <c r="D6306">
        <v>10021499202</v>
      </c>
      <c r="E6306" t="s">
        <v>47</v>
      </c>
      <c r="F6306" t="s">
        <v>55</v>
      </c>
      <c r="G6306" t="s">
        <v>56</v>
      </c>
      <c r="H6306" t="s">
        <v>2471</v>
      </c>
      <c r="I6306" t="s">
        <v>2472</v>
      </c>
      <c r="J6306" t="s">
        <v>1225</v>
      </c>
      <c r="K6306" s="3">
        <v>10098985901</v>
      </c>
      <c r="L6306" s="10">
        <v>41065</v>
      </c>
      <c r="M6306">
        <v>2004.22</v>
      </c>
      <c r="N6306" s="11">
        <v>35</v>
      </c>
      <c r="O6306" s="12">
        <v>60.65</v>
      </c>
      <c r="P6306" s="12">
        <v>12.23</v>
      </c>
      <c r="Q6306" s="13">
        <v>338.91</v>
      </c>
      <c r="R6306" s="36" t="s">
        <v>2089</v>
      </c>
      <c r="S6306" s="7">
        <f t="shared" si="549"/>
        <v>2</v>
      </c>
      <c r="T6306" s="15" t="str">
        <f>VLOOKUP(R6306,产品分类!$C$2:$D$1278,2,0)</f>
        <v>家具产品</v>
      </c>
    </row>
    <row r="6307" spans="1:20">
      <c r="A6307" s="8">
        <f>DATE(2012,12,31)-1007</f>
        <v>40267</v>
      </c>
      <c r="B6307" s="8">
        <f>DATE(2012,12,31)-1007</f>
        <v>40267</v>
      </c>
      <c r="C6307" s="9" t="s">
        <v>2227</v>
      </c>
      <c r="D6307">
        <v>10021587741</v>
      </c>
      <c r="E6307" t="s">
        <v>47</v>
      </c>
      <c r="F6307" t="s">
        <v>91</v>
      </c>
      <c r="G6307" t="s">
        <v>92</v>
      </c>
      <c r="H6307" t="s">
        <v>2502</v>
      </c>
      <c r="I6307" t="s">
        <v>2503</v>
      </c>
      <c r="J6307" t="s">
        <v>1225</v>
      </c>
      <c r="K6307" s="3">
        <v>100130073638</v>
      </c>
      <c r="L6307" s="10">
        <v>40269</v>
      </c>
      <c r="M6307">
        <v>7556.61</v>
      </c>
      <c r="N6307" s="11">
        <v>18</v>
      </c>
      <c r="O6307" s="12">
        <v>424.21</v>
      </c>
      <c r="P6307" s="12">
        <v>110.2</v>
      </c>
      <c r="Q6307" s="13">
        <v>-352.242</v>
      </c>
      <c r="R6307" s="36" t="s">
        <v>2311</v>
      </c>
      <c r="S6307" s="7">
        <f t="shared" si="549"/>
        <v>2</v>
      </c>
      <c r="T6307" s="15" t="str">
        <f>VLOOKUP(R6307,产品分类!$C$2:$D$1278,2,0)</f>
        <v>家具产品</v>
      </c>
    </row>
    <row r="6308" spans="1:20">
      <c r="A6308" s="8">
        <f>DATE(2012,12,31)-1007</f>
        <v>40267</v>
      </c>
      <c r="B6308" s="8">
        <f>DATE(2012,12,31)-1007</f>
        <v>40267</v>
      </c>
      <c r="C6308" s="9" t="s">
        <v>2227</v>
      </c>
      <c r="D6308">
        <v>10021591061</v>
      </c>
      <c r="E6308" t="s">
        <v>47</v>
      </c>
      <c r="F6308" t="s">
        <v>91</v>
      </c>
      <c r="G6308" t="s">
        <v>92</v>
      </c>
      <c r="H6308" t="s">
        <v>2502</v>
      </c>
      <c r="I6308" t="s">
        <v>2503</v>
      </c>
      <c r="J6308" t="s">
        <v>1225</v>
      </c>
      <c r="K6308" s="3">
        <v>100416081644</v>
      </c>
      <c r="L6308" s="10">
        <v>40272</v>
      </c>
      <c r="M6308">
        <v>47.48</v>
      </c>
      <c r="N6308" s="11">
        <v>33</v>
      </c>
      <c r="O6308" s="12">
        <v>1.48</v>
      </c>
      <c r="P6308" s="12">
        <v>0.7</v>
      </c>
      <c r="Q6308" s="13">
        <v>3.35</v>
      </c>
      <c r="R6308" s="36" t="s">
        <v>1352</v>
      </c>
      <c r="S6308" s="7">
        <f t="shared" si="549"/>
        <v>5</v>
      </c>
      <c r="T6308" s="15" t="str">
        <f>VLOOKUP(R6308,产品分类!$C$2:$D$1278,2,0)</f>
        <v>数码电子</v>
      </c>
    </row>
    <row r="6309" spans="1:20">
      <c r="A6309" s="8">
        <f>DATE(2012,12,31)-1253</f>
        <v>40021</v>
      </c>
      <c r="B6309" s="8">
        <f>DATE(2012,12,31)-1253</f>
        <v>40021</v>
      </c>
      <c r="C6309" s="9" t="s">
        <v>820</v>
      </c>
      <c r="D6309">
        <v>10021509759</v>
      </c>
      <c r="E6309" t="s">
        <v>47</v>
      </c>
      <c r="F6309" t="s">
        <v>122</v>
      </c>
      <c r="G6309" t="s">
        <v>123</v>
      </c>
      <c r="H6309" t="s">
        <v>2458</v>
      </c>
      <c r="I6309" t="s">
        <v>2459</v>
      </c>
      <c r="J6309" t="s">
        <v>1225</v>
      </c>
      <c r="K6309" s="3">
        <v>100132388808</v>
      </c>
      <c r="L6309" s="10">
        <v>40022</v>
      </c>
      <c r="M6309">
        <v>30.68</v>
      </c>
      <c r="N6309" s="11">
        <v>15</v>
      </c>
      <c r="O6309" s="12">
        <v>1.74</v>
      </c>
      <c r="P6309" s="12">
        <v>4.08</v>
      </c>
      <c r="Q6309" s="13">
        <v>-37.39</v>
      </c>
      <c r="R6309" s="36" t="s">
        <v>1426</v>
      </c>
      <c r="S6309" s="7">
        <f t="shared" si="549"/>
        <v>1</v>
      </c>
      <c r="T6309" s="15" t="str">
        <f>VLOOKUP(R6309,产品分类!$C$2:$D$1278,2,0)</f>
        <v>办公用品</v>
      </c>
    </row>
    <row r="6310" spans="1:20">
      <c r="A6310" s="8">
        <f>DATE(2012,12,31)-42</f>
        <v>41232</v>
      </c>
      <c r="B6310" s="8">
        <f>DATE(2012,12,31)-42</f>
        <v>41232</v>
      </c>
      <c r="C6310" s="9" t="s">
        <v>2446</v>
      </c>
      <c r="D6310">
        <v>10021427008</v>
      </c>
      <c r="E6310" t="s">
        <v>47</v>
      </c>
      <c r="F6310" t="s">
        <v>55</v>
      </c>
      <c r="G6310" t="s">
        <v>56</v>
      </c>
      <c r="H6310" t="s">
        <v>2471</v>
      </c>
      <c r="I6310" t="s">
        <v>2472</v>
      </c>
      <c r="J6310" t="s">
        <v>1225</v>
      </c>
      <c r="K6310" s="3">
        <v>100330319239</v>
      </c>
      <c r="L6310" s="10">
        <v>41233</v>
      </c>
      <c r="M6310">
        <v>773.74</v>
      </c>
      <c r="N6310" s="11">
        <v>11</v>
      </c>
      <c r="O6310" s="12">
        <v>64.65</v>
      </c>
      <c r="P6310" s="12">
        <v>35</v>
      </c>
      <c r="Q6310" s="13">
        <v>-309.48</v>
      </c>
      <c r="R6310" s="36" t="s">
        <v>950</v>
      </c>
      <c r="S6310" s="7">
        <f t="shared" si="549"/>
        <v>1</v>
      </c>
      <c r="T6310" s="15" t="str">
        <f>VLOOKUP(R6310,产品分类!$C$2:$D$1278,2,0)</f>
        <v>数码电子</v>
      </c>
    </row>
    <row r="6311" spans="1:20">
      <c r="A6311" s="8">
        <f>DATE(2012,12,31)-42</f>
        <v>41232</v>
      </c>
      <c r="B6311" s="8">
        <f>DATE(2012,12,31)-42</f>
        <v>41232</v>
      </c>
      <c r="C6311" s="9" t="s">
        <v>1628</v>
      </c>
      <c r="D6311">
        <v>10021385925</v>
      </c>
      <c r="E6311" t="s">
        <v>47</v>
      </c>
      <c r="F6311" t="s">
        <v>55</v>
      </c>
      <c r="G6311" t="s">
        <v>56</v>
      </c>
      <c r="H6311" t="s">
        <v>2471</v>
      </c>
      <c r="I6311" t="s">
        <v>2472</v>
      </c>
      <c r="J6311" t="s">
        <v>1225</v>
      </c>
      <c r="K6311" s="3">
        <v>10092908371</v>
      </c>
      <c r="L6311" s="10">
        <v>41234</v>
      </c>
      <c r="M6311">
        <v>302.1325</v>
      </c>
      <c r="N6311" s="11">
        <v>16</v>
      </c>
      <c r="O6311" s="12">
        <v>20.99</v>
      </c>
      <c r="P6311" s="12">
        <v>0.99</v>
      </c>
      <c r="Q6311" s="13">
        <v>38.907</v>
      </c>
      <c r="R6311" s="36" t="s">
        <v>614</v>
      </c>
      <c r="S6311" s="7">
        <f t="shared" si="549"/>
        <v>2</v>
      </c>
      <c r="T6311" s="15" t="str">
        <f>VLOOKUP(R6311,产品分类!$C$2:$D$1278,2,0)</f>
        <v>办公用品</v>
      </c>
    </row>
    <row r="6312" spans="1:20">
      <c r="A6312" s="16">
        <f>DATE(2012,12,31)-757</f>
        <v>40517</v>
      </c>
      <c r="B6312" s="16">
        <f>DATE(2012,12,31)-757</f>
        <v>40517</v>
      </c>
      <c r="C6312" s="9" t="s">
        <v>1628</v>
      </c>
      <c r="D6312">
        <v>10021319760</v>
      </c>
      <c r="E6312" t="s">
        <v>47</v>
      </c>
      <c r="F6312" t="s">
        <v>91</v>
      </c>
      <c r="G6312" t="s">
        <v>92</v>
      </c>
      <c r="H6312" t="s">
        <v>2502</v>
      </c>
      <c r="I6312" t="s">
        <v>2503</v>
      </c>
      <c r="J6312" t="s">
        <v>1225</v>
      </c>
      <c r="K6312" s="3">
        <v>100417020064</v>
      </c>
      <c r="L6312" s="10">
        <v>40519</v>
      </c>
      <c r="M6312">
        <v>75.57</v>
      </c>
      <c r="N6312" s="17">
        <v>34</v>
      </c>
      <c r="O6312" s="5">
        <v>2.1</v>
      </c>
      <c r="P6312" s="5">
        <v>0.7</v>
      </c>
      <c r="Q6312" s="6">
        <v>6.87</v>
      </c>
      <c r="R6312" s="37" t="s">
        <v>1802</v>
      </c>
      <c r="S6312" s="7">
        <f t="shared" si="549"/>
        <v>2</v>
      </c>
      <c r="T6312" s="15" t="str">
        <f>VLOOKUP(R6312,产品分类!$C$2:$D$1278,2,0)</f>
        <v>办公用品</v>
      </c>
    </row>
    <row r="6313" spans="1:20">
      <c r="A6313" s="8">
        <f>DATE(2012,12,31)-219</f>
        <v>41055</v>
      </c>
      <c r="B6313" s="8">
        <f>DATE(2012,12,31)-219</f>
        <v>41055</v>
      </c>
      <c r="C6313" s="9" t="s">
        <v>1381</v>
      </c>
      <c r="D6313">
        <v>10021268115</v>
      </c>
      <c r="E6313" t="s">
        <v>47</v>
      </c>
      <c r="F6313" t="s">
        <v>91</v>
      </c>
      <c r="G6313" t="s">
        <v>92</v>
      </c>
      <c r="H6313" t="s">
        <v>2502</v>
      </c>
      <c r="I6313" t="s">
        <v>2503</v>
      </c>
      <c r="J6313" t="s">
        <v>1225</v>
      </c>
      <c r="K6313" s="3">
        <v>10081357662</v>
      </c>
      <c r="L6313" s="10">
        <v>41056</v>
      </c>
      <c r="M6313">
        <v>16699.56</v>
      </c>
      <c r="N6313" s="11">
        <v>45</v>
      </c>
      <c r="O6313" s="12">
        <v>355.98</v>
      </c>
      <c r="P6313" s="12">
        <v>58.92</v>
      </c>
      <c r="Q6313" s="13">
        <v>3083.98</v>
      </c>
      <c r="R6313" s="36" t="s">
        <v>1986</v>
      </c>
      <c r="S6313" s="7">
        <f t="shared" si="549"/>
        <v>1</v>
      </c>
      <c r="T6313" s="15" t="str">
        <f>VLOOKUP(R6313,产品分类!$C$2:$D$1278,2,0)</f>
        <v>办公用品</v>
      </c>
    </row>
    <row r="6314" spans="1:20">
      <c r="A6314" s="8">
        <f>DATE(2012,12,31)-1371</f>
        <v>39903</v>
      </c>
      <c r="B6314" s="8">
        <f>DATE(2012,12,31)-1371</f>
        <v>39903</v>
      </c>
      <c r="C6314" s="9" t="s">
        <v>1381</v>
      </c>
      <c r="D6314">
        <v>10021340570</v>
      </c>
      <c r="E6314" t="s">
        <v>47</v>
      </c>
      <c r="F6314" t="s">
        <v>122</v>
      </c>
      <c r="G6314" t="s">
        <v>123</v>
      </c>
      <c r="H6314" t="s">
        <v>2458</v>
      </c>
      <c r="I6314" t="s">
        <v>2459</v>
      </c>
      <c r="J6314" t="s">
        <v>1225</v>
      </c>
      <c r="K6314" s="3">
        <v>100426183794</v>
      </c>
      <c r="L6314" s="10">
        <v>39905</v>
      </c>
      <c r="M6314">
        <v>54.077</v>
      </c>
      <c r="N6314" s="11">
        <v>1</v>
      </c>
      <c r="O6314" s="12">
        <v>55.99</v>
      </c>
      <c r="P6314" s="12">
        <v>5</v>
      </c>
      <c r="Q6314" s="13">
        <v>-232.991</v>
      </c>
      <c r="R6314" s="36" t="s">
        <v>1477</v>
      </c>
      <c r="S6314" s="7">
        <f t="shared" si="549"/>
        <v>2</v>
      </c>
      <c r="T6314" s="15" t="str">
        <f>VLOOKUP(R6314,产品分类!$C$2:$D$1278,2,0)</f>
        <v>办公用品</v>
      </c>
    </row>
    <row r="6315" spans="1:20">
      <c r="A6315" s="8">
        <f>DATE(2012,12,31)-1189</f>
        <v>40085</v>
      </c>
      <c r="B6315" s="8">
        <f>DATE(2012,12,31)-1189</f>
        <v>40085</v>
      </c>
      <c r="C6315" s="9" t="s">
        <v>1301</v>
      </c>
      <c r="D6315">
        <v>10021619772</v>
      </c>
      <c r="E6315" t="s">
        <v>47</v>
      </c>
      <c r="F6315" t="s">
        <v>83</v>
      </c>
      <c r="G6315" t="s">
        <v>84</v>
      </c>
      <c r="H6315" t="s">
        <v>2510</v>
      </c>
      <c r="I6315" t="s">
        <v>2511</v>
      </c>
      <c r="J6315" t="s">
        <v>1225</v>
      </c>
      <c r="K6315" s="3">
        <v>10031925229</v>
      </c>
      <c r="L6315" s="10">
        <v>40086</v>
      </c>
      <c r="M6315">
        <v>209.3</v>
      </c>
      <c r="N6315" s="11">
        <v>29</v>
      </c>
      <c r="O6315" s="12">
        <v>7.08</v>
      </c>
      <c r="P6315" s="12">
        <v>2.35</v>
      </c>
      <c r="Q6315" s="13">
        <v>30.49</v>
      </c>
      <c r="R6315" s="36" t="s">
        <v>392</v>
      </c>
      <c r="S6315" s="7">
        <f t="shared" si="549"/>
        <v>1</v>
      </c>
      <c r="T6315" s="15" t="str">
        <f>VLOOKUP(R6315,产品分类!$C$2:$D$1278,2,0)</f>
        <v>办公用品</v>
      </c>
    </row>
    <row r="6316" spans="1:20">
      <c r="A6316" s="8">
        <f>DATE(2012,12,31)-108</f>
        <v>41166</v>
      </c>
      <c r="B6316" s="8">
        <f>DATE(2012,12,31)-108</f>
        <v>41166</v>
      </c>
      <c r="C6316" s="9" t="s">
        <v>1301</v>
      </c>
      <c r="D6316">
        <v>10021416674</v>
      </c>
      <c r="E6316" t="s">
        <v>47</v>
      </c>
      <c r="F6316" t="s">
        <v>55</v>
      </c>
      <c r="G6316" t="s">
        <v>56</v>
      </c>
      <c r="H6316" t="s">
        <v>2471</v>
      </c>
      <c r="I6316" t="s">
        <v>2472</v>
      </c>
      <c r="J6316" t="s">
        <v>1225</v>
      </c>
      <c r="K6316" s="3">
        <v>100411714754</v>
      </c>
      <c r="L6316" s="10">
        <v>41167</v>
      </c>
      <c r="M6316">
        <v>1710.65</v>
      </c>
      <c r="N6316" s="11">
        <v>40</v>
      </c>
      <c r="O6316" s="12">
        <v>41.94</v>
      </c>
      <c r="P6316" s="12">
        <v>2.99</v>
      </c>
      <c r="Q6316" s="13">
        <v>782.0085</v>
      </c>
      <c r="R6316" s="36" t="s">
        <v>1387</v>
      </c>
      <c r="S6316" s="7">
        <f t="shared" si="549"/>
        <v>1</v>
      </c>
      <c r="T6316" s="15" t="str">
        <f>VLOOKUP(R6316,产品分类!$C$2:$D$1278,2,0)</f>
        <v>家具产品</v>
      </c>
    </row>
    <row r="6317" spans="1:20">
      <c r="A6317" s="8">
        <f>DATE(2012,12,31)-1351</f>
        <v>39923</v>
      </c>
      <c r="B6317" s="8">
        <f>DATE(2012,12,31)-1351</f>
        <v>39923</v>
      </c>
      <c r="C6317" s="9" t="s">
        <v>470</v>
      </c>
      <c r="D6317">
        <v>10021443664</v>
      </c>
      <c r="E6317" t="s">
        <v>47</v>
      </c>
      <c r="F6317" t="s">
        <v>91</v>
      </c>
      <c r="G6317" t="s">
        <v>92</v>
      </c>
      <c r="H6317" t="s">
        <v>2502</v>
      </c>
      <c r="I6317" t="s">
        <v>2503</v>
      </c>
      <c r="J6317" t="s">
        <v>1225</v>
      </c>
      <c r="K6317" s="3">
        <v>1003950899</v>
      </c>
      <c r="L6317" s="10">
        <v>39923</v>
      </c>
      <c r="M6317">
        <v>248.76</v>
      </c>
      <c r="N6317" s="11">
        <v>13</v>
      </c>
      <c r="O6317" s="12">
        <v>19.98</v>
      </c>
      <c r="P6317" s="12">
        <v>5.77</v>
      </c>
      <c r="Q6317" s="13">
        <v>35.09</v>
      </c>
      <c r="R6317" s="36" t="s">
        <v>2260</v>
      </c>
      <c r="S6317" s="7">
        <f t="shared" si="549"/>
        <v>0</v>
      </c>
      <c r="T6317" s="15" t="str">
        <f>VLOOKUP(R6317,产品分类!$C$2:$D$1278,2,0)</f>
        <v>家具产品</v>
      </c>
    </row>
    <row r="6318" spans="1:20">
      <c r="A6318" s="8">
        <f>DATE(2012,12,31)-1351</f>
        <v>39923</v>
      </c>
      <c r="B6318" s="8">
        <f>DATE(2012,12,31)-1351</f>
        <v>39923</v>
      </c>
      <c r="C6318" s="9" t="s">
        <v>470</v>
      </c>
      <c r="D6318">
        <v>10021659146</v>
      </c>
      <c r="E6318" t="s">
        <v>47</v>
      </c>
      <c r="F6318" t="s">
        <v>122</v>
      </c>
      <c r="G6318" t="s">
        <v>123</v>
      </c>
      <c r="H6318" t="s">
        <v>2458</v>
      </c>
      <c r="I6318" t="s">
        <v>2459</v>
      </c>
      <c r="J6318" t="s">
        <v>1225</v>
      </c>
      <c r="K6318" s="3">
        <v>100114490237</v>
      </c>
      <c r="L6318" s="10">
        <v>39924</v>
      </c>
      <c r="M6318">
        <v>10984.05</v>
      </c>
      <c r="N6318" s="11">
        <v>43</v>
      </c>
      <c r="O6318" s="12">
        <v>259.71</v>
      </c>
      <c r="P6318" s="12">
        <v>66.67</v>
      </c>
      <c r="Q6318" s="13">
        <v>785.63</v>
      </c>
      <c r="R6318" s="36" t="s">
        <v>1220</v>
      </c>
      <c r="S6318" s="7">
        <f t="shared" si="549"/>
        <v>1</v>
      </c>
      <c r="T6318" s="15" t="str">
        <f>VLOOKUP(R6318,产品分类!$C$2:$D$1278,2,0)</f>
        <v>家具产品</v>
      </c>
    </row>
    <row r="6319" spans="1:20">
      <c r="A6319" s="8">
        <f>DATE(2012,12,31)-1207</f>
        <v>40067</v>
      </c>
      <c r="B6319" s="8">
        <f>DATE(2012,12,31)-1207</f>
        <v>40067</v>
      </c>
      <c r="C6319" s="9" t="s">
        <v>403</v>
      </c>
      <c r="D6319">
        <v>10021261301</v>
      </c>
      <c r="E6319" t="s">
        <v>47</v>
      </c>
      <c r="F6319" t="s">
        <v>91</v>
      </c>
      <c r="G6319" t="s">
        <v>92</v>
      </c>
      <c r="H6319" t="s">
        <v>2502</v>
      </c>
      <c r="I6319" t="s">
        <v>2503</v>
      </c>
      <c r="J6319" t="s">
        <v>1225</v>
      </c>
      <c r="K6319" s="3">
        <v>100329408359</v>
      </c>
      <c r="L6319" s="10">
        <v>40068</v>
      </c>
      <c r="M6319">
        <v>125.79</v>
      </c>
      <c r="N6319" s="11">
        <v>21</v>
      </c>
      <c r="O6319" s="12">
        <v>5.98</v>
      </c>
      <c r="P6319" s="12">
        <v>1.49</v>
      </c>
      <c r="Q6319" s="13">
        <v>28.526</v>
      </c>
      <c r="R6319" s="36" t="s">
        <v>980</v>
      </c>
      <c r="S6319" s="7">
        <f t="shared" si="549"/>
        <v>1</v>
      </c>
      <c r="T6319" s="15" t="str">
        <f>VLOOKUP(R6319,产品分类!$C$2:$D$1278,2,0)</f>
        <v>办公用品</v>
      </c>
    </row>
    <row r="6320" spans="1:20">
      <c r="A6320" s="8">
        <f>DATE(2012,12,31)-203</f>
        <v>41071</v>
      </c>
      <c r="B6320" s="8">
        <f>DATE(2012,12,31)-203</f>
        <v>41071</v>
      </c>
      <c r="C6320" s="9" t="s">
        <v>1987</v>
      </c>
      <c r="D6320">
        <v>10021595056</v>
      </c>
      <c r="E6320" t="s">
        <v>47</v>
      </c>
      <c r="F6320" t="s">
        <v>55</v>
      </c>
      <c r="G6320" t="s">
        <v>56</v>
      </c>
      <c r="H6320" t="s">
        <v>2471</v>
      </c>
      <c r="I6320" t="s">
        <v>2472</v>
      </c>
      <c r="J6320" t="s">
        <v>1225</v>
      </c>
      <c r="K6320" s="3">
        <v>100126014296</v>
      </c>
      <c r="L6320" s="10">
        <v>41073</v>
      </c>
      <c r="M6320">
        <v>899.97</v>
      </c>
      <c r="N6320" s="11">
        <v>27</v>
      </c>
      <c r="O6320" s="12">
        <v>33.98</v>
      </c>
      <c r="P6320" s="12">
        <v>19.99</v>
      </c>
      <c r="Q6320" s="13">
        <v>-246.3</v>
      </c>
      <c r="R6320" s="36" t="s">
        <v>1310</v>
      </c>
      <c r="S6320" s="7">
        <f t="shared" si="549"/>
        <v>2</v>
      </c>
      <c r="T6320" s="15" t="str">
        <f>VLOOKUP(R6320,产品分类!$C$2:$D$1278,2,0)</f>
        <v>办公用品</v>
      </c>
    </row>
    <row r="6321" spans="1:20">
      <c r="A6321" s="8">
        <f>DATE(2012,12,31)-928</f>
        <v>40346</v>
      </c>
      <c r="B6321" s="8">
        <f>DATE(2012,12,31)-928</f>
        <v>40346</v>
      </c>
      <c r="C6321" s="9" t="s">
        <v>1987</v>
      </c>
      <c r="D6321">
        <v>10021662069</v>
      </c>
      <c r="E6321" t="s">
        <v>47</v>
      </c>
      <c r="F6321" t="s">
        <v>91</v>
      </c>
      <c r="G6321" t="s">
        <v>92</v>
      </c>
      <c r="H6321" t="s">
        <v>2502</v>
      </c>
      <c r="I6321" t="s">
        <v>2503</v>
      </c>
      <c r="J6321" t="s">
        <v>1225</v>
      </c>
      <c r="K6321" s="3">
        <v>100421156474</v>
      </c>
      <c r="L6321" s="10">
        <v>40353</v>
      </c>
      <c r="M6321">
        <v>187.55</v>
      </c>
      <c r="N6321" s="11">
        <v>25</v>
      </c>
      <c r="O6321" s="12">
        <v>7.77</v>
      </c>
      <c r="P6321" s="12">
        <v>9.23</v>
      </c>
      <c r="Q6321" s="13">
        <v>-171.41</v>
      </c>
      <c r="R6321" s="36" t="s">
        <v>1707</v>
      </c>
      <c r="S6321" s="7">
        <f t="shared" si="549"/>
        <v>7</v>
      </c>
      <c r="T6321" s="15" t="str">
        <f>VLOOKUP(R6321,产品分类!$C$2:$D$1278,2,0)</f>
        <v>办公用品</v>
      </c>
    </row>
    <row r="6322" spans="1:20">
      <c r="A6322" s="8">
        <f>DATE(2012,12,31)-1254</f>
        <v>40020</v>
      </c>
      <c r="B6322" s="8">
        <f>DATE(2012,12,31)-1254</f>
        <v>40020</v>
      </c>
      <c r="C6322" s="9" t="s">
        <v>405</v>
      </c>
      <c r="D6322">
        <v>10021385784</v>
      </c>
      <c r="E6322" t="s">
        <v>47</v>
      </c>
      <c r="F6322" t="s">
        <v>91</v>
      </c>
      <c r="G6322" t="s">
        <v>92</v>
      </c>
      <c r="H6322" t="s">
        <v>2502</v>
      </c>
      <c r="I6322" t="s">
        <v>2503</v>
      </c>
      <c r="J6322" t="s">
        <v>1225</v>
      </c>
      <c r="K6322" s="3">
        <v>1007530165</v>
      </c>
      <c r="L6322" s="10">
        <v>40022</v>
      </c>
      <c r="M6322">
        <v>21425.91</v>
      </c>
      <c r="N6322" s="11">
        <v>40</v>
      </c>
      <c r="O6322" s="12">
        <v>500.98</v>
      </c>
      <c r="P6322" s="12">
        <v>26</v>
      </c>
      <c r="Q6322" s="13">
        <v>7360.43</v>
      </c>
      <c r="R6322" s="36" t="s">
        <v>1959</v>
      </c>
      <c r="S6322" s="7">
        <f t="shared" si="549"/>
        <v>2</v>
      </c>
      <c r="T6322" s="15" t="str">
        <f>VLOOKUP(R6322,产品分类!$C$2:$D$1278,2,0)</f>
        <v>办公用品</v>
      </c>
    </row>
    <row r="6323" spans="1:20">
      <c r="A6323" s="16">
        <f>DATE(2012,12,31)-131</f>
        <v>41143</v>
      </c>
      <c r="B6323" s="16">
        <f>DATE(2012,12,31)-131</f>
        <v>41143</v>
      </c>
      <c r="C6323" s="9" t="s">
        <v>1696</v>
      </c>
      <c r="D6323">
        <v>10021462388</v>
      </c>
      <c r="E6323" t="s">
        <v>47</v>
      </c>
      <c r="F6323" t="s">
        <v>91</v>
      </c>
      <c r="G6323" t="s">
        <v>92</v>
      </c>
      <c r="H6323" t="s">
        <v>2502</v>
      </c>
      <c r="I6323" t="s">
        <v>2503</v>
      </c>
      <c r="J6323" t="s">
        <v>1225</v>
      </c>
      <c r="K6323" s="3">
        <v>10091718391</v>
      </c>
      <c r="L6323" s="10">
        <v>41145</v>
      </c>
      <c r="M6323">
        <v>283.18</v>
      </c>
      <c r="N6323" s="17">
        <v>43</v>
      </c>
      <c r="O6323" s="5">
        <v>6.48</v>
      </c>
      <c r="P6323" s="5">
        <v>7.49</v>
      </c>
      <c r="Q6323" s="6">
        <v>-154.95</v>
      </c>
      <c r="R6323" s="37" t="s">
        <v>1545</v>
      </c>
      <c r="S6323" s="7">
        <f t="shared" si="549"/>
        <v>2</v>
      </c>
      <c r="T6323" s="15" t="str">
        <f>VLOOKUP(R6323,产品分类!$C$2:$D$1278,2,0)</f>
        <v>办公用品</v>
      </c>
    </row>
    <row r="6324" spans="1:20">
      <c r="A6324" s="8">
        <f>DATE(2012,12,31)-608</f>
        <v>40666</v>
      </c>
      <c r="B6324" s="8">
        <f>DATE(2012,12,31)-608</f>
        <v>40666</v>
      </c>
      <c r="C6324" s="9" t="s">
        <v>940</v>
      </c>
      <c r="D6324">
        <v>10021523364</v>
      </c>
      <c r="E6324" t="s">
        <v>47</v>
      </c>
      <c r="F6324" t="s">
        <v>122</v>
      </c>
      <c r="G6324" t="s">
        <v>123</v>
      </c>
      <c r="H6324" t="s">
        <v>2458</v>
      </c>
      <c r="I6324" t="s">
        <v>2459</v>
      </c>
      <c r="J6324" t="s">
        <v>1225</v>
      </c>
      <c r="K6324" s="3">
        <v>10017398076</v>
      </c>
      <c r="L6324" s="10">
        <v>40668</v>
      </c>
      <c r="M6324">
        <v>94.46</v>
      </c>
      <c r="N6324" s="11">
        <v>27</v>
      </c>
      <c r="O6324" s="12">
        <v>3.28</v>
      </c>
      <c r="P6324" s="12">
        <v>4.2</v>
      </c>
      <c r="Q6324" s="13">
        <v>-75.09</v>
      </c>
      <c r="R6324" s="36" t="s">
        <v>1453</v>
      </c>
      <c r="S6324" s="7">
        <f t="shared" si="549"/>
        <v>2</v>
      </c>
      <c r="T6324" s="15" t="str">
        <f>VLOOKUP(R6324,产品分类!$C$2:$D$1278,2,0)</f>
        <v>办公用品</v>
      </c>
    </row>
    <row r="6325" spans="1:20">
      <c r="A6325" s="8">
        <f>DATE(2012,12,31)-1028</f>
        <v>40246</v>
      </c>
      <c r="B6325" s="8">
        <f>DATE(2012,12,31)-1028</f>
        <v>40246</v>
      </c>
      <c r="C6325" s="9" t="s">
        <v>1129</v>
      </c>
      <c r="D6325">
        <v>10021665005</v>
      </c>
      <c r="E6325" t="s">
        <v>47</v>
      </c>
      <c r="F6325" t="s">
        <v>91</v>
      </c>
      <c r="G6325" t="s">
        <v>92</v>
      </c>
      <c r="H6325" t="s">
        <v>2502</v>
      </c>
      <c r="I6325" t="s">
        <v>2503</v>
      </c>
      <c r="J6325" t="s">
        <v>1225</v>
      </c>
      <c r="K6325" s="3">
        <v>100925708071</v>
      </c>
      <c r="L6325" s="10">
        <v>40248</v>
      </c>
      <c r="M6325">
        <v>85.62</v>
      </c>
      <c r="N6325" s="11">
        <v>11</v>
      </c>
      <c r="O6325" s="12">
        <v>7.28</v>
      </c>
      <c r="P6325" s="12">
        <v>11.15</v>
      </c>
      <c r="Q6325" s="13">
        <v>-81.22</v>
      </c>
      <c r="R6325" s="36" t="s">
        <v>1940</v>
      </c>
      <c r="S6325" s="7">
        <f t="shared" si="549"/>
        <v>2</v>
      </c>
      <c r="T6325" s="15" t="str">
        <f>VLOOKUP(R6325,产品分类!$C$2:$D$1278,2,0)</f>
        <v>数码电子</v>
      </c>
    </row>
    <row r="6326" spans="1:20">
      <c r="A6326" s="8">
        <f>DATE(2012,12,31)-1056</f>
        <v>40218</v>
      </c>
      <c r="B6326" s="8">
        <f>DATE(2012,12,31)-1056</f>
        <v>40218</v>
      </c>
      <c r="C6326" s="9" t="s">
        <v>101</v>
      </c>
      <c r="D6326">
        <v>10021450651</v>
      </c>
      <c r="E6326" t="s">
        <v>47</v>
      </c>
      <c r="F6326" t="s">
        <v>122</v>
      </c>
      <c r="G6326" t="s">
        <v>123</v>
      </c>
      <c r="H6326" t="s">
        <v>2458</v>
      </c>
      <c r="I6326" t="s">
        <v>2459</v>
      </c>
      <c r="J6326" t="s">
        <v>1225</v>
      </c>
      <c r="K6326" s="3">
        <v>10099435451</v>
      </c>
      <c r="L6326" s="10">
        <v>40219</v>
      </c>
      <c r="M6326">
        <v>47.03</v>
      </c>
      <c r="N6326" s="11">
        <v>4</v>
      </c>
      <c r="O6326" s="12">
        <v>11.19</v>
      </c>
      <c r="P6326" s="12">
        <v>5.03</v>
      </c>
      <c r="Q6326" s="13">
        <v>-12.03</v>
      </c>
      <c r="R6326" s="36" t="s">
        <v>1548</v>
      </c>
      <c r="S6326" s="7">
        <f t="shared" si="549"/>
        <v>1</v>
      </c>
      <c r="T6326" s="15" t="str">
        <f>VLOOKUP(R6326,产品分类!$C$2:$D$1278,2,0)</f>
        <v>办公用品</v>
      </c>
    </row>
    <row r="6327" spans="1:20">
      <c r="A6327" s="8">
        <f t="shared" ref="A6327:B6329" si="552">DATE(2012,12,31)-775</f>
        <v>40499</v>
      </c>
      <c r="B6327" s="8">
        <f t="shared" si="552"/>
        <v>40499</v>
      </c>
      <c r="C6327" s="9" t="s">
        <v>1741</v>
      </c>
      <c r="D6327">
        <v>10021331772</v>
      </c>
      <c r="E6327" t="s">
        <v>47</v>
      </c>
      <c r="F6327" t="s">
        <v>83</v>
      </c>
      <c r="G6327" t="s">
        <v>84</v>
      </c>
      <c r="H6327" t="s">
        <v>2510</v>
      </c>
      <c r="I6327" t="s">
        <v>2511</v>
      </c>
      <c r="J6327" t="s">
        <v>1225</v>
      </c>
      <c r="K6327" s="3">
        <v>10018812326</v>
      </c>
      <c r="L6327" s="10">
        <v>40500</v>
      </c>
      <c r="M6327">
        <v>9362.73</v>
      </c>
      <c r="N6327" s="11">
        <v>39</v>
      </c>
      <c r="O6327" s="12">
        <v>232.58</v>
      </c>
      <c r="P6327" s="12">
        <v>19.99</v>
      </c>
      <c r="Q6327" s="13">
        <v>2766.29</v>
      </c>
      <c r="R6327" s="36" t="s">
        <v>1619</v>
      </c>
      <c r="S6327" s="7">
        <f t="shared" si="549"/>
        <v>1</v>
      </c>
      <c r="T6327" s="15" t="str">
        <f>VLOOKUP(R6327,产品分类!$C$2:$D$1278,2,0)</f>
        <v>数码电子</v>
      </c>
    </row>
    <row r="6328" spans="1:20">
      <c r="A6328" s="8">
        <f t="shared" si="552"/>
        <v>40499</v>
      </c>
      <c r="B6328" s="8">
        <f t="shared" si="552"/>
        <v>40499</v>
      </c>
      <c r="C6328" s="9" t="s">
        <v>1741</v>
      </c>
      <c r="D6328">
        <v>10021252664</v>
      </c>
      <c r="E6328" t="s">
        <v>47</v>
      </c>
      <c r="F6328" t="s">
        <v>91</v>
      </c>
      <c r="G6328" t="s">
        <v>92</v>
      </c>
      <c r="H6328" t="s">
        <v>2502</v>
      </c>
      <c r="I6328" t="s">
        <v>2503</v>
      </c>
      <c r="J6328" t="s">
        <v>1225</v>
      </c>
      <c r="K6328" s="3">
        <v>100312633159</v>
      </c>
      <c r="L6328" s="10">
        <v>40500</v>
      </c>
      <c r="M6328">
        <v>125.33</v>
      </c>
      <c r="N6328" s="11">
        <v>37</v>
      </c>
      <c r="O6328" s="12">
        <v>3.08</v>
      </c>
      <c r="P6328" s="12">
        <v>0.5</v>
      </c>
      <c r="Q6328" s="13">
        <v>58.5</v>
      </c>
      <c r="R6328" s="36" t="s">
        <v>1360</v>
      </c>
      <c r="S6328" s="7">
        <f t="shared" si="549"/>
        <v>1</v>
      </c>
      <c r="T6328" s="15" t="str">
        <f>VLOOKUP(R6328,产品分类!$C$2:$D$1278,2,0)</f>
        <v>办公用品</v>
      </c>
    </row>
    <row r="6329" spans="1:20">
      <c r="A6329" s="8">
        <f t="shared" si="552"/>
        <v>40499</v>
      </c>
      <c r="B6329" s="8">
        <f t="shared" si="552"/>
        <v>40499</v>
      </c>
      <c r="C6329" s="9" t="s">
        <v>976</v>
      </c>
      <c r="D6329">
        <v>10021433168</v>
      </c>
      <c r="E6329" t="s">
        <v>47</v>
      </c>
      <c r="F6329" t="s">
        <v>83</v>
      </c>
      <c r="G6329" t="s">
        <v>84</v>
      </c>
      <c r="H6329" t="s">
        <v>2510</v>
      </c>
      <c r="I6329" t="s">
        <v>2511</v>
      </c>
      <c r="J6329" t="s">
        <v>1225</v>
      </c>
      <c r="K6329" s="3">
        <v>100432601053</v>
      </c>
      <c r="L6329" s="10">
        <v>40502</v>
      </c>
      <c r="M6329">
        <v>99.65</v>
      </c>
      <c r="N6329" s="11">
        <v>37</v>
      </c>
      <c r="O6329" s="12">
        <v>2.62</v>
      </c>
      <c r="P6329" s="12">
        <v>0.8</v>
      </c>
      <c r="Q6329" s="13">
        <v>27</v>
      </c>
      <c r="R6329" s="36" t="s">
        <v>392</v>
      </c>
      <c r="S6329" s="7">
        <f t="shared" si="549"/>
        <v>3</v>
      </c>
      <c r="T6329" s="15" t="str">
        <f>VLOOKUP(R6329,产品分类!$C$2:$D$1278,2,0)</f>
        <v>办公用品</v>
      </c>
    </row>
    <row r="6330" spans="1:20">
      <c r="A6330" s="8">
        <f t="shared" ref="A6330:B6332" si="553">DATE(2012,12,31)-608</f>
        <v>40666</v>
      </c>
      <c r="B6330" s="8">
        <f t="shared" si="553"/>
        <v>40666</v>
      </c>
      <c r="C6330" s="9" t="s">
        <v>742</v>
      </c>
      <c r="D6330">
        <v>10021270416</v>
      </c>
      <c r="E6330" t="s">
        <v>47</v>
      </c>
      <c r="F6330" t="s">
        <v>97</v>
      </c>
      <c r="G6330" t="s">
        <v>98</v>
      </c>
      <c r="H6330" t="s">
        <v>99</v>
      </c>
      <c r="I6330" t="s">
        <v>98</v>
      </c>
      <c r="J6330" t="s">
        <v>1225</v>
      </c>
      <c r="K6330" s="3">
        <v>100132482128</v>
      </c>
      <c r="L6330" s="10">
        <v>40668</v>
      </c>
      <c r="M6330">
        <v>112.91</v>
      </c>
      <c r="N6330" s="11">
        <v>16</v>
      </c>
      <c r="O6330" s="12">
        <v>6.48</v>
      </c>
      <c r="P6330" s="12">
        <v>8.4</v>
      </c>
      <c r="Q6330" s="13">
        <v>-72.81</v>
      </c>
      <c r="R6330" s="36" t="s">
        <v>1302</v>
      </c>
      <c r="S6330" s="7">
        <f t="shared" si="549"/>
        <v>2</v>
      </c>
      <c r="T6330" s="15" t="str">
        <f>VLOOKUP(R6330,产品分类!$C$2:$D$1278,2,0)</f>
        <v>数码电子</v>
      </c>
    </row>
    <row r="6331" spans="1:20">
      <c r="A6331" s="8">
        <f t="shared" si="553"/>
        <v>40666</v>
      </c>
      <c r="B6331" s="8">
        <f t="shared" si="553"/>
        <v>40666</v>
      </c>
      <c r="C6331" s="9" t="s">
        <v>457</v>
      </c>
      <c r="D6331">
        <v>10021298678</v>
      </c>
      <c r="E6331" t="s">
        <v>47</v>
      </c>
      <c r="F6331" t="s">
        <v>97</v>
      </c>
      <c r="G6331" t="s">
        <v>98</v>
      </c>
      <c r="H6331" t="s">
        <v>99</v>
      </c>
      <c r="I6331" t="s">
        <v>98</v>
      </c>
      <c r="J6331" t="s">
        <v>1225</v>
      </c>
      <c r="K6331" s="3">
        <v>100316458259</v>
      </c>
      <c r="L6331" s="10">
        <v>40666</v>
      </c>
      <c r="M6331">
        <v>180.92</v>
      </c>
      <c r="N6331" s="11">
        <v>22</v>
      </c>
      <c r="O6331" s="12">
        <v>8.57</v>
      </c>
      <c r="P6331" s="12">
        <v>6.14</v>
      </c>
      <c r="Q6331" s="13">
        <v>-82.54</v>
      </c>
      <c r="R6331" s="36" t="s">
        <v>1440</v>
      </c>
      <c r="S6331" s="7">
        <f t="shared" si="549"/>
        <v>0</v>
      </c>
      <c r="T6331" s="15" t="str">
        <f>VLOOKUP(R6331,产品分类!$C$2:$D$1278,2,0)</f>
        <v>家具产品</v>
      </c>
    </row>
    <row r="6332" spans="1:20">
      <c r="A6332" s="8">
        <f t="shared" si="553"/>
        <v>40666</v>
      </c>
      <c r="B6332" s="8">
        <f t="shared" si="553"/>
        <v>40666</v>
      </c>
      <c r="C6332" s="9" t="s">
        <v>405</v>
      </c>
      <c r="D6332">
        <v>10021493370</v>
      </c>
      <c r="E6332" t="s">
        <v>47</v>
      </c>
      <c r="F6332" t="s">
        <v>97</v>
      </c>
      <c r="G6332" t="s">
        <v>98</v>
      </c>
      <c r="H6332" t="s">
        <v>99</v>
      </c>
      <c r="I6332" t="s">
        <v>98</v>
      </c>
      <c r="J6332" t="s">
        <v>1225</v>
      </c>
      <c r="K6332" s="3">
        <v>10011673058</v>
      </c>
      <c r="L6332" s="10">
        <v>40670</v>
      </c>
      <c r="M6332">
        <v>31.68</v>
      </c>
      <c r="N6332" s="11">
        <v>17</v>
      </c>
      <c r="O6332" s="12">
        <v>1.7</v>
      </c>
      <c r="P6332" s="12">
        <v>1.99</v>
      </c>
      <c r="Q6332" s="13">
        <v>-23.69</v>
      </c>
      <c r="R6332" s="36" t="s">
        <v>614</v>
      </c>
      <c r="S6332" s="7">
        <f t="shared" si="549"/>
        <v>4</v>
      </c>
      <c r="T6332" s="15" t="str">
        <f>VLOOKUP(R6332,产品分类!$C$2:$D$1278,2,0)</f>
        <v>办公用品</v>
      </c>
    </row>
    <row r="6333" spans="1:20">
      <c r="A6333" s="8">
        <f>DATE(2012,12,31)-1099</f>
        <v>40175</v>
      </c>
      <c r="B6333" s="8">
        <f>DATE(2012,12,31)-1099</f>
        <v>40175</v>
      </c>
      <c r="C6333" s="9" t="s">
        <v>238</v>
      </c>
      <c r="D6333">
        <v>10021584398</v>
      </c>
      <c r="E6333" t="s">
        <v>47</v>
      </c>
      <c r="F6333" t="s">
        <v>132</v>
      </c>
      <c r="G6333" t="s">
        <v>133</v>
      </c>
      <c r="H6333" t="s">
        <v>134</v>
      </c>
      <c r="I6333" t="s">
        <v>133</v>
      </c>
      <c r="J6333" t="s">
        <v>1225</v>
      </c>
      <c r="K6333" s="3">
        <v>100427405804</v>
      </c>
      <c r="L6333" s="10">
        <v>40177</v>
      </c>
      <c r="M6333">
        <v>575.74</v>
      </c>
      <c r="N6333" s="11">
        <v>27</v>
      </c>
      <c r="O6333" s="12">
        <v>22.24</v>
      </c>
      <c r="P6333" s="12">
        <v>1.99</v>
      </c>
      <c r="Q6333" s="13">
        <v>152.6</v>
      </c>
      <c r="R6333" s="36" t="s">
        <v>1030</v>
      </c>
      <c r="S6333" s="7">
        <f t="shared" si="549"/>
        <v>2</v>
      </c>
      <c r="T6333" s="15" t="str">
        <f>VLOOKUP(R6333,产品分类!$C$2:$D$1278,2,0)</f>
        <v>办公用品</v>
      </c>
    </row>
    <row r="6334" spans="1:20">
      <c r="A6334" s="8">
        <f>DATE(2012,12,31)-456</f>
        <v>40818</v>
      </c>
      <c r="B6334" s="8">
        <f>DATE(2012,12,31)-456</f>
        <v>40818</v>
      </c>
      <c r="C6334" s="9" t="s">
        <v>897</v>
      </c>
      <c r="D6334">
        <v>10021524730</v>
      </c>
      <c r="E6334" t="s">
        <v>47</v>
      </c>
      <c r="F6334" t="s">
        <v>132</v>
      </c>
      <c r="G6334" t="s">
        <v>133</v>
      </c>
      <c r="H6334" t="s">
        <v>134</v>
      </c>
      <c r="I6334" t="s">
        <v>133</v>
      </c>
      <c r="J6334" t="s">
        <v>1225</v>
      </c>
      <c r="K6334" s="3">
        <v>100418705883</v>
      </c>
      <c r="L6334" s="10">
        <v>40822</v>
      </c>
      <c r="M6334">
        <v>28.82</v>
      </c>
      <c r="N6334" s="11">
        <v>19</v>
      </c>
      <c r="O6334" s="12">
        <v>1.48</v>
      </c>
      <c r="P6334" s="12">
        <v>0.7</v>
      </c>
      <c r="Q6334" s="13">
        <v>2.16</v>
      </c>
      <c r="R6334" s="36" t="s">
        <v>2423</v>
      </c>
      <c r="S6334" s="7">
        <f t="shared" si="549"/>
        <v>4</v>
      </c>
      <c r="T6334" s="15" t="str">
        <f>VLOOKUP(R6334,产品分类!$C$2:$D$1278,2,0)</f>
        <v>办公用品</v>
      </c>
    </row>
    <row r="6335" spans="1:20">
      <c r="A6335" s="8">
        <f>DATE(2012,12,31)-456</f>
        <v>40818</v>
      </c>
      <c r="B6335" s="8">
        <f>DATE(2012,12,31)-456</f>
        <v>40818</v>
      </c>
      <c r="C6335" s="9" t="s">
        <v>1257</v>
      </c>
      <c r="D6335">
        <v>10021575353</v>
      </c>
      <c r="E6335" t="s">
        <v>47</v>
      </c>
      <c r="F6335" t="s">
        <v>132</v>
      </c>
      <c r="G6335" t="s">
        <v>133</v>
      </c>
      <c r="H6335" t="s">
        <v>134</v>
      </c>
      <c r="I6335" t="s">
        <v>133</v>
      </c>
      <c r="J6335" t="s">
        <v>1225</v>
      </c>
      <c r="K6335" s="3">
        <v>10099639931</v>
      </c>
      <c r="L6335" s="10">
        <v>40822</v>
      </c>
      <c r="M6335">
        <v>75.39</v>
      </c>
      <c r="N6335" s="11">
        <v>45</v>
      </c>
      <c r="O6335" s="12">
        <v>1.68</v>
      </c>
      <c r="P6335" s="12">
        <v>0.7</v>
      </c>
      <c r="Q6335" s="13">
        <v>-4.83</v>
      </c>
      <c r="R6335" s="36" t="s">
        <v>1394</v>
      </c>
      <c r="S6335" s="7">
        <f t="shared" si="549"/>
        <v>4</v>
      </c>
      <c r="T6335" s="15" t="str">
        <f>VLOOKUP(R6335,产品分类!$C$2:$D$1278,2,0)</f>
        <v>办公用品</v>
      </c>
    </row>
    <row r="6336" spans="1:20">
      <c r="A6336" s="8">
        <f>DATE(2012,12,31)-7</f>
        <v>41267</v>
      </c>
      <c r="B6336" s="8">
        <f>DATE(2012,12,31)-7</f>
        <v>41267</v>
      </c>
      <c r="C6336" s="9" t="s">
        <v>2316</v>
      </c>
      <c r="D6336">
        <v>10021294435</v>
      </c>
      <c r="E6336" t="s">
        <v>47</v>
      </c>
      <c r="F6336" t="s">
        <v>97</v>
      </c>
      <c r="G6336" t="s">
        <v>98</v>
      </c>
      <c r="H6336" t="s">
        <v>99</v>
      </c>
      <c r="I6336" t="s">
        <v>98</v>
      </c>
      <c r="J6336" t="s">
        <v>1225</v>
      </c>
      <c r="K6336" s="3">
        <v>100713986085</v>
      </c>
      <c r="L6336" s="10">
        <v>41269</v>
      </c>
      <c r="M6336">
        <v>1673.53</v>
      </c>
      <c r="N6336" s="11">
        <v>32</v>
      </c>
      <c r="O6336" s="12">
        <v>51.98</v>
      </c>
      <c r="P6336" s="12">
        <v>10.17</v>
      </c>
      <c r="Q6336" s="13">
        <v>524.73</v>
      </c>
      <c r="R6336" s="36" t="s">
        <v>2521</v>
      </c>
      <c r="S6336" s="7">
        <f t="shared" si="549"/>
        <v>2</v>
      </c>
      <c r="T6336" s="15" t="str">
        <f>VLOOKUP(R6336,产品分类!$C$2:$D$1278,2,0)</f>
        <v>办公用品</v>
      </c>
    </row>
    <row r="6337" spans="1:20">
      <c r="A6337" s="8">
        <f>DATE(2012,12,31)-7</f>
        <v>41267</v>
      </c>
      <c r="B6337" s="8">
        <f>DATE(2012,12,31)-7</f>
        <v>41267</v>
      </c>
      <c r="C6337" s="9" t="s">
        <v>96</v>
      </c>
      <c r="D6337">
        <v>10021531045</v>
      </c>
      <c r="E6337" t="s">
        <v>47</v>
      </c>
      <c r="F6337" t="s">
        <v>132</v>
      </c>
      <c r="G6337" t="s">
        <v>133</v>
      </c>
      <c r="H6337" t="s">
        <v>134</v>
      </c>
      <c r="I6337" t="s">
        <v>133</v>
      </c>
      <c r="J6337" t="s">
        <v>1225</v>
      </c>
      <c r="K6337" s="3">
        <v>100330712359</v>
      </c>
      <c r="L6337" s="10">
        <v>41269</v>
      </c>
      <c r="M6337">
        <v>7110.24</v>
      </c>
      <c r="N6337" s="11">
        <v>32</v>
      </c>
      <c r="O6337" s="12">
        <v>218.75</v>
      </c>
      <c r="P6337" s="12">
        <v>69.64</v>
      </c>
      <c r="Q6337" s="13">
        <v>-536.166</v>
      </c>
      <c r="R6337" s="36" t="s">
        <v>2435</v>
      </c>
      <c r="S6337" s="7">
        <f t="shared" si="549"/>
        <v>2</v>
      </c>
      <c r="T6337" s="15" t="str">
        <f>VLOOKUP(R6337,产品分类!$C$2:$D$1278,2,0)</f>
        <v>办公用品</v>
      </c>
    </row>
    <row r="6338" spans="1:20">
      <c r="A6338" s="8">
        <f>DATE(2012,12,31)-1243</f>
        <v>40031</v>
      </c>
      <c r="B6338" s="8">
        <f>DATE(2012,12,31)-1243</f>
        <v>40031</v>
      </c>
      <c r="C6338" s="9" t="s">
        <v>96</v>
      </c>
      <c r="D6338">
        <v>10021462088</v>
      </c>
      <c r="E6338" t="s">
        <v>47</v>
      </c>
      <c r="F6338" t="s">
        <v>97</v>
      </c>
      <c r="G6338" t="s">
        <v>98</v>
      </c>
      <c r="H6338" t="s">
        <v>99</v>
      </c>
      <c r="I6338" t="s">
        <v>98</v>
      </c>
      <c r="J6338" t="s">
        <v>1225</v>
      </c>
      <c r="K6338" s="3">
        <v>100419581123</v>
      </c>
      <c r="L6338" s="10">
        <v>40032</v>
      </c>
      <c r="M6338">
        <v>1219.2485</v>
      </c>
      <c r="N6338" s="11">
        <v>46</v>
      </c>
      <c r="O6338" s="12">
        <v>28.99</v>
      </c>
      <c r="P6338" s="12">
        <v>8.59</v>
      </c>
      <c r="Q6338" s="13">
        <v>132.786</v>
      </c>
      <c r="R6338" s="36" t="s">
        <v>994</v>
      </c>
      <c r="S6338" s="7">
        <f t="shared" si="549"/>
        <v>1</v>
      </c>
      <c r="T6338" s="15" t="str">
        <f>VLOOKUP(R6338,产品分类!$C$2:$D$1278,2,0)</f>
        <v>办公用品</v>
      </c>
    </row>
    <row r="6339" spans="1:20">
      <c r="A6339" s="8">
        <f>DATE(2012,12,31)-460</f>
        <v>40814</v>
      </c>
      <c r="B6339" s="8">
        <f>DATE(2012,12,31)-460</f>
        <v>40814</v>
      </c>
      <c r="C6339" s="9" t="s">
        <v>96</v>
      </c>
      <c r="D6339">
        <v>10021585309</v>
      </c>
      <c r="E6339" t="s">
        <v>47</v>
      </c>
      <c r="F6339" t="s">
        <v>132</v>
      </c>
      <c r="G6339" t="s">
        <v>133</v>
      </c>
      <c r="H6339" t="s">
        <v>134</v>
      </c>
      <c r="I6339" t="s">
        <v>133</v>
      </c>
      <c r="J6339" t="s">
        <v>1225</v>
      </c>
      <c r="K6339" s="3">
        <v>100328051239</v>
      </c>
      <c r="L6339" s="10">
        <v>40818</v>
      </c>
      <c r="M6339">
        <v>88.1</v>
      </c>
      <c r="N6339" s="11">
        <v>46</v>
      </c>
      <c r="O6339" s="12">
        <v>1.76</v>
      </c>
      <c r="P6339" s="12">
        <v>4.86</v>
      </c>
      <c r="Q6339" s="13">
        <v>-161.61</v>
      </c>
      <c r="R6339" s="36" t="s">
        <v>960</v>
      </c>
      <c r="S6339" s="7">
        <f t="shared" ref="S6339:S6402" si="554">+L6339-B6339</f>
        <v>4</v>
      </c>
      <c r="T6339" s="15" t="str">
        <f>VLOOKUP(R6339,产品分类!$C$2:$D$1278,2,0)</f>
        <v>家具产品</v>
      </c>
    </row>
    <row r="6340" spans="1:20">
      <c r="A6340" s="16">
        <f>DATE(2012,12,31)-1074</f>
        <v>40200</v>
      </c>
      <c r="B6340" s="16">
        <f>DATE(2012,12,31)-1074</f>
        <v>40200</v>
      </c>
      <c r="C6340" s="9" t="s">
        <v>300</v>
      </c>
      <c r="D6340">
        <v>10021250535</v>
      </c>
      <c r="E6340" t="s">
        <v>47</v>
      </c>
      <c r="F6340" t="s">
        <v>97</v>
      </c>
      <c r="G6340" t="s">
        <v>98</v>
      </c>
      <c r="H6340" t="s">
        <v>99</v>
      </c>
      <c r="I6340" t="s">
        <v>98</v>
      </c>
      <c r="J6340" t="s">
        <v>1225</v>
      </c>
      <c r="K6340" s="3">
        <v>100113571968</v>
      </c>
      <c r="L6340" s="10">
        <v>40201</v>
      </c>
      <c r="M6340">
        <v>110.74</v>
      </c>
      <c r="N6340" s="17">
        <v>17</v>
      </c>
      <c r="O6340" s="5">
        <v>6.48</v>
      </c>
      <c r="P6340" s="5">
        <v>7.49</v>
      </c>
      <c r="Q6340" s="6">
        <v>-70.31</v>
      </c>
      <c r="R6340" s="37" t="s">
        <v>767</v>
      </c>
      <c r="S6340" s="7">
        <f t="shared" si="554"/>
        <v>1</v>
      </c>
      <c r="T6340" s="15" t="str">
        <f>VLOOKUP(R6340,产品分类!$C$2:$D$1278,2,0)</f>
        <v>家具产品</v>
      </c>
    </row>
    <row r="6341" spans="1:20">
      <c r="A6341" s="8">
        <f>DATE(2012,12,31)-630</f>
        <v>40644</v>
      </c>
      <c r="B6341" s="8">
        <f>DATE(2012,12,31)-630</f>
        <v>40644</v>
      </c>
      <c r="C6341" s="9" t="s">
        <v>300</v>
      </c>
      <c r="D6341">
        <v>10021505705</v>
      </c>
      <c r="E6341" t="s">
        <v>47</v>
      </c>
      <c r="F6341" t="s">
        <v>208</v>
      </c>
      <c r="G6341" t="s">
        <v>209</v>
      </c>
      <c r="H6341" t="s">
        <v>2300</v>
      </c>
      <c r="I6341" t="s">
        <v>2301</v>
      </c>
      <c r="J6341" t="s">
        <v>1225</v>
      </c>
      <c r="K6341" s="3">
        <v>100431119924</v>
      </c>
      <c r="L6341" s="10">
        <v>40647</v>
      </c>
      <c r="M6341">
        <v>73.82</v>
      </c>
      <c r="N6341" s="11">
        <v>26</v>
      </c>
      <c r="O6341" s="12">
        <v>2.88</v>
      </c>
      <c r="P6341" s="12">
        <v>1.49</v>
      </c>
      <c r="Q6341" s="13">
        <v>2.006</v>
      </c>
      <c r="R6341" s="36" t="s">
        <v>1824</v>
      </c>
      <c r="S6341" s="7">
        <f t="shared" si="554"/>
        <v>3</v>
      </c>
      <c r="T6341" s="15" t="str">
        <f>VLOOKUP(R6341,产品分类!$C$2:$D$1278,2,0)</f>
        <v>家具产品</v>
      </c>
    </row>
    <row r="6342" spans="1:20">
      <c r="A6342" s="8">
        <f>DATE(2012,12,31)-912</f>
        <v>40362</v>
      </c>
      <c r="B6342" s="8">
        <f>DATE(2012,12,31)-912</f>
        <v>40362</v>
      </c>
      <c r="C6342" s="9" t="s">
        <v>300</v>
      </c>
      <c r="D6342">
        <v>10021389760</v>
      </c>
      <c r="E6342" t="s">
        <v>47</v>
      </c>
      <c r="F6342" t="s">
        <v>102</v>
      </c>
      <c r="G6342" t="s">
        <v>103</v>
      </c>
      <c r="H6342" t="s">
        <v>2483</v>
      </c>
      <c r="I6342" t="s">
        <v>2484</v>
      </c>
      <c r="J6342" t="s">
        <v>1225</v>
      </c>
      <c r="K6342" s="3">
        <v>10087590342</v>
      </c>
      <c r="L6342" s="10">
        <v>40362</v>
      </c>
      <c r="M6342">
        <v>5304.42</v>
      </c>
      <c r="N6342" s="11">
        <v>20</v>
      </c>
      <c r="O6342" s="12">
        <v>262.11</v>
      </c>
      <c r="P6342" s="12">
        <v>62.74</v>
      </c>
      <c r="Q6342" s="13">
        <v>-633.441237</v>
      </c>
      <c r="R6342" s="36" t="s">
        <v>1962</v>
      </c>
      <c r="S6342" s="7">
        <f t="shared" si="554"/>
        <v>0</v>
      </c>
      <c r="T6342" s="15" t="str">
        <f>VLOOKUP(R6342,产品分类!$C$2:$D$1278,2,0)</f>
        <v>数码电子</v>
      </c>
    </row>
    <row r="6343" spans="1:20">
      <c r="A6343" s="16">
        <f>DATE(2012,12,31)-891</f>
        <v>40383</v>
      </c>
      <c r="B6343" s="16">
        <f>DATE(2012,12,31)-891</f>
        <v>40383</v>
      </c>
      <c r="C6343" s="9" t="s">
        <v>350</v>
      </c>
      <c r="D6343">
        <v>10021591342</v>
      </c>
      <c r="E6343" t="s">
        <v>47</v>
      </c>
      <c r="F6343" t="s">
        <v>102</v>
      </c>
      <c r="G6343" t="s">
        <v>103</v>
      </c>
      <c r="H6343" t="s">
        <v>2483</v>
      </c>
      <c r="I6343" t="s">
        <v>2484</v>
      </c>
      <c r="J6343" t="s">
        <v>1225</v>
      </c>
      <c r="K6343" s="3">
        <v>100931780001</v>
      </c>
      <c r="L6343" s="10">
        <v>40385</v>
      </c>
      <c r="M6343">
        <v>18.16</v>
      </c>
      <c r="N6343" s="17">
        <v>1</v>
      </c>
      <c r="O6343" s="5">
        <v>12.28</v>
      </c>
      <c r="P6343" s="5">
        <v>6.13</v>
      </c>
      <c r="Q6343" s="6">
        <v>-7.25</v>
      </c>
      <c r="R6343" s="37" t="s">
        <v>1479</v>
      </c>
      <c r="S6343" s="7">
        <f t="shared" si="554"/>
        <v>2</v>
      </c>
      <c r="T6343" s="15" t="str">
        <f>VLOOKUP(R6343,产品分类!$C$2:$D$1278,2,0)</f>
        <v>数码电子</v>
      </c>
    </row>
    <row r="6344" spans="1:20">
      <c r="A6344" s="16">
        <f t="shared" ref="A6344:B6346" si="555">DATE(2012,12,31)-697</f>
        <v>40577</v>
      </c>
      <c r="B6344" s="16">
        <f t="shared" si="555"/>
        <v>40577</v>
      </c>
      <c r="C6344" s="9" t="s">
        <v>176</v>
      </c>
      <c r="D6344">
        <v>10021493669</v>
      </c>
      <c r="E6344" t="s">
        <v>47</v>
      </c>
      <c r="F6344" t="s">
        <v>208</v>
      </c>
      <c r="G6344" t="s">
        <v>209</v>
      </c>
      <c r="H6344" t="s">
        <v>2300</v>
      </c>
      <c r="I6344" t="s">
        <v>2301</v>
      </c>
      <c r="J6344" t="s">
        <v>1225</v>
      </c>
      <c r="K6344" s="3">
        <v>10013928918</v>
      </c>
      <c r="L6344" s="10">
        <v>40578</v>
      </c>
      <c r="M6344">
        <v>1327.59</v>
      </c>
      <c r="N6344" s="17">
        <v>35</v>
      </c>
      <c r="O6344" s="5">
        <v>37.74</v>
      </c>
      <c r="P6344" s="5">
        <v>2.9</v>
      </c>
      <c r="Q6344" s="6">
        <v>371.28</v>
      </c>
      <c r="R6344" s="37" t="s">
        <v>1220</v>
      </c>
      <c r="S6344" s="7">
        <f t="shared" si="554"/>
        <v>1</v>
      </c>
      <c r="T6344" s="15" t="str">
        <f>VLOOKUP(R6344,产品分类!$C$2:$D$1278,2,0)</f>
        <v>家具产品</v>
      </c>
    </row>
    <row r="6345" spans="1:20">
      <c r="A6345" s="8">
        <f t="shared" si="555"/>
        <v>40577</v>
      </c>
      <c r="B6345" s="8">
        <f t="shared" si="555"/>
        <v>40577</v>
      </c>
      <c r="C6345" s="9" t="s">
        <v>176</v>
      </c>
      <c r="D6345">
        <v>10021333131</v>
      </c>
      <c r="E6345" t="s">
        <v>47</v>
      </c>
      <c r="F6345" t="s">
        <v>208</v>
      </c>
      <c r="G6345" t="s">
        <v>209</v>
      </c>
      <c r="H6345" t="s">
        <v>2300</v>
      </c>
      <c r="I6345" t="s">
        <v>2301</v>
      </c>
      <c r="J6345" t="s">
        <v>1225</v>
      </c>
      <c r="K6345" s="3">
        <v>10015988686</v>
      </c>
      <c r="L6345" s="10">
        <v>40579</v>
      </c>
      <c r="M6345">
        <v>3401.8</v>
      </c>
      <c r="N6345" s="11">
        <v>39</v>
      </c>
      <c r="O6345" s="12">
        <v>95.43</v>
      </c>
      <c r="P6345" s="12">
        <v>19.99</v>
      </c>
      <c r="Q6345" s="13">
        <v>-508.87</v>
      </c>
      <c r="R6345" s="36" t="s">
        <v>107</v>
      </c>
      <c r="S6345" s="7">
        <f t="shared" si="554"/>
        <v>2</v>
      </c>
      <c r="T6345" s="15" t="str">
        <f>VLOOKUP(R6345,产品分类!$C$2:$D$1278,2,0)</f>
        <v>家具产品</v>
      </c>
    </row>
    <row r="6346" spans="1:20">
      <c r="A6346" s="8">
        <f t="shared" si="555"/>
        <v>40577</v>
      </c>
      <c r="B6346" s="8">
        <f t="shared" si="555"/>
        <v>40577</v>
      </c>
      <c r="C6346" s="9" t="s">
        <v>411</v>
      </c>
      <c r="D6346">
        <v>10021460567</v>
      </c>
      <c r="E6346" t="s">
        <v>47</v>
      </c>
      <c r="F6346" t="s">
        <v>208</v>
      </c>
      <c r="G6346" t="s">
        <v>209</v>
      </c>
      <c r="H6346" t="s">
        <v>2300</v>
      </c>
      <c r="I6346" t="s">
        <v>2301</v>
      </c>
      <c r="J6346" t="s">
        <v>1225</v>
      </c>
      <c r="K6346" s="3">
        <v>10098354911</v>
      </c>
      <c r="L6346" s="10">
        <v>40579</v>
      </c>
      <c r="M6346">
        <v>130.14</v>
      </c>
      <c r="N6346" s="11">
        <v>4</v>
      </c>
      <c r="O6346" s="12">
        <v>30.42</v>
      </c>
      <c r="P6346" s="12">
        <v>8.65</v>
      </c>
      <c r="Q6346" s="13">
        <v>-116.18</v>
      </c>
      <c r="R6346" s="36" t="s">
        <v>1255</v>
      </c>
      <c r="S6346" s="7">
        <f t="shared" si="554"/>
        <v>2</v>
      </c>
      <c r="T6346" s="15" t="str">
        <f>VLOOKUP(R6346,产品分类!$C$2:$D$1278,2,0)</f>
        <v>办公用品</v>
      </c>
    </row>
    <row r="6347" spans="1:20">
      <c r="A6347" s="8">
        <f>DATE(2012,12,31)-770</f>
        <v>40504</v>
      </c>
      <c r="B6347" s="8">
        <f>DATE(2012,12,31)-770</f>
        <v>40504</v>
      </c>
      <c r="C6347" s="9" t="s">
        <v>411</v>
      </c>
      <c r="D6347">
        <v>10021266116</v>
      </c>
      <c r="E6347" t="s">
        <v>47</v>
      </c>
      <c r="F6347" t="s">
        <v>102</v>
      </c>
      <c r="G6347" t="s">
        <v>103</v>
      </c>
      <c r="H6347" t="s">
        <v>2483</v>
      </c>
      <c r="I6347" t="s">
        <v>2484</v>
      </c>
      <c r="J6347" t="s">
        <v>1225</v>
      </c>
      <c r="K6347" s="3">
        <v>10082713142</v>
      </c>
      <c r="L6347" s="10">
        <v>40511</v>
      </c>
      <c r="M6347">
        <v>1418.956</v>
      </c>
      <c r="N6347" s="11">
        <v>9</v>
      </c>
      <c r="O6347" s="12">
        <v>195.99</v>
      </c>
      <c r="P6347" s="12">
        <v>4.2</v>
      </c>
      <c r="Q6347" s="13">
        <v>-447.414</v>
      </c>
      <c r="R6347" s="36" t="s">
        <v>456</v>
      </c>
      <c r="S6347" s="7">
        <f t="shared" si="554"/>
        <v>7</v>
      </c>
      <c r="T6347" s="15" t="str">
        <f>VLOOKUP(R6347,产品分类!$C$2:$D$1278,2,0)</f>
        <v>办公用品</v>
      </c>
    </row>
    <row r="6348" spans="1:20">
      <c r="A6348" s="8">
        <f>DATE(2012,12,31)-1362</f>
        <v>39912</v>
      </c>
      <c r="B6348" s="8">
        <f>DATE(2012,12,31)-1362</f>
        <v>39912</v>
      </c>
      <c r="C6348" s="9" t="s">
        <v>2522</v>
      </c>
      <c r="D6348">
        <v>10021417592</v>
      </c>
      <c r="E6348" t="s">
        <v>47</v>
      </c>
      <c r="F6348" t="s">
        <v>102</v>
      </c>
      <c r="G6348" t="s">
        <v>103</v>
      </c>
      <c r="H6348" t="s">
        <v>2483</v>
      </c>
      <c r="I6348" t="s">
        <v>2484</v>
      </c>
      <c r="J6348" t="s">
        <v>1225</v>
      </c>
      <c r="K6348" s="3">
        <v>100315812869</v>
      </c>
      <c r="L6348" s="10">
        <v>39913</v>
      </c>
      <c r="M6348">
        <v>14591.44</v>
      </c>
      <c r="N6348" s="11">
        <v>39</v>
      </c>
      <c r="O6348" s="12">
        <v>400.97</v>
      </c>
      <c r="P6348" s="12">
        <v>48.26</v>
      </c>
      <c r="Q6348" s="13">
        <v>5475.8</v>
      </c>
      <c r="R6348" s="36" t="s">
        <v>1695</v>
      </c>
      <c r="S6348" s="7">
        <f t="shared" si="554"/>
        <v>1</v>
      </c>
      <c r="T6348" s="15" t="str">
        <f>VLOOKUP(R6348,产品分类!$C$2:$D$1278,2,0)</f>
        <v>办公用品</v>
      </c>
    </row>
    <row r="6349" spans="1:20">
      <c r="A6349" s="8">
        <f>DATE(2012,12,31)-217</f>
        <v>41057</v>
      </c>
      <c r="B6349" s="8">
        <f>DATE(2012,12,31)-217</f>
        <v>41057</v>
      </c>
      <c r="C6349" s="9" t="s">
        <v>1935</v>
      </c>
      <c r="D6349">
        <v>10021590107</v>
      </c>
      <c r="E6349" t="s">
        <v>47</v>
      </c>
      <c r="F6349" t="s">
        <v>102</v>
      </c>
      <c r="G6349" t="s">
        <v>103</v>
      </c>
      <c r="H6349" t="s">
        <v>2483</v>
      </c>
      <c r="I6349" t="s">
        <v>2484</v>
      </c>
      <c r="J6349" t="s">
        <v>1225</v>
      </c>
      <c r="K6349" s="3">
        <v>100726850775</v>
      </c>
      <c r="L6349" s="10">
        <v>41058</v>
      </c>
      <c r="M6349">
        <v>975.5</v>
      </c>
      <c r="N6349" s="11">
        <v>6</v>
      </c>
      <c r="O6349" s="12">
        <v>160.98</v>
      </c>
      <c r="P6349" s="12">
        <v>35.02</v>
      </c>
      <c r="Q6349" s="13">
        <v>-252.01</v>
      </c>
      <c r="R6349" s="36" t="s">
        <v>1353</v>
      </c>
      <c r="S6349" s="7">
        <f t="shared" si="554"/>
        <v>1</v>
      </c>
      <c r="T6349" s="15" t="str">
        <f>VLOOKUP(R6349,产品分类!$C$2:$D$1278,2,0)</f>
        <v>办公用品</v>
      </c>
    </row>
    <row r="6350" spans="1:20">
      <c r="A6350" s="8">
        <f>DATE(2012,12,31)-217</f>
        <v>41057</v>
      </c>
      <c r="B6350" s="8">
        <f>DATE(2012,12,31)-217</f>
        <v>41057</v>
      </c>
      <c r="C6350" s="9" t="s">
        <v>1853</v>
      </c>
      <c r="D6350">
        <v>10021343039</v>
      </c>
      <c r="E6350" t="s">
        <v>47</v>
      </c>
      <c r="F6350" t="s">
        <v>171</v>
      </c>
      <c r="G6350" t="s">
        <v>172</v>
      </c>
      <c r="H6350" t="s">
        <v>2486</v>
      </c>
      <c r="I6350" t="s">
        <v>2310</v>
      </c>
      <c r="J6350" t="s">
        <v>1225</v>
      </c>
      <c r="K6350" s="3">
        <v>100418239214</v>
      </c>
      <c r="L6350" s="10">
        <v>41058</v>
      </c>
      <c r="M6350">
        <v>4834.8</v>
      </c>
      <c r="N6350" s="11">
        <v>32</v>
      </c>
      <c r="O6350" s="12">
        <v>175.99</v>
      </c>
      <c r="P6350" s="12">
        <v>4.99</v>
      </c>
      <c r="Q6350" s="13">
        <v>1193.112</v>
      </c>
      <c r="R6350" s="36" t="s">
        <v>1030</v>
      </c>
      <c r="S6350" s="7">
        <f t="shared" si="554"/>
        <v>1</v>
      </c>
      <c r="T6350" s="15" t="str">
        <f>VLOOKUP(R6350,产品分类!$C$2:$D$1278,2,0)</f>
        <v>办公用品</v>
      </c>
    </row>
    <row r="6351" spans="1:20">
      <c r="A6351" s="8">
        <f>DATE(2012,12,31)-1</f>
        <v>41273</v>
      </c>
      <c r="B6351" s="8">
        <f>DATE(2012,12,31)-1</f>
        <v>41273</v>
      </c>
      <c r="C6351" s="9" t="s">
        <v>1853</v>
      </c>
      <c r="D6351">
        <v>10021338256</v>
      </c>
      <c r="E6351" t="s">
        <v>47</v>
      </c>
      <c r="F6351" t="s">
        <v>171</v>
      </c>
      <c r="G6351" t="s">
        <v>172</v>
      </c>
      <c r="H6351" t="s">
        <v>2486</v>
      </c>
      <c r="I6351" t="s">
        <v>2310</v>
      </c>
      <c r="J6351" t="s">
        <v>1225</v>
      </c>
      <c r="K6351" s="3">
        <v>100123703186</v>
      </c>
      <c r="L6351" s="10">
        <v>41273</v>
      </c>
      <c r="M6351">
        <v>14.15</v>
      </c>
      <c r="N6351" s="11">
        <v>10</v>
      </c>
      <c r="O6351" s="12">
        <v>1.48</v>
      </c>
      <c r="P6351" s="12">
        <v>0.7</v>
      </c>
      <c r="Q6351" s="13">
        <v>-1.29</v>
      </c>
      <c r="R6351" s="36" t="s">
        <v>847</v>
      </c>
      <c r="S6351" s="7">
        <f t="shared" si="554"/>
        <v>0</v>
      </c>
      <c r="T6351" s="15" t="str">
        <f>VLOOKUP(R6351,产品分类!$C$2:$D$1278,2,0)</f>
        <v>数码电子</v>
      </c>
    </row>
    <row r="6352" spans="1:20">
      <c r="A6352" s="8">
        <f>DATE(2012,12,31)-685</f>
        <v>40589</v>
      </c>
      <c r="B6352" s="8">
        <f>DATE(2012,12,31)-685</f>
        <v>40589</v>
      </c>
      <c r="C6352" s="9" t="s">
        <v>1534</v>
      </c>
      <c r="D6352">
        <v>10021364378</v>
      </c>
      <c r="E6352" t="s">
        <v>47</v>
      </c>
      <c r="F6352" t="s">
        <v>527</v>
      </c>
      <c r="G6352" t="s">
        <v>528</v>
      </c>
      <c r="H6352" t="s">
        <v>2513</v>
      </c>
      <c r="I6352" t="s">
        <v>2514</v>
      </c>
      <c r="J6352" t="s">
        <v>1225</v>
      </c>
      <c r="K6352" s="3">
        <v>100913374481</v>
      </c>
      <c r="L6352" s="10">
        <v>40596</v>
      </c>
      <c r="M6352">
        <v>181.61</v>
      </c>
      <c r="N6352" s="11">
        <v>44</v>
      </c>
      <c r="O6352" s="12">
        <v>4.13</v>
      </c>
      <c r="P6352" s="12">
        <v>5.34</v>
      </c>
      <c r="Q6352" s="13">
        <v>-150.259</v>
      </c>
      <c r="R6352" s="36" t="s">
        <v>1593</v>
      </c>
      <c r="S6352" s="7">
        <f t="shared" si="554"/>
        <v>7</v>
      </c>
      <c r="T6352" s="15" t="str">
        <f>VLOOKUP(R6352,产品分类!$C$2:$D$1278,2,0)</f>
        <v>数码电子</v>
      </c>
    </row>
    <row r="6353" spans="1:20">
      <c r="A6353" s="8">
        <f>DATE(2012,12,31)-685</f>
        <v>40589</v>
      </c>
      <c r="B6353" s="8">
        <f>DATE(2012,12,31)-685</f>
        <v>40589</v>
      </c>
      <c r="C6353" s="9" t="s">
        <v>1054</v>
      </c>
      <c r="D6353">
        <v>10021620667</v>
      </c>
      <c r="E6353" t="s">
        <v>47</v>
      </c>
      <c r="F6353" t="s">
        <v>171</v>
      </c>
      <c r="G6353" t="s">
        <v>172</v>
      </c>
      <c r="H6353" t="s">
        <v>2486</v>
      </c>
      <c r="I6353" t="s">
        <v>2310</v>
      </c>
      <c r="J6353" t="s">
        <v>1225</v>
      </c>
      <c r="K6353" s="3">
        <v>10096472101</v>
      </c>
      <c r="L6353" s="10">
        <v>40589</v>
      </c>
      <c r="M6353">
        <v>111.55</v>
      </c>
      <c r="N6353" s="11">
        <v>35</v>
      </c>
      <c r="O6353" s="12">
        <v>3.14</v>
      </c>
      <c r="P6353" s="12">
        <v>1.92</v>
      </c>
      <c r="Q6353" s="13">
        <v>-54.25</v>
      </c>
      <c r="R6353" s="36" t="s">
        <v>1802</v>
      </c>
      <c r="S6353" s="7">
        <f t="shared" si="554"/>
        <v>0</v>
      </c>
      <c r="T6353" s="15" t="str">
        <f>VLOOKUP(R6353,产品分类!$C$2:$D$1278,2,0)</f>
        <v>办公用品</v>
      </c>
    </row>
    <row r="6354" spans="1:20">
      <c r="A6354" s="8">
        <f t="shared" ref="A6354:B6356" si="556">DATE(2012,12,31)-688</f>
        <v>40586</v>
      </c>
      <c r="B6354" s="8">
        <f t="shared" si="556"/>
        <v>40586</v>
      </c>
      <c r="C6354" s="9" t="s">
        <v>1662</v>
      </c>
      <c r="D6354">
        <v>10021248318</v>
      </c>
      <c r="E6354" t="s">
        <v>47</v>
      </c>
      <c r="F6354" t="s">
        <v>171</v>
      </c>
      <c r="G6354" t="s">
        <v>172</v>
      </c>
      <c r="H6354" t="s">
        <v>2486</v>
      </c>
      <c r="I6354" t="s">
        <v>2310</v>
      </c>
      <c r="J6354" t="s">
        <v>1225</v>
      </c>
      <c r="K6354" s="3">
        <v>10011422948</v>
      </c>
      <c r="L6354" s="10">
        <v>40586</v>
      </c>
      <c r="M6354">
        <v>663.24</v>
      </c>
      <c r="N6354" s="11">
        <v>30</v>
      </c>
      <c r="O6354" s="12">
        <v>20.48</v>
      </c>
      <c r="P6354" s="12">
        <v>6.32</v>
      </c>
      <c r="Q6354" s="13">
        <v>76.33</v>
      </c>
      <c r="R6354" s="36" t="s">
        <v>398</v>
      </c>
      <c r="S6354" s="7">
        <f t="shared" si="554"/>
        <v>0</v>
      </c>
      <c r="T6354" s="15" t="str">
        <f>VLOOKUP(R6354,产品分类!$C$2:$D$1278,2,0)</f>
        <v>办公用品</v>
      </c>
    </row>
    <row r="6355" spans="1:20">
      <c r="A6355" s="8">
        <f t="shared" si="556"/>
        <v>40586</v>
      </c>
      <c r="B6355" s="8">
        <f t="shared" si="556"/>
        <v>40586</v>
      </c>
      <c r="C6355" s="9" t="s">
        <v>1662</v>
      </c>
      <c r="D6355">
        <v>10021252772</v>
      </c>
      <c r="E6355" t="s">
        <v>47</v>
      </c>
      <c r="F6355" t="s">
        <v>171</v>
      </c>
      <c r="G6355" t="s">
        <v>172</v>
      </c>
      <c r="H6355" t="s">
        <v>2486</v>
      </c>
      <c r="I6355" t="s">
        <v>2310</v>
      </c>
      <c r="J6355" t="s">
        <v>1225</v>
      </c>
      <c r="K6355" s="3">
        <v>100414246193</v>
      </c>
      <c r="L6355" s="10">
        <v>40593</v>
      </c>
      <c r="M6355">
        <v>238.08</v>
      </c>
      <c r="N6355" s="11">
        <v>35</v>
      </c>
      <c r="O6355" s="12">
        <v>6.75</v>
      </c>
      <c r="P6355" s="12">
        <v>2.99</v>
      </c>
      <c r="Q6355" s="13">
        <v>31.654</v>
      </c>
      <c r="R6355" s="36" t="s">
        <v>406</v>
      </c>
      <c r="S6355" s="7">
        <f t="shared" si="554"/>
        <v>7</v>
      </c>
      <c r="T6355" s="15" t="str">
        <f>VLOOKUP(R6355,产品分类!$C$2:$D$1278,2,0)</f>
        <v>办公用品</v>
      </c>
    </row>
    <row r="6356" spans="1:20">
      <c r="A6356" s="8">
        <f t="shared" si="556"/>
        <v>40586</v>
      </c>
      <c r="B6356" s="8">
        <f t="shared" si="556"/>
        <v>40586</v>
      </c>
      <c r="C6356" s="9" t="s">
        <v>1662</v>
      </c>
      <c r="D6356">
        <v>10021351698</v>
      </c>
      <c r="E6356" t="s">
        <v>47</v>
      </c>
      <c r="F6356" t="s">
        <v>171</v>
      </c>
      <c r="G6356" t="s">
        <v>172</v>
      </c>
      <c r="H6356" t="s">
        <v>2486</v>
      </c>
      <c r="I6356" t="s">
        <v>2310</v>
      </c>
      <c r="J6356" t="s">
        <v>1225</v>
      </c>
      <c r="K6356" s="3">
        <v>100132496367</v>
      </c>
      <c r="L6356" s="10">
        <v>40591</v>
      </c>
      <c r="M6356">
        <v>174.3</v>
      </c>
      <c r="N6356" s="11">
        <v>14</v>
      </c>
      <c r="O6356" s="12">
        <v>12.53</v>
      </c>
      <c r="P6356" s="12">
        <v>0.5</v>
      </c>
      <c r="Q6356" s="13">
        <v>75.58</v>
      </c>
      <c r="R6356" s="36" t="s">
        <v>1231</v>
      </c>
      <c r="S6356" s="7">
        <f t="shared" si="554"/>
        <v>5</v>
      </c>
      <c r="T6356" s="15" t="str">
        <f>VLOOKUP(R6356,产品分类!$C$2:$D$1278,2,0)</f>
        <v>办公用品</v>
      </c>
    </row>
    <row r="6357" spans="1:20">
      <c r="A6357" s="8">
        <f>DATE(2012,12,31)-996</f>
        <v>40278</v>
      </c>
      <c r="B6357" s="8">
        <f>DATE(2012,12,31)-996</f>
        <v>40278</v>
      </c>
      <c r="C6357" s="9" t="s">
        <v>1502</v>
      </c>
      <c r="D6357">
        <v>10021694622</v>
      </c>
      <c r="E6357" t="s">
        <v>47</v>
      </c>
      <c r="F6357" t="s">
        <v>171</v>
      </c>
      <c r="G6357" t="s">
        <v>172</v>
      </c>
      <c r="H6357" t="s">
        <v>2486</v>
      </c>
      <c r="I6357" t="s">
        <v>2310</v>
      </c>
      <c r="J6357" t="s">
        <v>1225</v>
      </c>
      <c r="K6357" s="3">
        <v>100418653773</v>
      </c>
      <c r="L6357" s="10">
        <v>40280</v>
      </c>
      <c r="M6357">
        <v>375.52</v>
      </c>
      <c r="N6357" s="11">
        <v>40</v>
      </c>
      <c r="O6357" s="12">
        <v>9.68</v>
      </c>
      <c r="P6357" s="12">
        <v>2.03</v>
      </c>
      <c r="Q6357" s="13">
        <v>131.7</v>
      </c>
      <c r="R6357" s="36" t="s">
        <v>1470</v>
      </c>
      <c r="S6357" s="7">
        <f t="shared" si="554"/>
        <v>2</v>
      </c>
      <c r="T6357" s="15" t="str">
        <f>VLOOKUP(R6357,产品分类!$C$2:$D$1278,2,0)</f>
        <v>数码电子</v>
      </c>
    </row>
    <row r="6358" spans="1:20">
      <c r="A6358" s="8">
        <f>DATE(2012,12,31)-996</f>
        <v>40278</v>
      </c>
      <c r="B6358" s="8">
        <f>DATE(2012,12,31)-996</f>
        <v>40278</v>
      </c>
      <c r="C6358" s="9" t="s">
        <v>136</v>
      </c>
      <c r="D6358">
        <v>10021623748</v>
      </c>
      <c r="E6358" t="s">
        <v>47</v>
      </c>
      <c r="F6358" t="s">
        <v>171</v>
      </c>
      <c r="G6358" t="s">
        <v>172</v>
      </c>
      <c r="H6358" t="s">
        <v>2486</v>
      </c>
      <c r="I6358" t="s">
        <v>2310</v>
      </c>
      <c r="J6358" t="s">
        <v>1225</v>
      </c>
      <c r="K6358" s="3">
        <v>100323015009</v>
      </c>
      <c r="L6358" s="10">
        <v>40283</v>
      </c>
      <c r="M6358">
        <v>63.84</v>
      </c>
      <c r="N6358" s="11">
        <v>15</v>
      </c>
      <c r="O6358" s="12">
        <v>3.78</v>
      </c>
      <c r="P6358" s="12">
        <v>0.71</v>
      </c>
      <c r="Q6358" s="13">
        <v>23.52</v>
      </c>
      <c r="R6358" s="36" t="s">
        <v>2058</v>
      </c>
      <c r="S6358" s="7">
        <f t="shared" si="554"/>
        <v>5</v>
      </c>
      <c r="T6358" s="15" t="str">
        <f>VLOOKUP(R6358,产品分类!$C$2:$D$1278,2,0)</f>
        <v>数码电子</v>
      </c>
    </row>
    <row r="6359" spans="1:20">
      <c r="A6359" s="8">
        <f>DATE(2012,12,31)-928</f>
        <v>40346</v>
      </c>
      <c r="B6359" s="8">
        <f>DATE(2012,12,31)-928</f>
        <v>40346</v>
      </c>
      <c r="C6359" s="9" t="s">
        <v>909</v>
      </c>
      <c r="D6359">
        <v>10021352107</v>
      </c>
      <c r="E6359" t="s">
        <v>47</v>
      </c>
      <c r="F6359" t="s">
        <v>177</v>
      </c>
      <c r="G6359" t="s">
        <v>178</v>
      </c>
      <c r="H6359" t="s">
        <v>2492</v>
      </c>
      <c r="I6359" t="s">
        <v>2493</v>
      </c>
      <c r="J6359" t="s">
        <v>1225</v>
      </c>
      <c r="K6359" s="3">
        <v>100830916182</v>
      </c>
      <c r="L6359" s="10">
        <v>40355</v>
      </c>
      <c r="M6359">
        <v>14647.26</v>
      </c>
      <c r="N6359" s="11">
        <v>25</v>
      </c>
      <c r="O6359" s="12">
        <v>599.99</v>
      </c>
      <c r="P6359" s="12">
        <v>24.49</v>
      </c>
      <c r="Q6359" s="13">
        <v>5485.15</v>
      </c>
      <c r="R6359" s="36" t="s">
        <v>484</v>
      </c>
      <c r="S6359" s="7">
        <f t="shared" si="554"/>
        <v>9</v>
      </c>
      <c r="T6359" s="15" t="str">
        <f>VLOOKUP(R6359,产品分类!$C$2:$D$1278,2,0)</f>
        <v>数码电子</v>
      </c>
    </row>
    <row r="6360" spans="1:20">
      <c r="A6360" s="8">
        <f>DATE(2012,12,31)-928</f>
        <v>40346</v>
      </c>
      <c r="B6360" s="8">
        <f>DATE(2012,12,31)-928</f>
        <v>40346</v>
      </c>
      <c r="C6360" s="9" t="s">
        <v>909</v>
      </c>
      <c r="D6360">
        <v>10021499436</v>
      </c>
      <c r="E6360" t="s">
        <v>47</v>
      </c>
      <c r="F6360" t="s">
        <v>171</v>
      </c>
      <c r="G6360" t="s">
        <v>172</v>
      </c>
      <c r="H6360" t="s">
        <v>2486</v>
      </c>
      <c r="I6360" t="s">
        <v>2310</v>
      </c>
      <c r="J6360" t="s">
        <v>1225</v>
      </c>
      <c r="K6360" s="3">
        <v>100124412098</v>
      </c>
      <c r="L6360" s="10">
        <v>40353</v>
      </c>
      <c r="M6360">
        <v>26.11</v>
      </c>
      <c r="N6360" s="11">
        <v>10</v>
      </c>
      <c r="O6360" s="12">
        <v>2.62</v>
      </c>
      <c r="P6360" s="12">
        <v>0.8</v>
      </c>
      <c r="Q6360" s="13">
        <v>2.65</v>
      </c>
      <c r="R6360" s="36" t="s">
        <v>485</v>
      </c>
      <c r="S6360" s="7">
        <f t="shared" si="554"/>
        <v>7</v>
      </c>
      <c r="T6360" s="15" t="str">
        <f>VLOOKUP(R6360,产品分类!$C$2:$D$1278,2,0)</f>
        <v>数码电子</v>
      </c>
    </row>
    <row r="6361" spans="1:20">
      <c r="A6361" s="8">
        <f>DATE(2012,12,31)-773</f>
        <v>40501</v>
      </c>
      <c r="B6361" s="8">
        <f>DATE(2012,12,31)-773</f>
        <v>40501</v>
      </c>
      <c r="C6361" s="9" t="s">
        <v>1132</v>
      </c>
      <c r="D6361">
        <v>10021695070</v>
      </c>
      <c r="E6361" t="s">
        <v>47</v>
      </c>
      <c r="F6361" t="s">
        <v>527</v>
      </c>
      <c r="G6361" t="s">
        <v>528</v>
      </c>
      <c r="H6361" t="s">
        <v>2513</v>
      </c>
      <c r="I6361" t="s">
        <v>2514</v>
      </c>
      <c r="J6361" t="s">
        <v>1225</v>
      </c>
      <c r="K6361" s="3">
        <v>100931606941</v>
      </c>
      <c r="L6361" s="10">
        <v>40501</v>
      </c>
      <c r="M6361">
        <v>2084.96</v>
      </c>
      <c r="N6361" s="11">
        <v>13</v>
      </c>
      <c r="O6361" s="12">
        <v>150.98</v>
      </c>
      <c r="P6361" s="12">
        <v>43.71</v>
      </c>
      <c r="Q6361" s="13">
        <v>135.26</v>
      </c>
      <c r="R6361" s="36" t="s">
        <v>1220</v>
      </c>
      <c r="S6361" s="7">
        <f t="shared" si="554"/>
        <v>0</v>
      </c>
      <c r="T6361" s="15" t="str">
        <f>VLOOKUP(R6361,产品分类!$C$2:$D$1278,2,0)</f>
        <v>家具产品</v>
      </c>
    </row>
    <row r="6362" spans="1:20">
      <c r="A6362" s="8">
        <f>DATE(2012,12,31)-852</f>
        <v>40422</v>
      </c>
      <c r="B6362" s="8">
        <f>DATE(2012,12,31)-852</f>
        <v>40422</v>
      </c>
      <c r="C6362" s="9" t="s">
        <v>1047</v>
      </c>
      <c r="D6362">
        <v>10021431524</v>
      </c>
      <c r="E6362" t="s">
        <v>47</v>
      </c>
      <c r="F6362" t="s">
        <v>177</v>
      </c>
      <c r="G6362" t="s">
        <v>178</v>
      </c>
      <c r="H6362" t="s">
        <v>2492</v>
      </c>
      <c r="I6362" t="s">
        <v>2493</v>
      </c>
      <c r="J6362" t="s">
        <v>52</v>
      </c>
      <c r="K6362" s="3">
        <v>100932238931</v>
      </c>
      <c r="L6362" s="10">
        <v>40423</v>
      </c>
      <c r="M6362">
        <v>6789.9275</v>
      </c>
      <c r="N6362" s="11">
        <v>40</v>
      </c>
      <c r="O6362" s="12">
        <v>200.99</v>
      </c>
      <c r="P6362" s="12">
        <v>4.2</v>
      </c>
      <c r="Q6362" s="13">
        <v>1864.656</v>
      </c>
      <c r="R6362" s="36" t="s">
        <v>612</v>
      </c>
      <c r="S6362" s="7">
        <f t="shared" si="554"/>
        <v>1</v>
      </c>
      <c r="T6362" s="15" t="str">
        <f>VLOOKUP(R6362,产品分类!$C$2:$D$1278,2,0)</f>
        <v>办公用品</v>
      </c>
    </row>
    <row r="6363" spans="1:20">
      <c r="A6363" s="8">
        <f>DATE(2012,12,31)-1331</f>
        <v>39943</v>
      </c>
      <c r="B6363" s="8">
        <f>DATE(2012,12,31)-1331</f>
        <v>39943</v>
      </c>
      <c r="C6363" s="9" t="s">
        <v>1047</v>
      </c>
      <c r="D6363">
        <v>10021287536</v>
      </c>
      <c r="E6363" t="s">
        <v>47</v>
      </c>
      <c r="F6363" t="s">
        <v>527</v>
      </c>
      <c r="G6363" t="s">
        <v>528</v>
      </c>
      <c r="H6363" t="s">
        <v>2513</v>
      </c>
      <c r="I6363" t="s">
        <v>2514</v>
      </c>
      <c r="J6363" t="s">
        <v>52</v>
      </c>
      <c r="K6363" s="3">
        <v>100731915425</v>
      </c>
      <c r="L6363" s="10">
        <v>39945</v>
      </c>
      <c r="M6363">
        <v>309.46</v>
      </c>
      <c r="N6363" s="11">
        <v>49</v>
      </c>
      <c r="O6363" s="12">
        <v>6.48</v>
      </c>
      <c r="P6363" s="12">
        <v>2.74</v>
      </c>
      <c r="Q6363" s="13">
        <v>-82.64</v>
      </c>
      <c r="R6363" s="36" t="s">
        <v>157</v>
      </c>
      <c r="S6363" s="7">
        <f t="shared" si="554"/>
        <v>2</v>
      </c>
      <c r="T6363" s="15" t="str">
        <f>VLOOKUP(R6363,产品分类!$C$2:$D$1278,2,0)</f>
        <v>数码电子</v>
      </c>
    </row>
    <row r="6364" spans="1:20">
      <c r="A6364" s="8">
        <f>DATE(2012,12,31)-625</f>
        <v>40649</v>
      </c>
      <c r="B6364" s="8">
        <f>DATE(2012,12,31)-625</f>
        <v>40649</v>
      </c>
      <c r="C6364" s="9" t="s">
        <v>754</v>
      </c>
      <c r="D6364">
        <v>10021493378</v>
      </c>
      <c r="E6364" t="s">
        <v>47</v>
      </c>
      <c r="F6364" t="s">
        <v>177</v>
      </c>
      <c r="G6364" t="s">
        <v>178</v>
      </c>
      <c r="H6364" t="s">
        <v>2492</v>
      </c>
      <c r="I6364" t="s">
        <v>2493</v>
      </c>
      <c r="J6364" t="s">
        <v>52</v>
      </c>
      <c r="K6364" s="3">
        <v>10011715268</v>
      </c>
      <c r="L6364" s="10">
        <v>40651</v>
      </c>
      <c r="M6364">
        <v>154.85</v>
      </c>
      <c r="N6364" s="11">
        <v>38</v>
      </c>
      <c r="O6364" s="12">
        <v>3.95</v>
      </c>
      <c r="P6364" s="12">
        <v>5.13</v>
      </c>
      <c r="Q6364" s="13">
        <v>-136.55</v>
      </c>
      <c r="R6364" s="36" t="s">
        <v>1140</v>
      </c>
      <c r="S6364" s="7">
        <f t="shared" si="554"/>
        <v>2</v>
      </c>
      <c r="T6364" s="15" t="str">
        <f>VLOOKUP(R6364,产品分类!$C$2:$D$1278,2,0)</f>
        <v>家具产品</v>
      </c>
    </row>
    <row r="6365" spans="1:20">
      <c r="A6365" s="8">
        <f>DATE(2012,12,31)-625</f>
        <v>40649</v>
      </c>
      <c r="B6365" s="8">
        <f>DATE(2012,12,31)-625</f>
        <v>40649</v>
      </c>
      <c r="C6365" s="9" t="s">
        <v>754</v>
      </c>
      <c r="D6365">
        <v>10021658201</v>
      </c>
      <c r="E6365" t="s">
        <v>47</v>
      </c>
      <c r="F6365" t="s">
        <v>183</v>
      </c>
      <c r="G6365" t="s">
        <v>184</v>
      </c>
      <c r="H6365" t="s">
        <v>2436</v>
      </c>
      <c r="I6365" t="s">
        <v>2277</v>
      </c>
      <c r="J6365" t="s">
        <v>52</v>
      </c>
      <c r="K6365" s="3">
        <v>100712981955</v>
      </c>
      <c r="L6365" s="10">
        <v>40651</v>
      </c>
      <c r="M6365">
        <v>4941.7725</v>
      </c>
      <c r="N6365" s="11">
        <v>32</v>
      </c>
      <c r="O6365" s="12">
        <v>195.99</v>
      </c>
      <c r="P6365" s="12">
        <v>8.99</v>
      </c>
      <c r="Q6365" s="13">
        <v>704.889</v>
      </c>
      <c r="R6365" s="36" t="s">
        <v>1532</v>
      </c>
      <c r="S6365" s="7">
        <f t="shared" si="554"/>
        <v>2</v>
      </c>
      <c r="T6365" s="15" t="str">
        <f>VLOOKUP(R6365,产品分类!$C$2:$D$1278,2,0)</f>
        <v>办公用品</v>
      </c>
    </row>
    <row r="6366" spans="1:20">
      <c r="A6366" s="8">
        <f>DATE(2012,12,31)-765</f>
        <v>40509</v>
      </c>
      <c r="B6366" s="8">
        <f>DATE(2012,12,31)-765</f>
        <v>40509</v>
      </c>
      <c r="C6366" s="9" t="s">
        <v>754</v>
      </c>
      <c r="D6366">
        <v>10021657578</v>
      </c>
      <c r="E6366" t="s">
        <v>47</v>
      </c>
      <c r="F6366" t="s">
        <v>167</v>
      </c>
      <c r="G6366" t="s">
        <v>168</v>
      </c>
      <c r="H6366" t="s">
        <v>169</v>
      </c>
      <c r="I6366" t="s">
        <v>168</v>
      </c>
      <c r="J6366" t="s">
        <v>52</v>
      </c>
      <c r="K6366" s="3">
        <v>10015940327</v>
      </c>
      <c r="L6366" s="10">
        <v>40514</v>
      </c>
      <c r="M6366">
        <v>1155.5835</v>
      </c>
      <c r="N6366" s="11">
        <v>24</v>
      </c>
      <c r="O6366" s="12">
        <v>55.99</v>
      </c>
      <c r="P6366" s="12">
        <v>5</v>
      </c>
      <c r="Q6366" s="13">
        <v>-126.995</v>
      </c>
      <c r="R6366" s="36" t="s">
        <v>2010</v>
      </c>
      <c r="S6366" s="7">
        <f t="shared" si="554"/>
        <v>5</v>
      </c>
      <c r="T6366" s="15" t="str">
        <f>VLOOKUP(R6366,产品分类!$C$2:$D$1278,2,0)</f>
        <v>办公用品</v>
      </c>
    </row>
    <row r="6367" spans="1:20">
      <c r="A6367" s="8">
        <f>DATE(2012,12,31)-889</f>
        <v>40385</v>
      </c>
      <c r="B6367" s="8">
        <f>DATE(2012,12,31)-889</f>
        <v>40385</v>
      </c>
      <c r="C6367" s="9" t="s">
        <v>1879</v>
      </c>
      <c r="D6367">
        <v>10021497473</v>
      </c>
      <c r="E6367" t="s">
        <v>47</v>
      </c>
      <c r="F6367" t="s">
        <v>177</v>
      </c>
      <c r="G6367" t="s">
        <v>178</v>
      </c>
      <c r="H6367" t="s">
        <v>2492</v>
      </c>
      <c r="I6367" t="s">
        <v>2493</v>
      </c>
      <c r="J6367" t="s">
        <v>52</v>
      </c>
      <c r="K6367" s="3">
        <v>100118154786</v>
      </c>
      <c r="L6367" s="10">
        <v>40386</v>
      </c>
      <c r="M6367">
        <v>3327.84</v>
      </c>
      <c r="N6367" s="11">
        <v>45</v>
      </c>
      <c r="O6367" s="12">
        <v>70.89</v>
      </c>
      <c r="P6367" s="12">
        <v>89.3</v>
      </c>
      <c r="Q6367" s="13">
        <v>-3033.57</v>
      </c>
      <c r="R6367" s="36" t="s">
        <v>1111</v>
      </c>
      <c r="S6367" s="7">
        <f t="shared" si="554"/>
        <v>1</v>
      </c>
      <c r="T6367" s="15" t="str">
        <f>VLOOKUP(R6367,产品分类!$C$2:$D$1278,2,0)</f>
        <v>办公用品</v>
      </c>
    </row>
    <row r="6368" spans="1:20">
      <c r="A6368" s="8">
        <f>DATE(2012,12,31)-359</f>
        <v>40915</v>
      </c>
      <c r="B6368" s="8">
        <f>DATE(2012,12,31)-359</f>
        <v>40915</v>
      </c>
      <c r="C6368" s="9" t="s">
        <v>1879</v>
      </c>
      <c r="D6368">
        <v>10021501282</v>
      </c>
      <c r="E6368" t="s">
        <v>47</v>
      </c>
      <c r="F6368" t="s">
        <v>177</v>
      </c>
      <c r="G6368" t="s">
        <v>178</v>
      </c>
      <c r="H6368" t="s">
        <v>2492</v>
      </c>
      <c r="I6368" t="s">
        <v>2493</v>
      </c>
      <c r="J6368" t="s">
        <v>52</v>
      </c>
      <c r="K6368" s="3">
        <v>100925146751</v>
      </c>
      <c r="L6368" s="10">
        <v>40916</v>
      </c>
      <c r="M6368">
        <v>91.43</v>
      </c>
      <c r="N6368" s="11">
        <v>7</v>
      </c>
      <c r="O6368" s="12">
        <v>11.66</v>
      </c>
      <c r="P6368" s="12">
        <v>8.99</v>
      </c>
      <c r="Q6368" s="13">
        <v>-42.98</v>
      </c>
      <c r="R6368" s="36" t="s">
        <v>731</v>
      </c>
      <c r="S6368" s="7">
        <f t="shared" si="554"/>
        <v>1</v>
      </c>
      <c r="T6368" s="15" t="str">
        <f>VLOOKUP(R6368,产品分类!$C$2:$D$1278,2,0)</f>
        <v>家具产品</v>
      </c>
    </row>
    <row r="6369" spans="1:20">
      <c r="A6369" s="8">
        <f>DATE(2012,12,31)-255</f>
        <v>41019</v>
      </c>
      <c r="B6369" s="8">
        <f>DATE(2012,12,31)-255</f>
        <v>41019</v>
      </c>
      <c r="C6369" s="9" t="s">
        <v>2324</v>
      </c>
      <c r="D6369">
        <v>10021694361</v>
      </c>
      <c r="E6369" t="s">
        <v>47</v>
      </c>
      <c r="F6369" t="s">
        <v>253</v>
      </c>
      <c r="G6369" t="s">
        <v>254</v>
      </c>
      <c r="H6369" t="s">
        <v>2508</v>
      </c>
      <c r="I6369" t="s">
        <v>2509</v>
      </c>
      <c r="J6369" t="s">
        <v>52</v>
      </c>
      <c r="K6369" s="3">
        <v>100131044116</v>
      </c>
      <c r="L6369" s="10">
        <v>41020</v>
      </c>
      <c r="M6369">
        <v>1141.9</v>
      </c>
      <c r="N6369" s="11">
        <v>32</v>
      </c>
      <c r="O6369" s="12">
        <v>34.76</v>
      </c>
      <c r="P6369" s="12">
        <v>8.22</v>
      </c>
      <c r="Q6369" s="13">
        <v>175.32</v>
      </c>
      <c r="R6369" s="36" t="s">
        <v>634</v>
      </c>
      <c r="S6369" s="7">
        <f t="shared" si="554"/>
        <v>1</v>
      </c>
      <c r="T6369" s="15" t="str">
        <f>VLOOKUP(R6369,产品分类!$C$2:$D$1278,2,0)</f>
        <v>办公用品</v>
      </c>
    </row>
    <row r="6370" spans="1:20">
      <c r="A6370" s="8">
        <f>DATE(2012,12,31)-305</f>
        <v>40969</v>
      </c>
      <c r="B6370" s="8">
        <f>DATE(2012,12,31)-305</f>
        <v>40969</v>
      </c>
      <c r="C6370" s="9" t="s">
        <v>2324</v>
      </c>
      <c r="D6370">
        <v>10021301056</v>
      </c>
      <c r="E6370" t="s">
        <v>47</v>
      </c>
      <c r="F6370" t="s">
        <v>61</v>
      </c>
      <c r="G6370" t="s">
        <v>62</v>
      </c>
      <c r="H6370" t="s">
        <v>2506</v>
      </c>
      <c r="I6370" t="s">
        <v>2507</v>
      </c>
      <c r="J6370" t="s">
        <v>52</v>
      </c>
      <c r="K6370" s="3">
        <v>100129918786</v>
      </c>
      <c r="L6370" s="10">
        <v>40976</v>
      </c>
      <c r="M6370">
        <v>1435.95</v>
      </c>
      <c r="N6370" s="11">
        <v>36</v>
      </c>
      <c r="O6370" s="12">
        <v>39.24</v>
      </c>
      <c r="P6370" s="12">
        <v>1.99</v>
      </c>
      <c r="Q6370" s="13">
        <v>486.9</v>
      </c>
      <c r="R6370" s="36" t="s">
        <v>960</v>
      </c>
      <c r="S6370" s="7">
        <f t="shared" si="554"/>
        <v>7</v>
      </c>
      <c r="T6370" s="15" t="str">
        <f>VLOOKUP(R6370,产品分类!$C$2:$D$1278,2,0)</f>
        <v>家具产品</v>
      </c>
    </row>
    <row r="6371" spans="1:20">
      <c r="A6371" s="8">
        <f>DATE(2012,12,31)-305</f>
        <v>40969</v>
      </c>
      <c r="B6371" s="8">
        <f>DATE(2012,12,31)-305</f>
        <v>40969</v>
      </c>
      <c r="C6371" s="9" t="s">
        <v>1753</v>
      </c>
      <c r="D6371">
        <v>10021333610</v>
      </c>
      <c r="E6371" t="s">
        <v>47</v>
      </c>
      <c r="F6371" t="s">
        <v>61</v>
      </c>
      <c r="G6371" t="s">
        <v>62</v>
      </c>
      <c r="H6371" t="s">
        <v>2506</v>
      </c>
      <c r="I6371" t="s">
        <v>2507</v>
      </c>
      <c r="J6371" t="s">
        <v>52</v>
      </c>
      <c r="K6371" s="3">
        <v>100113697077</v>
      </c>
      <c r="L6371" s="10">
        <v>40976</v>
      </c>
      <c r="M6371">
        <v>961.06</v>
      </c>
      <c r="N6371" s="11">
        <v>28</v>
      </c>
      <c r="O6371" s="12">
        <v>34.23</v>
      </c>
      <c r="P6371" s="12">
        <v>5.02</v>
      </c>
      <c r="Q6371" s="13">
        <v>361.82</v>
      </c>
      <c r="R6371" s="36" t="s">
        <v>1144</v>
      </c>
      <c r="S6371" s="7">
        <f t="shared" si="554"/>
        <v>7</v>
      </c>
      <c r="T6371" s="15" t="str">
        <f>VLOOKUP(R6371,产品分类!$C$2:$D$1278,2,0)</f>
        <v>办公用品</v>
      </c>
    </row>
    <row r="6372" spans="1:20">
      <c r="A6372" s="8">
        <f>DATE(2012,12,31)-46</f>
        <v>41228</v>
      </c>
      <c r="B6372" s="8">
        <f>DATE(2012,12,31)-46</f>
        <v>41228</v>
      </c>
      <c r="C6372" s="9" t="s">
        <v>1276</v>
      </c>
      <c r="D6372">
        <v>10021262772</v>
      </c>
      <c r="E6372" t="s">
        <v>47</v>
      </c>
      <c r="F6372" t="s">
        <v>61</v>
      </c>
      <c r="G6372" t="s">
        <v>62</v>
      </c>
      <c r="H6372" t="s">
        <v>2506</v>
      </c>
      <c r="I6372" t="s">
        <v>2507</v>
      </c>
      <c r="J6372" t="s">
        <v>52</v>
      </c>
      <c r="K6372" s="3">
        <v>100430174023</v>
      </c>
      <c r="L6372" s="10">
        <v>41228</v>
      </c>
      <c r="M6372">
        <v>692.15</v>
      </c>
      <c r="N6372" s="11">
        <v>37</v>
      </c>
      <c r="O6372" s="12">
        <v>19.98</v>
      </c>
      <c r="P6372" s="12">
        <v>5.97</v>
      </c>
      <c r="Q6372" s="13">
        <v>150.38</v>
      </c>
      <c r="R6372" s="36" t="s">
        <v>779</v>
      </c>
      <c r="S6372" s="7">
        <f t="shared" si="554"/>
        <v>0</v>
      </c>
      <c r="T6372" s="15" t="str">
        <f>VLOOKUP(R6372,产品分类!$C$2:$D$1278,2,0)</f>
        <v>家具产品</v>
      </c>
    </row>
    <row r="6373" spans="1:20">
      <c r="A6373" s="8">
        <f>DATE(2012,12,31)-824</f>
        <v>40450</v>
      </c>
      <c r="B6373" s="8">
        <f>DATE(2012,12,31)-824</f>
        <v>40450</v>
      </c>
      <c r="C6373" s="9" t="s">
        <v>759</v>
      </c>
      <c r="D6373">
        <v>10021425242</v>
      </c>
      <c r="E6373" t="s">
        <v>47</v>
      </c>
      <c r="F6373" t="s">
        <v>83</v>
      </c>
      <c r="G6373" t="s">
        <v>84</v>
      </c>
      <c r="H6373" t="s">
        <v>2510</v>
      </c>
      <c r="I6373" t="s">
        <v>2511</v>
      </c>
      <c r="J6373" t="s">
        <v>52</v>
      </c>
      <c r="K6373" s="3">
        <v>100129307658</v>
      </c>
      <c r="L6373" s="10">
        <v>40451</v>
      </c>
      <c r="M6373">
        <v>8704.08</v>
      </c>
      <c r="N6373" s="11">
        <v>10</v>
      </c>
      <c r="O6373" s="12">
        <v>880.98</v>
      </c>
      <c r="P6373" s="12">
        <v>44.55</v>
      </c>
      <c r="Q6373" s="13">
        <v>1034.54</v>
      </c>
      <c r="R6373" s="36" t="s">
        <v>1309</v>
      </c>
      <c r="S6373" s="7">
        <f t="shared" si="554"/>
        <v>1</v>
      </c>
      <c r="T6373" s="15" t="str">
        <f>VLOOKUP(R6373,产品分类!$C$2:$D$1278,2,0)</f>
        <v>数码电子</v>
      </c>
    </row>
    <row r="6374" spans="1:20">
      <c r="A6374" s="8">
        <f>DATE(2012,12,31)-824</f>
        <v>40450</v>
      </c>
      <c r="B6374" s="8">
        <f>DATE(2012,12,31)-824</f>
        <v>40450</v>
      </c>
      <c r="C6374" s="9" t="s">
        <v>1696</v>
      </c>
      <c r="D6374">
        <v>10021459761</v>
      </c>
      <c r="E6374" t="s">
        <v>47</v>
      </c>
      <c r="F6374" t="s">
        <v>61</v>
      </c>
      <c r="G6374" t="s">
        <v>62</v>
      </c>
      <c r="H6374" t="s">
        <v>2506</v>
      </c>
      <c r="I6374" t="s">
        <v>2507</v>
      </c>
      <c r="J6374" t="s">
        <v>52</v>
      </c>
      <c r="K6374" s="3">
        <v>10094173961</v>
      </c>
      <c r="L6374" s="10">
        <v>40452</v>
      </c>
      <c r="M6374">
        <v>24051.49</v>
      </c>
      <c r="N6374" s="11">
        <v>41</v>
      </c>
      <c r="O6374" s="12">
        <v>599.99</v>
      </c>
      <c r="P6374" s="12">
        <v>24.49</v>
      </c>
      <c r="Q6374" s="13">
        <v>9791.041</v>
      </c>
      <c r="R6374" s="36" t="s">
        <v>599</v>
      </c>
      <c r="S6374" s="7">
        <f t="shared" si="554"/>
        <v>2</v>
      </c>
      <c r="T6374" s="15" t="str">
        <f>VLOOKUP(R6374,产品分类!$C$2:$D$1278,2,0)</f>
        <v>办公用品</v>
      </c>
    </row>
    <row r="6375" spans="1:20">
      <c r="A6375" s="8">
        <f>DATE(2012,12,31)-395</f>
        <v>40879</v>
      </c>
      <c r="B6375" s="8">
        <f>DATE(2012,12,31)-395</f>
        <v>40879</v>
      </c>
      <c r="C6375" s="9" t="s">
        <v>1696</v>
      </c>
      <c r="D6375">
        <v>10021352679</v>
      </c>
      <c r="E6375" t="s">
        <v>47</v>
      </c>
      <c r="F6375" t="s">
        <v>61</v>
      </c>
      <c r="G6375" t="s">
        <v>62</v>
      </c>
      <c r="H6375" t="s">
        <v>2506</v>
      </c>
      <c r="I6375" t="s">
        <v>2507</v>
      </c>
      <c r="J6375" t="s">
        <v>52</v>
      </c>
      <c r="K6375" s="3">
        <v>100832535372</v>
      </c>
      <c r="L6375" s="10">
        <v>40880</v>
      </c>
      <c r="M6375">
        <v>6648.58</v>
      </c>
      <c r="N6375" s="11">
        <v>19</v>
      </c>
      <c r="O6375" s="12">
        <v>370.98</v>
      </c>
      <c r="P6375" s="12">
        <v>99</v>
      </c>
      <c r="Q6375" s="13">
        <v>-555.98</v>
      </c>
      <c r="R6375" s="36" t="s">
        <v>414</v>
      </c>
      <c r="S6375" s="7">
        <f t="shared" si="554"/>
        <v>1</v>
      </c>
      <c r="T6375" s="15" t="str">
        <f>VLOOKUP(R6375,产品分类!$C$2:$D$1278,2,0)</f>
        <v>数码电子</v>
      </c>
    </row>
    <row r="6376" spans="1:20">
      <c r="A6376" s="8">
        <f>DATE(2012,12,31)-638</f>
        <v>40636</v>
      </c>
      <c r="B6376" s="8">
        <f>DATE(2012,12,31)-638</f>
        <v>40636</v>
      </c>
      <c r="C6376" s="9" t="s">
        <v>2012</v>
      </c>
      <c r="D6376">
        <v>10021453779</v>
      </c>
      <c r="E6376" t="s">
        <v>47</v>
      </c>
      <c r="F6376" t="s">
        <v>61</v>
      </c>
      <c r="G6376" t="s">
        <v>62</v>
      </c>
      <c r="H6376" t="s">
        <v>2506</v>
      </c>
      <c r="I6376" t="s">
        <v>2507</v>
      </c>
      <c r="J6376" t="s">
        <v>52</v>
      </c>
      <c r="K6376" s="3">
        <v>100832355552</v>
      </c>
      <c r="L6376" s="10">
        <v>40638</v>
      </c>
      <c r="M6376">
        <v>91.43</v>
      </c>
      <c r="N6376" s="11">
        <v>47</v>
      </c>
      <c r="O6376" s="12">
        <v>2.08</v>
      </c>
      <c r="P6376" s="12">
        <v>1.49</v>
      </c>
      <c r="Q6376" s="13">
        <v>-22.8965</v>
      </c>
      <c r="R6376" s="36" t="s">
        <v>1020</v>
      </c>
      <c r="S6376" s="7">
        <f t="shared" si="554"/>
        <v>2</v>
      </c>
      <c r="T6376" s="15" t="str">
        <f>VLOOKUP(R6376,产品分类!$C$2:$D$1278,2,0)</f>
        <v>办公用品</v>
      </c>
    </row>
    <row r="6377" spans="1:20">
      <c r="A6377" s="8">
        <f>DATE(2012,12,31)-1341</f>
        <v>39933</v>
      </c>
      <c r="B6377" s="8">
        <f>DATE(2012,12,31)-1341</f>
        <v>39933</v>
      </c>
      <c r="C6377" s="9" t="s">
        <v>2369</v>
      </c>
      <c r="D6377">
        <v>10021262124</v>
      </c>
      <c r="E6377" t="s">
        <v>47</v>
      </c>
      <c r="F6377" t="s">
        <v>61</v>
      </c>
      <c r="G6377" t="s">
        <v>62</v>
      </c>
      <c r="H6377" t="s">
        <v>2506</v>
      </c>
      <c r="I6377" t="s">
        <v>2507</v>
      </c>
      <c r="J6377" t="s">
        <v>52</v>
      </c>
      <c r="K6377" s="3">
        <v>10045689534</v>
      </c>
      <c r="L6377" s="10">
        <v>39934</v>
      </c>
      <c r="M6377">
        <v>1912.9845</v>
      </c>
      <c r="N6377" s="11">
        <v>34</v>
      </c>
      <c r="O6377" s="12">
        <v>65.99</v>
      </c>
      <c r="P6377" s="12">
        <v>8.8</v>
      </c>
      <c r="Q6377" s="13">
        <v>288.09</v>
      </c>
      <c r="R6377" s="36" t="s">
        <v>70</v>
      </c>
      <c r="S6377" s="7">
        <f t="shared" si="554"/>
        <v>1</v>
      </c>
      <c r="T6377" s="15" t="str">
        <f>VLOOKUP(R6377,产品分类!$C$2:$D$1278,2,0)</f>
        <v>数码电子</v>
      </c>
    </row>
    <row r="6378" spans="1:20">
      <c r="A6378" s="8">
        <f>DATE(2012,12,31)-1341</f>
        <v>39933</v>
      </c>
      <c r="B6378" s="8">
        <f>DATE(2012,12,31)-1341</f>
        <v>39933</v>
      </c>
      <c r="C6378" s="9" t="s">
        <v>1339</v>
      </c>
      <c r="D6378">
        <v>10021428483</v>
      </c>
      <c r="E6378" t="s">
        <v>47</v>
      </c>
      <c r="F6378" t="s">
        <v>253</v>
      </c>
      <c r="G6378" t="s">
        <v>254</v>
      </c>
      <c r="H6378" t="s">
        <v>2508</v>
      </c>
      <c r="I6378" t="s">
        <v>2509</v>
      </c>
      <c r="J6378" t="s">
        <v>52</v>
      </c>
      <c r="K6378" s="3">
        <v>100916994651</v>
      </c>
      <c r="L6378" s="10">
        <v>39935</v>
      </c>
      <c r="M6378">
        <v>4170.865</v>
      </c>
      <c r="N6378" s="11">
        <v>24</v>
      </c>
      <c r="O6378" s="12">
        <v>195.99</v>
      </c>
      <c r="P6378" s="12">
        <v>4.2</v>
      </c>
      <c r="Q6378" s="13">
        <v>1030.509</v>
      </c>
      <c r="R6378" s="36" t="s">
        <v>963</v>
      </c>
      <c r="S6378" s="7">
        <f t="shared" si="554"/>
        <v>2</v>
      </c>
      <c r="T6378" s="15" t="str">
        <f>VLOOKUP(R6378,产品分类!$C$2:$D$1278,2,0)</f>
        <v>家具产品</v>
      </c>
    </row>
    <row r="6379" spans="1:20">
      <c r="A6379" s="8">
        <f t="shared" ref="A6379:B6381" si="557">DATE(2012,12,31)-498</f>
        <v>40776</v>
      </c>
      <c r="B6379" s="8">
        <f t="shared" si="557"/>
        <v>40776</v>
      </c>
      <c r="C6379" s="9" t="s">
        <v>1263</v>
      </c>
      <c r="D6379">
        <v>10021523732</v>
      </c>
      <c r="E6379" t="s">
        <v>47</v>
      </c>
      <c r="F6379" t="s">
        <v>61</v>
      </c>
      <c r="G6379" t="s">
        <v>62</v>
      </c>
      <c r="H6379" t="s">
        <v>2506</v>
      </c>
      <c r="I6379" t="s">
        <v>2507</v>
      </c>
      <c r="J6379" t="s">
        <v>52</v>
      </c>
      <c r="K6379" s="3">
        <v>100912493561</v>
      </c>
      <c r="L6379" s="10">
        <v>40777</v>
      </c>
      <c r="M6379">
        <v>164.1</v>
      </c>
      <c r="N6379" s="11">
        <v>26</v>
      </c>
      <c r="O6379" s="12">
        <v>5.74</v>
      </c>
      <c r="P6379" s="12">
        <v>5.01</v>
      </c>
      <c r="Q6379" s="13">
        <v>-41.216</v>
      </c>
      <c r="R6379" s="36" t="s">
        <v>732</v>
      </c>
      <c r="S6379" s="7">
        <f t="shared" si="554"/>
        <v>1</v>
      </c>
      <c r="T6379" s="15" t="str">
        <f>VLOOKUP(R6379,产品分类!$C$2:$D$1278,2,0)</f>
        <v>家具产品</v>
      </c>
    </row>
    <row r="6380" spans="1:20">
      <c r="A6380" s="8">
        <f t="shared" si="557"/>
        <v>40776</v>
      </c>
      <c r="B6380" s="8">
        <f t="shared" si="557"/>
        <v>40776</v>
      </c>
      <c r="C6380" s="9" t="s">
        <v>555</v>
      </c>
      <c r="D6380">
        <v>10021426467</v>
      </c>
      <c r="E6380" t="s">
        <v>47</v>
      </c>
      <c r="F6380" t="s">
        <v>61</v>
      </c>
      <c r="G6380" t="s">
        <v>62</v>
      </c>
      <c r="H6380" t="s">
        <v>2506</v>
      </c>
      <c r="I6380" t="s">
        <v>2507</v>
      </c>
      <c r="J6380" t="s">
        <v>52</v>
      </c>
      <c r="K6380" s="3">
        <v>10099856021</v>
      </c>
      <c r="L6380" s="10">
        <v>40778</v>
      </c>
      <c r="M6380">
        <v>1316.87</v>
      </c>
      <c r="N6380" s="11">
        <v>23</v>
      </c>
      <c r="O6380" s="12">
        <v>53.98</v>
      </c>
      <c r="P6380" s="12">
        <v>5.5</v>
      </c>
      <c r="Q6380" s="13">
        <v>204.7</v>
      </c>
      <c r="R6380" s="36" t="s">
        <v>2050</v>
      </c>
      <c r="S6380" s="7">
        <f t="shared" si="554"/>
        <v>2</v>
      </c>
      <c r="T6380" s="15" t="str">
        <f>VLOOKUP(R6380,产品分类!$C$2:$D$1278,2,0)</f>
        <v>家具产品</v>
      </c>
    </row>
    <row r="6381" spans="1:20">
      <c r="A6381" s="8">
        <f t="shared" si="557"/>
        <v>40776</v>
      </c>
      <c r="B6381" s="8">
        <f t="shared" si="557"/>
        <v>40776</v>
      </c>
      <c r="C6381" s="9" t="s">
        <v>555</v>
      </c>
      <c r="D6381">
        <v>10021498985</v>
      </c>
      <c r="E6381" t="s">
        <v>47</v>
      </c>
      <c r="F6381" t="s">
        <v>61</v>
      </c>
      <c r="G6381" t="s">
        <v>62</v>
      </c>
      <c r="H6381" t="s">
        <v>2506</v>
      </c>
      <c r="I6381" t="s">
        <v>2507</v>
      </c>
      <c r="J6381" t="s">
        <v>52</v>
      </c>
      <c r="K6381" s="3">
        <v>100123843208</v>
      </c>
      <c r="L6381" s="10">
        <v>40778</v>
      </c>
      <c r="M6381">
        <v>11.81</v>
      </c>
      <c r="N6381" s="11">
        <v>1</v>
      </c>
      <c r="O6381" s="12">
        <v>5.89</v>
      </c>
      <c r="P6381" s="12">
        <v>5.57</v>
      </c>
      <c r="Q6381" s="13">
        <v>-7.95</v>
      </c>
      <c r="R6381" s="36" t="s">
        <v>1561</v>
      </c>
      <c r="S6381" s="7">
        <f t="shared" si="554"/>
        <v>2</v>
      </c>
      <c r="T6381" s="15" t="str">
        <f>VLOOKUP(R6381,产品分类!$C$2:$D$1278,2,0)</f>
        <v>数码电子</v>
      </c>
    </row>
    <row r="6382" spans="1:20">
      <c r="A6382" s="8">
        <f>DATE(2012,12,31)-736</f>
        <v>40538</v>
      </c>
      <c r="B6382" s="8">
        <f>DATE(2012,12,31)-736</f>
        <v>40538</v>
      </c>
      <c r="C6382" s="9" t="s">
        <v>945</v>
      </c>
      <c r="D6382">
        <v>10021444580</v>
      </c>
      <c r="E6382" t="s">
        <v>47</v>
      </c>
      <c r="F6382" t="s">
        <v>61</v>
      </c>
      <c r="G6382" t="s">
        <v>62</v>
      </c>
      <c r="H6382" t="s">
        <v>2506</v>
      </c>
      <c r="I6382" t="s">
        <v>2507</v>
      </c>
      <c r="J6382" t="s">
        <v>52</v>
      </c>
      <c r="K6382" s="3">
        <v>10019784688</v>
      </c>
      <c r="L6382" s="10">
        <v>40560</v>
      </c>
      <c r="M6382">
        <v>716.99</v>
      </c>
      <c r="N6382" s="11">
        <v>25</v>
      </c>
      <c r="O6382" s="12">
        <v>29.89</v>
      </c>
      <c r="P6382" s="12">
        <v>1.99</v>
      </c>
      <c r="Q6382" s="13">
        <v>174.06</v>
      </c>
      <c r="R6382" s="36" t="s">
        <v>1420</v>
      </c>
      <c r="S6382" s="7">
        <f t="shared" si="554"/>
        <v>22</v>
      </c>
      <c r="T6382" s="15" t="str">
        <f>VLOOKUP(R6382,产品分类!$C$2:$D$1278,2,0)</f>
        <v>家具产品</v>
      </c>
    </row>
    <row r="6383" spans="1:20">
      <c r="A6383" s="8">
        <f t="shared" ref="A6383:B6385" si="558">DATE(2012,12,31)-994</f>
        <v>40280</v>
      </c>
      <c r="B6383" s="8">
        <f t="shared" si="558"/>
        <v>40280</v>
      </c>
      <c r="C6383" s="9" t="s">
        <v>470</v>
      </c>
      <c r="D6383">
        <v>10021580968</v>
      </c>
      <c r="E6383" t="s">
        <v>47</v>
      </c>
      <c r="F6383" t="s">
        <v>61</v>
      </c>
      <c r="G6383" t="s">
        <v>62</v>
      </c>
      <c r="H6383" t="s">
        <v>2506</v>
      </c>
      <c r="I6383" t="s">
        <v>2507</v>
      </c>
      <c r="J6383" t="s">
        <v>52</v>
      </c>
      <c r="K6383" s="3">
        <v>100423793394</v>
      </c>
      <c r="L6383" s="10">
        <v>40283</v>
      </c>
      <c r="M6383">
        <v>3427.31</v>
      </c>
      <c r="N6383" s="11">
        <v>11</v>
      </c>
      <c r="O6383" s="12">
        <v>320.98</v>
      </c>
      <c r="P6383" s="12">
        <v>58.95</v>
      </c>
      <c r="Q6383" s="13">
        <v>124.36</v>
      </c>
      <c r="R6383" s="36" t="s">
        <v>706</v>
      </c>
      <c r="S6383" s="7">
        <f t="shared" si="554"/>
        <v>3</v>
      </c>
      <c r="T6383" s="15" t="str">
        <f>VLOOKUP(R6383,产品分类!$C$2:$D$1278,2,0)</f>
        <v>办公用品</v>
      </c>
    </row>
    <row r="6384" spans="1:20">
      <c r="A6384" s="8">
        <f t="shared" si="558"/>
        <v>40280</v>
      </c>
      <c r="B6384" s="8">
        <f t="shared" si="558"/>
        <v>40280</v>
      </c>
      <c r="C6384" s="9" t="s">
        <v>470</v>
      </c>
      <c r="D6384">
        <v>10021481617</v>
      </c>
      <c r="E6384" t="s">
        <v>47</v>
      </c>
      <c r="F6384" t="s">
        <v>177</v>
      </c>
      <c r="G6384" t="s">
        <v>178</v>
      </c>
      <c r="H6384" t="s">
        <v>2492</v>
      </c>
      <c r="I6384" t="s">
        <v>2493</v>
      </c>
      <c r="J6384" t="s">
        <v>52</v>
      </c>
      <c r="K6384" s="3">
        <v>100132951127</v>
      </c>
      <c r="L6384" s="10">
        <v>40281</v>
      </c>
      <c r="M6384">
        <v>36.26</v>
      </c>
      <c r="N6384" s="11">
        <v>10</v>
      </c>
      <c r="O6384" s="12">
        <v>3.28</v>
      </c>
      <c r="P6384" s="12">
        <v>3.97</v>
      </c>
      <c r="Q6384" s="13">
        <v>-28.37</v>
      </c>
      <c r="R6384" s="36" t="s">
        <v>634</v>
      </c>
      <c r="S6384" s="7">
        <f t="shared" si="554"/>
        <v>1</v>
      </c>
      <c r="T6384" s="15" t="str">
        <f>VLOOKUP(R6384,产品分类!$C$2:$D$1278,2,0)</f>
        <v>办公用品</v>
      </c>
    </row>
    <row r="6385" spans="1:20">
      <c r="A6385" s="8">
        <f t="shared" si="558"/>
        <v>40280</v>
      </c>
      <c r="B6385" s="8">
        <f t="shared" si="558"/>
        <v>40280</v>
      </c>
      <c r="C6385" s="9" t="s">
        <v>678</v>
      </c>
      <c r="D6385">
        <v>10021487076</v>
      </c>
      <c r="E6385" t="s">
        <v>47</v>
      </c>
      <c r="F6385" t="s">
        <v>97</v>
      </c>
      <c r="G6385" t="s">
        <v>98</v>
      </c>
      <c r="H6385" t="s">
        <v>99</v>
      </c>
      <c r="I6385" t="s">
        <v>98</v>
      </c>
      <c r="J6385" t="s">
        <v>52</v>
      </c>
      <c r="K6385" s="3">
        <v>100731845865</v>
      </c>
      <c r="L6385" s="10">
        <v>40283</v>
      </c>
      <c r="M6385">
        <v>893.1375</v>
      </c>
      <c r="N6385" s="11">
        <v>50</v>
      </c>
      <c r="O6385" s="12">
        <v>20.99</v>
      </c>
      <c r="P6385" s="12">
        <v>1.25</v>
      </c>
      <c r="Q6385" s="13">
        <v>10.998</v>
      </c>
      <c r="R6385" s="36" t="s">
        <v>566</v>
      </c>
      <c r="S6385" s="7">
        <f t="shared" si="554"/>
        <v>3</v>
      </c>
      <c r="T6385" s="15" t="str">
        <f>VLOOKUP(R6385,产品分类!$C$2:$D$1278,2,0)</f>
        <v>办公用品</v>
      </c>
    </row>
    <row r="6386" spans="1:20">
      <c r="A6386" s="8">
        <f>DATE(2012,12,31)-1230</f>
        <v>40044</v>
      </c>
      <c r="B6386" s="8">
        <f>DATE(2012,12,31)-1230</f>
        <v>40044</v>
      </c>
      <c r="C6386" s="9" t="s">
        <v>1321</v>
      </c>
      <c r="D6386">
        <v>10021266822</v>
      </c>
      <c r="E6386" t="s">
        <v>47</v>
      </c>
      <c r="F6386" t="s">
        <v>2517</v>
      </c>
      <c r="G6386" t="s">
        <v>2518</v>
      </c>
      <c r="H6386" t="s">
        <v>2519</v>
      </c>
      <c r="I6386" t="s">
        <v>2520</v>
      </c>
      <c r="J6386" t="s">
        <v>52</v>
      </c>
      <c r="K6386" s="3">
        <v>100832048382</v>
      </c>
      <c r="L6386" s="10">
        <v>40049</v>
      </c>
      <c r="M6386">
        <v>991.36</v>
      </c>
      <c r="N6386" s="11">
        <v>19</v>
      </c>
      <c r="O6386" s="12">
        <v>54.1</v>
      </c>
      <c r="P6386" s="12">
        <v>19.99</v>
      </c>
      <c r="Q6386" s="13">
        <v>-103.11</v>
      </c>
      <c r="R6386" s="36" t="s">
        <v>2023</v>
      </c>
      <c r="S6386" s="7">
        <f t="shared" si="554"/>
        <v>5</v>
      </c>
      <c r="T6386" s="15" t="str">
        <f>VLOOKUP(R6386,产品分类!$C$2:$D$1278,2,0)</f>
        <v>数码电子</v>
      </c>
    </row>
    <row r="6387" spans="1:20">
      <c r="A6387" s="8">
        <f>DATE(2012,12,31)-984</f>
        <v>40290</v>
      </c>
      <c r="B6387" s="8">
        <f>DATE(2012,12,31)-984</f>
        <v>40290</v>
      </c>
      <c r="C6387" s="9" t="s">
        <v>780</v>
      </c>
      <c r="D6387">
        <v>10021264533</v>
      </c>
      <c r="E6387" t="s">
        <v>47</v>
      </c>
      <c r="F6387" t="s">
        <v>127</v>
      </c>
      <c r="G6387" t="s">
        <v>128</v>
      </c>
      <c r="H6387" t="s">
        <v>2462</v>
      </c>
      <c r="I6387" t="s">
        <v>2463</v>
      </c>
      <c r="J6387" t="s">
        <v>52</v>
      </c>
      <c r="K6387" s="3">
        <v>100331192509</v>
      </c>
      <c r="L6387" s="10">
        <v>40291</v>
      </c>
      <c r="M6387">
        <v>586.619</v>
      </c>
      <c r="N6387" s="11">
        <v>20</v>
      </c>
      <c r="O6387" s="12">
        <v>35.99</v>
      </c>
      <c r="P6387" s="12">
        <v>1.1</v>
      </c>
      <c r="Q6387" s="13">
        <v>83.07</v>
      </c>
      <c r="R6387" s="36" t="s">
        <v>2179</v>
      </c>
      <c r="S6387" s="7">
        <f t="shared" si="554"/>
        <v>1</v>
      </c>
      <c r="T6387" s="15" t="str">
        <f>VLOOKUP(R6387,产品分类!$C$2:$D$1278,2,0)</f>
        <v>家具产品</v>
      </c>
    </row>
    <row r="6388" spans="1:20">
      <c r="A6388" s="8">
        <f t="shared" ref="A6388:B6390" si="559">DATE(2012,12,31)-937</f>
        <v>40337</v>
      </c>
      <c r="B6388" s="8">
        <f t="shared" si="559"/>
        <v>40337</v>
      </c>
      <c r="C6388" s="9" t="s">
        <v>780</v>
      </c>
      <c r="D6388">
        <v>10021646532</v>
      </c>
      <c r="E6388" t="s">
        <v>47</v>
      </c>
      <c r="F6388" t="s">
        <v>171</v>
      </c>
      <c r="G6388" t="s">
        <v>172</v>
      </c>
      <c r="H6388" t="s">
        <v>2486</v>
      </c>
      <c r="I6388" t="s">
        <v>2310</v>
      </c>
      <c r="J6388" t="s">
        <v>52</v>
      </c>
      <c r="K6388" s="3">
        <v>100417220594</v>
      </c>
      <c r="L6388" s="10">
        <v>40338</v>
      </c>
      <c r="M6388">
        <v>85.74</v>
      </c>
      <c r="N6388" s="11">
        <v>18</v>
      </c>
      <c r="O6388" s="12">
        <v>4.38</v>
      </c>
      <c r="P6388" s="12">
        <v>6.21</v>
      </c>
      <c r="Q6388" s="13">
        <v>-73.5655</v>
      </c>
      <c r="R6388" s="36" t="s">
        <v>894</v>
      </c>
      <c r="S6388" s="7">
        <f t="shared" si="554"/>
        <v>1</v>
      </c>
      <c r="T6388" s="15" t="str">
        <f>VLOOKUP(R6388,产品分类!$C$2:$D$1278,2,0)</f>
        <v>家具产品</v>
      </c>
    </row>
    <row r="6389" spans="1:20">
      <c r="A6389" s="8">
        <f t="shared" si="559"/>
        <v>40337</v>
      </c>
      <c r="B6389" s="8">
        <f t="shared" si="559"/>
        <v>40337</v>
      </c>
      <c r="C6389" s="9" t="s">
        <v>1773</v>
      </c>
      <c r="D6389">
        <v>10021353042</v>
      </c>
      <c r="E6389" t="s">
        <v>47</v>
      </c>
      <c r="F6389" t="s">
        <v>132</v>
      </c>
      <c r="G6389" t="s">
        <v>133</v>
      </c>
      <c r="H6389" t="s">
        <v>134</v>
      </c>
      <c r="I6389" t="s">
        <v>133</v>
      </c>
      <c r="J6389" t="s">
        <v>52</v>
      </c>
      <c r="K6389" s="3">
        <v>100826293062</v>
      </c>
      <c r="L6389" s="10">
        <v>40338</v>
      </c>
      <c r="M6389">
        <v>2031.98</v>
      </c>
      <c r="N6389" s="11">
        <v>17</v>
      </c>
      <c r="O6389" s="12">
        <v>120.98</v>
      </c>
      <c r="P6389" s="12">
        <v>9.07</v>
      </c>
      <c r="Q6389" s="13">
        <v>778.6</v>
      </c>
      <c r="R6389" s="36" t="s">
        <v>876</v>
      </c>
      <c r="S6389" s="7">
        <f t="shared" si="554"/>
        <v>1</v>
      </c>
      <c r="T6389" s="15" t="str">
        <f>VLOOKUP(R6389,产品分类!$C$2:$D$1278,2,0)</f>
        <v>办公用品</v>
      </c>
    </row>
    <row r="6390" spans="1:20">
      <c r="A6390" s="8">
        <f t="shared" si="559"/>
        <v>40337</v>
      </c>
      <c r="B6390" s="8">
        <f t="shared" si="559"/>
        <v>40337</v>
      </c>
      <c r="C6390" s="9" t="s">
        <v>1773</v>
      </c>
      <c r="D6390">
        <v>10021700401</v>
      </c>
      <c r="E6390" t="s">
        <v>47</v>
      </c>
      <c r="F6390" t="s">
        <v>66</v>
      </c>
      <c r="G6390" t="s">
        <v>67</v>
      </c>
      <c r="H6390" t="s">
        <v>2467</v>
      </c>
      <c r="I6390" t="s">
        <v>2468</v>
      </c>
      <c r="J6390" t="s">
        <v>52</v>
      </c>
      <c r="K6390" s="3">
        <v>10019406786</v>
      </c>
      <c r="L6390" s="10">
        <v>40337</v>
      </c>
      <c r="M6390">
        <v>131.94</v>
      </c>
      <c r="N6390" s="11">
        <v>24</v>
      </c>
      <c r="O6390" s="12">
        <v>5.28</v>
      </c>
      <c r="P6390" s="12">
        <v>2.99</v>
      </c>
      <c r="Q6390" s="13">
        <v>2.3205</v>
      </c>
      <c r="R6390" s="36" t="s">
        <v>814</v>
      </c>
      <c r="S6390" s="7">
        <f t="shared" si="554"/>
        <v>0</v>
      </c>
      <c r="T6390" s="15" t="str">
        <f>VLOOKUP(R6390,产品分类!$C$2:$D$1278,2,0)</f>
        <v>办公用品</v>
      </c>
    </row>
    <row r="6391" spans="1:20">
      <c r="A6391" s="8">
        <f>DATE(2012,12,31)-1419</f>
        <v>39855</v>
      </c>
      <c r="B6391" s="8">
        <f>DATE(2012,12,31)-1419</f>
        <v>39855</v>
      </c>
      <c r="C6391" s="9" t="s">
        <v>1773</v>
      </c>
      <c r="D6391">
        <v>10021440305</v>
      </c>
      <c r="E6391" t="s">
        <v>47</v>
      </c>
      <c r="F6391" t="s">
        <v>78</v>
      </c>
      <c r="G6391" t="s">
        <v>79</v>
      </c>
      <c r="H6391" t="s">
        <v>2489</v>
      </c>
      <c r="I6391" t="s">
        <v>2490</v>
      </c>
      <c r="J6391" t="s">
        <v>52</v>
      </c>
      <c r="K6391" s="3">
        <v>100110190847</v>
      </c>
      <c r="L6391" s="10">
        <v>39856</v>
      </c>
      <c r="M6391">
        <v>1002.73</v>
      </c>
      <c r="N6391" s="11">
        <v>17</v>
      </c>
      <c r="O6391" s="12">
        <v>60.98</v>
      </c>
      <c r="P6391" s="12">
        <v>49</v>
      </c>
      <c r="Q6391" s="13">
        <v>-563.86</v>
      </c>
      <c r="R6391" s="36" t="s">
        <v>2342</v>
      </c>
      <c r="S6391" s="7">
        <f t="shared" si="554"/>
        <v>1</v>
      </c>
      <c r="T6391" s="15" t="str">
        <f>VLOOKUP(R6391,产品分类!$C$2:$D$1278,2,0)</f>
        <v>家具产品</v>
      </c>
    </row>
    <row r="6392" spans="1:20">
      <c r="A6392" s="8">
        <f>DATE(2012,12,31)-144</f>
        <v>41130</v>
      </c>
      <c r="B6392" s="8">
        <f>DATE(2012,12,31)-144</f>
        <v>41130</v>
      </c>
      <c r="C6392" s="9" t="s">
        <v>660</v>
      </c>
      <c r="D6392">
        <v>10021443265</v>
      </c>
      <c r="E6392" t="s">
        <v>47</v>
      </c>
      <c r="F6392" t="s">
        <v>122</v>
      </c>
      <c r="G6392" t="s">
        <v>123</v>
      </c>
      <c r="H6392" t="s">
        <v>2458</v>
      </c>
      <c r="I6392" t="s">
        <v>2459</v>
      </c>
      <c r="J6392" t="s">
        <v>52</v>
      </c>
      <c r="K6392" s="3">
        <v>100730400715</v>
      </c>
      <c r="L6392" s="10">
        <v>41132</v>
      </c>
      <c r="M6392">
        <v>748.29</v>
      </c>
      <c r="N6392" s="11">
        <v>5</v>
      </c>
      <c r="O6392" s="12">
        <v>135.99</v>
      </c>
      <c r="P6392" s="12">
        <v>28.63</v>
      </c>
      <c r="Q6392" s="13">
        <v>-183.6</v>
      </c>
      <c r="R6392" s="36" t="s">
        <v>866</v>
      </c>
      <c r="S6392" s="7">
        <f t="shared" si="554"/>
        <v>2</v>
      </c>
      <c r="T6392" s="15" t="str">
        <f>VLOOKUP(R6392,产品分类!$C$2:$D$1278,2,0)</f>
        <v>办公用品</v>
      </c>
    </row>
    <row r="6393" spans="1:20">
      <c r="A6393" s="8">
        <f>DATE(2012,12,31)-257</f>
        <v>41017</v>
      </c>
      <c r="B6393" s="8">
        <f>DATE(2012,12,31)-257</f>
        <v>41017</v>
      </c>
      <c r="C6393" s="9" t="s">
        <v>1266</v>
      </c>
      <c r="D6393">
        <v>10021724141</v>
      </c>
      <c r="E6393" t="s">
        <v>47</v>
      </c>
      <c r="F6393" t="s">
        <v>91</v>
      </c>
      <c r="G6393" t="s">
        <v>92</v>
      </c>
      <c r="H6393" t="s">
        <v>2502</v>
      </c>
      <c r="I6393" t="s">
        <v>2503</v>
      </c>
      <c r="J6393" t="s">
        <v>52</v>
      </c>
      <c r="K6393" s="3">
        <v>100821353402</v>
      </c>
      <c r="L6393" s="10">
        <v>41017</v>
      </c>
      <c r="M6393">
        <v>1055.98</v>
      </c>
      <c r="N6393" s="11">
        <v>48</v>
      </c>
      <c r="O6393" s="12">
        <v>21.78</v>
      </c>
      <c r="P6393" s="12">
        <v>5.94</v>
      </c>
      <c r="Q6393" s="13">
        <v>204.58</v>
      </c>
      <c r="R6393" s="36" t="s">
        <v>310</v>
      </c>
      <c r="S6393" s="7">
        <f t="shared" si="554"/>
        <v>0</v>
      </c>
      <c r="T6393" s="15" t="str">
        <f>VLOOKUP(R6393,产品分类!$C$2:$D$1278,2,0)</f>
        <v>办公用品</v>
      </c>
    </row>
    <row r="6394" spans="1:20">
      <c r="A6394" s="8">
        <f>DATE(2012,12,31)-371</f>
        <v>40903</v>
      </c>
      <c r="B6394" s="8">
        <f>DATE(2012,12,31)-371</f>
        <v>40903</v>
      </c>
      <c r="C6394" s="9" t="s">
        <v>1266</v>
      </c>
      <c r="D6394">
        <v>10021326563</v>
      </c>
      <c r="E6394" t="s">
        <v>47</v>
      </c>
      <c r="F6394" t="s">
        <v>91</v>
      </c>
      <c r="G6394" t="s">
        <v>92</v>
      </c>
      <c r="H6394" t="s">
        <v>2502</v>
      </c>
      <c r="I6394" t="s">
        <v>2503</v>
      </c>
      <c r="J6394" t="s">
        <v>52</v>
      </c>
      <c r="K6394" s="3">
        <v>100730574065</v>
      </c>
      <c r="L6394" s="10">
        <v>40908</v>
      </c>
      <c r="M6394">
        <v>448.3665</v>
      </c>
      <c r="N6394" s="11">
        <v>3</v>
      </c>
      <c r="O6394" s="12">
        <v>175.99</v>
      </c>
      <c r="P6394" s="12">
        <v>8.99</v>
      </c>
      <c r="Q6394" s="13">
        <v>-748.407</v>
      </c>
      <c r="R6394" s="36" t="s">
        <v>1396</v>
      </c>
      <c r="S6394" s="7">
        <f t="shared" si="554"/>
        <v>5</v>
      </c>
      <c r="T6394" s="15" t="str">
        <f>VLOOKUP(R6394,产品分类!$C$2:$D$1278,2,0)</f>
        <v>家具产品</v>
      </c>
    </row>
    <row r="6395" spans="1:20">
      <c r="A6395" s="8">
        <f>DATE(2012,12,31)-863</f>
        <v>40411</v>
      </c>
      <c r="B6395" s="8">
        <f>DATE(2012,12,31)-863</f>
        <v>40411</v>
      </c>
      <c r="C6395" s="9" t="s">
        <v>1266</v>
      </c>
      <c r="D6395">
        <v>10021374728</v>
      </c>
      <c r="E6395" t="s">
        <v>47</v>
      </c>
      <c r="F6395" t="s">
        <v>122</v>
      </c>
      <c r="G6395" t="s">
        <v>123</v>
      </c>
      <c r="H6395" t="s">
        <v>2458</v>
      </c>
      <c r="I6395" t="s">
        <v>2459</v>
      </c>
      <c r="J6395" t="s">
        <v>52</v>
      </c>
      <c r="K6395" s="3">
        <v>100823381562</v>
      </c>
      <c r="L6395" s="10">
        <v>40418</v>
      </c>
      <c r="M6395">
        <v>951.31</v>
      </c>
      <c r="N6395" s="11">
        <v>31</v>
      </c>
      <c r="O6395" s="12">
        <v>31.76</v>
      </c>
      <c r="P6395" s="12">
        <v>45.51</v>
      </c>
      <c r="Q6395" s="13">
        <v>-1099.46</v>
      </c>
      <c r="R6395" s="36" t="s">
        <v>1326</v>
      </c>
      <c r="S6395" s="7">
        <f t="shared" si="554"/>
        <v>7</v>
      </c>
      <c r="T6395" s="15" t="str">
        <f>VLOOKUP(R6395,产品分类!$C$2:$D$1278,2,0)</f>
        <v>家具产品</v>
      </c>
    </row>
    <row r="6396" spans="1:20">
      <c r="A6396" s="8">
        <f>DATE(2012,12,31)-1247</f>
        <v>40027</v>
      </c>
      <c r="B6396" s="8">
        <f>DATE(2012,12,31)-1247</f>
        <v>40027</v>
      </c>
      <c r="C6396" s="9" t="s">
        <v>1594</v>
      </c>
      <c r="D6396">
        <v>10021564136</v>
      </c>
      <c r="E6396" t="s">
        <v>47</v>
      </c>
      <c r="F6396" t="s">
        <v>91</v>
      </c>
      <c r="G6396" t="s">
        <v>92</v>
      </c>
      <c r="H6396" t="s">
        <v>2502</v>
      </c>
      <c r="I6396" t="s">
        <v>2503</v>
      </c>
      <c r="J6396" t="s">
        <v>52</v>
      </c>
      <c r="K6396" s="3">
        <v>100414740293</v>
      </c>
      <c r="L6396" s="10">
        <v>40029</v>
      </c>
      <c r="M6396">
        <v>269.2</v>
      </c>
      <c r="N6396" s="11">
        <v>15</v>
      </c>
      <c r="O6396" s="12">
        <v>16.48</v>
      </c>
      <c r="P6396" s="12">
        <v>1.99</v>
      </c>
      <c r="Q6396" s="13">
        <v>69.61</v>
      </c>
      <c r="R6396" s="36" t="s">
        <v>2173</v>
      </c>
      <c r="S6396" s="7">
        <f t="shared" si="554"/>
        <v>2</v>
      </c>
      <c r="T6396" s="15" t="str">
        <f>VLOOKUP(R6396,产品分类!$C$2:$D$1278,2,0)</f>
        <v>家具产品</v>
      </c>
    </row>
    <row r="6397" spans="1:20">
      <c r="A6397" s="8">
        <f>DATE(2012,12,31)-1247</f>
        <v>40027</v>
      </c>
      <c r="B6397" s="8">
        <f>DATE(2012,12,31)-1247</f>
        <v>40027</v>
      </c>
      <c r="C6397" s="9" t="s">
        <v>1181</v>
      </c>
      <c r="D6397">
        <v>10021571175</v>
      </c>
      <c r="E6397" t="s">
        <v>47</v>
      </c>
      <c r="F6397" t="s">
        <v>208</v>
      </c>
      <c r="G6397" t="s">
        <v>209</v>
      </c>
      <c r="H6397" t="s">
        <v>2300</v>
      </c>
      <c r="I6397" t="s">
        <v>2301</v>
      </c>
      <c r="J6397" t="s">
        <v>52</v>
      </c>
      <c r="K6397" s="3">
        <v>100921490401</v>
      </c>
      <c r="L6397" s="10">
        <v>40029</v>
      </c>
      <c r="M6397">
        <v>87.33</v>
      </c>
      <c r="N6397" s="11">
        <v>27</v>
      </c>
      <c r="O6397" s="12">
        <v>3.38</v>
      </c>
      <c r="P6397" s="12">
        <v>0.85</v>
      </c>
      <c r="Q6397" s="13">
        <v>13.82</v>
      </c>
      <c r="R6397" s="36" t="s">
        <v>537</v>
      </c>
      <c r="S6397" s="7">
        <f t="shared" si="554"/>
        <v>2</v>
      </c>
      <c r="T6397" s="15" t="str">
        <f>VLOOKUP(R6397,产品分类!$C$2:$D$1278,2,0)</f>
        <v>办公用品</v>
      </c>
    </row>
    <row r="6398" spans="1:20">
      <c r="A6398" s="8">
        <f>DATE(2012,12,31)-1058</f>
        <v>40216</v>
      </c>
      <c r="B6398" s="8">
        <f>DATE(2012,12,31)-1058</f>
        <v>40216</v>
      </c>
      <c r="C6398" s="9" t="s">
        <v>667</v>
      </c>
      <c r="D6398">
        <v>10021372682</v>
      </c>
      <c r="E6398" t="s">
        <v>47</v>
      </c>
      <c r="F6398" t="s">
        <v>102</v>
      </c>
      <c r="G6398" t="s">
        <v>103</v>
      </c>
      <c r="H6398" t="s">
        <v>2483</v>
      </c>
      <c r="I6398" t="s">
        <v>2484</v>
      </c>
      <c r="J6398" t="s">
        <v>52</v>
      </c>
      <c r="K6398" s="3">
        <v>100832888182</v>
      </c>
      <c r="L6398" s="10">
        <v>40219</v>
      </c>
      <c r="M6398">
        <v>281.79</v>
      </c>
      <c r="N6398" s="11">
        <v>37</v>
      </c>
      <c r="O6398" s="12">
        <v>7.64</v>
      </c>
      <c r="P6398" s="12">
        <v>5.83</v>
      </c>
      <c r="Q6398" s="13">
        <v>-50.96</v>
      </c>
      <c r="R6398" s="36" t="s">
        <v>2448</v>
      </c>
      <c r="S6398" s="7">
        <f t="shared" si="554"/>
        <v>3</v>
      </c>
      <c r="T6398" s="15" t="str">
        <f>VLOOKUP(R6398,产品分类!$C$2:$D$1278,2,0)</f>
        <v>家具产品</v>
      </c>
    </row>
    <row r="6399" spans="1:20">
      <c r="A6399" s="8">
        <f>DATE(2012,12,31)-1058</f>
        <v>40216</v>
      </c>
      <c r="B6399" s="8">
        <f>DATE(2012,12,31)-1058</f>
        <v>40216</v>
      </c>
      <c r="C6399" s="9" t="s">
        <v>667</v>
      </c>
      <c r="D6399">
        <v>10021456581</v>
      </c>
      <c r="E6399" t="s">
        <v>47</v>
      </c>
      <c r="F6399" t="s">
        <v>91</v>
      </c>
      <c r="G6399" t="s">
        <v>92</v>
      </c>
      <c r="H6399" t="s">
        <v>2502</v>
      </c>
      <c r="I6399" t="s">
        <v>2503</v>
      </c>
      <c r="J6399" t="s">
        <v>52</v>
      </c>
      <c r="K6399" s="3">
        <v>100332715129</v>
      </c>
      <c r="L6399" s="10">
        <v>40217</v>
      </c>
      <c r="M6399">
        <v>4064.272</v>
      </c>
      <c r="N6399" s="11">
        <v>40</v>
      </c>
      <c r="O6399" s="12">
        <v>124.49</v>
      </c>
      <c r="P6399" s="12">
        <v>51.94</v>
      </c>
      <c r="Q6399" s="13">
        <v>-300.854983</v>
      </c>
      <c r="R6399" s="36" t="s">
        <v>1524</v>
      </c>
      <c r="S6399" s="7">
        <f t="shared" si="554"/>
        <v>1</v>
      </c>
      <c r="T6399" s="15" t="str">
        <f>VLOOKUP(R6399,产品分类!$C$2:$D$1278,2,0)</f>
        <v>办公用品</v>
      </c>
    </row>
    <row r="6400" spans="1:20">
      <c r="A6400" s="8">
        <f>DATE(2012,12,31)-698</f>
        <v>40576</v>
      </c>
      <c r="B6400" s="8">
        <f>DATE(2012,12,31)-698</f>
        <v>40576</v>
      </c>
      <c r="C6400" s="9" t="s">
        <v>667</v>
      </c>
      <c r="D6400">
        <v>10021328223</v>
      </c>
      <c r="E6400" t="s">
        <v>47</v>
      </c>
      <c r="F6400" t="s">
        <v>171</v>
      </c>
      <c r="G6400" t="s">
        <v>172</v>
      </c>
      <c r="H6400" t="s">
        <v>2486</v>
      </c>
      <c r="I6400" t="s">
        <v>2310</v>
      </c>
      <c r="J6400" t="s">
        <v>52</v>
      </c>
      <c r="K6400" s="3">
        <v>100932207871</v>
      </c>
      <c r="L6400" s="10">
        <v>40580</v>
      </c>
      <c r="M6400">
        <v>1223.43</v>
      </c>
      <c r="N6400" s="11">
        <v>16</v>
      </c>
      <c r="O6400" s="12">
        <v>70.89</v>
      </c>
      <c r="P6400" s="12">
        <v>89.3</v>
      </c>
      <c r="Q6400" s="13">
        <v>-1615.5854</v>
      </c>
      <c r="R6400" s="36" t="s">
        <v>385</v>
      </c>
      <c r="S6400" s="7">
        <f t="shared" si="554"/>
        <v>4</v>
      </c>
      <c r="T6400" s="15" t="str">
        <f>VLOOKUP(R6400,产品分类!$C$2:$D$1278,2,0)</f>
        <v>数码电子</v>
      </c>
    </row>
    <row r="6401" spans="1:20">
      <c r="A6401" s="16">
        <f>DATE(2012,12,31)-875</f>
        <v>40399</v>
      </c>
      <c r="B6401" s="16">
        <f>DATE(2012,12,31)-875</f>
        <v>40399</v>
      </c>
      <c r="C6401" s="9" t="s">
        <v>1753</v>
      </c>
      <c r="D6401">
        <v>10021471230</v>
      </c>
      <c r="E6401" t="s">
        <v>47</v>
      </c>
      <c r="F6401" t="s">
        <v>167</v>
      </c>
      <c r="G6401" t="s">
        <v>168</v>
      </c>
      <c r="H6401" t="s">
        <v>169</v>
      </c>
      <c r="I6401" t="s">
        <v>168</v>
      </c>
      <c r="J6401" t="s">
        <v>52</v>
      </c>
      <c r="K6401" s="3">
        <v>100415934693</v>
      </c>
      <c r="L6401" s="10">
        <v>40400</v>
      </c>
      <c r="M6401">
        <v>77.57</v>
      </c>
      <c r="N6401" s="17">
        <v>19</v>
      </c>
      <c r="O6401" s="5">
        <v>3.58</v>
      </c>
      <c r="P6401" s="5">
        <v>5.47</v>
      </c>
      <c r="Q6401" s="6">
        <v>-67.4935</v>
      </c>
      <c r="R6401" s="37" t="s">
        <v>568</v>
      </c>
      <c r="S6401" s="7">
        <f t="shared" si="554"/>
        <v>1</v>
      </c>
      <c r="T6401" s="15" t="str">
        <f>VLOOKUP(R6401,产品分类!$C$2:$D$1278,2,0)</f>
        <v>家具产品</v>
      </c>
    </row>
    <row r="6402" spans="1:20">
      <c r="A6402" s="8">
        <f t="shared" ref="A6402:B6404" si="560">DATE(2012,12,31)-99</f>
        <v>41175</v>
      </c>
      <c r="B6402" s="8">
        <f t="shared" si="560"/>
        <v>41175</v>
      </c>
      <c r="C6402" s="9" t="s">
        <v>1126</v>
      </c>
      <c r="D6402">
        <v>10021513354</v>
      </c>
      <c r="E6402" t="s">
        <v>47</v>
      </c>
      <c r="F6402" t="s">
        <v>253</v>
      </c>
      <c r="G6402" t="s">
        <v>254</v>
      </c>
      <c r="H6402" t="s">
        <v>2508</v>
      </c>
      <c r="I6402" t="s">
        <v>2509</v>
      </c>
      <c r="J6402" t="s">
        <v>52</v>
      </c>
      <c r="K6402" s="3">
        <v>100131233468</v>
      </c>
      <c r="L6402" s="10">
        <v>41176</v>
      </c>
      <c r="M6402">
        <v>528.53</v>
      </c>
      <c r="N6402" s="11">
        <v>43</v>
      </c>
      <c r="O6402" s="12">
        <v>12.21</v>
      </c>
      <c r="P6402" s="12">
        <v>4.81</v>
      </c>
      <c r="Q6402" s="13">
        <v>-7.24</v>
      </c>
      <c r="R6402" s="36" t="s">
        <v>1371</v>
      </c>
      <c r="S6402" s="7">
        <f t="shared" si="554"/>
        <v>1</v>
      </c>
      <c r="T6402" s="15" t="str">
        <f>VLOOKUP(R6402,产品分类!$C$2:$D$1278,2,0)</f>
        <v>数码电子</v>
      </c>
    </row>
    <row r="6403" spans="1:20">
      <c r="A6403" s="8">
        <f t="shared" si="560"/>
        <v>41175</v>
      </c>
      <c r="B6403" s="8">
        <f t="shared" si="560"/>
        <v>41175</v>
      </c>
      <c r="C6403" s="9" t="s">
        <v>1110</v>
      </c>
      <c r="D6403">
        <v>10021399286</v>
      </c>
      <c r="E6403" t="s">
        <v>47</v>
      </c>
      <c r="F6403" t="s">
        <v>61</v>
      </c>
      <c r="G6403" t="s">
        <v>62</v>
      </c>
      <c r="H6403" t="s">
        <v>2506</v>
      </c>
      <c r="I6403" t="s">
        <v>2507</v>
      </c>
      <c r="J6403" t="s">
        <v>52</v>
      </c>
      <c r="K6403" s="3">
        <v>100332868779</v>
      </c>
      <c r="L6403" s="10">
        <v>41177</v>
      </c>
      <c r="M6403">
        <v>5975.0495</v>
      </c>
      <c r="N6403" s="11">
        <v>47</v>
      </c>
      <c r="O6403" s="12">
        <v>155.99</v>
      </c>
      <c r="P6403" s="12">
        <v>8.99</v>
      </c>
      <c r="Q6403" s="13">
        <v>1417.23</v>
      </c>
      <c r="R6403" s="36" t="s">
        <v>276</v>
      </c>
      <c r="S6403" s="7">
        <f t="shared" ref="S6403:S6466" si="561">+L6403-B6403</f>
        <v>2</v>
      </c>
      <c r="T6403" s="15" t="str">
        <f>VLOOKUP(R6403,产品分类!$C$2:$D$1278,2,0)</f>
        <v>办公用品</v>
      </c>
    </row>
    <row r="6404" spans="1:20">
      <c r="A6404" s="8">
        <f t="shared" si="560"/>
        <v>41175</v>
      </c>
      <c r="B6404" s="8">
        <f t="shared" si="560"/>
        <v>41175</v>
      </c>
      <c r="C6404" s="9" t="s">
        <v>1049</v>
      </c>
      <c r="D6404">
        <v>10021275907</v>
      </c>
      <c r="E6404" t="s">
        <v>47</v>
      </c>
      <c r="F6404" t="s">
        <v>434</v>
      </c>
      <c r="G6404" t="s">
        <v>435</v>
      </c>
      <c r="H6404" t="s">
        <v>436</v>
      </c>
      <c r="I6404" t="s">
        <v>437</v>
      </c>
      <c r="J6404" t="s">
        <v>52</v>
      </c>
      <c r="K6404" s="3">
        <v>10013200168</v>
      </c>
      <c r="L6404" s="10">
        <v>41177</v>
      </c>
      <c r="M6404">
        <v>720.52</v>
      </c>
      <c r="N6404" s="11">
        <v>44</v>
      </c>
      <c r="O6404" s="12">
        <v>17.98</v>
      </c>
      <c r="P6404" s="12">
        <v>8.51</v>
      </c>
      <c r="Q6404" s="13">
        <v>-36.7923</v>
      </c>
      <c r="R6404" s="36" t="s">
        <v>1570</v>
      </c>
      <c r="S6404" s="7">
        <f t="shared" si="561"/>
        <v>2</v>
      </c>
      <c r="T6404" s="15" t="str">
        <f>VLOOKUP(R6404,产品分类!$C$2:$D$1278,2,0)</f>
        <v>办公用品</v>
      </c>
    </row>
    <row r="6405" spans="1:20">
      <c r="A6405" s="8">
        <f>DATE(2012,12,31)-1237</f>
        <v>40037</v>
      </c>
      <c r="B6405" s="8">
        <f>DATE(2012,12,31)-1237</f>
        <v>40037</v>
      </c>
      <c r="C6405" s="9" t="s">
        <v>238</v>
      </c>
      <c r="D6405">
        <v>10021310350</v>
      </c>
      <c r="E6405" t="s">
        <v>47</v>
      </c>
      <c r="F6405" t="s">
        <v>61</v>
      </c>
      <c r="G6405" t="s">
        <v>62</v>
      </c>
      <c r="H6405" t="s">
        <v>2506</v>
      </c>
      <c r="I6405" t="s">
        <v>2507</v>
      </c>
      <c r="J6405" t="s">
        <v>52</v>
      </c>
      <c r="K6405" s="3">
        <v>100115115656</v>
      </c>
      <c r="L6405" s="10">
        <v>40039</v>
      </c>
      <c r="M6405">
        <v>627.64</v>
      </c>
      <c r="N6405" s="11">
        <v>5</v>
      </c>
      <c r="O6405" s="12">
        <v>120.98</v>
      </c>
      <c r="P6405" s="12">
        <v>30</v>
      </c>
      <c r="Q6405" s="13">
        <v>-151.46</v>
      </c>
      <c r="R6405" s="36" t="s">
        <v>576</v>
      </c>
      <c r="S6405" s="7">
        <f t="shared" si="561"/>
        <v>2</v>
      </c>
      <c r="T6405" s="15" t="str">
        <f>VLOOKUP(R6405,产品分类!$C$2:$D$1278,2,0)</f>
        <v>办公用品</v>
      </c>
    </row>
    <row r="6406" spans="1:20">
      <c r="A6406" s="8">
        <f>DATE(2012,12,31)-263</f>
        <v>41011</v>
      </c>
      <c r="B6406" s="8">
        <f>DATE(2012,12,31)-263</f>
        <v>41011</v>
      </c>
      <c r="C6406" s="9" t="s">
        <v>506</v>
      </c>
      <c r="D6406">
        <v>10021458137</v>
      </c>
      <c r="E6406" t="s">
        <v>47</v>
      </c>
      <c r="F6406" t="s">
        <v>208</v>
      </c>
      <c r="G6406" t="s">
        <v>209</v>
      </c>
      <c r="H6406" t="s">
        <v>2300</v>
      </c>
      <c r="I6406" t="s">
        <v>2301</v>
      </c>
      <c r="J6406" t="s">
        <v>52</v>
      </c>
      <c r="K6406" s="3">
        <v>100410384824</v>
      </c>
      <c r="L6406" s="10">
        <v>41011</v>
      </c>
      <c r="M6406">
        <v>3849.17</v>
      </c>
      <c r="N6406" s="11">
        <v>46</v>
      </c>
      <c r="O6406" s="12">
        <v>83.98</v>
      </c>
      <c r="P6406" s="12">
        <v>5.01</v>
      </c>
      <c r="Q6406" s="13">
        <v>1982.78</v>
      </c>
      <c r="R6406" s="36" t="s">
        <v>1675</v>
      </c>
      <c r="S6406" s="7">
        <f t="shared" si="561"/>
        <v>0</v>
      </c>
      <c r="T6406" s="15" t="str">
        <f>VLOOKUP(R6406,产品分类!$C$2:$D$1278,2,0)</f>
        <v>数码电子</v>
      </c>
    </row>
    <row r="6407" spans="1:20">
      <c r="A6407" s="8">
        <f>DATE(2012,12,31)-462</f>
        <v>40812</v>
      </c>
      <c r="B6407" s="8">
        <f>DATE(2012,12,31)-462</f>
        <v>40812</v>
      </c>
      <c r="C6407" s="9" t="s">
        <v>506</v>
      </c>
      <c r="D6407">
        <v>10021362822</v>
      </c>
      <c r="E6407" t="s">
        <v>47</v>
      </c>
      <c r="F6407" t="s">
        <v>171</v>
      </c>
      <c r="G6407" t="s">
        <v>172</v>
      </c>
      <c r="H6407" t="s">
        <v>2486</v>
      </c>
      <c r="I6407" t="s">
        <v>2310</v>
      </c>
      <c r="J6407" t="s">
        <v>52</v>
      </c>
      <c r="K6407" s="3">
        <v>100124898766</v>
      </c>
      <c r="L6407" s="10">
        <v>40814</v>
      </c>
      <c r="M6407">
        <v>945.03</v>
      </c>
      <c r="N6407" s="11">
        <v>47</v>
      </c>
      <c r="O6407" s="12">
        <v>19.98</v>
      </c>
      <c r="P6407" s="12">
        <v>5.97</v>
      </c>
      <c r="Q6407" s="13">
        <v>267.64</v>
      </c>
      <c r="R6407" s="36" t="s">
        <v>1709</v>
      </c>
      <c r="S6407" s="7">
        <f t="shared" si="561"/>
        <v>2</v>
      </c>
      <c r="T6407" s="15" t="str">
        <f>VLOOKUP(R6407,产品分类!$C$2:$D$1278,2,0)</f>
        <v>办公用品</v>
      </c>
    </row>
    <row r="6408" spans="1:20">
      <c r="A6408" s="8">
        <f>DATE(2012,12,31)-996</f>
        <v>40278</v>
      </c>
      <c r="B6408" s="8">
        <f>DATE(2012,12,31)-996</f>
        <v>40278</v>
      </c>
      <c r="C6408" s="9" t="s">
        <v>1428</v>
      </c>
      <c r="D6408">
        <v>10021402441</v>
      </c>
      <c r="E6408" t="s">
        <v>47</v>
      </c>
      <c r="F6408" t="s">
        <v>527</v>
      </c>
      <c r="G6408" t="s">
        <v>528</v>
      </c>
      <c r="H6408" t="s">
        <v>2513</v>
      </c>
      <c r="I6408" t="s">
        <v>2514</v>
      </c>
      <c r="J6408" t="s">
        <v>52</v>
      </c>
      <c r="K6408" s="3">
        <v>100131819936</v>
      </c>
      <c r="L6408" s="10">
        <v>40280</v>
      </c>
      <c r="M6408">
        <v>1494.27</v>
      </c>
      <c r="N6408" s="11">
        <v>7</v>
      </c>
      <c r="O6408" s="12">
        <v>212.6</v>
      </c>
      <c r="P6408" s="12">
        <v>52.2</v>
      </c>
      <c r="Q6408" s="13">
        <v>-248.78</v>
      </c>
      <c r="R6408" s="36" t="s">
        <v>202</v>
      </c>
      <c r="S6408" s="7">
        <f t="shared" si="561"/>
        <v>2</v>
      </c>
      <c r="T6408" s="15" t="str">
        <f>VLOOKUP(R6408,产品分类!$C$2:$D$1278,2,0)</f>
        <v>办公用品</v>
      </c>
    </row>
    <row r="6409" spans="1:20">
      <c r="A6409" s="8">
        <f>DATE(2012,12,31)-466</f>
        <v>40808</v>
      </c>
      <c r="B6409" s="8">
        <f>DATE(2012,12,31)-466</f>
        <v>40808</v>
      </c>
      <c r="C6409" s="9" t="s">
        <v>1428</v>
      </c>
      <c r="D6409">
        <v>10021271991</v>
      </c>
      <c r="E6409" t="s">
        <v>47</v>
      </c>
      <c r="F6409" t="s">
        <v>342</v>
      </c>
      <c r="G6409" t="s">
        <v>343</v>
      </c>
      <c r="H6409" t="s">
        <v>2515</v>
      </c>
      <c r="I6409" t="s">
        <v>2516</v>
      </c>
      <c r="J6409" t="s">
        <v>52</v>
      </c>
      <c r="K6409" s="3">
        <v>100926192281</v>
      </c>
      <c r="L6409" s="10">
        <v>40810</v>
      </c>
      <c r="M6409">
        <v>325.75</v>
      </c>
      <c r="N6409" s="11">
        <v>38</v>
      </c>
      <c r="O6409" s="12">
        <v>8.75</v>
      </c>
      <c r="P6409" s="12">
        <v>8.54</v>
      </c>
      <c r="Q6409" s="13">
        <v>-124.25</v>
      </c>
      <c r="R6409" s="36" t="s">
        <v>237</v>
      </c>
      <c r="S6409" s="7">
        <f t="shared" si="561"/>
        <v>2</v>
      </c>
      <c r="T6409" s="15" t="str">
        <f>VLOOKUP(R6409,产品分类!$C$2:$D$1278,2,0)</f>
        <v>数码电子</v>
      </c>
    </row>
    <row r="6410" spans="1:20">
      <c r="A6410" s="16">
        <f>DATE(2012,12,31)-466</f>
        <v>40808</v>
      </c>
      <c r="B6410" s="16">
        <f>DATE(2012,12,31)-466</f>
        <v>40808</v>
      </c>
      <c r="C6410" s="9" t="s">
        <v>1922</v>
      </c>
      <c r="D6410">
        <v>10021700675</v>
      </c>
      <c r="E6410" t="s">
        <v>47</v>
      </c>
      <c r="F6410" t="s">
        <v>167</v>
      </c>
      <c r="G6410" t="s">
        <v>168</v>
      </c>
      <c r="H6410" t="s">
        <v>169</v>
      </c>
      <c r="I6410" t="s">
        <v>168</v>
      </c>
      <c r="J6410" t="s">
        <v>52</v>
      </c>
      <c r="K6410" s="3">
        <v>100928234381</v>
      </c>
      <c r="L6410" s="10">
        <v>40809</v>
      </c>
      <c r="M6410">
        <v>136.42</v>
      </c>
      <c r="N6410" s="17">
        <v>24</v>
      </c>
      <c r="O6410" s="5">
        <v>5.85</v>
      </c>
      <c r="P6410" s="5">
        <v>2.27</v>
      </c>
      <c r="Q6410" s="6">
        <v>-8.38</v>
      </c>
      <c r="R6410" s="37" t="s">
        <v>70</v>
      </c>
      <c r="S6410" s="7">
        <f t="shared" si="561"/>
        <v>1</v>
      </c>
      <c r="T6410" s="15" t="str">
        <f>VLOOKUP(R6410,产品分类!$C$2:$D$1278,2,0)</f>
        <v>数码电子</v>
      </c>
    </row>
    <row r="6411" spans="1:20">
      <c r="A6411" s="8">
        <f>DATE(2012,12,31)-966</f>
        <v>40308</v>
      </c>
      <c r="B6411" s="8">
        <f>DATE(2012,12,31)-966</f>
        <v>40308</v>
      </c>
      <c r="C6411" s="9" t="s">
        <v>2392</v>
      </c>
      <c r="D6411">
        <v>10021700635</v>
      </c>
      <c r="E6411" t="s">
        <v>47</v>
      </c>
      <c r="F6411" t="s">
        <v>61</v>
      </c>
      <c r="G6411" t="s">
        <v>62</v>
      </c>
      <c r="H6411" t="s">
        <v>2506</v>
      </c>
      <c r="I6411" t="s">
        <v>2507</v>
      </c>
      <c r="J6411" t="s">
        <v>52</v>
      </c>
      <c r="K6411" s="3">
        <v>100910431471</v>
      </c>
      <c r="L6411" s="10">
        <v>40309</v>
      </c>
      <c r="M6411">
        <v>442.31</v>
      </c>
      <c r="N6411" s="11">
        <v>50</v>
      </c>
      <c r="O6411" s="12">
        <v>8.34</v>
      </c>
      <c r="P6411" s="12">
        <v>0.96</v>
      </c>
      <c r="Q6411" s="13">
        <v>231.68</v>
      </c>
      <c r="R6411" s="36" t="s">
        <v>320</v>
      </c>
      <c r="S6411" s="7">
        <f t="shared" si="561"/>
        <v>1</v>
      </c>
      <c r="T6411" s="15" t="str">
        <f>VLOOKUP(R6411,产品分类!$C$2:$D$1278,2,0)</f>
        <v>办公用品</v>
      </c>
    </row>
    <row r="6412" spans="1:20">
      <c r="A6412" s="8">
        <f>DATE(2012,12,31)-268</f>
        <v>41006</v>
      </c>
      <c r="B6412" s="8">
        <f>DATE(2012,12,31)-268</f>
        <v>41006</v>
      </c>
      <c r="C6412" s="9" t="s">
        <v>2366</v>
      </c>
      <c r="D6412">
        <v>10021652008</v>
      </c>
      <c r="E6412" t="s">
        <v>47</v>
      </c>
      <c r="F6412" t="s">
        <v>61</v>
      </c>
      <c r="G6412" t="s">
        <v>62</v>
      </c>
      <c r="H6412" t="s">
        <v>2506</v>
      </c>
      <c r="I6412" t="s">
        <v>2507</v>
      </c>
      <c r="J6412" t="s">
        <v>52</v>
      </c>
      <c r="K6412" s="3">
        <v>10096050801</v>
      </c>
      <c r="L6412" s="10">
        <v>41015</v>
      </c>
      <c r="M6412">
        <v>2018.68</v>
      </c>
      <c r="N6412" s="11">
        <v>50</v>
      </c>
      <c r="O6412" s="12">
        <v>43.98</v>
      </c>
      <c r="P6412" s="12">
        <v>1.99</v>
      </c>
      <c r="Q6412" s="13">
        <v>731.72</v>
      </c>
      <c r="R6412" s="36" t="s">
        <v>1767</v>
      </c>
      <c r="S6412" s="7">
        <f t="shared" si="561"/>
        <v>9</v>
      </c>
      <c r="T6412" s="15" t="str">
        <f>VLOOKUP(R6412,产品分类!$C$2:$D$1278,2,0)</f>
        <v>数码电子</v>
      </c>
    </row>
    <row r="6413" spans="1:20">
      <c r="A6413" s="8">
        <f>DATE(2012,12,31)-205</f>
        <v>41069</v>
      </c>
      <c r="B6413" s="8">
        <f>DATE(2012,12,31)-205</f>
        <v>41069</v>
      </c>
      <c r="C6413" s="9" t="s">
        <v>2366</v>
      </c>
      <c r="D6413">
        <v>10021309169</v>
      </c>
      <c r="E6413" t="s">
        <v>47</v>
      </c>
      <c r="F6413" t="s">
        <v>61</v>
      </c>
      <c r="G6413" t="s">
        <v>62</v>
      </c>
      <c r="H6413" t="s">
        <v>2506</v>
      </c>
      <c r="I6413" t="s">
        <v>2507</v>
      </c>
      <c r="J6413" t="s">
        <v>52</v>
      </c>
      <c r="K6413" s="3">
        <v>100111463357</v>
      </c>
      <c r="L6413" s="10">
        <v>41070</v>
      </c>
      <c r="M6413">
        <v>473.03</v>
      </c>
      <c r="N6413" s="11">
        <v>24</v>
      </c>
      <c r="O6413" s="12">
        <v>19.98</v>
      </c>
      <c r="P6413" s="12">
        <v>10.49</v>
      </c>
      <c r="Q6413" s="13">
        <v>26.27</v>
      </c>
      <c r="R6413" s="36" t="s">
        <v>469</v>
      </c>
      <c r="S6413" s="7">
        <f t="shared" si="561"/>
        <v>1</v>
      </c>
      <c r="T6413" s="15" t="str">
        <f>VLOOKUP(R6413,产品分类!$C$2:$D$1278,2,0)</f>
        <v>办公用品</v>
      </c>
    </row>
    <row r="6414" spans="1:20">
      <c r="A6414" s="8">
        <f>DATE(2012,12,31)-750</f>
        <v>40524</v>
      </c>
      <c r="B6414" s="8">
        <f>DATE(2012,12,31)-750</f>
        <v>40524</v>
      </c>
      <c r="C6414" s="9" t="s">
        <v>2366</v>
      </c>
      <c r="D6414">
        <v>10021256081</v>
      </c>
      <c r="E6414" t="s">
        <v>47</v>
      </c>
      <c r="F6414" t="s">
        <v>66</v>
      </c>
      <c r="G6414" t="s">
        <v>67</v>
      </c>
      <c r="H6414" t="s">
        <v>2467</v>
      </c>
      <c r="I6414" t="s">
        <v>2468</v>
      </c>
      <c r="J6414" t="s">
        <v>52</v>
      </c>
      <c r="K6414" s="3">
        <v>100824922902</v>
      </c>
      <c r="L6414" s="10">
        <v>40525</v>
      </c>
      <c r="M6414">
        <v>704.77</v>
      </c>
      <c r="N6414" s="11">
        <v>8</v>
      </c>
      <c r="O6414" s="12">
        <v>81.94</v>
      </c>
      <c r="P6414" s="12">
        <v>55.81</v>
      </c>
      <c r="Q6414" s="13">
        <v>-298.9</v>
      </c>
      <c r="R6414" s="36" t="s">
        <v>1430</v>
      </c>
      <c r="S6414" s="7">
        <f t="shared" si="561"/>
        <v>1</v>
      </c>
      <c r="T6414" s="15" t="str">
        <f>VLOOKUP(R6414,产品分类!$C$2:$D$1278,2,0)</f>
        <v>办公用品</v>
      </c>
    </row>
    <row r="6415" spans="1:20">
      <c r="A6415" s="8">
        <f>DATE(2012,12,31)-146</f>
        <v>41128</v>
      </c>
      <c r="B6415" s="8">
        <f>DATE(2012,12,31)-146</f>
        <v>41128</v>
      </c>
      <c r="C6415" s="9" t="s">
        <v>197</v>
      </c>
      <c r="D6415">
        <v>10021645572</v>
      </c>
      <c r="E6415" t="s">
        <v>47</v>
      </c>
      <c r="F6415" t="s">
        <v>152</v>
      </c>
      <c r="G6415" t="s">
        <v>153</v>
      </c>
      <c r="H6415" t="s">
        <v>2441</v>
      </c>
      <c r="I6415" t="s">
        <v>2442</v>
      </c>
      <c r="J6415" t="s">
        <v>52</v>
      </c>
      <c r="K6415" s="3">
        <v>10078030685</v>
      </c>
      <c r="L6415" s="10">
        <v>41132</v>
      </c>
      <c r="M6415">
        <v>20.16</v>
      </c>
      <c r="N6415" s="11">
        <v>2</v>
      </c>
      <c r="O6415" s="12">
        <v>6.48</v>
      </c>
      <c r="P6415" s="12">
        <v>7.86</v>
      </c>
      <c r="Q6415" s="13">
        <v>-13.32</v>
      </c>
      <c r="R6415" s="36" t="s">
        <v>750</v>
      </c>
      <c r="S6415" s="7">
        <f t="shared" si="561"/>
        <v>4</v>
      </c>
      <c r="T6415" s="15" t="str">
        <f>VLOOKUP(R6415,产品分类!$C$2:$D$1278,2,0)</f>
        <v>办公用品</v>
      </c>
    </row>
    <row r="6416" spans="1:20">
      <c r="A6416" s="8">
        <f>DATE(2012,12,31)-568</f>
        <v>40706</v>
      </c>
      <c r="B6416" s="8">
        <f>DATE(2012,12,31)-568</f>
        <v>40706</v>
      </c>
      <c r="C6416" s="9" t="s">
        <v>667</v>
      </c>
      <c r="D6416">
        <v>10021663798</v>
      </c>
      <c r="E6416" t="s">
        <v>47</v>
      </c>
      <c r="F6416" t="s">
        <v>132</v>
      </c>
      <c r="G6416" t="s">
        <v>133</v>
      </c>
      <c r="H6416" t="s">
        <v>134</v>
      </c>
      <c r="I6416" t="s">
        <v>133</v>
      </c>
      <c r="J6416" t="s">
        <v>52</v>
      </c>
      <c r="K6416" s="3">
        <v>100124499967</v>
      </c>
      <c r="L6416" s="10">
        <v>40713</v>
      </c>
      <c r="M6416">
        <v>126.68</v>
      </c>
      <c r="N6416" s="11">
        <v>13</v>
      </c>
      <c r="O6416" s="12">
        <v>9.77</v>
      </c>
      <c r="P6416" s="12">
        <v>6.02</v>
      </c>
      <c r="Q6416" s="13">
        <v>7</v>
      </c>
      <c r="R6416" s="36" t="s">
        <v>2226</v>
      </c>
      <c r="S6416" s="7">
        <f t="shared" si="561"/>
        <v>7</v>
      </c>
      <c r="T6416" s="15" t="str">
        <f>VLOOKUP(R6416,产品分类!$C$2:$D$1278,2,0)</f>
        <v>办公用品</v>
      </c>
    </row>
    <row r="6417" spans="1:20">
      <c r="A6417" s="8">
        <f>DATE(2012,12,31)-252</f>
        <v>41022</v>
      </c>
      <c r="B6417" s="8">
        <f>DATE(2012,12,31)-252</f>
        <v>41022</v>
      </c>
      <c r="C6417" s="9" t="s">
        <v>1826</v>
      </c>
      <c r="D6417">
        <v>10021331523</v>
      </c>
      <c r="E6417" t="s">
        <v>47</v>
      </c>
      <c r="F6417" t="s">
        <v>152</v>
      </c>
      <c r="G6417" t="s">
        <v>153</v>
      </c>
      <c r="H6417" t="s">
        <v>2441</v>
      </c>
      <c r="I6417" t="s">
        <v>2442</v>
      </c>
      <c r="J6417" t="s">
        <v>52</v>
      </c>
      <c r="K6417" s="3">
        <v>10093654391</v>
      </c>
      <c r="L6417" s="10">
        <v>41024</v>
      </c>
      <c r="M6417">
        <v>6559.01</v>
      </c>
      <c r="N6417" s="11">
        <v>40</v>
      </c>
      <c r="O6417" s="12">
        <v>172.99</v>
      </c>
      <c r="P6417" s="12">
        <v>19.99</v>
      </c>
      <c r="Q6417" s="13">
        <v>2307.5715</v>
      </c>
      <c r="R6417" s="36" t="s">
        <v>1420</v>
      </c>
      <c r="S6417" s="7">
        <f t="shared" si="561"/>
        <v>2</v>
      </c>
      <c r="T6417" s="15" t="str">
        <f>VLOOKUP(R6417,产品分类!$C$2:$D$1278,2,0)</f>
        <v>家具产品</v>
      </c>
    </row>
    <row r="6418" spans="1:20">
      <c r="A6418" s="16">
        <f>DATE(2012,12,31)-252</f>
        <v>41022</v>
      </c>
      <c r="B6418" s="16">
        <f>DATE(2012,12,31)-252</f>
        <v>41022</v>
      </c>
      <c r="C6418" s="9" t="s">
        <v>617</v>
      </c>
      <c r="D6418">
        <v>10021658524</v>
      </c>
      <c r="E6418" t="s">
        <v>47</v>
      </c>
      <c r="F6418" t="s">
        <v>152</v>
      </c>
      <c r="G6418" t="s">
        <v>153</v>
      </c>
      <c r="H6418" t="s">
        <v>2441</v>
      </c>
      <c r="I6418" t="s">
        <v>2442</v>
      </c>
      <c r="J6418" t="s">
        <v>52</v>
      </c>
      <c r="K6418" s="3">
        <v>10097073941</v>
      </c>
      <c r="L6418" s="10">
        <v>41025</v>
      </c>
      <c r="M6418">
        <v>263.37</v>
      </c>
      <c r="N6418" s="17">
        <v>36</v>
      </c>
      <c r="O6418" s="5">
        <v>7.28</v>
      </c>
      <c r="P6418" s="5">
        <v>4.23</v>
      </c>
      <c r="Q6418" s="6">
        <v>-5.68</v>
      </c>
      <c r="R6418" s="37" t="s">
        <v>652</v>
      </c>
      <c r="S6418" s="7">
        <f t="shared" si="561"/>
        <v>3</v>
      </c>
      <c r="T6418" s="15" t="str">
        <f>VLOOKUP(R6418,产品分类!$C$2:$D$1278,2,0)</f>
        <v>办公用品</v>
      </c>
    </row>
    <row r="6419" spans="1:20">
      <c r="A6419" s="16">
        <f>DATE(2012,12,31)-48</f>
        <v>41226</v>
      </c>
      <c r="B6419" s="16">
        <f>DATE(2012,12,31)-48</f>
        <v>41226</v>
      </c>
      <c r="C6419" s="9" t="s">
        <v>2043</v>
      </c>
      <c r="D6419">
        <v>10021445815</v>
      </c>
      <c r="E6419" t="s">
        <v>47</v>
      </c>
      <c r="F6419" t="s">
        <v>152</v>
      </c>
      <c r="G6419" t="s">
        <v>153</v>
      </c>
      <c r="H6419" t="s">
        <v>2441</v>
      </c>
      <c r="I6419" t="s">
        <v>2442</v>
      </c>
      <c r="J6419" t="s">
        <v>52</v>
      </c>
      <c r="K6419" s="3">
        <v>100114667646</v>
      </c>
      <c r="L6419" s="10">
        <v>41226</v>
      </c>
      <c r="M6419">
        <v>1704.58</v>
      </c>
      <c r="N6419" s="17">
        <v>43</v>
      </c>
      <c r="O6419" s="5">
        <v>38.06</v>
      </c>
      <c r="P6419" s="5">
        <v>4.5</v>
      </c>
      <c r="Q6419" s="6">
        <v>518.48</v>
      </c>
      <c r="R6419" s="37" t="s">
        <v>1033</v>
      </c>
      <c r="S6419" s="7">
        <f t="shared" si="561"/>
        <v>0</v>
      </c>
      <c r="T6419" s="15" t="str">
        <f>VLOOKUP(R6419,产品分类!$C$2:$D$1278,2,0)</f>
        <v>办公用品</v>
      </c>
    </row>
    <row r="6420" spans="1:20">
      <c r="A6420" s="8">
        <f>DATE(2012,12,31)-924</f>
        <v>40350</v>
      </c>
      <c r="B6420" s="8">
        <f>DATE(2012,12,31)-924</f>
        <v>40350</v>
      </c>
      <c r="C6420" s="9" t="s">
        <v>2043</v>
      </c>
      <c r="D6420">
        <v>10021386876</v>
      </c>
      <c r="E6420" t="s">
        <v>47</v>
      </c>
      <c r="F6420" t="s">
        <v>152</v>
      </c>
      <c r="G6420" t="s">
        <v>153</v>
      </c>
      <c r="H6420" t="s">
        <v>2441</v>
      </c>
      <c r="I6420" t="s">
        <v>2442</v>
      </c>
      <c r="J6420" t="s">
        <v>52</v>
      </c>
      <c r="K6420" s="3">
        <v>100913758321</v>
      </c>
      <c r="L6420" s="10">
        <v>40351</v>
      </c>
      <c r="M6420">
        <v>1711.79</v>
      </c>
      <c r="N6420" s="11">
        <v>49</v>
      </c>
      <c r="O6420" s="12">
        <v>33.29</v>
      </c>
      <c r="P6420" s="12">
        <v>1.99</v>
      </c>
      <c r="Q6420" s="13">
        <v>812.32</v>
      </c>
      <c r="R6420" s="36" t="s">
        <v>834</v>
      </c>
      <c r="S6420" s="7">
        <f t="shared" si="561"/>
        <v>1</v>
      </c>
      <c r="T6420" s="15" t="str">
        <f>VLOOKUP(R6420,产品分类!$C$2:$D$1278,2,0)</f>
        <v>家具产品</v>
      </c>
    </row>
    <row r="6421" spans="1:20">
      <c r="A6421" s="8">
        <f>DATE(2012,12,31)-924</f>
        <v>40350</v>
      </c>
      <c r="B6421" s="8">
        <f>DATE(2012,12,31)-924</f>
        <v>40350</v>
      </c>
      <c r="C6421" s="9" t="s">
        <v>1380</v>
      </c>
      <c r="D6421">
        <v>10021420434</v>
      </c>
      <c r="E6421" t="s">
        <v>47</v>
      </c>
      <c r="F6421" t="s">
        <v>152</v>
      </c>
      <c r="G6421" t="s">
        <v>153</v>
      </c>
      <c r="H6421" t="s">
        <v>2441</v>
      </c>
      <c r="I6421" t="s">
        <v>2442</v>
      </c>
      <c r="J6421" t="s">
        <v>52</v>
      </c>
      <c r="K6421" s="3">
        <v>100325136959</v>
      </c>
      <c r="L6421" s="10">
        <v>40351</v>
      </c>
      <c r="M6421">
        <v>38.24</v>
      </c>
      <c r="N6421" s="11">
        <v>11</v>
      </c>
      <c r="O6421" s="12">
        <v>2.88</v>
      </c>
      <c r="P6421" s="12">
        <v>5.33</v>
      </c>
      <c r="Q6421" s="13">
        <v>-37.55</v>
      </c>
      <c r="R6421" s="36" t="s">
        <v>935</v>
      </c>
      <c r="S6421" s="7">
        <f t="shared" si="561"/>
        <v>1</v>
      </c>
      <c r="T6421" s="15" t="str">
        <f>VLOOKUP(R6421,产品分类!$C$2:$D$1278,2,0)</f>
        <v>办公用品</v>
      </c>
    </row>
    <row r="6422" spans="1:20">
      <c r="A6422" s="8">
        <f t="shared" ref="A6422:B6424" si="562">DATE(2012,12,31)-1239</f>
        <v>40035</v>
      </c>
      <c r="B6422" s="8">
        <f t="shared" si="562"/>
        <v>40035</v>
      </c>
      <c r="C6422" s="9" t="s">
        <v>1811</v>
      </c>
      <c r="D6422">
        <v>10021430996</v>
      </c>
      <c r="E6422" t="s">
        <v>47</v>
      </c>
      <c r="F6422" t="s">
        <v>152</v>
      </c>
      <c r="G6422" t="s">
        <v>153</v>
      </c>
      <c r="H6422" t="s">
        <v>2441</v>
      </c>
      <c r="I6422" t="s">
        <v>2442</v>
      </c>
      <c r="J6422" t="s">
        <v>52</v>
      </c>
      <c r="K6422" s="3">
        <v>100431970884</v>
      </c>
      <c r="L6422" s="10">
        <v>40036</v>
      </c>
      <c r="M6422">
        <v>146.63</v>
      </c>
      <c r="N6422" s="11">
        <v>19</v>
      </c>
      <c r="O6422" s="12">
        <v>6.48</v>
      </c>
      <c r="P6422" s="12">
        <v>6.22</v>
      </c>
      <c r="Q6422" s="13">
        <v>-30.06</v>
      </c>
      <c r="R6422" s="36" t="s">
        <v>1796</v>
      </c>
      <c r="S6422" s="7">
        <f t="shared" si="561"/>
        <v>1</v>
      </c>
      <c r="T6422" s="15" t="str">
        <f>VLOOKUP(R6422,产品分类!$C$2:$D$1278,2,0)</f>
        <v>家具产品</v>
      </c>
    </row>
    <row r="6423" spans="1:20">
      <c r="A6423" s="8">
        <f t="shared" si="562"/>
        <v>40035</v>
      </c>
      <c r="B6423" s="8">
        <f t="shared" si="562"/>
        <v>40035</v>
      </c>
      <c r="C6423" s="9" t="s">
        <v>373</v>
      </c>
      <c r="D6423">
        <v>10021414830</v>
      </c>
      <c r="E6423" t="s">
        <v>47</v>
      </c>
      <c r="F6423" t="s">
        <v>66</v>
      </c>
      <c r="G6423" t="s">
        <v>67</v>
      </c>
      <c r="H6423" t="s">
        <v>2467</v>
      </c>
      <c r="I6423" t="s">
        <v>2468</v>
      </c>
      <c r="J6423" t="s">
        <v>52</v>
      </c>
      <c r="K6423" s="3">
        <v>10099605181</v>
      </c>
      <c r="L6423" s="10">
        <v>40037</v>
      </c>
      <c r="M6423">
        <v>2506.2675</v>
      </c>
      <c r="N6423" s="11">
        <v>35</v>
      </c>
      <c r="O6423" s="12">
        <v>85.99</v>
      </c>
      <c r="P6423" s="12">
        <v>3.3</v>
      </c>
      <c r="Q6423" s="13">
        <v>1160.577</v>
      </c>
      <c r="R6423" s="36" t="s">
        <v>932</v>
      </c>
      <c r="S6423" s="7">
        <f t="shared" si="561"/>
        <v>2</v>
      </c>
      <c r="T6423" s="15" t="str">
        <f>VLOOKUP(R6423,产品分类!$C$2:$D$1278,2,0)</f>
        <v>数码电子</v>
      </c>
    </row>
    <row r="6424" spans="1:20">
      <c r="A6424" s="8">
        <f t="shared" si="562"/>
        <v>40035</v>
      </c>
      <c r="B6424" s="8">
        <f t="shared" si="562"/>
        <v>40035</v>
      </c>
      <c r="C6424" s="9" t="s">
        <v>2285</v>
      </c>
      <c r="D6424">
        <v>10021413962</v>
      </c>
      <c r="E6424" t="s">
        <v>47</v>
      </c>
      <c r="F6424" t="s">
        <v>152</v>
      </c>
      <c r="G6424" t="s">
        <v>153</v>
      </c>
      <c r="H6424" t="s">
        <v>2441</v>
      </c>
      <c r="I6424" t="s">
        <v>2442</v>
      </c>
      <c r="J6424" t="s">
        <v>52</v>
      </c>
      <c r="K6424" s="3">
        <v>10093746271</v>
      </c>
      <c r="L6424" s="10">
        <v>40036</v>
      </c>
      <c r="M6424">
        <v>12689.87</v>
      </c>
      <c r="N6424" s="11">
        <v>44</v>
      </c>
      <c r="O6424" s="12">
        <v>296.18</v>
      </c>
      <c r="P6424" s="12">
        <v>154.12</v>
      </c>
      <c r="Q6424" s="13">
        <v>-169.227</v>
      </c>
      <c r="R6424" s="36" t="s">
        <v>1354</v>
      </c>
      <c r="S6424" s="7">
        <f t="shared" si="561"/>
        <v>1</v>
      </c>
      <c r="T6424" s="15" t="str">
        <f>VLOOKUP(R6424,产品分类!$C$2:$D$1278,2,0)</f>
        <v>办公用品</v>
      </c>
    </row>
    <row r="6425" spans="1:20">
      <c r="A6425" s="8">
        <f>DATE(2012,12,31)-756</f>
        <v>40518</v>
      </c>
      <c r="B6425" s="8">
        <f>DATE(2012,12,31)-756</f>
        <v>40518</v>
      </c>
      <c r="C6425" s="9" t="s">
        <v>593</v>
      </c>
      <c r="D6425">
        <v>10021260584</v>
      </c>
      <c r="E6425" t="s">
        <v>47</v>
      </c>
      <c r="F6425" t="s">
        <v>152</v>
      </c>
      <c r="G6425" t="s">
        <v>153</v>
      </c>
      <c r="H6425" t="s">
        <v>2441</v>
      </c>
      <c r="I6425" t="s">
        <v>2442</v>
      </c>
      <c r="J6425" t="s">
        <v>52</v>
      </c>
      <c r="K6425" s="3">
        <v>100428664464</v>
      </c>
      <c r="L6425" s="10">
        <v>40519</v>
      </c>
      <c r="M6425">
        <v>851.17</v>
      </c>
      <c r="N6425" s="11">
        <v>39</v>
      </c>
      <c r="O6425" s="12">
        <v>22.38</v>
      </c>
      <c r="P6425" s="12">
        <v>15.1</v>
      </c>
      <c r="Q6425" s="13">
        <v>-131.284</v>
      </c>
      <c r="R6425" s="36" t="s">
        <v>957</v>
      </c>
      <c r="S6425" s="7">
        <f t="shared" si="561"/>
        <v>1</v>
      </c>
      <c r="T6425" s="15" t="str">
        <f>VLOOKUP(R6425,产品分类!$C$2:$D$1278,2,0)</f>
        <v>办公用品</v>
      </c>
    </row>
    <row r="6426" spans="1:20">
      <c r="A6426" s="8">
        <f>DATE(2012,12,31)-167</f>
        <v>41107</v>
      </c>
      <c r="B6426" s="8">
        <f>DATE(2012,12,31)-167</f>
        <v>41107</v>
      </c>
      <c r="C6426" s="9" t="s">
        <v>780</v>
      </c>
      <c r="D6426">
        <v>10021665240</v>
      </c>
      <c r="E6426" t="s">
        <v>47</v>
      </c>
      <c r="F6426" t="s">
        <v>152</v>
      </c>
      <c r="G6426" t="s">
        <v>153</v>
      </c>
      <c r="H6426" t="s">
        <v>2441</v>
      </c>
      <c r="I6426" t="s">
        <v>2442</v>
      </c>
      <c r="J6426" t="s">
        <v>52</v>
      </c>
      <c r="K6426" s="3">
        <v>100826140052</v>
      </c>
      <c r="L6426" s="10">
        <v>41109</v>
      </c>
      <c r="M6426">
        <v>557.52</v>
      </c>
      <c r="N6426" s="11">
        <v>47</v>
      </c>
      <c r="O6426" s="12">
        <v>11.66</v>
      </c>
      <c r="P6426" s="12">
        <v>7.95</v>
      </c>
      <c r="Q6426" s="13">
        <v>-157.3</v>
      </c>
      <c r="R6426" s="36" t="s">
        <v>1227</v>
      </c>
      <c r="S6426" s="7">
        <f t="shared" si="561"/>
        <v>2</v>
      </c>
      <c r="T6426" s="15" t="str">
        <f>VLOOKUP(R6426,产品分类!$C$2:$D$1278,2,0)</f>
        <v>办公用品</v>
      </c>
    </row>
    <row r="6427" spans="1:20">
      <c r="A6427" s="8">
        <f>DATE(2012,12,31)-894</f>
        <v>40380</v>
      </c>
      <c r="B6427" s="8">
        <f>DATE(2012,12,31)-894</f>
        <v>40380</v>
      </c>
      <c r="C6427" s="9" t="s">
        <v>1657</v>
      </c>
      <c r="D6427">
        <v>10021249194</v>
      </c>
      <c r="E6427" t="s">
        <v>47</v>
      </c>
      <c r="F6427" t="s">
        <v>72</v>
      </c>
      <c r="G6427" t="s">
        <v>73</v>
      </c>
      <c r="H6427" t="s">
        <v>2417</v>
      </c>
      <c r="I6427" t="s">
        <v>2418</v>
      </c>
      <c r="J6427" t="s">
        <v>52</v>
      </c>
      <c r="K6427" s="3">
        <v>10043365733</v>
      </c>
      <c r="L6427" s="10">
        <v>40385</v>
      </c>
      <c r="M6427">
        <v>793.85</v>
      </c>
      <c r="N6427" s="11">
        <v>21</v>
      </c>
      <c r="O6427" s="12">
        <v>37.94</v>
      </c>
      <c r="P6427" s="12">
        <v>5.08</v>
      </c>
      <c r="Q6427" s="13">
        <v>308.53</v>
      </c>
      <c r="R6427" s="36" t="s">
        <v>1337</v>
      </c>
      <c r="S6427" s="7">
        <f t="shared" si="561"/>
        <v>5</v>
      </c>
      <c r="T6427" s="15" t="str">
        <f>VLOOKUP(R6427,产品分类!$C$2:$D$1278,2,0)</f>
        <v>办公用品</v>
      </c>
    </row>
    <row r="6428" spans="1:20">
      <c r="A6428" s="8">
        <f>DATE(2012,12,31)-908</f>
        <v>40366</v>
      </c>
      <c r="B6428" s="8">
        <f>DATE(2012,12,31)-908</f>
        <v>40366</v>
      </c>
      <c r="C6428" s="9" t="s">
        <v>1657</v>
      </c>
      <c r="D6428">
        <v>10021446045</v>
      </c>
      <c r="E6428" t="s">
        <v>47</v>
      </c>
      <c r="F6428" t="s">
        <v>72</v>
      </c>
      <c r="G6428" t="s">
        <v>73</v>
      </c>
      <c r="H6428" t="s">
        <v>2417</v>
      </c>
      <c r="I6428" t="s">
        <v>2418</v>
      </c>
      <c r="J6428" t="s">
        <v>52</v>
      </c>
      <c r="K6428" s="3">
        <v>100116021136</v>
      </c>
      <c r="L6428" s="10">
        <v>40367</v>
      </c>
      <c r="M6428">
        <v>67.45</v>
      </c>
      <c r="N6428" s="11">
        <v>25</v>
      </c>
      <c r="O6428" s="12">
        <v>2.61</v>
      </c>
      <c r="P6428" s="12">
        <v>0.5</v>
      </c>
      <c r="Q6428" s="13">
        <v>24.28</v>
      </c>
      <c r="R6428" s="36" t="s">
        <v>2103</v>
      </c>
      <c r="S6428" s="7">
        <f t="shared" si="561"/>
        <v>1</v>
      </c>
      <c r="T6428" s="15" t="str">
        <f>VLOOKUP(R6428,产品分类!$C$2:$D$1278,2,0)</f>
        <v>家具产品</v>
      </c>
    </row>
    <row r="6429" spans="1:20">
      <c r="A6429" s="8">
        <f>DATE(2012,12,31)-969</f>
        <v>40305</v>
      </c>
      <c r="B6429" s="8">
        <f>DATE(2012,12,31)-969</f>
        <v>40305</v>
      </c>
      <c r="C6429" s="9" t="s">
        <v>2051</v>
      </c>
      <c r="D6429">
        <v>10021495892</v>
      </c>
      <c r="E6429" t="s">
        <v>47</v>
      </c>
      <c r="F6429" t="s">
        <v>72</v>
      </c>
      <c r="G6429" t="s">
        <v>73</v>
      </c>
      <c r="H6429" t="s">
        <v>2417</v>
      </c>
      <c r="I6429" t="s">
        <v>2418</v>
      </c>
      <c r="J6429" t="s">
        <v>52</v>
      </c>
      <c r="K6429" s="3">
        <v>100114136456</v>
      </c>
      <c r="L6429" s="10">
        <v>40307</v>
      </c>
      <c r="M6429">
        <v>2522.21</v>
      </c>
      <c r="N6429" s="11">
        <v>37</v>
      </c>
      <c r="O6429" s="12">
        <v>63.94</v>
      </c>
      <c r="P6429" s="12">
        <v>14.48</v>
      </c>
      <c r="Q6429" s="13">
        <v>1026.07</v>
      </c>
      <c r="R6429" s="36" t="s">
        <v>2246</v>
      </c>
      <c r="S6429" s="7">
        <f t="shared" si="561"/>
        <v>2</v>
      </c>
      <c r="T6429" s="15" t="str">
        <f>VLOOKUP(R6429,产品分类!$C$2:$D$1278,2,0)</f>
        <v>数码电子</v>
      </c>
    </row>
    <row r="6430" spans="1:20">
      <c r="A6430" s="8">
        <f>DATE(2012,12,31)-969</f>
        <v>40305</v>
      </c>
      <c r="B6430" s="8">
        <f>DATE(2012,12,31)-969</f>
        <v>40305</v>
      </c>
      <c r="C6430" s="9" t="s">
        <v>941</v>
      </c>
      <c r="D6430">
        <v>10021332124</v>
      </c>
      <c r="E6430" t="s">
        <v>47</v>
      </c>
      <c r="F6430" t="s">
        <v>72</v>
      </c>
      <c r="G6430" t="s">
        <v>73</v>
      </c>
      <c r="H6430" t="s">
        <v>2417</v>
      </c>
      <c r="I6430" t="s">
        <v>2418</v>
      </c>
      <c r="J6430" t="s">
        <v>52</v>
      </c>
      <c r="K6430" s="3">
        <v>10013439966</v>
      </c>
      <c r="L6430" s="10">
        <v>40306</v>
      </c>
      <c r="M6430">
        <v>4181.82</v>
      </c>
      <c r="N6430" s="11">
        <v>28</v>
      </c>
      <c r="O6430" s="12">
        <v>140.99</v>
      </c>
      <c r="P6430" s="12">
        <v>13.99</v>
      </c>
      <c r="Q6430" s="13">
        <v>1765.48</v>
      </c>
      <c r="R6430" s="36" t="s">
        <v>1847</v>
      </c>
      <c r="S6430" s="7">
        <f t="shared" si="561"/>
        <v>1</v>
      </c>
      <c r="T6430" s="15" t="str">
        <f>VLOOKUP(R6430,产品分类!$C$2:$D$1278,2,0)</f>
        <v>数码电子</v>
      </c>
    </row>
    <row r="6431" spans="1:20">
      <c r="A6431" s="8">
        <f>DATE(2012,12,31)-174</f>
        <v>41100</v>
      </c>
      <c r="B6431" s="8">
        <f>DATE(2012,12,31)-174</f>
        <v>41100</v>
      </c>
      <c r="C6431" s="9" t="s">
        <v>941</v>
      </c>
      <c r="D6431">
        <v>10021385888</v>
      </c>
      <c r="E6431" t="s">
        <v>47</v>
      </c>
      <c r="F6431" t="s">
        <v>72</v>
      </c>
      <c r="G6431" t="s">
        <v>73</v>
      </c>
      <c r="H6431" t="s">
        <v>2417</v>
      </c>
      <c r="I6431" t="s">
        <v>2418</v>
      </c>
      <c r="J6431" t="s">
        <v>52</v>
      </c>
      <c r="K6431" s="3">
        <v>10042254133</v>
      </c>
      <c r="L6431" s="10">
        <v>41102</v>
      </c>
      <c r="M6431">
        <v>841.51</v>
      </c>
      <c r="N6431" s="11">
        <v>49</v>
      </c>
      <c r="O6431" s="12">
        <v>16.91</v>
      </c>
      <c r="P6431" s="12">
        <v>6.25</v>
      </c>
      <c r="Q6431" s="13">
        <v>20.86</v>
      </c>
      <c r="R6431" s="36" t="s">
        <v>2279</v>
      </c>
      <c r="S6431" s="7">
        <f t="shared" si="561"/>
        <v>2</v>
      </c>
      <c r="T6431" s="15" t="str">
        <f>VLOOKUP(R6431,产品分类!$C$2:$D$1278,2,0)</f>
        <v>家具产品</v>
      </c>
    </row>
    <row r="6432" spans="1:20">
      <c r="A6432" s="8">
        <f>DATE(2012,12,31)-464</f>
        <v>40810</v>
      </c>
      <c r="B6432" s="8">
        <f>DATE(2012,12,31)-464</f>
        <v>40810</v>
      </c>
      <c r="C6432" s="9" t="s">
        <v>1372</v>
      </c>
      <c r="D6432">
        <v>10021443821</v>
      </c>
      <c r="E6432" t="s">
        <v>47</v>
      </c>
      <c r="F6432" t="s">
        <v>72</v>
      </c>
      <c r="G6432" t="s">
        <v>73</v>
      </c>
      <c r="H6432" t="s">
        <v>2417</v>
      </c>
      <c r="I6432" t="s">
        <v>2418</v>
      </c>
      <c r="J6432" t="s">
        <v>52</v>
      </c>
      <c r="K6432" s="3">
        <v>10082502812</v>
      </c>
      <c r="L6432" s="10">
        <v>40812</v>
      </c>
      <c r="M6432">
        <v>1208.35</v>
      </c>
      <c r="N6432" s="11">
        <v>28</v>
      </c>
      <c r="O6432" s="12">
        <v>39.99</v>
      </c>
      <c r="P6432" s="12">
        <v>10.25</v>
      </c>
      <c r="Q6432" s="13">
        <v>145.54</v>
      </c>
      <c r="R6432" s="36" t="s">
        <v>1393</v>
      </c>
      <c r="S6432" s="7">
        <f t="shared" si="561"/>
        <v>2</v>
      </c>
      <c r="T6432" s="15" t="str">
        <f>VLOOKUP(R6432,产品分类!$C$2:$D$1278,2,0)</f>
        <v>家具产品</v>
      </c>
    </row>
    <row r="6433" spans="1:20">
      <c r="A6433" s="8">
        <f>DATE(2012,12,31)-1121</f>
        <v>40153</v>
      </c>
      <c r="B6433" s="8">
        <f>DATE(2012,12,31)-1121</f>
        <v>40153</v>
      </c>
      <c r="C6433" s="9" t="s">
        <v>182</v>
      </c>
      <c r="D6433">
        <v>10021658562</v>
      </c>
      <c r="E6433" t="s">
        <v>47</v>
      </c>
      <c r="F6433" t="s">
        <v>78</v>
      </c>
      <c r="G6433" t="s">
        <v>79</v>
      </c>
      <c r="H6433" t="s">
        <v>2489</v>
      </c>
      <c r="I6433" t="s">
        <v>2490</v>
      </c>
      <c r="J6433" t="s">
        <v>52</v>
      </c>
      <c r="K6433" s="3">
        <v>10017153446</v>
      </c>
      <c r="L6433" s="10">
        <v>40155</v>
      </c>
      <c r="M6433">
        <v>6123.48</v>
      </c>
      <c r="N6433" s="11">
        <v>44</v>
      </c>
      <c r="O6433" s="12">
        <v>140.81</v>
      </c>
      <c r="P6433" s="12">
        <v>24.49</v>
      </c>
      <c r="Q6433" s="13">
        <v>1232.79</v>
      </c>
      <c r="R6433" s="36" t="s">
        <v>459</v>
      </c>
      <c r="S6433" s="7">
        <f t="shared" si="561"/>
        <v>2</v>
      </c>
      <c r="T6433" s="15" t="str">
        <f>VLOOKUP(R6433,产品分类!$C$2:$D$1278,2,0)</f>
        <v>办公用品</v>
      </c>
    </row>
    <row r="6434" spans="1:20">
      <c r="A6434" s="8">
        <f>DATE(2012,12,31)-85</f>
        <v>41189</v>
      </c>
      <c r="B6434" s="8">
        <f>DATE(2012,12,31)-85</f>
        <v>41189</v>
      </c>
      <c r="C6434" s="9" t="s">
        <v>1372</v>
      </c>
      <c r="D6434">
        <v>10021249941</v>
      </c>
      <c r="E6434" t="s">
        <v>47</v>
      </c>
      <c r="F6434" t="s">
        <v>230</v>
      </c>
      <c r="G6434" t="s">
        <v>231</v>
      </c>
      <c r="H6434" t="s">
        <v>2497</v>
      </c>
      <c r="I6434" t="s">
        <v>2498</v>
      </c>
      <c r="J6434" t="s">
        <v>52</v>
      </c>
      <c r="K6434" s="3">
        <v>100812806292</v>
      </c>
      <c r="L6434" s="10">
        <v>41189</v>
      </c>
      <c r="M6434">
        <v>272.63</v>
      </c>
      <c r="N6434" s="11">
        <v>43</v>
      </c>
      <c r="O6434" s="12">
        <v>6.48</v>
      </c>
      <c r="P6434" s="12">
        <v>5.14</v>
      </c>
      <c r="Q6434" s="13">
        <v>-64.45</v>
      </c>
      <c r="R6434" s="36" t="s">
        <v>372</v>
      </c>
      <c r="S6434" s="7">
        <f t="shared" si="561"/>
        <v>0</v>
      </c>
      <c r="T6434" s="15" t="str">
        <f>VLOOKUP(R6434,产品分类!$C$2:$D$1278,2,0)</f>
        <v>办公用品</v>
      </c>
    </row>
    <row r="6435" spans="1:20">
      <c r="A6435" s="8">
        <f>DATE(2012,12,31)-141</f>
        <v>41133</v>
      </c>
      <c r="B6435" s="8">
        <f>DATE(2012,12,31)-141</f>
        <v>41133</v>
      </c>
      <c r="C6435" s="9" t="s">
        <v>1378</v>
      </c>
      <c r="D6435">
        <v>10021645269</v>
      </c>
      <c r="E6435" t="s">
        <v>47</v>
      </c>
      <c r="F6435" t="s">
        <v>230</v>
      </c>
      <c r="G6435" t="s">
        <v>231</v>
      </c>
      <c r="H6435" t="s">
        <v>2497</v>
      </c>
      <c r="I6435" t="s">
        <v>2498</v>
      </c>
      <c r="J6435" t="s">
        <v>52</v>
      </c>
      <c r="K6435" s="3">
        <v>10093968301</v>
      </c>
      <c r="L6435" s="10">
        <v>41133</v>
      </c>
      <c r="M6435">
        <v>69.97</v>
      </c>
      <c r="N6435" s="11">
        <v>12</v>
      </c>
      <c r="O6435" s="12">
        <v>5.43</v>
      </c>
      <c r="P6435" s="12">
        <v>0.95</v>
      </c>
      <c r="Q6435" s="13">
        <v>24.25</v>
      </c>
      <c r="R6435" s="36" t="s">
        <v>938</v>
      </c>
      <c r="S6435" s="7">
        <f t="shared" si="561"/>
        <v>0</v>
      </c>
      <c r="T6435" s="15" t="str">
        <f>VLOOKUP(R6435,产品分类!$C$2:$D$1278,2,0)</f>
        <v>办公用品</v>
      </c>
    </row>
    <row r="6436" spans="1:20">
      <c r="A6436" s="8">
        <f>DATE(2012,12,31)-494</f>
        <v>40780</v>
      </c>
      <c r="B6436" s="8">
        <f>DATE(2012,12,31)-494</f>
        <v>40780</v>
      </c>
      <c r="C6436" s="9" t="s">
        <v>1347</v>
      </c>
      <c r="D6436">
        <v>10021646364</v>
      </c>
      <c r="E6436" t="s">
        <v>47</v>
      </c>
      <c r="F6436" t="s">
        <v>230</v>
      </c>
      <c r="G6436" t="s">
        <v>231</v>
      </c>
      <c r="H6436" t="s">
        <v>2497</v>
      </c>
      <c r="I6436" t="s">
        <v>2498</v>
      </c>
      <c r="J6436" t="s">
        <v>52</v>
      </c>
      <c r="K6436" s="3">
        <v>100417081274</v>
      </c>
      <c r="L6436" s="10">
        <v>40780</v>
      </c>
      <c r="M6436">
        <v>680.8585</v>
      </c>
      <c r="N6436" s="11">
        <v>39</v>
      </c>
      <c r="O6436" s="12">
        <v>20.99</v>
      </c>
      <c r="P6436" s="12">
        <v>0.99</v>
      </c>
      <c r="Q6436" s="13">
        <v>319.104</v>
      </c>
      <c r="R6436" s="36" t="s">
        <v>1583</v>
      </c>
      <c r="S6436" s="7">
        <f t="shared" si="561"/>
        <v>0</v>
      </c>
      <c r="T6436" s="15" t="str">
        <f>VLOOKUP(R6436,产品分类!$C$2:$D$1278,2,0)</f>
        <v>办公用品</v>
      </c>
    </row>
    <row r="6437" spans="1:20">
      <c r="A6437" s="8">
        <f>DATE(2012,12,31)-834</f>
        <v>40440</v>
      </c>
      <c r="B6437" s="8">
        <f>DATE(2012,12,31)-834</f>
        <v>40440</v>
      </c>
      <c r="C6437" s="9" t="s">
        <v>1191</v>
      </c>
      <c r="D6437">
        <v>10021523838</v>
      </c>
      <c r="E6437" t="s">
        <v>47</v>
      </c>
      <c r="F6437" t="s">
        <v>78</v>
      </c>
      <c r="G6437" t="s">
        <v>79</v>
      </c>
      <c r="H6437" t="s">
        <v>2489</v>
      </c>
      <c r="I6437" t="s">
        <v>2490</v>
      </c>
      <c r="J6437" t="s">
        <v>52</v>
      </c>
      <c r="K6437" s="3">
        <v>100114750076</v>
      </c>
      <c r="L6437" s="10">
        <v>40444</v>
      </c>
      <c r="M6437">
        <v>845.614</v>
      </c>
      <c r="N6437" s="11">
        <v>5</v>
      </c>
      <c r="O6437" s="12">
        <v>195.99</v>
      </c>
      <c r="P6437" s="12">
        <v>4.2</v>
      </c>
      <c r="Q6437" s="13">
        <v>-653.488</v>
      </c>
      <c r="R6437" s="36" t="s">
        <v>947</v>
      </c>
      <c r="S6437" s="7">
        <f t="shared" si="561"/>
        <v>4</v>
      </c>
      <c r="T6437" s="15" t="str">
        <f>VLOOKUP(R6437,产品分类!$C$2:$D$1278,2,0)</f>
        <v>办公用品</v>
      </c>
    </row>
    <row r="6438" spans="1:20">
      <c r="A6438" s="16">
        <f>DATE(2012,12,31)-585</f>
        <v>40689</v>
      </c>
      <c r="B6438" s="16">
        <f>DATE(2012,12,31)-585</f>
        <v>40689</v>
      </c>
      <c r="C6438" s="9" t="s">
        <v>849</v>
      </c>
      <c r="D6438">
        <v>10021670140</v>
      </c>
      <c r="E6438" t="s">
        <v>47</v>
      </c>
      <c r="F6438" t="s">
        <v>434</v>
      </c>
      <c r="G6438" t="s">
        <v>435</v>
      </c>
      <c r="H6438" t="s">
        <v>436</v>
      </c>
      <c r="I6438" t="s">
        <v>437</v>
      </c>
      <c r="J6438" t="s">
        <v>52</v>
      </c>
      <c r="K6438" s="3">
        <v>100930193761</v>
      </c>
      <c r="L6438" s="10">
        <v>40690</v>
      </c>
      <c r="M6438">
        <v>68.03</v>
      </c>
      <c r="N6438" s="17">
        <v>15</v>
      </c>
      <c r="O6438" s="5">
        <v>4.49</v>
      </c>
      <c r="P6438" s="5">
        <v>1.49</v>
      </c>
      <c r="Q6438" s="6">
        <v>8.8655</v>
      </c>
      <c r="R6438" s="37" t="s">
        <v>630</v>
      </c>
      <c r="S6438" s="7">
        <f t="shared" si="561"/>
        <v>1</v>
      </c>
      <c r="T6438" s="15" t="str">
        <f>VLOOKUP(R6438,产品分类!$C$2:$D$1278,2,0)</f>
        <v>数码电子</v>
      </c>
    </row>
    <row r="6439" spans="1:20">
      <c r="A6439" s="8">
        <f>DATE(2012,12,31)-741</f>
        <v>40533</v>
      </c>
      <c r="B6439" s="8">
        <f>DATE(2012,12,31)-741</f>
        <v>40533</v>
      </c>
      <c r="C6439" s="9" t="s">
        <v>2259</v>
      </c>
      <c r="D6439">
        <v>10021645580</v>
      </c>
      <c r="E6439" t="s">
        <v>47</v>
      </c>
      <c r="F6439" t="s">
        <v>2517</v>
      </c>
      <c r="G6439" t="s">
        <v>2518</v>
      </c>
      <c r="H6439" t="s">
        <v>2519</v>
      </c>
      <c r="I6439" t="s">
        <v>2520</v>
      </c>
      <c r="J6439" t="s">
        <v>52</v>
      </c>
      <c r="K6439" s="3">
        <v>10098044031</v>
      </c>
      <c r="L6439" s="10">
        <v>40538</v>
      </c>
      <c r="M6439">
        <v>27.44</v>
      </c>
      <c r="N6439" s="11">
        <v>1</v>
      </c>
      <c r="O6439" s="12">
        <v>24.95</v>
      </c>
      <c r="P6439" s="12">
        <v>2.99</v>
      </c>
      <c r="Q6439" s="13">
        <v>-11.7645</v>
      </c>
      <c r="R6439" s="36" t="s">
        <v>1889</v>
      </c>
      <c r="S6439" s="7">
        <f t="shared" si="561"/>
        <v>5</v>
      </c>
      <c r="T6439" s="15" t="str">
        <f>VLOOKUP(R6439,产品分类!$C$2:$D$1278,2,0)</f>
        <v>家具产品</v>
      </c>
    </row>
    <row r="6440" spans="1:20">
      <c r="A6440" s="8">
        <f>DATE(2012,12,31)-832</f>
        <v>40442</v>
      </c>
      <c r="B6440" s="8">
        <f>DATE(2012,12,31)-832</f>
        <v>40442</v>
      </c>
      <c r="C6440" s="9" t="s">
        <v>2259</v>
      </c>
      <c r="D6440">
        <v>10021334693</v>
      </c>
      <c r="E6440" t="s">
        <v>47</v>
      </c>
      <c r="F6440" t="s">
        <v>473</v>
      </c>
      <c r="G6440" t="s">
        <v>474</v>
      </c>
      <c r="H6440" t="s">
        <v>2523</v>
      </c>
      <c r="I6440" t="s">
        <v>2524</v>
      </c>
      <c r="J6440" t="s">
        <v>52</v>
      </c>
      <c r="K6440" s="3">
        <v>100416267233</v>
      </c>
      <c r="L6440" s="10">
        <v>40444</v>
      </c>
      <c r="M6440">
        <v>759.84</v>
      </c>
      <c r="N6440" s="11">
        <v>20</v>
      </c>
      <c r="O6440" s="12">
        <v>39.24</v>
      </c>
      <c r="P6440" s="12">
        <v>1.99</v>
      </c>
      <c r="Q6440" s="13">
        <v>162.83</v>
      </c>
      <c r="R6440" s="36" t="s">
        <v>2099</v>
      </c>
      <c r="S6440" s="7">
        <f t="shared" si="561"/>
        <v>2</v>
      </c>
      <c r="T6440" s="15" t="str">
        <f>VLOOKUP(R6440,产品分类!$C$2:$D$1278,2,0)</f>
        <v>办公用品</v>
      </c>
    </row>
    <row r="6441" spans="1:20">
      <c r="A6441" s="8">
        <f>DATE(2012,12,31)-832</f>
        <v>40442</v>
      </c>
      <c r="B6441" s="8">
        <f>DATE(2012,12,31)-832</f>
        <v>40442</v>
      </c>
      <c r="C6441" s="9" t="s">
        <v>2002</v>
      </c>
      <c r="D6441">
        <v>10021351182</v>
      </c>
      <c r="E6441" t="s">
        <v>47</v>
      </c>
      <c r="F6441" t="s">
        <v>55</v>
      </c>
      <c r="G6441" t="s">
        <v>56</v>
      </c>
      <c r="H6441" t="s">
        <v>2471</v>
      </c>
      <c r="I6441" t="s">
        <v>2472</v>
      </c>
      <c r="J6441" t="s">
        <v>52</v>
      </c>
      <c r="K6441" s="3">
        <v>100332210129</v>
      </c>
      <c r="L6441" s="10">
        <v>40444</v>
      </c>
      <c r="M6441">
        <v>147.39</v>
      </c>
      <c r="N6441" s="11">
        <v>19</v>
      </c>
      <c r="O6441" s="12">
        <v>7.64</v>
      </c>
      <c r="P6441" s="12">
        <v>5.83</v>
      </c>
      <c r="Q6441" s="13">
        <v>-30.92</v>
      </c>
      <c r="R6441" s="36" t="s">
        <v>1673</v>
      </c>
      <c r="S6441" s="7">
        <f t="shared" si="561"/>
        <v>2</v>
      </c>
      <c r="T6441" s="15" t="str">
        <f>VLOOKUP(R6441,产品分类!$C$2:$D$1278,2,0)</f>
        <v>家具产品</v>
      </c>
    </row>
    <row r="6442" spans="1:20">
      <c r="A6442" s="8">
        <f>DATE(2012,12,31)-586</f>
        <v>40688</v>
      </c>
      <c r="B6442" s="8">
        <f>DATE(2012,12,31)-586</f>
        <v>40688</v>
      </c>
      <c r="C6442" s="9" t="s">
        <v>2366</v>
      </c>
      <c r="D6442">
        <v>10021429257</v>
      </c>
      <c r="E6442" t="s">
        <v>47</v>
      </c>
      <c r="F6442" t="s">
        <v>122</v>
      </c>
      <c r="G6442" t="s">
        <v>123</v>
      </c>
      <c r="H6442" t="s">
        <v>2458</v>
      </c>
      <c r="I6442" t="s">
        <v>2459</v>
      </c>
      <c r="J6442" t="s">
        <v>52</v>
      </c>
      <c r="K6442" s="3">
        <v>100731400985</v>
      </c>
      <c r="L6442" s="10">
        <v>40689</v>
      </c>
      <c r="M6442">
        <v>17599.39</v>
      </c>
      <c r="N6442" s="11">
        <v>28</v>
      </c>
      <c r="O6442" s="12">
        <v>599.99</v>
      </c>
      <c r="P6442" s="12">
        <v>24.49</v>
      </c>
      <c r="Q6442" s="13">
        <v>5513.86</v>
      </c>
      <c r="R6442" s="36" t="s">
        <v>1852</v>
      </c>
      <c r="S6442" s="7">
        <f t="shared" si="561"/>
        <v>1</v>
      </c>
      <c r="T6442" s="15" t="str">
        <f>VLOOKUP(R6442,产品分类!$C$2:$D$1278,2,0)</f>
        <v>办公用品</v>
      </c>
    </row>
    <row r="6443" spans="1:20">
      <c r="A6443" s="8">
        <f>DATE(2012,12,31)-586</f>
        <v>40688</v>
      </c>
      <c r="B6443" s="8">
        <f>DATE(2012,12,31)-586</f>
        <v>40688</v>
      </c>
      <c r="C6443" s="9" t="s">
        <v>313</v>
      </c>
      <c r="D6443">
        <v>10021446178</v>
      </c>
      <c r="E6443" t="s">
        <v>47</v>
      </c>
      <c r="F6443" t="s">
        <v>122</v>
      </c>
      <c r="G6443" t="s">
        <v>123</v>
      </c>
      <c r="H6443" t="s">
        <v>2458</v>
      </c>
      <c r="I6443" t="s">
        <v>2459</v>
      </c>
      <c r="J6443" t="s">
        <v>52</v>
      </c>
      <c r="K6443" s="3">
        <v>100116817737</v>
      </c>
      <c r="L6443" s="10">
        <v>40690</v>
      </c>
      <c r="M6443">
        <v>115.34</v>
      </c>
      <c r="N6443" s="11">
        <v>16</v>
      </c>
      <c r="O6443" s="12">
        <v>6.69</v>
      </c>
      <c r="P6443" s="12">
        <v>3.1</v>
      </c>
      <c r="Q6443" s="13">
        <v>13.83</v>
      </c>
      <c r="R6443" s="36" t="s">
        <v>1469</v>
      </c>
      <c r="S6443" s="7">
        <f t="shared" si="561"/>
        <v>2</v>
      </c>
      <c r="T6443" s="15" t="str">
        <f>VLOOKUP(R6443,产品分类!$C$2:$D$1278,2,0)</f>
        <v>办公用品</v>
      </c>
    </row>
    <row r="6444" spans="1:20">
      <c r="A6444" s="8">
        <f>DATE(2012,12,31)-1121</f>
        <v>40153</v>
      </c>
      <c r="B6444" s="8">
        <f>DATE(2012,12,31)-1121</f>
        <v>40153</v>
      </c>
      <c r="C6444" s="9" t="s">
        <v>977</v>
      </c>
      <c r="D6444">
        <v>10021385812</v>
      </c>
      <c r="E6444" t="s">
        <v>47</v>
      </c>
      <c r="F6444" t="s">
        <v>91</v>
      </c>
      <c r="G6444" t="s">
        <v>92</v>
      </c>
      <c r="H6444" t="s">
        <v>2502</v>
      </c>
      <c r="I6444" t="s">
        <v>2503</v>
      </c>
      <c r="J6444" t="s">
        <v>52</v>
      </c>
      <c r="K6444" s="3">
        <v>1001803496</v>
      </c>
      <c r="L6444" s="10">
        <v>40155</v>
      </c>
      <c r="M6444">
        <v>201.74</v>
      </c>
      <c r="N6444" s="11">
        <v>15</v>
      </c>
      <c r="O6444" s="12">
        <v>12.53</v>
      </c>
      <c r="P6444" s="12">
        <v>7.17</v>
      </c>
      <c r="Q6444" s="13">
        <v>-2.6335</v>
      </c>
      <c r="R6444" s="36" t="s">
        <v>325</v>
      </c>
      <c r="S6444" s="7">
        <f t="shared" si="561"/>
        <v>2</v>
      </c>
      <c r="T6444" s="15" t="str">
        <f>VLOOKUP(R6444,产品分类!$C$2:$D$1278,2,0)</f>
        <v>数码电子</v>
      </c>
    </row>
    <row r="6445" spans="1:20">
      <c r="A6445" s="8">
        <f>DATE(2012,12,31)-1121</f>
        <v>40153</v>
      </c>
      <c r="B6445" s="8">
        <f>DATE(2012,12,31)-1121</f>
        <v>40153</v>
      </c>
      <c r="C6445" s="9" t="s">
        <v>2013</v>
      </c>
      <c r="D6445">
        <v>10021504992</v>
      </c>
      <c r="E6445" t="s">
        <v>47</v>
      </c>
      <c r="F6445" t="s">
        <v>55</v>
      </c>
      <c r="G6445" t="s">
        <v>56</v>
      </c>
      <c r="H6445" t="s">
        <v>2471</v>
      </c>
      <c r="I6445" t="s">
        <v>2472</v>
      </c>
      <c r="J6445" t="s">
        <v>52</v>
      </c>
      <c r="K6445" s="3">
        <v>100130752706</v>
      </c>
      <c r="L6445" s="10">
        <v>40155</v>
      </c>
      <c r="M6445">
        <v>1822.13</v>
      </c>
      <c r="N6445" s="11">
        <v>35</v>
      </c>
      <c r="O6445" s="12">
        <v>49.99</v>
      </c>
      <c r="P6445" s="12">
        <v>19.99</v>
      </c>
      <c r="Q6445" s="13">
        <v>155.17</v>
      </c>
      <c r="R6445" s="36" t="s">
        <v>1308</v>
      </c>
      <c r="S6445" s="7">
        <f t="shared" si="561"/>
        <v>2</v>
      </c>
      <c r="T6445" s="15" t="str">
        <f>VLOOKUP(R6445,产品分类!$C$2:$D$1278,2,0)</f>
        <v>办公用品</v>
      </c>
    </row>
    <row r="6446" spans="1:20">
      <c r="A6446" s="8">
        <f>DATE(2012,12,31)-339</f>
        <v>40935</v>
      </c>
      <c r="B6446" s="8">
        <f>DATE(2012,12,31)-339</f>
        <v>40935</v>
      </c>
      <c r="C6446" s="9" t="s">
        <v>403</v>
      </c>
      <c r="D6446">
        <v>10021521236</v>
      </c>
      <c r="E6446" t="s">
        <v>47</v>
      </c>
      <c r="F6446" t="s">
        <v>91</v>
      </c>
      <c r="G6446" t="s">
        <v>92</v>
      </c>
      <c r="H6446" t="s">
        <v>2502</v>
      </c>
      <c r="I6446" t="s">
        <v>2503</v>
      </c>
      <c r="J6446" t="s">
        <v>52</v>
      </c>
      <c r="K6446" s="3">
        <v>1001287607</v>
      </c>
      <c r="L6446" s="10">
        <v>40937</v>
      </c>
      <c r="M6446">
        <v>80.33</v>
      </c>
      <c r="N6446" s="11">
        <v>27</v>
      </c>
      <c r="O6446" s="12">
        <v>2.94</v>
      </c>
      <c r="P6446" s="12">
        <v>0.96</v>
      </c>
      <c r="Q6446" s="13">
        <v>2.49</v>
      </c>
      <c r="R6446" s="36" t="s">
        <v>1154</v>
      </c>
      <c r="S6446" s="7">
        <f t="shared" si="561"/>
        <v>2</v>
      </c>
      <c r="T6446" s="15" t="str">
        <f>VLOOKUP(R6446,产品分类!$C$2:$D$1278,2,0)</f>
        <v>办公用品</v>
      </c>
    </row>
    <row r="6447" spans="1:20">
      <c r="A6447" s="8">
        <f>DATE(2012,12,31)-1102</f>
        <v>40172</v>
      </c>
      <c r="B6447" s="8">
        <f>DATE(2012,12,31)-1102</f>
        <v>40172</v>
      </c>
      <c r="C6447" s="9" t="s">
        <v>864</v>
      </c>
      <c r="D6447">
        <v>10021387180</v>
      </c>
      <c r="E6447" t="s">
        <v>47</v>
      </c>
      <c r="F6447" t="s">
        <v>91</v>
      </c>
      <c r="G6447" t="s">
        <v>92</v>
      </c>
      <c r="H6447" t="s">
        <v>2502</v>
      </c>
      <c r="I6447" t="s">
        <v>2503</v>
      </c>
      <c r="J6447" t="s">
        <v>52</v>
      </c>
      <c r="K6447" s="3">
        <v>100916695391</v>
      </c>
      <c r="L6447" s="10">
        <v>40177</v>
      </c>
      <c r="M6447">
        <v>71.07</v>
      </c>
      <c r="N6447" s="11">
        <v>20</v>
      </c>
      <c r="O6447" s="12">
        <v>3.69</v>
      </c>
      <c r="P6447" s="12">
        <v>2.5</v>
      </c>
      <c r="Q6447" s="13">
        <v>-15.09</v>
      </c>
      <c r="R6447" s="36" t="s">
        <v>1470</v>
      </c>
      <c r="S6447" s="7">
        <f t="shared" si="561"/>
        <v>5</v>
      </c>
      <c r="T6447" s="15" t="str">
        <f>VLOOKUP(R6447,产品分类!$C$2:$D$1278,2,0)</f>
        <v>数码电子</v>
      </c>
    </row>
    <row r="6448" spans="1:20">
      <c r="A6448" s="16">
        <f>DATE(2012,12,31)-1390</f>
        <v>39884</v>
      </c>
      <c r="B6448" s="16">
        <f>DATE(2012,12,31)-1390</f>
        <v>39884</v>
      </c>
      <c r="C6448" s="9" t="s">
        <v>712</v>
      </c>
      <c r="D6448">
        <v>10021594878</v>
      </c>
      <c r="E6448" t="s">
        <v>47</v>
      </c>
      <c r="F6448" t="s">
        <v>122</v>
      </c>
      <c r="G6448" t="s">
        <v>123</v>
      </c>
      <c r="H6448" t="s">
        <v>2458</v>
      </c>
      <c r="I6448" t="s">
        <v>2459</v>
      </c>
      <c r="J6448" t="s">
        <v>52</v>
      </c>
      <c r="K6448" s="3">
        <v>100132777266</v>
      </c>
      <c r="L6448" s="10">
        <v>39886</v>
      </c>
      <c r="M6448">
        <v>131.43</v>
      </c>
      <c r="N6448" s="17">
        <v>31</v>
      </c>
      <c r="O6448" s="5">
        <v>4</v>
      </c>
      <c r="P6448" s="5">
        <v>1.3</v>
      </c>
      <c r="Q6448" s="6">
        <v>37.25</v>
      </c>
      <c r="R6448" s="37" t="s">
        <v>2405</v>
      </c>
      <c r="S6448" s="7">
        <f t="shared" si="561"/>
        <v>2</v>
      </c>
      <c r="T6448" s="15" t="str">
        <f>VLOOKUP(R6448,产品分类!$C$2:$D$1278,2,0)</f>
        <v>家具产品</v>
      </c>
    </row>
    <row r="6449" spans="1:20">
      <c r="A6449" s="8">
        <f>DATE(2012,12,31)-1217</f>
        <v>40057</v>
      </c>
      <c r="B6449" s="8">
        <f>DATE(2012,12,31)-1217</f>
        <v>40057</v>
      </c>
      <c r="C6449" s="9" t="s">
        <v>1774</v>
      </c>
      <c r="D6449">
        <v>10021464716</v>
      </c>
      <c r="E6449" t="s">
        <v>47</v>
      </c>
      <c r="F6449" t="s">
        <v>91</v>
      </c>
      <c r="G6449" t="s">
        <v>92</v>
      </c>
      <c r="H6449" t="s">
        <v>2502</v>
      </c>
      <c r="I6449" t="s">
        <v>2503</v>
      </c>
      <c r="J6449" t="s">
        <v>52</v>
      </c>
      <c r="K6449" s="3">
        <v>100827054912</v>
      </c>
      <c r="L6449" s="10">
        <v>40058</v>
      </c>
      <c r="M6449">
        <v>3832.24</v>
      </c>
      <c r="N6449" s="11">
        <v>43</v>
      </c>
      <c r="O6449" s="12">
        <v>90.98</v>
      </c>
      <c r="P6449" s="12">
        <v>56.2</v>
      </c>
      <c r="Q6449" s="13">
        <v>-1570.32</v>
      </c>
      <c r="R6449" s="36" t="s">
        <v>646</v>
      </c>
      <c r="S6449" s="7">
        <f t="shared" si="561"/>
        <v>1</v>
      </c>
      <c r="T6449" s="15" t="str">
        <f>VLOOKUP(R6449,产品分类!$C$2:$D$1278,2,0)</f>
        <v>数码电子</v>
      </c>
    </row>
    <row r="6450" spans="1:20">
      <c r="A6450" s="8">
        <f>DATE(2012,12,31)-861</f>
        <v>40413</v>
      </c>
      <c r="B6450" s="8">
        <f>DATE(2012,12,31)-861</f>
        <v>40413</v>
      </c>
      <c r="C6450" s="9" t="s">
        <v>352</v>
      </c>
      <c r="D6450">
        <v>10021591018</v>
      </c>
      <c r="E6450" t="s">
        <v>47</v>
      </c>
      <c r="F6450" t="s">
        <v>91</v>
      </c>
      <c r="G6450" t="s">
        <v>92</v>
      </c>
      <c r="H6450" t="s">
        <v>2502</v>
      </c>
      <c r="I6450" t="s">
        <v>2503</v>
      </c>
      <c r="J6450" t="s">
        <v>52</v>
      </c>
      <c r="K6450" s="3">
        <v>10041494273</v>
      </c>
      <c r="L6450" s="10">
        <v>40413</v>
      </c>
      <c r="M6450">
        <v>148.12</v>
      </c>
      <c r="N6450" s="11">
        <v>26</v>
      </c>
      <c r="O6450" s="12">
        <v>5.58</v>
      </c>
      <c r="P6450" s="12">
        <v>5.3</v>
      </c>
      <c r="Q6450" s="13">
        <v>-51.62</v>
      </c>
      <c r="R6450" s="36" t="s">
        <v>2050</v>
      </c>
      <c r="S6450" s="7">
        <f t="shared" si="561"/>
        <v>0</v>
      </c>
      <c r="T6450" s="15" t="str">
        <f>VLOOKUP(R6450,产品分类!$C$2:$D$1278,2,0)</f>
        <v>家具产品</v>
      </c>
    </row>
    <row r="6451" spans="1:20">
      <c r="A6451" s="8">
        <f>DATE(2012,12,31)-686</f>
        <v>40588</v>
      </c>
      <c r="B6451" s="8">
        <f>DATE(2012,12,31)-686</f>
        <v>40588</v>
      </c>
      <c r="C6451" s="9" t="s">
        <v>352</v>
      </c>
      <c r="D6451">
        <v>10021266401</v>
      </c>
      <c r="E6451" t="s">
        <v>47</v>
      </c>
      <c r="F6451" t="s">
        <v>122</v>
      </c>
      <c r="G6451" t="s">
        <v>123</v>
      </c>
      <c r="H6451" t="s">
        <v>2458</v>
      </c>
      <c r="I6451" t="s">
        <v>2459</v>
      </c>
      <c r="J6451" t="s">
        <v>52</v>
      </c>
      <c r="K6451" s="3">
        <v>100431781334</v>
      </c>
      <c r="L6451" s="10">
        <v>40590</v>
      </c>
      <c r="M6451">
        <v>131.27</v>
      </c>
      <c r="N6451" s="11">
        <v>1</v>
      </c>
      <c r="O6451" s="12">
        <v>100.98</v>
      </c>
      <c r="P6451" s="12">
        <v>35.84</v>
      </c>
      <c r="Q6451" s="13">
        <v>-68.16</v>
      </c>
      <c r="R6451" s="36" t="s">
        <v>202</v>
      </c>
      <c r="S6451" s="7">
        <f t="shared" si="561"/>
        <v>2</v>
      </c>
      <c r="T6451" s="15" t="str">
        <f>VLOOKUP(R6451,产品分类!$C$2:$D$1278,2,0)</f>
        <v>办公用品</v>
      </c>
    </row>
    <row r="6452" spans="1:20">
      <c r="A6452" s="8">
        <f>DATE(2012,12,31)-686</f>
        <v>40588</v>
      </c>
      <c r="B6452" s="8">
        <f>DATE(2012,12,31)-686</f>
        <v>40588</v>
      </c>
      <c r="C6452" s="9" t="s">
        <v>216</v>
      </c>
      <c r="D6452">
        <v>10021493582</v>
      </c>
      <c r="E6452" t="s">
        <v>47</v>
      </c>
      <c r="F6452" t="s">
        <v>91</v>
      </c>
      <c r="G6452" t="s">
        <v>92</v>
      </c>
      <c r="H6452" t="s">
        <v>2502</v>
      </c>
      <c r="I6452" t="s">
        <v>2503</v>
      </c>
      <c r="J6452" t="s">
        <v>52</v>
      </c>
      <c r="K6452" s="3">
        <v>10013314487</v>
      </c>
      <c r="L6452" s="10">
        <v>40592</v>
      </c>
      <c r="M6452">
        <v>196.39</v>
      </c>
      <c r="N6452" s="11">
        <v>50</v>
      </c>
      <c r="O6452" s="12">
        <v>4.13</v>
      </c>
      <c r="P6452" s="12">
        <v>0.5</v>
      </c>
      <c r="Q6452" s="13">
        <v>82.6</v>
      </c>
      <c r="R6452" s="36" t="s">
        <v>1785</v>
      </c>
      <c r="S6452" s="7">
        <f t="shared" si="561"/>
        <v>4</v>
      </c>
      <c r="T6452" s="15" t="str">
        <f>VLOOKUP(R6452,产品分类!$C$2:$D$1278,2,0)</f>
        <v>数码电子</v>
      </c>
    </row>
    <row r="6453" spans="1:20">
      <c r="A6453" s="8">
        <f>DATE(2012,12,31)-1238</f>
        <v>40036</v>
      </c>
      <c r="B6453" s="8">
        <f>DATE(2012,12,31)-1238</f>
        <v>40036</v>
      </c>
      <c r="C6453" s="9" t="s">
        <v>216</v>
      </c>
      <c r="D6453">
        <v>10021445385</v>
      </c>
      <c r="E6453" t="s">
        <v>47</v>
      </c>
      <c r="F6453" t="s">
        <v>91</v>
      </c>
      <c r="G6453" t="s">
        <v>92</v>
      </c>
      <c r="H6453" t="s">
        <v>2502</v>
      </c>
      <c r="I6453" t="s">
        <v>2503</v>
      </c>
      <c r="J6453" t="s">
        <v>52</v>
      </c>
      <c r="K6453" s="3">
        <v>100113152747</v>
      </c>
      <c r="L6453" s="10">
        <v>40037</v>
      </c>
      <c r="M6453">
        <v>2797.41</v>
      </c>
      <c r="N6453" s="11">
        <v>31</v>
      </c>
      <c r="O6453" s="12">
        <v>90.97</v>
      </c>
      <c r="P6453" s="12">
        <v>14</v>
      </c>
      <c r="Q6453" s="13">
        <v>984.3</v>
      </c>
      <c r="R6453" s="36" t="s">
        <v>2161</v>
      </c>
      <c r="S6453" s="7">
        <f t="shared" si="561"/>
        <v>1</v>
      </c>
      <c r="T6453" s="15" t="str">
        <f>VLOOKUP(R6453,产品分类!$C$2:$D$1278,2,0)</f>
        <v>数码电子</v>
      </c>
    </row>
    <row r="6454" spans="1:20">
      <c r="A6454" s="8">
        <f>DATE(2012,12,31)-1400</f>
        <v>39874</v>
      </c>
      <c r="B6454" s="8">
        <f>DATE(2012,12,31)-1400</f>
        <v>39874</v>
      </c>
      <c r="C6454" s="9" t="s">
        <v>121</v>
      </c>
      <c r="D6454">
        <v>10021555605</v>
      </c>
      <c r="E6454" t="s">
        <v>47</v>
      </c>
      <c r="F6454" t="s">
        <v>122</v>
      </c>
      <c r="G6454" t="s">
        <v>123</v>
      </c>
      <c r="H6454" t="s">
        <v>2458</v>
      </c>
      <c r="I6454" t="s">
        <v>2459</v>
      </c>
      <c r="J6454" t="s">
        <v>52</v>
      </c>
      <c r="K6454" s="3">
        <v>100112341306</v>
      </c>
      <c r="L6454" s="10">
        <v>39876</v>
      </c>
      <c r="M6454">
        <v>199.48</v>
      </c>
      <c r="N6454" s="11">
        <v>1</v>
      </c>
      <c r="O6454" s="12">
        <v>170.98</v>
      </c>
      <c r="P6454" s="12">
        <v>35.89</v>
      </c>
      <c r="Q6454" s="13">
        <v>-120.24</v>
      </c>
      <c r="R6454" s="36" t="s">
        <v>357</v>
      </c>
      <c r="S6454" s="7">
        <f t="shared" si="561"/>
        <v>2</v>
      </c>
      <c r="T6454" s="15" t="str">
        <f>VLOOKUP(R6454,产品分类!$C$2:$D$1278,2,0)</f>
        <v>办公用品</v>
      </c>
    </row>
    <row r="6455" spans="1:20">
      <c r="A6455" s="8">
        <f>DATE(2012,12,31)-1134</f>
        <v>40140</v>
      </c>
      <c r="B6455" s="8">
        <f>DATE(2012,12,31)-1134</f>
        <v>40140</v>
      </c>
      <c r="C6455" s="9" t="s">
        <v>121</v>
      </c>
      <c r="D6455">
        <v>10021593368</v>
      </c>
      <c r="E6455" t="s">
        <v>47</v>
      </c>
      <c r="F6455" t="s">
        <v>91</v>
      </c>
      <c r="G6455" t="s">
        <v>92</v>
      </c>
      <c r="H6455" t="s">
        <v>2525</v>
      </c>
      <c r="I6455" t="s">
        <v>2526</v>
      </c>
      <c r="J6455" t="s">
        <v>52</v>
      </c>
      <c r="K6455" s="3">
        <v>100732417265</v>
      </c>
      <c r="L6455" s="10">
        <v>40142</v>
      </c>
      <c r="M6455">
        <v>2374.35</v>
      </c>
      <c r="N6455" s="11">
        <v>37</v>
      </c>
      <c r="O6455" s="12">
        <v>63.94</v>
      </c>
      <c r="P6455" s="12">
        <v>14.48</v>
      </c>
      <c r="Q6455" s="13">
        <v>878.21</v>
      </c>
      <c r="R6455" s="36" t="s">
        <v>1650</v>
      </c>
      <c r="S6455" s="7">
        <f t="shared" si="561"/>
        <v>2</v>
      </c>
      <c r="T6455" s="15" t="str">
        <f>VLOOKUP(R6455,产品分类!$C$2:$D$1278,2,0)</f>
        <v>办公用品</v>
      </c>
    </row>
    <row r="6456" spans="1:20">
      <c r="A6456" s="8">
        <f>DATE(2012,12,31)-1134</f>
        <v>40140</v>
      </c>
      <c r="B6456" s="8">
        <f>DATE(2012,12,31)-1134</f>
        <v>40140</v>
      </c>
      <c r="C6456" s="9" t="s">
        <v>1964</v>
      </c>
      <c r="D6456">
        <v>10021252959</v>
      </c>
      <c r="E6456" t="s">
        <v>47</v>
      </c>
      <c r="F6456" t="s">
        <v>127</v>
      </c>
      <c r="G6456" t="s">
        <v>128</v>
      </c>
      <c r="H6456" t="s">
        <v>2462</v>
      </c>
      <c r="I6456" t="s">
        <v>2463</v>
      </c>
      <c r="J6456" t="s">
        <v>52</v>
      </c>
      <c r="K6456" s="3">
        <v>100715807225</v>
      </c>
      <c r="L6456" s="10">
        <v>40142</v>
      </c>
      <c r="M6456">
        <v>729.21</v>
      </c>
      <c r="N6456" s="11">
        <v>39</v>
      </c>
      <c r="O6456" s="12">
        <v>17.78</v>
      </c>
      <c r="P6456" s="12">
        <v>5.03</v>
      </c>
      <c r="Q6456" s="13">
        <v>194.15</v>
      </c>
      <c r="R6456" s="36" t="s">
        <v>872</v>
      </c>
      <c r="S6456" s="7">
        <f t="shared" si="561"/>
        <v>2</v>
      </c>
      <c r="T6456" s="15" t="str">
        <f>VLOOKUP(R6456,产品分类!$C$2:$D$1278,2,0)</f>
        <v>数码电子</v>
      </c>
    </row>
    <row r="6457" spans="1:20">
      <c r="A6457" s="8">
        <f>DATE(2012,12,31)-109</f>
        <v>41165</v>
      </c>
      <c r="B6457" s="8">
        <f>DATE(2012,12,31)-109</f>
        <v>41165</v>
      </c>
      <c r="C6457" s="9" t="s">
        <v>1455</v>
      </c>
      <c r="D6457">
        <v>10021622375</v>
      </c>
      <c r="E6457" t="s">
        <v>47</v>
      </c>
      <c r="F6457" t="s">
        <v>97</v>
      </c>
      <c r="G6457" t="s">
        <v>98</v>
      </c>
      <c r="H6457" t="s">
        <v>99</v>
      </c>
      <c r="I6457" t="s">
        <v>98</v>
      </c>
      <c r="J6457" t="s">
        <v>52</v>
      </c>
      <c r="K6457" s="3">
        <v>100116717378</v>
      </c>
      <c r="L6457" s="10">
        <v>41166</v>
      </c>
      <c r="M6457">
        <v>2447.1075</v>
      </c>
      <c r="N6457" s="11">
        <v>31</v>
      </c>
      <c r="O6457" s="12">
        <v>85.99</v>
      </c>
      <c r="P6457" s="12">
        <v>0.99</v>
      </c>
      <c r="Q6457" s="13">
        <v>856.962</v>
      </c>
      <c r="R6457" s="36" t="s">
        <v>1982</v>
      </c>
      <c r="S6457" s="7">
        <f t="shared" si="561"/>
        <v>1</v>
      </c>
      <c r="T6457" s="15" t="str">
        <f>VLOOKUP(R6457,产品分类!$C$2:$D$1278,2,0)</f>
        <v>办公用品</v>
      </c>
    </row>
    <row r="6458" spans="1:20">
      <c r="A6458" s="8">
        <f>DATE(2012,12,31)-109</f>
        <v>41165</v>
      </c>
      <c r="B6458" s="8">
        <f>DATE(2012,12,31)-109</f>
        <v>41165</v>
      </c>
      <c r="C6458" s="9" t="s">
        <v>2005</v>
      </c>
      <c r="D6458">
        <v>10021293948</v>
      </c>
      <c r="E6458" t="s">
        <v>47</v>
      </c>
      <c r="F6458" t="s">
        <v>132</v>
      </c>
      <c r="G6458" t="s">
        <v>133</v>
      </c>
      <c r="H6458" t="s">
        <v>134</v>
      </c>
      <c r="I6458" t="s">
        <v>133</v>
      </c>
      <c r="J6458" t="s">
        <v>52</v>
      </c>
      <c r="K6458" s="3">
        <v>100310182459</v>
      </c>
      <c r="L6458" s="10">
        <v>41166</v>
      </c>
      <c r="M6458">
        <v>1458.83</v>
      </c>
      <c r="N6458" s="11">
        <v>25</v>
      </c>
      <c r="O6458" s="12">
        <v>60.22</v>
      </c>
      <c r="P6458" s="12">
        <v>3.5</v>
      </c>
      <c r="Q6458" s="13">
        <v>392.76</v>
      </c>
      <c r="R6458" s="36" t="s">
        <v>1003</v>
      </c>
      <c r="S6458" s="7">
        <f t="shared" si="561"/>
        <v>1</v>
      </c>
      <c r="T6458" s="15" t="str">
        <f>VLOOKUP(R6458,产品分类!$C$2:$D$1278,2,0)</f>
        <v>数码电子</v>
      </c>
    </row>
    <row r="6459" spans="1:20">
      <c r="A6459" s="8">
        <f>DATE(2012,12,31)-212</f>
        <v>41062</v>
      </c>
      <c r="B6459" s="8">
        <f>DATE(2012,12,31)-212</f>
        <v>41062</v>
      </c>
      <c r="C6459" s="9" t="s">
        <v>366</v>
      </c>
      <c r="D6459">
        <v>10021504233</v>
      </c>
      <c r="E6459" t="s">
        <v>47</v>
      </c>
      <c r="F6459" t="s">
        <v>132</v>
      </c>
      <c r="G6459" t="s">
        <v>133</v>
      </c>
      <c r="H6459" t="s">
        <v>134</v>
      </c>
      <c r="I6459" t="s">
        <v>133</v>
      </c>
      <c r="J6459" t="s">
        <v>52</v>
      </c>
      <c r="K6459" s="3">
        <v>100122306287</v>
      </c>
      <c r="L6459" s="10">
        <v>41064</v>
      </c>
      <c r="M6459">
        <v>1291.2</v>
      </c>
      <c r="N6459" s="11">
        <v>25</v>
      </c>
      <c r="O6459" s="12">
        <v>50.98</v>
      </c>
      <c r="P6459" s="12">
        <v>6.5</v>
      </c>
      <c r="Q6459" s="13">
        <v>-5.59999999999998</v>
      </c>
      <c r="R6459" s="36" t="s">
        <v>1089</v>
      </c>
      <c r="S6459" s="7">
        <f t="shared" si="561"/>
        <v>2</v>
      </c>
      <c r="T6459" s="15" t="str">
        <f>VLOOKUP(R6459,产品分类!$C$2:$D$1278,2,0)</f>
        <v>办公用品</v>
      </c>
    </row>
    <row r="6460" spans="1:20">
      <c r="A6460" s="8">
        <f>DATE(2012,12,31)-1125</f>
        <v>40149</v>
      </c>
      <c r="B6460" s="8">
        <f>DATE(2012,12,31)-1125</f>
        <v>40149</v>
      </c>
      <c r="C6460" s="9" t="s">
        <v>1528</v>
      </c>
      <c r="D6460">
        <v>10021352366</v>
      </c>
      <c r="E6460" t="s">
        <v>47</v>
      </c>
      <c r="F6460" t="s">
        <v>97</v>
      </c>
      <c r="G6460" t="s">
        <v>98</v>
      </c>
      <c r="H6460" t="s">
        <v>99</v>
      </c>
      <c r="I6460" t="s">
        <v>98</v>
      </c>
      <c r="J6460" t="s">
        <v>52</v>
      </c>
      <c r="K6460" s="3">
        <v>100132521656</v>
      </c>
      <c r="L6460" s="10">
        <v>40150</v>
      </c>
      <c r="M6460">
        <v>2567.13</v>
      </c>
      <c r="N6460" s="11">
        <v>18</v>
      </c>
      <c r="O6460" s="12">
        <v>136.98</v>
      </c>
      <c r="P6460" s="12">
        <v>24.49</v>
      </c>
      <c r="Q6460" s="13">
        <v>945.54</v>
      </c>
      <c r="R6460" s="36" t="s">
        <v>892</v>
      </c>
      <c r="S6460" s="7">
        <f t="shared" si="561"/>
        <v>1</v>
      </c>
      <c r="T6460" s="15" t="str">
        <f>VLOOKUP(R6460,产品分类!$C$2:$D$1278,2,0)</f>
        <v>家具产品</v>
      </c>
    </row>
    <row r="6461" spans="1:20">
      <c r="A6461" s="8">
        <f>DATE(2012,12,31)-670</f>
        <v>40604</v>
      </c>
      <c r="B6461" s="8">
        <f>DATE(2012,12,31)-670</f>
        <v>40604</v>
      </c>
      <c r="C6461" s="9" t="s">
        <v>1753</v>
      </c>
      <c r="D6461">
        <v>10021263674</v>
      </c>
      <c r="E6461" t="s">
        <v>47</v>
      </c>
      <c r="F6461" t="s">
        <v>132</v>
      </c>
      <c r="G6461" t="s">
        <v>133</v>
      </c>
      <c r="H6461" t="s">
        <v>134</v>
      </c>
      <c r="I6461" t="s">
        <v>133</v>
      </c>
      <c r="J6461" t="s">
        <v>52</v>
      </c>
      <c r="K6461" s="3">
        <v>100430824364</v>
      </c>
      <c r="L6461" s="10">
        <v>40606</v>
      </c>
      <c r="M6461">
        <v>677.43</v>
      </c>
      <c r="N6461" s="11">
        <v>35</v>
      </c>
      <c r="O6461" s="12">
        <v>19.98</v>
      </c>
      <c r="P6461" s="12">
        <v>4</v>
      </c>
      <c r="Q6461" s="13">
        <v>-37.99</v>
      </c>
      <c r="R6461" s="36" t="s">
        <v>471</v>
      </c>
      <c r="S6461" s="7">
        <f t="shared" si="561"/>
        <v>2</v>
      </c>
      <c r="T6461" s="15" t="str">
        <f>VLOOKUP(R6461,产品分类!$C$2:$D$1278,2,0)</f>
        <v>办公用品</v>
      </c>
    </row>
    <row r="6462" spans="1:20">
      <c r="A6462" s="8">
        <f>DATE(2012,12,31)-670</f>
        <v>40604</v>
      </c>
      <c r="B6462" s="8">
        <f>DATE(2012,12,31)-670</f>
        <v>40604</v>
      </c>
      <c r="C6462" s="9" t="s">
        <v>1753</v>
      </c>
      <c r="D6462">
        <v>10021532019</v>
      </c>
      <c r="E6462" t="s">
        <v>47</v>
      </c>
      <c r="F6462" t="s">
        <v>97</v>
      </c>
      <c r="G6462" t="s">
        <v>98</v>
      </c>
      <c r="H6462" t="s">
        <v>99</v>
      </c>
      <c r="I6462" t="s">
        <v>98</v>
      </c>
      <c r="J6462" t="s">
        <v>52</v>
      </c>
      <c r="K6462" s="3">
        <v>100131284958</v>
      </c>
      <c r="L6462" s="10">
        <v>40604</v>
      </c>
      <c r="M6462">
        <v>491.78</v>
      </c>
      <c r="N6462" s="11">
        <v>38</v>
      </c>
      <c r="O6462" s="12">
        <v>12.28</v>
      </c>
      <c r="P6462" s="12">
        <v>6.47</v>
      </c>
      <c r="Q6462" s="13">
        <v>44.04</v>
      </c>
      <c r="R6462" s="36" t="s">
        <v>691</v>
      </c>
      <c r="S6462" s="7">
        <f t="shared" si="561"/>
        <v>0</v>
      </c>
      <c r="T6462" s="15" t="str">
        <f>VLOOKUP(R6462,产品分类!$C$2:$D$1278,2,0)</f>
        <v>办公用品</v>
      </c>
    </row>
    <row r="6463" spans="1:20">
      <c r="A6463" s="8">
        <f>DATE(2012,12,31)-589</f>
        <v>40685</v>
      </c>
      <c r="B6463" s="8">
        <f>DATE(2012,12,31)-589</f>
        <v>40685</v>
      </c>
      <c r="C6463" s="9" t="s">
        <v>1757</v>
      </c>
      <c r="D6463">
        <v>10021426289</v>
      </c>
      <c r="E6463" t="s">
        <v>47</v>
      </c>
      <c r="F6463" t="s">
        <v>137</v>
      </c>
      <c r="G6463" t="s">
        <v>138</v>
      </c>
      <c r="H6463" t="s">
        <v>2504</v>
      </c>
      <c r="I6463" t="s">
        <v>2505</v>
      </c>
      <c r="J6463" t="s">
        <v>52</v>
      </c>
      <c r="K6463" s="3">
        <v>100129950906</v>
      </c>
      <c r="L6463" s="10">
        <v>40689</v>
      </c>
      <c r="M6463">
        <v>1168.28</v>
      </c>
      <c r="N6463" s="11">
        <v>22</v>
      </c>
      <c r="O6463" s="12">
        <v>50.98</v>
      </c>
      <c r="P6463" s="12">
        <v>14.19</v>
      </c>
      <c r="Q6463" s="13">
        <v>126.07</v>
      </c>
      <c r="R6463" s="36" t="s">
        <v>886</v>
      </c>
      <c r="S6463" s="7">
        <f t="shared" si="561"/>
        <v>4</v>
      </c>
      <c r="T6463" s="15" t="str">
        <f>VLOOKUP(R6463,产品分类!$C$2:$D$1278,2,0)</f>
        <v>办公用品</v>
      </c>
    </row>
    <row r="6464" spans="1:20">
      <c r="A6464" s="8">
        <f t="shared" ref="A6464:B6466" si="563">DATE(2012,12,31)-1415</f>
        <v>39859</v>
      </c>
      <c r="B6464" s="8">
        <f t="shared" si="563"/>
        <v>39859</v>
      </c>
      <c r="C6464" s="9" t="s">
        <v>1132</v>
      </c>
      <c r="D6464">
        <v>10021576819</v>
      </c>
      <c r="E6464" t="s">
        <v>47</v>
      </c>
      <c r="F6464" t="s">
        <v>304</v>
      </c>
      <c r="G6464" t="s">
        <v>305</v>
      </c>
      <c r="H6464" t="s">
        <v>2527</v>
      </c>
      <c r="I6464" t="s">
        <v>2528</v>
      </c>
      <c r="J6464" t="s">
        <v>52</v>
      </c>
      <c r="K6464" s="3">
        <v>100916232871</v>
      </c>
      <c r="L6464" s="10">
        <v>39861</v>
      </c>
      <c r="M6464">
        <v>93.05</v>
      </c>
      <c r="N6464" s="11">
        <v>23</v>
      </c>
      <c r="O6464" s="12">
        <v>3.8</v>
      </c>
      <c r="P6464" s="12">
        <v>1.49</v>
      </c>
      <c r="Q6464" s="13">
        <v>15.2745</v>
      </c>
      <c r="R6464" s="36" t="s">
        <v>1840</v>
      </c>
      <c r="S6464" s="7">
        <f t="shared" si="561"/>
        <v>2</v>
      </c>
      <c r="T6464" s="15" t="str">
        <f>VLOOKUP(R6464,产品分类!$C$2:$D$1278,2,0)</f>
        <v>家具产品</v>
      </c>
    </row>
    <row r="6465" spans="1:20">
      <c r="A6465" s="16">
        <f t="shared" si="563"/>
        <v>39859</v>
      </c>
      <c r="B6465" s="16">
        <f t="shared" si="563"/>
        <v>39859</v>
      </c>
      <c r="C6465" s="9" t="s">
        <v>1334</v>
      </c>
      <c r="D6465">
        <v>10021621876</v>
      </c>
      <c r="E6465" t="s">
        <v>47</v>
      </c>
      <c r="F6465" t="s">
        <v>304</v>
      </c>
      <c r="G6465" t="s">
        <v>305</v>
      </c>
      <c r="H6465" t="s">
        <v>2527</v>
      </c>
      <c r="I6465" t="s">
        <v>2528</v>
      </c>
      <c r="J6465" t="s">
        <v>52</v>
      </c>
      <c r="K6465" s="3">
        <v>100311969789</v>
      </c>
      <c r="L6465" s="10">
        <v>39861</v>
      </c>
      <c r="M6465">
        <v>154.13</v>
      </c>
      <c r="N6465" s="17">
        <v>20</v>
      </c>
      <c r="O6465" s="5">
        <v>7.98</v>
      </c>
      <c r="P6465" s="5">
        <v>1.25</v>
      </c>
      <c r="Q6465" s="6">
        <v>57.31</v>
      </c>
      <c r="R6465" s="37" t="s">
        <v>1789</v>
      </c>
      <c r="S6465" s="7">
        <f t="shared" si="561"/>
        <v>2</v>
      </c>
      <c r="T6465" s="15" t="str">
        <f>VLOOKUP(R6465,产品分类!$C$2:$D$1278,2,0)</f>
        <v>数码电子</v>
      </c>
    </row>
    <row r="6466" spans="1:20">
      <c r="A6466" s="8">
        <f t="shared" si="563"/>
        <v>39859</v>
      </c>
      <c r="B6466" s="8">
        <f t="shared" si="563"/>
        <v>39859</v>
      </c>
      <c r="C6466" s="9" t="s">
        <v>2152</v>
      </c>
      <c r="D6466">
        <v>10021320739</v>
      </c>
      <c r="E6466" t="s">
        <v>47</v>
      </c>
      <c r="F6466" t="s">
        <v>137</v>
      </c>
      <c r="G6466" t="s">
        <v>138</v>
      </c>
      <c r="H6466" t="s">
        <v>2504</v>
      </c>
      <c r="I6466" t="s">
        <v>2505</v>
      </c>
      <c r="J6466" t="s">
        <v>52</v>
      </c>
      <c r="K6466" s="3">
        <v>100127350977</v>
      </c>
      <c r="L6466" s="10">
        <v>39860</v>
      </c>
      <c r="M6466">
        <v>18824.42</v>
      </c>
      <c r="N6466" s="11">
        <v>46</v>
      </c>
      <c r="O6466" s="12">
        <v>417.4</v>
      </c>
      <c r="P6466" s="12">
        <v>75.23</v>
      </c>
      <c r="Q6466" s="13">
        <v>-575.352</v>
      </c>
      <c r="R6466" s="36" t="s">
        <v>161</v>
      </c>
      <c r="S6466" s="7">
        <f t="shared" si="561"/>
        <v>1</v>
      </c>
      <c r="T6466" s="15" t="str">
        <f>VLOOKUP(R6466,产品分类!$C$2:$D$1278,2,0)</f>
        <v>办公用品</v>
      </c>
    </row>
    <row r="6467" spans="1:20">
      <c r="A6467" s="16">
        <f t="shared" ref="A6467:B6469" si="564">DATE(2012,12,31)-716</f>
        <v>40558</v>
      </c>
      <c r="B6467" s="16">
        <f t="shared" si="564"/>
        <v>40558</v>
      </c>
      <c r="C6467" s="9" t="s">
        <v>2152</v>
      </c>
      <c r="D6467">
        <v>10021623396</v>
      </c>
      <c r="E6467" t="s">
        <v>47</v>
      </c>
      <c r="F6467" t="s">
        <v>304</v>
      </c>
      <c r="G6467" t="s">
        <v>305</v>
      </c>
      <c r="H6467" t="s">
        <v>2527</v>
      </c>
      <c r="I6467" t="s">
        <v>2528</v>
      </c>
      <c r="J6467" t="s">
        <v>52</v>
      </c>
      <c r="K6467" s="3">
        <v>100922005741</v>
      </c>
      <c r="L6467" s="10">
        <v>40560</v>
      </c>
      <c r="M6467">
        <v>925.8</v>
      </c>
      <c r="N6467" s="17">
        <v>37</v>
      </c>
      <c r="O6467" s="5">
        <v>24.92</v>
      </c>
      <c r="P6467" s="5">
        <v>12.98</v>
      </c>
      <c r="Q6467" s="6">
        <v>30.685</v>
      </c>
      <c r="R6467" s="37" t="s">
        <v>550</v>
      </c>
      <c r="S6467" s="7">
        <f t="shared" ref="S6467:S6530" si="565">+L6467-B6467</f>
        <v>2</v>
      </c>
      <c r="T6467" s="15" t="str">
        <f>VLOOKUP(R6467,产品分类!$C$2:$D$1278,2,0)</f>
        <v>办公用品</v>
      </c>
    </row>
    <row r="6468" spans="1:20">
      <c r="A6468" s="8">
        <f t="shared" si="564"/>
        <v>40558</v>
      </c>
      <c r="B6468" s="8">
        <f t="shared" si="564"/>
        <v>40558</v>
      </c>
      <c r="C6468" s="9" t="s">
        <v>1230</v>
      </c>
      <c r="D6468">
        <v>10021672915</v>
      </c>
      <c r="E6468" t="s">
        <v>47</v>
      </c>
      <c r="F6468" t="s">
        <v>208</v>
      </c>
      <c r="G6468" t="s">
        <v>209</v>
      </c>
      <c r="H6468" t="s">
        <v>2300</v>
      </c>
      <c r="I6468" t="s">
        <v>2301</v>
      </c>
      <c r="J6468" t="s">
        <v>52</v>
      </c>
      <c r="K6468" s="3">
        <v>100331607689</v>
      </c>
      <c r="L6468" s="10">
        <v>40560</v>
      </c>
      <c r="M6468">
        <v>282.48</v>
      </c>
      <c r="N6468" s="11">
        <v>39</v>
      </c>
      <c r="O6468" s="12">
        <v>7.1</v>
      </c>
      <c r="P6468" s="12">
        <v>6.05</v>
      </c>
      <c r="Q6468" s="13">
        <v>-87.009</v>
      </c>
      <c r="R6468" s="36" t="s">
        <v>545</v>
      </c>
      <c r="S6468" s="7">
        <f t="shared" si="565"/>
        <v>2</v>
      </c>
      <c r="T6468" s="15" t="str">
        <f>VLOOKUP(R6468,产品分类!$C$2:$D$1278,2,0)</f>
        <v>办公用品</v>
      </c>
    </row>
    <row r="6469" spans="1:20">
      <c r="A6469" s="8">
        <f t="shared" si="564"/>
        <v>40558</v>
      </c>
      <c r="B6469" s="8">
        <f t="shared" si="564"/>
        <v>40558</v>
      </c>
      <c r="C6469" s="9" t="s">
        <v>1230</v>
      </c>
      <c r="D6469">
        <v>10021611209</v>
      </c>
      <c r="E6469" t="s">
        <v>47</v>
      </c>
      <c r="F6469" t="s">
        <v>208</v>
      </c>
      <c r="G6469" t="s">
        <v>209</v>
      </c>
      <c r="H6469" t="s">
        <v>2300</v>
      </c>
      <c r="I6469" t="s">
        <v>2301</v>
      </c>
      <c r="J6469" t="s">
        <v>52</v>
      </c>
      <c r="K6469" s="3">
        <v>100724658005</v>
      </c>
      <c r="L6469" s="10">
        <v>40560</v>
      </c>
      <c r="M6469">
        <v>6502.46</v>
      </c>
      <c r="N6469" s="11">
        <v>12</v>
      </c>
      <c r="O6469" s="12">
        <v>550.98</v>
      </c>
      <c r="P6469" s="12">
        <v>64.59</v>
      </c>
      <c r="Q6469" s="13">
        <v>261.66</v>
      </c>
      <c r="R6469" s="36" t="s">
        <v>406</v>
      </c>
      <c r="S6469" s="7">
        <f t="shared" si="565"/>
        <v>2</v>
      </c>
      <c r="T6469" s="15" t="str">
        <f>VLOOKUP(R6469,产品分类!$C$2:$D$1278,2,0)</f>
        <v>办公用品</v>
      </c>
    </row>
    <row r="6470" spans="1:20">
      <c r="A6470" s="8">
        <f>DATE(2012,12,31)-1149</f>
        <v>40125</v>
      </c>
      <c r="B6470" s="8">
        <f>DATE(2012,12,31)-1149</f>
        <v>40125</v>
      </c>
      <c r="C6470" s="9" t="s">
        <v>1230</v>
      </c>
      <c r="D6470">
        <v>10021507363</v>
      </c>
      <c r="E6470" t="s">
        <v>47</v>
      </c>
      <c r="F6470" t="s">
        <v>171</v>
      </c>
      <c r="G6470" t="s">
        <v>172</v>
      </c>
      <c r="H6470" t="s">
        <v>2486</v>
      </c>
      <c r="I6470" t="s">
        <v>2310</v>
      </c>
      <c r="J6470" t="s">
        <v>52</v>
      </c>
      <c r="K6470" s="3">
        <v>100831974682</v>
      </c>
      <c r="L6470" s="10">
        <v>40127</v>
      </c>
      <c r="M6470">
        <v>203.91</v>
      </c>
      <c r="N6470" s="11">
        <v>23</v>
      </c>
      <c r="O6470" s="12">
        <v>8.6</v>
      </c>
      <c r="P6470" s="12">
        <v>6.19</v>
      </c>
      <c r="Q6470" s="13">
        <v>-35.443</v>
      </c>
      <c r="R6470" s="36" t="s">
        <v>1596</v>
      </c>
      <c r="S6470" s="7">
        <f t="shared" si="565"/>
        <v>2</v>
      </c>
      <c r="T6470" s="15" t="str">
        <f>VLOOKUP(R6470,产品分类!$C$2:$D$1278,2,0)</f>
        <v>办公用品</v>
      </c>
    </row>
    <row r="6471" spans="1:20">
      <c r="A6471" s="8">
        <f t="shared" ref="A6471:B6473" si="566">DATE(2012,12,31)-757</f>
        <v>40517</v>
      </c>
      <c r="B6471" s="8">
        <f t="shared" si="566"/>
        <v>40517</v>
      </c>
      <c r="C6471" s="9" t="s">
        <v>1250</v>
      </c>
      <c r="D6471">
        <v>10021342544</v>
      </c>
      <c r="E6471" t="s">
        <v>47</v>
      </c>
      <c r="F6471" t="s">
        <v>171</v>
      </c>
      <c r="G6471" t="s">
        <v>172</v>
      </c>
      <c r="H6471" t="s">
        <v>2486</v>
      </c>
      <c r="I6471" t="s">
        <v>2310</v>
      </c>
      <c r="J6471" t="s">
        <v>52</v>
      </c>
      <c r="K6471" s="3">
        <v>100728145785</v>
      </c>
      <c r="L6471" s="10">
        <v>40517</v>
      </c>
      <c r="M6471">
        <v>11169.95</v>
      </c>
      <c r="N6471" s="11">
        <v>13</v>
      </c>
      <c r="O6471" s="12">
        <v>896.99</v>
      </c>
      <c r="P6471" s="12">
        <v>19.99</v>
      </c>
      <c r="Q6471" s="13">
        <v>3982.2245</v>
      </c>
      <c r="R6471" s="36" t="s">
        <v>1889</v>
      </c>
      <c r="S6471" s="7">
        <f t="shared" si="565"/>
        <v>0</v>
      </c>
      <c r="T6471" s="15" t="str">
        <f>VLOOKUP(R6471,产品分类!$C$2:$D$1278,2,0)</f>
        <v>家具产品</v>
      </c>
    </row>
    <row r="6472" spans="1:20">
      <c r="A6472" s="8">
        <f t="shared" si="566"/>
        <v>40517</v>
      </c>
      <c r="B6472" s="8">
        <f t="shared" si="566"/>
        <v>40517</v>
      </c>
      <c r="C6472" s="9" t="s">
        <v>1250</v>
      </c>
      <c r="D6472">
        <v>10021657088</v>
      </c>
      <c r="E6472" t="s">
        <v>47</v>
      </c>
      <c r="F6472" t="s">
        <v>171</v>
      </c>
      <c r="G6472" t="s">
        <v>172</v>
      </c>
      <c r="H6472" t="s">
        <v>2486</v>
      </c>
      <c r="I6472" t="s">
        <v>2310</v>
      </c>
      <c r="J6472" t="s">
        <v>52</v>
      </c>
      <c r="K6472" s="3">
        <v>10018851756</v>
      </c>
      <c r="L6472" s="10">
        <v>40517</v>
      </c>
      <c r="M6472">
        <v>468.46</v>
      </c>
      <c r="N6472" s="11">
        <v>33</v>
      </c>
      <c r="O6472" s="12">
        <v>12.99</v>
      </c>
      <c r="P6472" s="12">
        <v>14.37</v>
      </c>
      <c r="Q6472" s="13">
        <v>-292.7</v>
      </c>
      <c r="R6472" s="36" t="s">
        <v>1190</v>
      </c>
      <c r="S6472" s="7">
        <f t="shared" si="565"/>
        <v>0</v>
      </c>
      <c r="T6472" s="15" t="str">
        <f>VLOOKUP(R6472,产品分类!$C$2:$D$1278,2,0)</f>
        <v>办公用品</v>
      </c>
    </row>
    <row r="6473" spans="1:20">
      <c r="A6473" s="8">
        <f t="shared" si="566"/>
        <v>40517</v>
      </c>
      <c r="B6473" s="8">
        <f t="shared" si="566"/>
        <v>40517</v>
      </c>
      <c r="C6473" s="9" t="s">
        <v>613</v>
      </c>
      <c r="D6473">
        <v>10021262974</v>
      </c>
      <c r="E6473" t="s">
        <v>47</v>
      </c>
      <c r="F6473" t="s">
        <v>171</v>
      </c>
      <c r="G6473" t="s">
        <v>172</v>
      </c>
      <c r="H6473" t="s">
        <v>2486</v>
      </c>
      <c r="I6473" t="s">
        <v>2310</v>
      </c>
      <c r="J6473" t="s">
        <v>52</v>
      </c>
      <c r="K6473" s="3">
        <v>100430444663</v>
      </c>
      <c r="L6473" s="10">
        <v>40519</v>
      </c>
      <c r="M6473">
        <v>9708.64</v>
      </c>
      <c r="N6473" s="11">
        <v>48</v>
      </c>
      <c r="O6473" s="12">
        <v>218.75</v>
      </c>
      <c r="P6473" s="12">
        <v>69.64</v>
      </c>
      <c r="Q6473" s="13">
        <v>-528.653125</v>
      </c>
      <c r="R6473" s="36" t="s">
        <v>1684</v>
      </c>
      <c r="S6473" s="7">
        <f t="shared" si="565"/>
        <v>2</v>
      </c>
      <c r="T6473" s="15" t="str">
        <f>VLOOKUP(R6473,产品分类!$C$2:$D$1278,2,0)</f>
        <v>办公用品</v>
      </c>
    </row>
    <row r="6474" spans="1:20">
      <c r="A6474" s="8">
        <f>DATE(2012,12,31)-934</f>
        <v>40340</v>
      </c>
      <c r="B6474" s="8">
        <f>DATE(2012,12,31)-934</f>
        <v>40340</v>
      </c>
      <c r="C6474" s="9" t="s">
        <v>613</v>
      </c>
      <c r="D6474">
        <v>10021556371</v>
      </c>
      <c r="E6474" t="s">
        <v>47</v>
      </c>
      <c r="F6474" t="s">
        <v>171</v>
      </c>
      <c r="G6474" t="s">
        <v>172</v>
      </c>
      <c r="H6474" t="s">
        <v>2486</v>
      </c>
      <c r="I6474" t="s">
        <v>2310</v>
      </c>
      <c r="J6474" t="s">
        <v>52</v>
      </c>
      <c r="K6474" s="3">
        <v>100723655315</v>
      </c>
      <c r="L6474" s="10">
        <v>40347</v>
      </c>
      <c r="M6474">
        <v>1243.52</v>
      </c>
      <c r="N6474" s="11">
        <v>47</v>
      </c>
      <c r="O6474" s="12">
        <v>26.48</v>
      </c>
      <c r="P6474" s="12">
        <v>6.93</v>
      </c>
      <c r="Q6474" s="13">
        <v>360.94</v>
      </c>
      <c r="R6474" s="36" t="s">
        <v>1907</v>
      </c>
      <c r="S6474" s="7">
        <f t="shared" si="565"/>
        <v>7</v>
      </c>
      <c r="T6474" s="15" t="str">
        <f>VLOOKUP(R6474,产品分类!$C$2:$D$1278,2,0)</f>
        <v>办公用品</v>
      </c>
    </row>
    <row r="6475" spans="1:20">
      <c r="A6475" s="8">
        <f>DATE(2012,12,31)-110</f>
        <v>41164</v>
      </c>
      <c r="B6475" s="8">
        <f>DATE(2012,12,31)-110</f>
        <v>41164</v>
      </c>
      <c r="C6475" s="9" t="s">
        <v>1404</v>
      </c>
      <c r="D6475">
        <v>10021335492</v>
      </c>
      <c r="E6475" t="s">
        <v>47</v>
      </c>
      <c r="F6475" t="s">
        <v>171</v>
      </c>
      <c r="G6475" t="s">
        <v>172</v>
      </c>
      <c r="H6475" t="s">
        <v>2486</v>
      </c>
      <c r="I6475" t="s">
        <v>2310</v>
      </c>
      <c r="J6475" t="s">
        <v>52</v>
      </c>
      <c r="K6475" s="3">
        <v>100912166131</v>
      </c>
      <c r="L6475" s="10">
        <v>41166</v>
      </c>
      <c r="M6475">
        <v>3877.88</v>
      </c>
      <c r="N6475" s="11">
        <v>7</v>
      </c>
      <c r="O6475" s="12">
        <v>550.98</v>
      </c>
      <c r="P6475" s="12">
        <v>45.7</v>
      </c>
      <c r="Q6475" s="13">
        <v>-1331.553366</v>
      </c>
      <c r="R6475" s="36" t="s">
        <v>1501</v>
      </c>
      <c r="S6475" s="7">
        <f t="shared" si="565"/>
        <v>2</v>
      </c>
      <c r="T6475" s="15" t="str">
        <f>VLOOKUP(R6475,产品分类!$C$2:$D$1278,2,0)</f>
        <v>家具产品</v>
      </c>
    </row>
    <row r="6476" spans="1:20">
      <c r="A6476" s="16">
        <f>DATE(2012,12,31)-110</f>
        <v>41164</v>
      </c>
      <c r="B6476" s="16">
        <f>DATE(2012,12,31)-110</f>
        <v>41164</v>
      </c>
      <c r="C6476" s="9" t="s">
        <v>2296</v>
      </c>
      <c r="D6476">
        <v>10021345629</v>
      </c>
      <c r="E6476" t="s">
        <v>47</v>
      </c>
      <c r="F6476" t="s">
        <v>171</v>
      </c>
      <c r="G6476" t="s">
        <v>172</v>
      </c>
      <c r="H6476" t="s">
        <v>2486</v>
      </c>
      <c r="I6476" t="s">
        <v>2310</v>
      </c>
      <c r="J6476" t="s">
        <v>52</v>
      </c>
      <c r="K6476" s="3">
        <v>100830197622</v>
      </c>
      <c r="L6476" s="10">
        <v>41166</v>
      </c>
      <c r="M6476">
        <v>322.47</v>
      </c>
      <c r="N6476" s="17">
        <v>43</v>
      </c>
      <c r="O6476" s="5">
        <v>7.78</v>
      </c>
      <c r="P6476" s="5">
        <v>2.5</v>
      </c>
      <c r="Q6476" s="6">
        <v>72.28</v>
      </c>
      <c r="R6476" s="37" t="s">
        <v>594</v>
      </c>
      <c r="S6476" s="7">
        <f t="shared" si="565"/>
        <v>2</v>
      </c>
      <c r="T6476" s="15" t="str">
        <f>VLOOKUP(R6476,产品分类!$C$2:$D$1278,2,0)</f>
        <v>数码电子</v>
      </c>
    </row>
    <row r="6477" spans="1:20">
      <c r="A6477" s="8">
        <f>DATE(2012,12,31)-1388</f>
        <v>39886</v>
      </c>
      <c r="B6477" s="8">
        <f>DATE(2012,12,31)-1388</f>
        <v>39886</v>
      </c>
      <c r="C6477" s="9" t="s">
        <v>564</v>
      </c>
      <c r="D6477">
        <v>10021451744</v>
      </c>
      <c r="E6477" t="s">
        <v>47</v>
      </c>
      <c r="F6477" t="s">
        <v>171</v>
      </c>
      <c r="G6477" t="s">
        <v>172</v>
      </c>
      <c r="H6477" t="s">
        <v>2486</v>
      </c>
      <c r="I6477" t="s">
        <v>2310</v>
      </c>
      <c r="J6477" t="s">
        <v>52</v>
      </c>
      <c r="K6477" s="3">
        <v>100120818597</v>
      </c>
      <c r="L6477" s="10">
        <v>39888</v>
      </c>
      <c r="M6477">
        <v>1932.58</v>
      </c>
      <c r="N6477" s="11">
        <v>34</v>
      </c>
      <c r="O6477" s="12">
        <v>62.18</v>
      </c>
      <c r="P6477" s="12">
        <v>10.84</v>
      </c>
      <c r="Q6477" s="13">
        <v>356.48</v>
      </c>
      <c r="R6477" s="36" t="s">
        <v>846</v>
      </c>
      <c r="S6477" s="7">
        <f t="shared" si="565"/>
        <v>2</v>
      </c>
      <c r="T6477" s="15" t="str">
        <f>VLOOKUP(R6477,产品分类!$C$2:$D$1278,2,0)</f>
        <v>数码电子</v>
      </c>
    </row>
    <row r="6478" spans="1:20">
      <c r="A6478" s="8">
        <f t="shared" ref="A6478:B6480" si="567">DATE(2012,12,31)-342</f>
        <v>40932</v>
      </c>
      <c r="B6478" s="8">
        <f t="shared" si="567"/>
        <v>40932</v>
      </c>
      <c r="C6478" s="9" t="s">
        <v>564</v>
      </c>
      <c r="D6478">
        <v>10021430916</v>
      </c>
      <c r="E6478" t="s">
        <v>47</v>
      </c>
      <c r="F6478" t="s">
        <v>167</v>
      </c>
      <c r="G6478" t="s">
        <v>168</v>
      </c>
      <c r="H6478" t="s">
        <v>169</v>
      </c>
      <c r="I6478" t="s">
        <v>168</v>
      </c>
      <c r="J6478" t="s">
        <v>52</v>
      </c>
      <c r="K6478" s="3">
        <v>100131965196</v>
      </c>
      <c r="L6478" s="10">
        <v>40934</v>
      </c>
      <c r="M6478">
        <v>614.35</v>
      </c>
      <c r="N6478" s="11">
        <v>31</v>
      </c>
      <c r="O6478" s="12">
        <v>18.97</v>
      </c>
      <c r="P6478" s="12">
        <v>9.03</v>
      </c>
      <c r="Q6478" s="13">
        <v>78.89</v>
      </c>
      <c r="R6478" s="36" t="s">
        <v>874</v>
      </c>
      <c r="S6478" s="7">
        <f t="shared" si="565"/>
        <v>2</v>
      </c>
      <c r="T6478" s="15" t="str">
        <f>VLOOKUP(R6478,产品分类!$C$2:$D$1278,2,0)</f>
        <v>办公用品</v>
      </c>
    </row>
    <row r="6479" spans="1:20">
      <c r="A6479" s="8">
        <f t="shared" si="567"/>
        <v>40932</v>
      </c>
      <c r="B6479" s="8">
        <f t="shared" si="567"/>
        <v>40932</v>
      </c>
      <c r="C6479" s="9" t="s">
        <v>1564</v>
      </c>
      <c r="D6479">
        <v>10021349972</v>
      </c>
      <c r="E6479" t="s">
        <v>47</v>
      </c>
      <c r="F6479" t="s">
        <v>177</v>
      </c>
      <c r="G6479" t="s">
        <v>178</v>
      </c>
      <c r="H6479" t="s">
        <v>2492</v>
      </c>
      <c r="I6479" t="s">
        <v>2493</v>
      </c>
      <c r="J6479" t="s">
        <v>52</v>
      </c>
      <c r="K6479" s="3">
        <v>100932134521</v>
      </c>
      <c r="L6479" s="10">
        <v>40937</v>
      </c>
      <c r="M6479">
        <v>3.63</v>
      </c>
      <c r="N6479" s="11">
        <v>1</v>
      </c>
      <c r="O6479" s="12">
        <v>2.88</v>
      </c>
      <c r="P6479" s="12">
        <v>0.7</v>
      </c>
      <c r="Q6479" s="13">
        <v>-1.56</v>
      </c>
      <c r="R6479" s="36" t="s">
        <v>1170</v>
      </c>
      <c r="S6479" s="7">
        <f t="shared" si="565"/>
        <v>5</v>
      </c>
      <c r="T6479" s="15" t="str">
        <f>VLOOKUP(R6479,产品分类!$C$2:$D$1278,2,0)</f>
        <v>数码电子</v>
      </c>
    </row>
    <row r="6480" spans="1:20">
      <c r="A6480" s="8">
        <f t="shared" si="567"/>
        <v>40932</v>
      </c>
      <c r="B6480" s="8">
        <f t="shared" si="567"/>
        <v>40932</v>
      </c>
      <c r="C6480" s="9" t="s">
        <v>275</v>
      </c>
      <c r="D6480">
        <v>10021386218</v>
      </c>
      <c r="E6480" t="s">
        <v>47</v>
      </c>
      <c r="F6480" t="s">
        <v>177</v>
      </c>
      <c r="G6480" t="s">
        <v>178</v>
      </c>
      <c r="H6480" t="s">
        <v>2492</v>
      </c>
      <c r="I6480" t="s">
        <v>2493</v>
      </c>
      <c r="J6480" t="s">
        <v>52</v>
      </c>
      <c r="K6480" s="3">
        <v>10017322088</v>
      </c>
      <c r="L6480" s="10">
        <v>40939</v>
      </c>
      <c r="M6480">
        <v>172.99</v>
      </c>
      <c r="N6480" s="11">
        <v>31</v>
      </c>
      <c r="O6480" s="12">
        <v>5.84</v>
      </c>
      <c r="P6480" s="12">
        <v>1</v>
      </c>
      <c r="Q6480" s="13">
        <v>61.51</v>
      </c>
      <c r="R6480" s="36" t="s">
        <v>648</v>
      </c>
      <c r="S6480" s="7">
        <f t="shared" si="565"/>
        <v>7</v>
      </c>
      <c r="T6480" s="15" t="str">
        <f>VLOOKUP(R6480,产品分类!$C$2:$D$1278,2,0)</f>
        <v>家具产品</v>
      </c>
    </row>
    <row r="6481" spans="1:20">
      <c r="A6481" s="8">
        <f>DATE(2012,12,31)-1278</f>
        <v>39996</v>
      </c>
      <c r="B6481" s="8">
        <f>DATE(2012,12,31)-1278</f>
        <v>39996</v>
      </c>
      <c r="C6481" s="9" t="s">
        <v>275</v>
      </c>
      <c r="D6481">
        <v>10021710546</v>
      </c>
      <c r="E6481" t="s">
        <v>47</v>
      </c>
      <c r="F6481" t="s">
        <v>183</v>
      </c>
      <c r="G6481" t="s">
        <v>184</v>
      </c>
      <c r="H6481" t="s">
        <v>2436</v>
      </c>
      <c r="I6481" t="s">
        <v>2277</v>
      </c>
      <c r="J6481" t="s">
        <v>52</v>
      </c>
      <c r="K6481" s="3">
        <v>100731340315</v>
      </c>
      <c r="L6481" s="10">
        <v>39997</v>
      </c>
      <c r="M6481">
        <v>601.57</v>
      </c>
      <c r="N6481" s="11">
        <v>10</v>
      </c>
      <c r="O6481" s="12">
        <v>60.98</v>
      </c>
      <c r="P6481" s="12">
        <v>30</v>
      </c>
      <c r="Q6481" s="13">
        <v>-247.25</v>
      </c>
      <c r="R6481" s="36" t="s">
        <v>2263</v>
      </c>
      <c r="S6481" s="7">
        <f t="shared" si="565"/>
        <v>1</v>
      </c>
      <c r="T6481" s="15" t="str">
        <f>VLOOKUP(R6481,产品分类!$C$2:$D$1278,2,0)</f>
        <v>数码电子</v>
      </c>
    </row>
    <row r="6482" spans="1:20">
      <c r="A6482" s="8">
        <f>DATE(2012,12,31)-1278</f>
        <v>39996</v>
      </c>
      <c r="B6482" s="8">
        <f>DATE(2012,12,31)-1278</f>
        <v>39996</v>
      </c>
      <c r="C6482" s="9" t="s">
        <v>275</v>
      </c>
      <c r="D6482">
        <v>10021574014</v>
      </c>
      <c r="E6482" t="s">
        <v>47</v>
      </c>
      <c r="F6482" t="s">
        <v>177</v>
      </c>
      <c r="G6482" t="s">
        <v>178</v>
      </c>
      <c r="H6482" t="s">
        <v>2492</v>
      </c>
      <c r="I6482" t="s">
        <v>2493</v>
      </c>
      <c r="J6482" t="s">
        <v>52</v>
      </c>
      <c r="K6482" s="3">
        <v>100950041</v>
      </c>
      <c r="L6482" s="10">
        <v>39998</v>
      </c>
      <c r="M6482">
        <v>157.42</v>
      </c>
      <c r="N6482" s="11">
        <v>9</v>
      </c>
      <c r="O6482" s="12">
        <v>17.48</v>
      </c>
      <c r="P6482" s="12">
        <v>1.99</v>
      </c>
      <c r="Q6482" s="13">
        <v>-18.68</v>
      </c>
      <c r="R6482" s="36" t="s">
        <v>2110</v>
      </c>
      <c r="S6482" s="7">
        <f t="shared" si="565"/>
        <v>2</v>
      </c>
      <c r="T6482" s="15" t="str">
        <f>VLOOKUP(R6482,产品分类!$C$2:$D$1278,2,0)</f>
        <v>办公用品</v>
      </c>
    </row>
    <row r="6483" spans="1:20">
      <c r="A6483" s="8">
        <f>DATE(2012,12,31)-22</f>
        <v>41252</v>
      </c>
      <c r="B6483" s="8">
        <f>DATE(2012,12,31)-22</f>
        <v>41252</v>
      </c>
      <c r="C6483" s="9" t="s">
        <v>859</v>
      </c>
      <c r="D6483">
        <v>10021647236</v>
      </c>
      <c r="E6483" t="s">
        <v>47</v>
      </c>
      <c r="F6483" t="s">
        <v>177</v>
      </c>
      <c r="G6483" t="s">
        <v>178</v>
      </c>
      <c r="H6483" t="s">
        <v>2529</v>
      </c>
      <c r="I6483" t="s">
        <v>2530</v>
      </c>
      <c r="J6483" t="s">
        <v>52</v>
      </c>
      <c r="K6483" s="3">
        <v>100426608134</v>
      </c>
      <c r="L6483" s="10">
        <v>41253</v>
      </c>
      <c r="M6483">
        <v>114.83</v>
      </c>
      <c r="N6483" s="11">
        <v>4</v>
      </c>
      <c r="O6483" s="12">
        <v>28.48</v>
      </c>
      <c r="P6483" s="12">
        <v>1.99</v>
      </c>
      <c r="Q6483" s="13">
        <v>-52.62</v>
      </c>
      <c r="R6483" s="36" t="s">
        <v>187</v>
      </c>
      <c r="S6483" s="7">
        <f t="shared" si="565"/>
        <v>1</v>
      </c>
      <c r="T6483" s="15" t="str">
        <f>VLOOKUP(R6483,产品分类!$C$2:$D$1278,2,0)</f>
        <v>数码电子</v>
      </c>
    </row>
    <row r="6484" spans="1:20">
      <c r="A6484" s="8">
        <f>DATE(2012,12,31)-22</f>
        <v>41252</v>
      </c>
      <c r="B6484" s="8">
        <f>DATE(2012,12,31)-22</f>
        <v>41252</v>
      </c>
      <c r="C6484" s="9" t="s">
        <v>859</v>
      </c>
      <c r="D6484">
        <v>10021389763</v>
      </c>
      <c r="E6484" t="s">
        <v>47</v>
      </c>
      <c r="F6484" t="s">
        <v>167</v>
      </c>
      <c r="G6484" t="s">
        <v>168</v>
      </c>
      <c r="H6484" t="s">
        <v>169</v>
      </c>
      <c r="I6484" t="s">
        <v>168</v>
      </c>
      <c r="J6484" t="s">
        <v>52</v>
      </c>
      <c r="K6484" s="3">
        <v>100411684244</v>
      </c>
      <c r="L6484" s="10">
        <v>41254</v>
      </c>
      <c r="M6484">
        <v>16743.76</v>
      </c>
      <c r="N6484" s="11">
        <v>23</v>
      </c>
      <c r="O6484" s="12">
        <v>699.99</v>
      </c>
      <c r="P6484" s="12">
        <v>24.49</v>
      </c>
      <c r="Q6484" s="13">
        <v>6079.63</v>
      </c>
      <c r="R6484" s="36" t="s">
        <v>958</v>
      </c>
      <c r="S6484" s="7">
        <f t="shared" si="565"/>
        <v>2</v>
      </c>
      <c r="T6484" s="15" t="str">
        <f>VLOOKUP(R6484,产品分类!$C$2:$D$1278,2,0)</f>
        <v>办公用品</v>
      </c>
    </row>
    <row r="6485" spans="1:20">
      <c r="A6485" s="8">
        <f>DATE(2012,12,31)-520</f>
        <v>40754</v>
      </c>
      <c r="B6485" s="8">
        <f>DATE(2012,12,31)-520</f>
        <v>40754</v>
      </c>
      <c r="C6485" s="9" t="s">
        <v>859</v>
      </c>
      <c r="D6485">
        <v>10021606873</v>
      </c>
      <c r="E6485" t="s">
        <v>47</v>
      </c>
      <c r="F6485" t="s">
        <v>177</v>
      </c>
      <c r="G6485" t="s">
        <v>178</v>
      </c>
      <c r="H6485" t="s">
        <v>2529</v>
      </c>
      <c r="I6485" t="s">
        <v>2530</v>
      </c>
      <c r="J6485" t="s">
        <v>52</v>
      </c>
      <c r="K6485" s="3">
        <v>100120834986</v>
      </c>
      <c r="L6485" s="10">
        <v>40758</v>
      </c>
      <c r="M6485">
        <v>299.66</v>
      </c>
      <c r="N6485" s="11">
        <v>30</v>
      </c>
      <c r="O6485" s="12">
        <v>10.44</v>
      </c>
      <c r="P6485" s="12">
        <v>5.75</v>
      </c>
      <c r="Q6485" s="13">
        <v>-18.2505</v>
      </c>
      <c r="R6485" s="36" t="s">
        <v>1642</v>
      </c>
      <c r="S6485" s="7">
        <f t="shared" si="565"/>
        <v>4</v>
      </c>
      <c r="T6485" s="15" t="str">
        <f>VLOOKUP(R6485,产品分类!$C$2:$D$1278,2,0)</f>
        <v>家具产品</v>
      </c>
    </row>
    <row r="6486" spans="1:20">
      <c r="A6486" s="8">
        <f>DATE(2012,12,31)-694</f>
        <v>40580</v>
      </c>
      <c r="B6486" s="8">
        <f>DATE(2012,12,31)-694</f>
        <v>40580</v>
      </c>
      <c r="C6486" s="9" t="s">
        <v>1464</v>
      </c>
      <c r="D6486">
        <v>10021416859</v>
      </c>
      <c r="E6486" t="s">
        <v>47</v>
      </c>
      <c r="F6486" t="s">
        <v>177</v>
      </c>
      <c r="G6486" t="s">
        <v>178</v>
      </c>
      <c r="H6486" t="s">
        <v>2529</v>
      </c>
      <c r="I6486" t="s">
        <v>2530</v>
      </c>
      <c r="J6486" t="s">
        <v>52</v>
      </c>
      <c r="K6486" s="3">
        <v>100412351684</v>
      </c>
      <c r="L6486" s="10">
        <v>40580</v>
      </c>
      <c r="M6486">
        <v>643.53</v>
      </c>
      <c r="N6486" s="11">
        <v>32</v>
      </c>
      <c r="O6486" s="12">
        <v>19.98</v>
      </c>
      <c r="P6486" s="12">
        <v>5.77</v>
      </c>
      <c r="Q6486" s="13">
        <v>175.97</v>
      </c>
      <c r="R6486" s="36" t="s">
        <v>443</v>
      </c>
      <c r="S6486" s="7">
        <f t="shared" si="565"/>
        <v>0</v>
      </c>
      <c r="T6486" s="15" t="str">
        <f>VLOOKUP(R6486,产品分类!$C$2:$D$1278,2,0)</f>
        <v>办公用品</v>
      </c>
    </row>
    <row r="6487" spans="1:20">
      <c r="A6487" s="8">
        <f>DATE(2012,12,31)-694</f>
        <v>40580</v>
      </c>
      <c r="B6487" s="8">
        <f>DATE(2012,12,31)-694</f>
        <v>40580</v>
      </c>
      <c r="C6487" s="9" t="s">
        <v>1857</v>
      </c>
      <c r="D6487">
        <v>10021319681</v>
      </c>
      <c r="E6487" t="s">
        <v>47</v>
      </c>
      <c r="F6487" t="s">
        <v>342</v>
      </c>
      <c r="G6487" t="s">
        <v>343</v>
      </c>
      <c r="H6487" t="s">
        <v>2515</v>
      </c>
      <c r="I6487" t="s">
        <v>2516</v>
      </c>
      <c r="J6487" t="s">
        <v>52</v>
      </c>
      <c r="K6487" s="3">
        <v>100116939327</v>
      </c>
      <c r="L6487" s="10">
        <v>40583</v>
      </c>
      <c r="M6487">
        <v>1217.77</v>
      </c>
      <c r="N6487" s="11">
        <v>27</v>
      </c>
      <c r="O6487" s="12">
        <v>42.76</v>
      </c>
      <c r="P6487" s="12">
        <v>6.22</v>
      </c>
      <c r="Q6487" s="13">
        <v>283.14</v>
      </c>
      <c r="R6487" s="36" t="s">
        <v>444</v>
      </c>
      <c r="S6487" s="7">
        <f t="shared" si="565"/>
        <v>3</v>
      </c>
      <c r="T6487" s="15" t="str">
        <f>VLOOKUP(R6487,产品分类!$C$2:$D$1278,2,0)</f>
        <v>办公用品</v>
      </c>
    </row>
    <row r="6488" spans="1:20">
      <c r="A6488" s="8">
        <f t="shared" ref="A6488:B6490" si="568">DATE(2012,12,31)-894</f>
        <v>40380</v>
      </c>
      <c r="B6488" s="8">
        <f t="shared" si="568"/>
        <v>40380</v>
      </c>
      <c r="C6488" s="9" t="s">
        <v>1857</v>
      </c>
      <c r="D6488">
        <v>10021250182</v>
      </c>
      <c r="E6488" t="s">
        <v>47</v>
      </c>
      <c r="F6488" t="s">
        <v>61</v>
      </c>
      <c r="G6488" t="s">
        <v>62</v>
      </c>
      <c r="H6488" t="s">
        <v>2506</v>
      </c>
      <c r="I6488" t="s">
        <v>2507</v>
      </c>
      <c r="J6488" t="s">
        <v>52</v>
      </c>
      <c r="K6488" s="3">
        <v>10075735235</v>
      </c>
      <c r="L6488" s="10">
        <v>40381</v>
      </c>
      <c r="M6488">
        <v>1935.25</v>
      </c>
      <c r="N6488" s="11">
        <v>29</v>
      </c>
      <c r="O6488" s="12">
        <v>63.98</v>
      </c>
      <c r="P6488" s="12">
        <v>11.55</v>
      </c>
      <c r="Q6488" s="13">
        <v>652.188</v>
      </c>
      <c r="R6488" s="36" t="s">
        <v>1790</v>
      </c>
      <c r="S6488" s="7">
        <f t="shared" si="565"/>
        <v>1</v>
      </c>
      <c r="T6488" s="15" t="str">
        <f>VLOOKUP(R6488,产品分类!$C$2:$D$1278,2,0)</f>
        <v>办公用品</v>
      </c>
    </row>
    <row r="6489" spans="1:20">
      <c r="A6489" s="8">
        <f t="shared" si="568"/>
        <v>40380</v>
      </c>
      <c r="B6489" s="8">
        <f t="shared" si="568"/>
        <v>40380</v>
      </c>
      <c r="C6489" s="9" t="s">
        <v>1857</v>
      </c>
      <c r="D6489">
        <v>10021419078</v>
      </c>
      <c r="E6489" t="s">
        <v>47</v>
      </c>
      <c r="F6489" t="s">
        <v>61</v>
      </c>
      <c r="G6489" t="s">
        <v>62</v>
      </c>
      <c r="H6489" t="s">
        <v>2506</v>
      </c>
      <c r="I6489" t="s">
        <v>2507</v>
      </c>
      <c r="J6489" t="s">
        <v>52</v>
      </c>
      <c r="K6489" s="3">
        <v>100322825849</v>
      </c>
      <c r="L6489" s="10">
        <v>40381</v>
      </c>
      <c r="M6489">
        <v>278.5</v>
      </c>
      <c r="N6489" s="11">
        <v>13</v>
      </c>
      <c r="O6489" s="12">
        <v>22.01</v>
      </c>
      <c r="P6489" s="12">
        <v>5.53</v>
      </c>
      <c r="Q6489" s="13">
        <v>-6.23</v>
      </c>
      <c r="R6489" s="36" t="s">
        <v>456</v>
      </c>
      <c r="S6489" s="7">
        <f t="shared" si="565"/>
        <v>1</v>
      </c>
      <c r="T6489" s="15" t="str">
        <f>VLOOKUP(R6489,产品分类!$C$2:$D$1278,2,0)</f>
        <v>办公用品</v>
      </c>
    </row>
    <row r="6490" spans="1:20">
      <c r="A6490" s="8">
        <f t="shared" si="568"/>
        <v>40380</v>
      </c>
      <c r="B6490" s="8">
        <f t="shared" si="568"/>
        <v>40380</v>
      </c>
      <c r="C6490" s="9" t="s">
        <v>1407</v>
      </c>
      <c r="D6490">
        <v>10021337439</v>
      </c>
      <c r="E6490" t="s">
        <v>47</v>
      </c>
      <c r="F6490" t="s">
        <v>61</v>
      </c>
      <c r="G6490" t="s">
        <v>62</v>
      </c>
      <c r="H6490" t="s">
        <v>2506</v>
      </c>
      <c r="I6490" t="s">
        <v>2507</v>
      </c>
      <c r="J6490" t="s">
        <v>52</v>
      </c>
      <c r="K6490" s="3">
        <v>100322065609</v>
      </c>
      <c r="L6490" s="10">
        <v>40380</v>
      </c>
      <c r="M6490">
        <v>5423.58</v>
      </c>
      <c r="N6490" s="11">
        <v>42</v>
      </c>
      <c r="O6490" s="12">
        <v>120.33</v>
      </c>
      <c r="P6490" s="12">
        <v>19.99</v>
      </c>
      <c r="Q6490" s="13">
        <v>1361.56</v>
      </c>
      <c r="R6490" s="36" t="s">
        <v>1313</v>
      </c>
      <c r="S6490" s="7">
        <f t="shared" si="565"/>
        <v>0</v>
      </c>
      <c r="T6490" s="15" t="str">
        <f>VLOOKUP(R6490,产品分类!$C$2:$D$1278,2,0)</f>
        <v>数码电子</v>
      </c>
    </row>
    <row r="6491" spans="1:20">
      <c r="A6491" s="8">
        <f t="shared" ref="A6491:B6493" si="569">DATE(2012,12,31)-525</f>
        <v>40749</v>
      </c>
      <c r="B6491" s="8">
        <f t="shared" si="569"/>
        <v>40749</v>
      </c>
      <c r="C6491" s="9" t="s">
        <v>651</v>
      </c>
      <c r="D6491">
        <v>10021338702</v>
      </c>
      <c r="E6491" t="s">
        <v>47</v>
      </c>
      <c r="F6491" t="s">
        <v>61</v>
      </c>
      <c r="G6491" t="s">
        <v>62</v>
      </c>
      <c r="H6491" t="s">
        <v>2506</v>
      </c>
      <c r="I6491" t="s">
        <v>2507</v>
      </c>
      <c r="J6491" t="s">
        <v>52</v>
      </c>
      <c r="K6491" s="3">
        <v>100924443491</v>
      </c>
      <c r="L6491" s="10">
        <v>40749</v>
      </c>
      <c r="M6491">
        <v>1244.01</v>
      </c>
      <c r="N6491" s="11">
        <v>42</v>
      </c>
      <c r="O6491" s="12">
        <v>28.48</v>
      </c>
      <c r="P6491" s="12">
        <v>1.99</v>
      </c>
      <c r="Q6491" s="13">
        <v>539.57</v>
      </c>
      <c r="R6491" s="36" t="s">
        <v>1215</v>
      </c>
      <c r="S6491" s="7">
        <f t="shared" si="565"/>
        <v>0</v>
      </c>
      <c r="T6491" s="15" t="str">
        <f>VLOOKUP(R6491,产品分类!$C$2:$D$1278,2,0)</f>
        <v>家具产品</v>
      </c>
    </row>
    <row r="6492" spans="1:20">
      <c r="A6492" s="8">
        <f t="shared" si="569"/>
        <v>40749</v>
      </c>
      <c r="B6492" s="8">
        <f t="shared" si="569"/>
        <v>40749</v>
      </c>
      <c r="C6492" s="9" t="s">
        <v>651</v>
      </c>
      <c r="D6492">
        <v>10021501210</v>
      </c>
      <c r="E6492" t="s">
        <v>47</v>
      </c>
      <c r="F6492" t="s">
        <v>61</v>
      </c>
      <c r="G6492" t="s">
        <v>62</v>
      </c>
      <c r="H6492" t="s">
        <v>2506</v>
      </c>
      <c r="I6492" t="s">
        <v>2507</v>
      </c>
      <c r="J6492" t="s">
        <v>52</v>
      </c>
      <c r="K6492" s="3">
        <v>100312538579</v>
      </c>
      <c r="L6492" s="10">
        <v>40750</v>
      </c>
      <c r="M6492">
        <v>981.73</v>
      </c>
      <c r="N6492" s="11">
        <v>42</v>
      </c>
      <c r="O6492" s="12">
        <v>22.23</v>
      </c>
      <c r="P6492" s="12">
        <v>3.63</v>
      </c>
      <c r="Q6492" s="13">
        <v>388.23</v>
      </c>
      <c r="R6492" s="36" t="s">
        <v>1886</v>
      </c>
      <c r="S6492" s="7">
        <f t="shared" si="565"/>
        <v>1</v>
      </c>
      <c r="T6492" s="15" t="str">
        <f>VLOOKUP(R6492,产品分类!$C$2:$D$1278,2,0)</f>
        <v>数码电子</v>
      </c>
    </row>
    <row r="6493" spans="1:20">
      <c r="A6493" s="8">
        <f t="shared" si="569"/>
        <v>40749</v>
      </c>
      <c r="B6493" s="8">
        <f t="shared" si="569"/>
        <v>40749</v>
      </c>
      <c r="C6493" s="9" t="s">
        <v>1900</v>
      </c>
      <c r="D6493">
        <v>10021496553</v>
      </c>
      <c r="E6493" t="s">
        <v>47</v>
      </c>
      <c r="F6493" t="s">
        <v>61</v>
      </c>
      <c r="G6493" t="s">
        <v>62</v>
      </c>
      <c r="H6493" t="s">
        <v>2506</v>
      </c>
      <c r="I6493" t="s">
        <v>2507</v>
      </c>
      <c r="J6493" t="s">
        <v>52</v>
      </c>
      <c r="K6493" s="3">
        <v>100311766009</v>
      </c>
      <c r="L6493" s="10">
        <v>40751</v>
      </c>
      <c r="M6493">
        <v>302.07</v>
      </c>
      <c r="N6493" s="11">
        <v>44</v>
      </c>
      <c r="O6493" s="12">
        <v>6.48</v>
      </c>
      <c r="P6493" s="12">
        <v>8.4</v>
      </c>
      <c r="Q6493" s="13">
        <v>-185.98</v>
      </c>
      <c r="R6493" s="36" t="s">
        <v>1933</v>
      </c>
      <c r="S6493" s="7">
        <f t="shared" si="565"/>
        <v>2</v>
      </c>
      <c r="T6493" s="15" t="str">
        <f>VLOOKUP(R6493,产品分类!$C$2:$D$1278,2,0)</f>
        <v>办公用品</v>
      </c>
    </row>
    <row r="6494" spans="1:20">
      <c r="A6494" s="8">
        <f>DATE(2012,12,31)-521</f>
        <v>40753</v>
      </c>
      <c r="B6494" s="8">
        <f>DATE(2012,12,31)-521</f>
        <v>40753</v>
      </c>
      <c r="C6494" s="9" t="s">
        <v>1564</v>
      </c>
      <c r="D6494">
        <v>10021279665</v>
      </c>
      <c r="E6494" t="s">
        <v>47</v>
      </c>
      <c r="F6494" t="s">
        <v>61</v>
      </c>
      <c r="G6494" t="s">
        <v>62</v>
      </c>
      <c r="H6494" t="s">
        <v>2506</v>
      </c>
      <c r="I6494" t="s">
        <v>2507</v>
      </c>
      <c r="J6494" t="s">
        <v>52</v>
      </c>
      <c r="K6494" s="3">
        <v>10014748467</v>
      </c>
      <c r="L6494" s="10">
        <v>40755</v>
      </c>
      <c r="M6494">
        <v>143.85</v>
      </c>
      <c r="N6494" s="11">
        <v>31</v>
      </c>
      <c r="O6494" s="12">
        <v>4.84</v>
      </c>
      <c r="P6494" s="12">
        <v>0.71</v>
      </c>
      <c r="Q6494" s="13">
        <v>34.14</v>
      </c>
      <c r="R6494" s="36" t="s">
        <v>131</v>
      </c>
      <c r="S6494" s="7">
        <f t="shared" si="565"/>
        <v>2</v>
      </c>
      <c r="T6494" s="15" t="str">
        <f>VLOOKUP(R6494,产品分类!$C$2:$D$1278,2,0)</f>
        <v>家具产品</v>
      </c>
    </row>
    <row r="6495" spans="1:20">
      <c r="A6495" s="8">
        <f>DATE(2012,12,31)-248</f>
        <v>41026</v>
      </c>
      <c r="B6495" s="8">
        <f>DATE(2012,12,31)-248</f>
        <v>41026</v>
      </c>
      <c r="C6495" s="9" t="s">
        <v>1564</v>
      </c>
      <c r="D6495">
        <v>10021253883</v>
      </c>
      <c r="E6495" t="s">
        <v>47</v>
      </c>
      <c r="F6495" t="s">
        <v>61</v>
      </c>
      <c r="G6495" t="s">
        <v>62</v>
      </c>
      <c r="H6495" t="s">
        <v>2506</v>
      </c>
      <c r="I6495" t="s">
        <v>2507</v>
      </c>
      <c r="J6495" t="s">
        <v>52</v>
      </c>
      <c r="K6495" s="3">
        <v>100820672922</v>
      </c>
      <c r="L6495" s="10">
        <v>41031</v>
      </c>
      <c r="M6495">
        <v>61.45</v>
      </c>
      <c r="N6495" s="11">
        <v>34</v>
      </c>
      <c r="O6495" s="12">
        <v>1.76</v>
      </c>
      <c r="P6495" s="12">
        <v>0.7</v>
      </c>
      <c r="Q6495" s="13">
        <v>0.62</v>
      </c>
      <c r="R6495" s="36" t="s">
        <v>514</v>
      </c>
      <c r="S6495" s="7">
        <f t="shared" si="565"/>
        <v>5</v>
      </c>
      <c r="T6495" s="15" t="str">
        <f>VLOOKUP(R6495,产品分类!$C$2:$D$1278,2,0)</f>
        <v>办公用品</v>
      </c>
    </row>
    <row r="6496" spans="1:20">
      <c r="A6496" s="8">
        <f>DATE(2012,12,31)-1110</f>
        <v>40164</v>
      </c>
      <c r="B6496" s="8">
        <f>DATE(2012,12,31)-1110</f>
        <v>40164</v>
      </c>
      <c r="C6496" s="9" t="s">
        <v>1564</v>
      </c>
      <c r="D6496">
        <v>10021501437</v>
      </c>
      <c r="E6496" t="s">
        <v>47</v>
      </c>
      <c r="F6496" t="s">
        <v>61</v>
      </c>
      <c r="G6496" t="s">
        <v>62</v>
      </c>
      <c r="H6496" t="s">
        <v>2506</v>
      </c>
      <c r="I6496" t="s">
        <v>2507</v>
      </c>
      <c r="J6496" t="s">
        <v>52</v>
      </c>
      <c r="K6496" s="3">
        <v>100927303321</v>
      </c>
      <c r="L6496" s="10">
        <v>40165</v>
      </c>
      <c r="M6496">
        <v>39.13</v>
      </c>
      <c r="N6496" s="11">
        <v>23</v>
      </c>
      <c r="O6496" s="12">
        <v>1.68</v>
      </c>
      <c r="P6496" s="12">
        <v>1.57</v>
      </c>
      <c r="Q6496" s="13">
        <v>-23.14</v>
      </c>
      <c r="R6496" s="36" t="s">
        <v>1202</v>
      </c>
      <c r="S6496" s="7">
        <f t="shared" si="565"/>
        <v>1</v>
      </c>
      <c r="T6496" s="15" t="str">
        <f>VLOOKUP(R6496,产品分类!$C$2:$D$1278,2,0)</f>
        <v>办公用品</v>
      </c>
    </row>
    <row r="6497" spans="1:20">
      <c r="A6497" s="16">
        <f>DATE(2012,12,31)-251</f>
        <v>41023</v>
      </c>
      <c r="B6497" s="16">
        <f>DATE(2012,12,31)-251</f>
        <v>41023</v>
      </c>
      <c r="C6497" s="9" t="s">
        <v>96</v>
      </c>
      <c r="D6497">
        <v>10021425626</v>
      </c>
      <c r="E6497" t="s">
        <v>47</v>
      </c>
      <c r="F6497" t="s">
        <v>61</v>
      </c>
      <c r="G6497" t="s">
        <v>62</v>
      </c>
      <c r="H6497" t="s">
        <v>2506</v>
      </c>
      <c r="I6497" t="s">
        <v>2507</v>
      </c>
      <c r="J6497" t="s">
        <v>52</v>
      </c>
      <c r="K6497" s="3">
        <v>100129596937</v>
      </c>
      <c r="L6497" s="10">
        <v>41025</v>
      </c>
      <c r="M6497">
        <v>166.13</v>
      </c>
      <c r="N6497" s="17">
        <v>48</v>
      </c>
      <c r="O6497" s="5">
        <v>3.28</v>
      </c>
      <c r="P6497" s="5">
        <v>3.97</v>
      </c>
      <c r="Q6497" s="6">
        <v>-119.16</v>
      </c>
      <c r="R6497" s="37" t="s">
        <v>1631</v>
      </c>
      <c r="S6497" s="7">
        <f t="shared" si="565"/>
        <v>2</v>
      </c>
      <c r="T6497" s="15" t="str">
        <f>VLOOKUP(R6497,产品分类!$C$2:$D$1278,2,0)</f>
        <v>办公用品</v>
      </c>
    </row>
    <row r="6498" spans="1:20">
      <c r="A6498" s="16">
        <f>DATE(2012,12,31)-674</f>
        <v>40600</v>
      </c>
      <c r="B6498" s="16">
        <f>DATE(2012,12,31)-674</f>
        <v>40600</v>
      </c>
      <c r="C6498" s="9" t="s">
        <v>96</v>
      </c>
      <c r="D6498">
        <v>10021261125</v>
      </c>
      <c r="E6498" t="s">
        <v>47</v>
      </c>
      <c r="F6498" t="s">
        <v>61</v>
      </c>
      <c r="G6498" t="s">
        <v>62</v>
      </c>
      <c r="H6498" t="s">
        <v>2506</v>
      </c>
      <c r="I6498" t="s">
        <v>2507</v>
      </c>
      <c r="J6498" t="s">
        <v>52</v>
      </c>
      <c r="K6498" s="3">
        <v>10018644477</v>
      </c>
      <c r="L6498" s="10">
        <v>40600</v>
      </c>
      <c r="M6498">
        <v>375.57</v>
      </c>
      <c r="N6498" s="17">
        <v>7</v>
      </c>
      <c r="O6498" s="5">
        <v>52.4</v>
      </c>
      <c r="P6498" s="5">
        <v>16.11</v>
      </c>
      <c r="Q6498" s="6">
        <v>12.7075</v>
      </c>
      <c r="R6498" s="37" t="s">
        <v>1327</v>
      </c>
      <c r="S6498" s="7">
        <f t="shared" si="565"/>
        <v>0</v>
      </c>
      <c r="T6498" s="15" t="str">
        <f>VLOOKUP(R6498,产品分类!$C$2:$D$1278,2,0)</f>
        <v>数码电子</v>
      </c>
    </row>
    <row r="6499" spans="1:20">
      <c r="A6499" s="8">
        <f>DATE(2012,12,31)-674</f>
        <v>40600</v>
      </c>
      <c r="B6499" s="8">
        <f>DATE(2012,12,31)-674</f>
        <v>40600</v>
      </c>
      <c r="C6499" s="9" t="s">
        <v>1141</v>
      </c>
      <c r="D6499">
        <v>10021447290</v>
      </c>
      <c r="E6499" t="s">
        <v>47</v>
      </c>
      <c r="F6499" t="s">
        <v>61</v>
      </c>
      <c r="G6499" t="s">
        <v>62</v>
      </c>
      <c r="H6499" t="s">
        <v>2506</v>
      </c>
      <c r="I6499" t="s">
        <v>2507</v>
      </c>
      <c r="J6499" t="s">
        <v>52</v>
      </c>
      <c r="K6499" s="3">
        <v>100323326699</v>
      </c>
      <c r="L6499" s="10">
        <v>40601</v>
      </c>
      <c r="M6499">
        <v>81.97</v>
      </c>
      <c r="N6499" s="11">
        <v>15</v>
      </c>
      <c r="O6499" s="12">
        <v>4.98</v>
      </c>
      <c r="P6499" s="12">
        <v>8.33</v>
      </c>
      <c r="Q6499" s="13">
        <v>-81.33</v>
      </c>
      <c r="R6499" s="36" t="s">
        <v>409</v>
      </c>
      <c r="S6499" s="7">
        <f t="shared" si="565"/>
        <v>1</v>
      </c>
      <c r="T6499" s="15" t="str">
        <f>VLOOKUP(R6499,产品分类!$C$2:$D$1278,2,0)</f>
        <v>办公用品</v>
      </c>
    </row>
    <row r="6500" spans="1:20">
      <c r="A6500" s="8">
        <f>DATE(2012,12,31)-908</f>
        <v>40366</v>
      </c>
      <c r="B6500" s="8">
        <f>DATE(2012,12,31)-908</f>
        <v>40366</v>
      </c>
      <c r="C6500" s="9" t="s">
        <v>1141</v>
      </c>
      <c r="D6500">
        <v>10021302370</v>
      </c>
      <c r="E6500" t="s">
        <v>47</v>
      </c>
      <c r="F6500" t="s">
        <v>61</v>
      </c>
      <c r="G6500" t="s">
        <v>62</v>
      </c>
      <c r="H6500" t="s">
        <v>2506</v>
      </c>
      <c r="I6500" t="s">
        <v>2507</v>
      </c>
      <c r="J6500" t="s">
        <v>52</v>
      </c>
      <c r="K6500" s="3">
        <v>100331103219</v>
      </c>
      <c r="L6500" s="10">
        <v>40368</v>
      </c>
      <c r="M6500">
        <v>1822.83</v>
      </c>
      <c r="N6500" s="11">
        <v>7</v>
      </c>
      <c r="O6500" s="12">
        <v>259.71</v>
      </c>
      <c r="P6500" s="12">
        <v>66.67</v>
      </c>
      <c r="Q6500" s="13">
        <v>-627.641157</v>
      </c>
      <c r="R6500" s="36" t="s">
        <v>493</v>
      </c>
      <c r="S6500" s="7">
        <f t="shared" si="565"/>
        <v>2</v>
      </c>
      <c r="T6500" s="15" t="str">
        <f>VLOOKUP(R6500,产品分类!$C$2:$D$1278,2,0)</f>
        <v>办公用品</v>
      </c>
    </row>
    <row r="6501" spans="1:20">
      <c r="A6501" s="16">
        <f>DATE(2012,12,31)-858</f>
        <v>40416</v>
      </c>
      <c r="B6501" s="16">
        <f>DATE(2012,12,31)-858</f>
        <v>40416</v>
      </c>
      <c r="C6501" s="9" t="s">
        <v>1533</v>
      </c>
      <c r="D6501">
        <v>10021341446</v>
      </c>
      <c r="E6501" t="s">
        <v>47</v>
      </c>
      <c r="F6501" t="s">
        <v>83</v>
      </c>
      <c r="G6501" t="s">
        <v>84</v>
      </c>
      <c r="H6501" t="s">
        <v>2510</v>
      </c>
      <c r="I6501" t="s">
        <v>2511</v>
      </c>
      <c r="J6501" t="s">
        <v>52</v>
      </c>
      <c r="K6501" s="3">
        <v>100427052563</v>
      </c>
      <c r="L6501" s="10">
        <v>40418</v>
      </c>
      <c r="M6501">
        <v>905.32</v>
      </c>
      <c r="N6501" s="17">
        <v>24</v>
      </c>
      <c r="O6501" s="5">
        <v>35.44</v>
      </c>
      <c r="P6501" s="5">
        <v>5.09</v>
      </c>
      <c r="Q6501" s="6">
        <v>389.07</v>
      </c>
      <c r="R6501" s="37" t="s">
        <v>2319</v>
      </c>
      <c r="S6501" s="7">
        <f t="shared" si="565"/>
        <v>2</v>
      </c>
      <c r="T6501" s="15" t="str">
        <f>VLOOKUP(R6501,产品分类!$C$2:$D$1278,2,0)</f>
        <v>数码电子</v>
      </c>
    </row>
    <row r="6502" spans="1:20">
      <c r="A6502" s="8">
        <f>DATE(2012,12,31)-858</f>
        <v>40416</v>
      </c>
      <c r="B6502" s="8">
        <f>DATE(2012,12,31)-858</f>
        <v>40416</v>
      </c>
      <c r="C6502" s="9" t="s">
        <v>2011</v>
      </c>
      <c r="D6502">
        <v>10021335347</v>
      </c>
      <c r="E6502" t="s">
        <v>47</v>
      </c>
      <c r="F6502" t="s">
        <v>61</v>
      </c>
      <c r="G6502" t="s">
        <v>62</v>
      </c>
      <c r="H6502" t="s">
        <v>2506</v>
      </c>
      <c r="I6502" t="s">
        <v>2507</v>
      </c>
      <c r="J6502" t="s">
        <v>52</v>
      </c>
      <c r="K6502" s="3">
        <v>100111842257</v>
      </c>
      <c r="L6502" s="10">
        <v>40417</v>
      </c>
      <c r="M6502">
        <v>1702.499</v>
      </c>
      <c r="N6502" s="11">
        <v>16</v>
      </c>
      <c r="O6502" s="12">
        <v>125.99</v>
      </c>
      <c r="P6502" s="12">
        <v>5.26</v>
      </c>
      <c r="Q6502" s="13">
        <v>162.108</v>
      </c>
      <c r="R6502" s="36" t="s">
        <v>1619</v>
      </c>
      <c r="S6502" s="7">
        <f t="shared" si="565"/>
        <v>1</v>
      </c>
      <c r="T6502" s="15" t="str">
        <f>VLOOKUP(R6502,产品分类!$C$2:$D$1278,2,0)</f>
        <v>数码电子</v>
      </c>
    </row>
    <row r="6503" spans="1:20">
      <c r="A6503" s="8">
        <f t="shared" ref="A6503:B6505" si="570">DATE(2012,12,31)-723</f>
        <v>40551</v>
      </c>
      <c r="B6503" s="8">
        <f t="shared" si="570"/>
        <v>40551</v>
      </c>
      <c r="C6503" s="9" t="s">
        <v>2011</v>
      </c>
      <c r="D6503">
        <v>10021530244</v>
      </c>
      <c r="E6503" t="s">
        <v>47</v>
      </c>
      <c r="F6503" t="s">
        <v>61</v>
      </c>
      <c r="G6503" t="s">
        <v>62</v>
      </c>
      <c r="H6503" t="s">
        <v>2506</v>
      </c>
      <c r="I6503" t="s">
        <v>2507</v>
      </c>
      <c r="J6503" t="s">
        <v>52</v>
      </c>
      <c r="K6503" s="3">
        <v>10041318764</v>
      </c>
      <c r="L6503" s="10">
        <v>40553</v>
      </c>
      <c r="M6503">
        <v>826.27</v>
      </c>
      <c r="N6503" s="11">
        <v>27</v>
      </c>
      <c r="O6503" s="12">
        <v>29.18</v>
      </c>
      <c r="P6503" s="12">
        <v>8.55</v>
      </c>
      <c r="Q6503" s="13">
        <v>322.88</v>
      </c>
      <c r="R6503" s="36" t="s">
        <v>296</v>
      </c>
      <c r="S6503" s="7">
        <f t="shared" si="565"/>
        <v>2</v>
      </c>
      <c r="T6503" s="15" t="str">
        <f>VLOOKUP(R6503,产品分类!$C$2:$D$1278,2,0)</f>
        <v>家具产品</v>
      </c>
    </row>
    <row r="6504" spans="1:20">
      <c r="A6504" s="8">
        <f t="shared" si="570"/>
        <v>40551</v>
      </c>
      <c r="B6504" s="8">
        <f t="shared" si="570"/>
        <v>40551</v>
      </c>
      <c r="C6504" s="9" t="s">
        <v>809</v>
      </c>
      <c r="D6504">
        <v>10021659344</v>
      </c>
      <c r="E6504" t="s">
        <v>47</v>
      </c>
      <c r="F6504" t="s">
        <v>61</v>
      </c>
      <c r="G6504" t="s">
        <v>62</v>
      </c>
      <c r="H6504" t="s">
        <v>2506</v>
      </c>
      <c r="I6504" t="s">
        <v>2507</v>
      </c>
      <c r="J6504" t="s">
        <v>52</v>
      </c>
      <c r="K6504" s="3">
        <v>10017265037</v>
      </c>
      <c r="L6504" s="10">
        <v>40552</v>
      </c>
      <c r="M6504">
        <v>1777.469</v>
      </c>
      <c r="N6504" s="11">
        <v>29</v>
      </c>
      <c r="O6504" s="12">
        <v>66.99</v>
      </c>
      <c r="P6504" s="12">
        <v>13.99</v>
      </c>
      <c r="Q6504" s="13">
        <v>166.365</v>
      </c>
      <c r="R6504" s="36" t="s">
        <v>2531</v>
      </c>
      <c r="S6504" s="7">
        <f t="shared" si="565"/>
        <v>1</v>
      </c>
      <c r="T6504" s="15" t="str">
        <f>VLOOKUP(R6504,产品分类!$C$2:$D$1278,2,0)</f>
        <v>办公用品</v>
      </c>
    </row>
    <row r="6505" spans="1:20">
      <c r="A6505" s="8">
        <f t="shared" si="570"/>
        <v>40551</v>
      </c>
      <c r="B6505" s="8">
        <f t="shared" si="570"/>
        <v>40551</v>
      </c>
      <c r="C6505" s="9" t="s">
        <v>809</v>
      </c>
      <c r="D6505">
        <v>10021507196</v>
      </c>
      <c r="E6505" t="s">
        <v>47</v>
      </c>
      <c r="F6505" t="s">
        <v>83</v>
      </c>
      <c r="G6505" t="s">
        <v>84</v>
      </c>
      <c r="H6505" t="s">
        <v>2510</v>
      </c>
      <c r="I6505" t="s">
        <v>2511</v>
      </c>
      <c r="J6505" t="s">
        <v>52</v>
      </c>
      <c r="K6505" s="3">
        <v>10019775688</v>
      </c>
      <c r="L6505" s="10">
        <v>40552</v>
      </c>
      <c r="M6505">
        <v>1219.1465</v>
      </c>
      <c r="N6505" s="11">
        <v>12</v>
      </c>
      <c r="O6505" s="12">
        <v>115.99</v>
      </c>
      <c r="P6505" s="12">
        <v>2.5</v>
      </c>
      <c r="Q6505" s="13">
        <v>52.929</v>
      </c>
      <c r="R6505" s="36" t="s">
        <v>747</v>
      </c>
      <c r="S6505" s="7">
        <f t="shared" si="565"/>
        <v>1</v>
      </c>
      <c r="T6505" s="15" t="str">
        <f>VLOOKUP(R6505,产品分类!$C$2:$D$1278,2,0)</f>
        <v>数码电子</v>
      </c>
    </row>
    <row r="6506" spans="1:20">
      <c r="A6506" s="8">
        <f>DATE(2012,12,31)-302</f>
        <v>40972</v>
      </c>
      <c r="B6506" s="8">
        <f>DATE(2012,12,31)-302</f>
        <v>40972</v>
      </c>
      <c r="C6506" s="9" t="s">
        <v>809</v>
      </c>
      <c r="D6506">
        <v>10021521625</v>
      </c>
      <c r="E6506" t="s">
        <v>47</v>
      </c>
      <c r="F6506" t="s">
        <v>61</v>
      </c>
      <c r="G6506" t="s">
        <v>62</v>
      </c>
      <c r="H6506" t="s">
        <v>2506</v>
      </c>
      <c r="I6506" t="s">
        <v>2507</v>
      </c>
      <c r="J6506" t="s">
        <v>52</v>
      </c>
      <c r="K6506" s="3">
        <v>10013901638</v>
      </c>
      <c r="L6506" s="10">
        <v>40973</v>
      </c>
      <c r="M6506">
        <v>1875.4145</v>
      </c>
      <c r="N6506" s="11">
        <v>50</v>
      </c>
      <c r="O6506" s="12">
        <v>45.99</v>
      </c>
      <c r="P6506" s="12">
        <v>2.5</v>
      </c>
      <c r="Q6506" s="13">
        <v>507.33</v>
      </c>
      <c r="R6506" s="36" t="s">
        <v>663</v>
      </c>
      <c r="S6506" s="7">
        <f t="shared" si="565"/>
        <v>1</v>
      </c>
      <c r="T6506" s="15" t="str">
        <f>VLOOKUP(R6506,产品分类!$C$2:$D$1278,2,0)</f>
        <v>家具产品</v>
      </c>
    </row>
    <row r="6507" spans="1:20">
      <c r="A6507" s="16">
        <f>DATE(2012,12,31)-1376</f>
        <v>39898</v>
      </c>
      <c r="B6507" s="16">
        <f>DATE(2012,12,31)-1376</f>
        <v>39898</v>
      </c>
      <c r="C6507" s="9" t="s">
        <v>176</v>
      </c>
      <c r="D6507">
        <v>10021673303</v>
      </c>
      <c r="E6507" t="s">
        <v>47</v>
      </c>
      <c r="F6507" t="s">
        <v>61</v>
      </c>
      <c r="G6507" t="s">
        <v>62</v>
      </c>
      <c r="H6507" t="s">
        <v>2506</v>
      </c>
      <c r="I6507" t="s">
        <v>2507</v>
      </c>
      <c r="J6507" t="s">
        <v>52</v>
      </c>
      <c r="K6507" s="3">
        <v>100112097218</v>
      </c>
      <c r="L6507" s="10">
        <v>39900</v>
      </c>
      <c r="M6507">
        <v>38.37</v>
      </c>
      <c r="N6507" s="17">
        <v>7</v>
      </c>
      <c r="O6507" s="5">
        <v>5.18</v>
      </c>
      <c r="P6507" s="5">
        <v>5.74</v>
      </c>
      <c r="Q6507" s="6">
        <v>-29.003</v>
      </c>
      <c r="R6507" s="37" t="s">
        <v>409</v>
      </c>
      <c r="S6507" s="7">
        <f t="shared" si="565"/>
        <v>2</v>
      </c>
      <c r="T6507" s="15" t="str">
        <f>VLOOKUP(R6507,产品分类!$C$2:$D$1278,2,0)</f>
        <v>办公用品</v>
      </c>
    </row>
    <row r="6508" spans="1:20">
      <c r="A6508" s="8">
        <f>DATE(2012,12,31)-1005</f>
        <v>40269</v>
      </c>
      <c r="B6508" s="8">
        <f>DATE(2012,12,31)-1005</f>
        <v>40269</v>
      </c>
      <c r="C6508" s="9" t="s">
        <v>176</v>
      </c>
      <c r="D6508">
        <v>10021284715</v>
      </c>
      <c r="E6508" t="s">
        <v>47</v>
      </c>
      <c r="F6508" t="s">
        <v>61</v>
      </c>
      <c r="G6508" t="s">
        <v>62</v>
      </c>
      <c r="H6508" t="s">
        <v>2506</v>
      </c>
      <c r="I6508" t="s">
        <v>2507</v>
      </c>
      <c r="J6508" t="s">
        <v>52</v>
      </c>
      <c r="K6508" s="3">
        <v>100828958792</v>
      </c>
      <c r="L6508" s="10">
        <v>40270</v>
      </c>
      <c r="M6508">
        <v>800.39</v>
      </c>
      <c r="N6508" s="11">
        <v>34</v>
      </c>
      <c r="O6508" s="12">
        <v>24.95</v>
      </c>
      <c r="P6508" s="12">
        <v>2.99</v>
      </c>
      <c r="Q6508" s="13">
        <v>270.2915</v>
      </c>
      <c r="R6508" s="36" t="s">
        <v>1837</v>
      </c>
      <c r="S6508" s="7">
        <f t="shared" si="565"/>
        <v>1</v>
      </c>
      <c r="T6508" s="15" t="str">
        <f>VLOOKUP(R6508,产品分类!$C$2:$D$1278,2,0)</f>
        <v>数码电子</v>
      </c>
    </row>
    <row r="6509" spans="1:20">
      <c r="A6509" s="8">
        <f>DATE(2012,12,31)-1367</f>
        <v>39907</v>
      </c>
      <c r="B6509" s="8">
        <f>DATE(2012,12,31)-1367</f>
        <v>39907</v>
      </c>
      <c r="C6509" s="9" t="s">
        <v>176</v>
      </c>
      <c r="D6509">
        <v>10021648018</v>
      </c>
      <c r="E6509" t="s">
        <v>47</v>
      </c>
      <c r="F6509" t="s">
        <v>72</v>
      </c>
      <c r="G6509" t="s">
        <v>73</v>
      </c>
      <c r="H6509" t="s">
        <v>2417</v>
      </c>
      <c r="I6509" t="s">
        <v>2418</v>
      </c>
      <c r="J6509" t="s">
        <v>52</v>
      </c>
      <c r="K6509" s="3">
        <v>100133236508</v>
      </c>
      <c r="L6509" s="10">
        <v>39914</v>
      </c>
      <c r="M6509">
        <v>1477.572</v>
      </c>
      <c r="N6509" s="11">
        <v>46</v>
      </c>
      <c r="O6509" s="12">
        <v>35.99</v>
      </c>
      <c r="P6509" s="12">
        <v>0.99</v>
      </c>
      <c r="Q6509" s="13">
        <v>840.051</v>
      </c>
      <c r="R6509" s="36" t="s">
        <v>767</v>
      </c>
      <c r="S6509" s="7">
        <f t="shared" si="565"/>
        <v>7</v>
      </c>
      <c r="T6509" s="15" t="str">
        <f>VLOOKUP(R6509,产品分类!$C$2:$D$1278,2,0)</f>
        <v>家具产品</v>
      </c>
    </row>
    <row r="6510" spans="1:20">
      <c r="A6510" s="8">
        <f>DATE(2012,12,31)-1203</f>
        <v>40071</v>
      </c>
      <c r="B6510" s="8">
        <f>DATE(2012,12,31)-1203</f>
        <v>40071</v>
      </c>
      <c r="C6510" s="9" t="s">
        <v>1092</v>
      </c>
      <c r="D6510">
        <v>10021481804</v>
      </c>
      <c r="E6510" t="s">
        <v>47</v>
      </c>
      <c r="F6510" t="s">
        <v>171</v>
      </c>
      <c r="G6510" t="s">
        <v>172</v>
      </c>
      <c r="H6510" t="s">
        <v>2486</v>
      </c>
      <c r="I6510" t="s">
        <v>2310</v>
      </c>
      <c r="J6510" t="s">
        <v>52</v>
      </c>
      <c r="K6510" s="3">
        <v>100933026971</v>
      </c>
      <c r="L6510" s="10">
        <v>40073</v>
      </c>
      <c r="M6510">
        <v>1488.66</v>
      </c>
      <c r="N6510" s="11">
        <v>49</v>
      </c>
      <c r="O6510" s="12">
        <v>29.34</v>
      </c>
      <c r="P6510" s="12">
        <v>7.87</v>
      </c>
      <c r="Q6510" s="13">
        <v>385.37</v>
      </c>
      <c r="R6510" s="36" t="s">
        <v>946</v>
      </c>
      <c r="S6510" s="7">
        <f t="shared" si="565"/>
        <v>2</v>
      </c>
      <c r="T6510" s="15" t="str">
        <f>VLOOKUP(R6510,产品分类!$C$2:$D$1278,2,0)</f>
        <v>数码电子</v>
      </c>
    </row>
    <row r="6511" spans="1:20">
      <c r="A6511" s="8">
        <f>DATE(2012,12,31)-314</f>
        <v>40960</v>
      </c>
      <c r="B6511" s="8">
        <f>DATE(2012,12,31)-314</f>
        <v>40960</v>
      </c>
      <c r="C6511" s="9" t="s">
        <v>193</v>
      </c>
      <c r="D6511">
        <v>10021687292</v>
      </c>
      <c r="E6511" t="s">
        <v>47</v>
      </c>
      <c r="F6511" t="s">
        <v>72</v>
      </c>
      <c r="G6511" t="s">
        <v>73</v>
      </c>
      <c r="H6511" t="s">
        <v>2417</v>
      </c>
      <c r="I6511" t="s">
        <v>2418</v>
      </c>
      <c r="J6511" t="s">
        <v>52</v>
      </c>
      <c r="K6511" s="3">
        <v>100933287341</v>
      </c>
      <c r="L6511" s="10">
        <v>40961</v>
      </c>
      <c r="M6511">
        <v>271.27</v>
      </c>
      <c r="N6511" s="11">
        <v>7</v>
      </c>
      <c r="O6511" s="12">
        <v>37.93</v>
      </c>
      <c r="P6511" s="12">
        <v>13.99</v>
      </c>
      <c r="Q6511" s="13">
        <v>71.31</v>
      </c>
      <c r="R6511" s="36" t="s">
        <v>318</v>
      </c>
      <c r="S6511" s="7">
        <f t="shared" si="565"/>
        <v>1</v>
      </c>
      <c r="T6511" s="15" t="str">
        <f>VLOOKUP(R6511,产品分类!$C$2:$D$1278,2,0)</f>
        <v>办公用品</v>
      </c>
    </row>
    <row r="6512" spans="1:20">
      <c r="A6512" s="8">
        <f t="shared" ref="A6512:B6514" si="571">DATE(2012,12,31)-720</f>
        <v>40554</v>
      </c>
      <c r="B6512" s="8">
        <f t="shared" si="571"/>
        <v>40554</v>
      </c>
      <c r="C6512" s="9" t="s">
        <v>1246</v>
      </c>
      <c r="D6512">
        <v>10021648704</v>
      </c>
      <c r="E6512" t="s">
        <v>47</v>
      </c>
      <c r="F6512" t="s">
        <v>78</v>
      </c>
      <c r="G6512" t="s">
        <v>79</v>
      </c>
      <c r="H6512" t="s">
        <v>2489</v>
      </c>
      <c r="I6512" t="s">
        <v>2490</v>
      </c>
      <c r="J6512" t="s">
        <v>52</v>
      </c>
      <c r="K6512" s="3">
        <v>100933239811</v>
      </c>
      <c r="L6512" s="10">
        <v>40555</v>
      </c>
      <c r="M6512">
        <v>7535.96</v>
      </c>
      <c r="N6512" s="11">
        <v>46</v>
      </c>
      <c r="O6512" s="12">
        <v>165.98</v>
      </c>
      <c r="P6512" s="12">
        <v>19.99</v>
      </c>
      <c r="Q6512" s="13">
        <v>2745.8655</v>
      </c>
      <c r="R6512" s="36" t="s">
        <v>881</v>
      </c>
      <c r="S6512" s="7">
        <f t="shared" si="565"/>
        <v>1</v>
      </c>
      <c r="T6512" s="15" t="str">
        <f>VLOOKUP(R6512,产品分类!$C$2:$D$1278,2,0)</f>
        <v>家具产品</v>
      </c>
    </row>
    <row r="6513" spans="1:20">
      <c r="A6513" s="8">
        <f t="shared" si="571"/>
        <v>40554</v>
      </c>
      <c r="B6513" s="8">
        <f t="shared" si="571"/>
        <v>40554</v>
      </c>
      <c r="C6513" s="9" t="s">
        <v>1437</v>
      </c>
      <c r="D6513">
        <v>10021376954</v>
      </c>
      <c r="E6513" t="s">
        <v>47</v>
      </c>
      <c r="F6513" t="s">
        <v>91</v>
      </c>
      <c r="G6513" t="s">
        <v>92</v>
      </c>
      <c r="H6513" t="s">
        <v>2525</v>
      </c>
      <c r="I6513" t="s">
        <v>2526</v>
      </c>
      <c r="J6513" t="s">
        <v>52</v>
      </c>
      <c r="K6513" s="3">
        <v>100132901357</v>
      </c>
      <c r="L6513" s="10">
        <v>40556</v>
      </c>
      <c r="M6513">
        <v>1618.31</v>
      </c>
      <c r="N6513" s="11">
        <v>41</v>
      </c>
      <c r="O6513" s="12">
        <v>39.48</v>
      </c>
      <c r="P6513" s="12">
        <v>1.99</v>
      </c>
      <c r="Q6513" s="13">
        <v>504.71</v>
      </c>
      <c r="R6513" s="36" t="s">
        <v>1396</v>
      </c>
      <c r="S6513" s="7">
        <f t="shared" si="565"/>
        <v>2</v>
      </c>
      <c r="T6513" s="15" t="str">
        <f>VLOOKUP(R6513,产品分类!$C$2:$D$1278,2,0)</f>
        <v>家具产品</v>
      </c>
    </row>
    <row r="6514" spans="1:20">
      <c r="A6514" s="16">
        <f t="shared" si="571"/>
        <v>40554</v>
      </c>
      <c r="B6514" s="16">
        <f t="shared" si="571"/>
        <v>40554</v>
      </c>
      <c r="C6514" s="9" t="s">
        <v>448</v>
      </c>
      <c r="D6514">
        <v>10021271572</v>
      </c>
      <c r="E6514" t="s">
        <v>47</v>
      </c>
      <c r="F6514" t="s">
        <v>171</v>
      </c>
      <c r="G6514" t="s">
        <v>172</v>
      </c>
      <c r="H6514" t="s">
        <v>2486</v>
      </c>
      <c r="I6514" t="s">
        <v>2310</v>
      </c>
      <c r="J6514" t="s">
        <v>52</v>
      </c>
      <c r="K6514" s="3">
        <v>100432759563</v>
      </c>
      <c r="L6514" s="10">
        <v>40556</v>
      </c>
      <c r="M6514">
        <v>11.87</v>
      </c>
      <c r="N6514" s="17">
        <v>1</v>
      </c>
      <c r="O6514" s="5">
        <v>6.48</v>
      </c>
      <c r="P6514" s="5">
        <v>5.4</v>
      </c>
      <c r="Q6514" s="6">
        <v>-8.89</v>
      </c>
      <c r="R6514" s="37" t="s">
        <v>1899</v>
      </c>
      <c r="S6514" s="7">
        <f t="shared" si="565"/>
        <v>2</v>
      </c>
      <c r="T6514" s="15" t="str">
        <f>VLOOKUP(R6514,产品分类!$C$2:$D$1278,2,0)</f>
        <v>家具产品</v>
      </c>
    </row>
    <row r="6515" spans="1:20">
      <c r="A6515" s="8">
        <f>DATE(2012,12,31)-1233</f>
        <v>40041</v>
      </c>
      <c r="B6515" s="8">
        <f>DATE(2012,12,31)-1233</f>
        <v>40041</v>
      </c>
      <c r="C6515" s="9" t="s">
        <v>448</v>
      </c>
      <c r="D6515">
        <v>10021478766</v>
      </c>
      <c r="E6515" t="s">
        <v>47</v>
      </c>
      <c r="F6515" t="s">
        <v>61</v>
      </c>
      <c r="G6515" t="s">
        <v>62</v>
      </c>
      <c r="H6515" t="s">
        <v>2506</v>
      </c>
      <c r="I6515" t="s">
        <v>2507</v>
      </c>
      <c r="J6515" t="s">
        <v>52</v>
      </c>
      <c r="K6515" s="3">
        <v>100133018816</v>
      </c>
      <c r="L6515" s="10">
        <v>40043</v>
      </c>
      <c r="M6515">
        <v>1210.72</v>
      </c>
      <c r="N6515" s="11">
        <v>17</v>
      </c>
      <c r="O6515" s="12">
        <v>70.98</v>
      </c>
      <c r="P6515" s="12">
        <v>30</v>
      </c>
      <c r="Q6515" s="13">
        <v>-382.43</v>
      </c>
      <c r="R6515" s="36" t="s">
        <v>316</v>
      </c>
      <c r="S6515" s="7">
        <f t="shared" si="565"/>
        <v>2</v>
      </c>
      <c r="T6515" s="15" t="str">
        <f>VLOOKUP(R6515,产品分类!$C$2:$D$1278,2,0)</f>
        <v>家具产品</v>
      </c>
    </row>
    <row r="6516" spans="1:20">
      <c r="A6516" s="8">
        <f>DATE(2012,12,31)-1233</f>
        <v>40041</v>
      </c>
      <c r="B6516" s="8">
        <f>DATE(2012,12,31)-1233</f>
        <v>40041</v>
      </c>
      <c r="C6516" s="9" t="s">
        <v>889</v>
      </c>
      <c r="D6516">
        <v>10021491236</v>
      </c>
      <c r="E6516" t="s">
        <v>47</v>
      </c>
      <c r="F6516" t="s">
        <v>61</v>
      </c>
      <c r="G6516" t="s">
        <v>62</v>
      </c>
      <c r="H6516" t="s">
        <v>2506</v>
      </c>
      <c r="I6516" t="s">
        <v>2507</v>
      </c>
      <c r="J6516" t="s">
        <v>52</v>
      </c>
      <c r="K6516" s="3">
        <v>100933051171</v>
      </c>
      <c r="L6516" s="10">
        <v>40043</v>
      </c>
      <c r="M6516">
        <v>93.26</v>
      </c>
      <c r="N6516" s="11">
        <v>18</v>
      </c>
      <c r="O6516" s="12">
        <v>4.98</v>
      </c>
      <c r="P6516" s="12">
        <v>4.7</v>
      </c>
      <c r="Q6516" s="13">
        <v>-35.36</v>
      </c>
      <c r="R6516" s="36" t="s">
        <v>1360</v>
      </c>
      <c r="S6516" s="7">
        <f t="shared" si="565"/>
        <v>2</v>
      </c>
      <c r="T6516" s="15" t="str">
        <f>VLOOKUP(R6516,产品分类!$C$2:$D$1278,2,0)</f>
        <v>办公用品</v>
      </c>
    </row>
    <row r="6517" spans="1:20">
      <c r="A6517" s="8">
        <f>DATE(2012,12,31)-195</f>
        <v>41079</v>
      </c>
      <c r="B6517" s="8">
        <f>DATE(2012,12,31)-195</f>
        <v>41079</v>
      </c>
      <c r="C6517" s="9" t="s">
        <v>2334</v>
      </c>
      <c r="D6517">
        <v>10021434035</v>
      </c>
      <c r="E6517" t="s">
        <v>47</v>
      </c>
      <c r="F6517" t="s">
        <v>132</v>
      </c>
      <c r="G6517" t="s">
        <v>133</v>
      </c>
      <c r="H6517" t="s">
        <v>134</v>
      </c>
      <c r="I6517" t="s">
        <v>133</v>
      </c>
      <c r="J6517" t="s">
        <v>52</v>
      </c>
      <c r="K6517" s="3">
        <v>100432644074</v>
      </c>
      <c r="L6517" s="10">
        <v>41080</v>
      </c>
      <c r="M6517">
        <v>630.54</v>
      </c>
      <c r="N6517" s="11">
        <v>30</v>
      </c>
      <c r="O6517" s="12">
        <v>20.15</v>
      </c>
      <c r="P6517" s="12">
        <v>8.99</v>
      </c>
      <c r="Q6517" s="13">
        <v>-30.07</v>
      </c>
      <c r="R6517" s="36" t="s">
        <v>1365</v>
      </c>
      <c r="S6517" s="7">
        <f t="shared" si="565"/>
        <v>1</v>
      </c>
      <c r="T6517" s="15" t="str">
        <f>VLOOKUP(R6517,产品分类!$C$2:$D$1278,2,0)</f>
        <v>办公用品</v>
      </c>
    </row>
    <row r="6518" spans="1:20">
      <c r="A6518" s="16">
        <f t="shared" ref="A6518:B6520" si="572">DATE(2012,12,31)-1303</f>
        <v>39971</v>
      </c>
      <c r="B6518" s="16">
        <f t="shared" si="572"/>
        <v>39971</v>
      </c>
      <c r="C6518" s="9" t="s">
        <v>2334</v>
      </c>
      <c r="D6518">
        <v>10021436078</v>
      </c>
      <c r="E6518" t="s">
        <v>47</v>
      </c>
      <c r="F6518" t="s">
        <v>66</v>
      </c>
      <c r="G6518" t="s">
        <v>67</v>
      </c>
      <c r="H6518" t="s">
        <v>2467</v>
      </c>
      <c r="I6518" t="s">
        <v>2468</v>
      </c>
      <c r="J6518" t="s">
        <v>52</v>
      </c>
      <c r="K6518" s="3">
        <v>100432966554</v>
      </c>
      <c r="L6518" s="10">
        <v>39972</v>
      </c>
      <c r="M6518">
        <v>46.94</v>
      </c>
      <c r="N6518" s="17">
        <v>1</v>
      </c>
      <c r="O6518" s="5">
        <v>44.01</v>
      </c>
      <c r="P6518" s="5">
        <v>3.5</v>
      </c>
      <c r="Q6518" s="6">
        <v>-26.54</v>
      </c>
      <c r="R6518" s="37" t="s">
        <v>1754</v>
      </c>
      <c r="S6518" s="7">
        <f t="shared" si="565"/>
        <v>1</v>
      </c>
      <c r="T6518" s="15" t="str">
        <f>VLOOKUP(R6518,产品分类!$C$2:$D$1278,2,0)</f>
        <v>数码电子</v>
      </c>
    </row>
    <row r="6519" spans="1:20">
      <c r="A6519" s="8">
        <f t="shared" si="572"/>
        <v>39971</v>
      </c>
      <c r="B6519" s="8">
        <f t="shared" si="572"/>
        <v>39971</v>
      </c>
      <c r="C6519" s="9" t="s">
        <v>2362</v>
      </c>
      <c r="D6519">
        <v>10021553080</v>
      </c>
      <c r="E6519" t="s">
        <v>47</v>
      </c>
      <c r="F6519" t="s">
        <v>72</v>
      </c>
      <c r="G6519" t="s">
        <v>73</v>
      </c>
      <c r="H6519" t="s">
        <v>2417</v>
      </c>
      <c r="I6519" t="s">
        <v>2418</v>
      </c>
      <c r="J6519" t="s">
        <v>52</v>
      </c>
      <c r="K6519" s="3">
        <v>100133114666</v>
      </c>
      <c r="L6519" s="10">
        <v>39973</v>
      </c>
      <c r="M6519">
        <v>89.96</v>
      </c>
      <c r="N6519" s="11">
        <v>22</v>
      </c>
      <c r="O6519" s="12">
        <v>4.06</v>
      </c>
      <c r="P6519" s="12">
        <v>6.89</v>
      </c>
      <c r="Q6519" s="13">
        <v>-115.21</v>
      </c>
      <c r="R6519" s="36" t="s">
        <v>912</v>
      </c>
      <c r="S6519" s="7">
        <f t="shared" si="565"/>
        <v>2</v>
      </c>
      <c r="T6519" s="15" t="str">
        <f>VLOOKUP(R6519,产品分类!$C$2:$D$1278,2,0)</f>
        <v>办公用品</v>
      </c>
    </row>
    <row r="6520" spans="1:20">
      <c r="A6520" s="8">
        <f t="shared" si="572"/>
        <v>39971</v>
      </c>
      <c r="B6520" s="8">
        <f t="shared" si="572"/>
        <v>39971</v>
      </c>
      <c r="C6520" s="9" t="s">
        <v>2362</v>
      </c>
      <c r="D6520">
        <v>10021378428</v>
      </c>
      <c r="E6520" t="s">
        <v>47</v>
      </c>
      <c r="F6520" t="s">
        <v>97</v>
      </c>
      <c r="G6520" t="s">
        <v>98</v>
      </c>
      <c r="H6520" t="s">
        <v>99</v>
      </c>
      <c r="I6520" t="s">
        <v>98</v>
      </c>
      <c r="J6520" t="s">
        <v>52</v>
      </c>
      <c r="K6520" s="3">
        <v>100132904408</v>
      </c>
      <c r="L6520" s="10">
        <v>39972</v>
      </c>
      <c r="M6520">
        <v>12.95</v>
      </c>
      <c r="N6520" s="11">
        <v>10</v>
      </c>
      <c r="O6520" s="12">
        <v>1.26</v>
      </c>
      <c r="P6520" s="12">
        <v>0.7</v>
      </c>
      <c r="Q6520" s="13">
        <v>-6.78</v>
      </c>
      <c r="R6520" s="36" t="s">
        <v>1699</v>
      </c>
      <c r="S6520" s="7">
        <f t="shared" si="565"/>
        <v>1</v>
      </c>
      <c r="T6520" s="15" t="str">
        <f>VLOOKUP(R6520,产品分类!$C$2:$D$1278,2,0)</f>
        <v>办公用品</v>
      </c>
    </row>
    <row r="6521" spans="1:20">
      <c r="A6521" s="8">
        <f>DATE(2012,12,31)-421</f>
        <v>40853</v>
      </c>
      <c r="B6521" s="8">
        <f>DATE(2012,12,31)-421</f>
        <v>40853</v>
      </c>
      <c r="C6521" s="9" t="s">
        <v>2362</v>
      </c>
      <c r="D6521">
        <v>10021292230</v>
      </c>
      <c r="E6521" t="s">
        <v>47</v>
      </c>
      <c r="F6521" t="s">
        <v>177</v>
      </c>
      <c r="G6521" t="s">
        <v>178</v>
      </c>
      <c r="H6521" t="s">
        <v>2529</v>
      </c>
      <c r="I6521" t="s">
        <v>2530</v>
      </c>
      <c r="J6521" t="s">
        <v>52</v>
      </c>
      <c r="K6521" s="3">
        <v>100132791738</v>
      </c>
      <c r="L6521" s="10">
        <v>40856</v>
      </c>
      <c r="M6521">
        <v>1196.7915</v>
      </c>
      <c r="N6521" s="11">
        <v>26</v>
      </c>
      <c r="O6521" s="12">
        <v>55.99</v>
      </c>
      <c r="P6521" s="12">
        <v>1.25</v>
      </c>
      <c r="Q6521" s="13">
        <v>265.392</v>
      </c>
      <c r="R6521" s="36" t="s">
        <v>857</v>
      </c>
      <c r="S6521" s="7">
        <f t="shared" si="565"/>
        <v>3</v>
      </c>
      <c r="T6521" s="15" t="str">
        <f>VLOOKUP(R6521,产品分类!$C$2:$D$1278,2,0)</f>
        <v>办公用品</v>
      </c>
    </row>
    <row r="6522" spans="1:20">
      <c r="A6522" s="8">
        <f>DATE(2012,12,31)-1121</f>
        <v>40153</v>
      </c>
      <c r="B6522" s="8">
        <f>DATE(2012,12,31)-1121</f>
        <v>40153</v>
      </c>
      <c r="C6522" s="9" t="s">
        <v>536</v>
      </c>
      <c r="D6522">
        <v>10021534254</v>
      </c>
      <c r="E6522" t="s">
        <v>47</v>
      </c>
      <c r="F6522" t="s">
        <v>177</v>
      </c>
      <c r="G6522" t="s">
        <v>178</v>
      </c>
      <c r="H6522" t="s">
        <v>2529</v>
      </c>
      <c r="I6522" t="s">
        <v>2530</v>
      </c>
      <c r="J6522" t="s">
        <v>52</v>
      </c>
      <c r="K6522" s="3">
        <v>100833083742</v>
      </c>
      <c r="L6522" s="10">
        <v>40155</v>
      </c>
      <c r="M6522">
        <v>2980.15</v>
      </c>
      <c r="N6522" s="11">
        <v>43</v>
      </c>
      <c r="O6522" s="12">
        <v>70.71</v>
      </c>
      <c r="P6522" s="12">
        <v>37.58</v>
      </c>
      <c r="Q6522" s="13">
        <v>-865.98</v>
      </c>
      <c r="R6522" s="36" t="s">
        <v>2057</v>
      </c>
      <c r="S6522" s="7">
        <f t="shared" si="565"/>
        <v>2</v>
      </c>
      <c r="T6522" s="15" t="str">
        <f>VLOOKUP(R6522,产品分类!$C$2:$D$1278,2,0)</f>
        <v>办公用品</v>
      </c>
    </row>
    <row r="6523" spans="1:20">
      <c r="A6523" s="8">
        <f>DATE(2012,12,31)-1121</f>
        <v>40153</v>
      </c>
      <c r="B6523" s="8">
        <f>DATE(2012,12,31)-1121</f>
        <v>40153</v>
      </c>
      <c r="C6523" s="9" t="s">
        <v>2532</v>
      </c>
      <c r="D6523">
        <v>10021604304</v>
      </c>
      <c r="E6523" t="s">
        <v>47</v>
      </c>
      <c r="F6523" t="s">
        <v>78</v>
      </c>
      <c r="G6523" t="s">
        <v>79</v>
      </c>
      <c r="H6523" t="s">
        <v>2489</v>
      </c>
      <c r="I6523" t="s">
        <v>2490</v>
      </c>
      <c r="J6523" t="s">
        <v>52</v>
      </c>
      <c r="K6523" s="3">
        <v>100333185659</v>
      </c>
      <c r="L6523" s="10">
        <v>40156</v>
      </c>
      <c r="M6523">
        <v>476.04</v>
      </c>
      <c r="N6523" s="11">
        <v>23</v>
      </c>
      <c r="O6523" s="12">
        <v>18.97</v>
      </c>
      <c r="P6523" s="12">
        <v>9.54</v>
      </c>
      <c r="Q6523" s="13">
        <v>57.25</v>
      </c>
      <c r="R6523" s="36" t="s">
        <v>458</v>
      </c>
      <c r="S6523" s="7">
        <f t="shared" si="565"/>
        <v>3</v>
      </c>
      <c r="T6523" s="15" t="str">
        <f>VLOOKUP(R6523,产品分类!$C$2:$D$1278,2,0)</f>
        <v>家具产品</v>
      </c>
    </row>
    <row r="6524" spans="1:20">
      <c r="A6524" s="8">
        <f t="shared" ref="A6524:B6527" si="573">DATE(2012,12,31)-498</f>
        <v>40776</v>
      </c>
      <c r="B6524" s="8">
        <f t="shared" si="573"/>
        <v>40776</v>
      </c>
      <c r="C6524" s="9" t="s">
        <v>1153</v>
      </c>
      <c r="D6524">
        <v>10021679950</v>
      </c>
      <c r="E6524" t="s">
        <v>47</v>
      </c>
      <c r="F6524" t="s">
        <v>122</v>
      </c>
      <c r="G6524" t="s">
        <v>123</v>
      </c>
      <c r="H6524" t="s">
        <v>2458</v>
      </c>
      <c r="I6524" t="s">
        <v>2459</v>
      </c>
      <c r="J6524" t="s">
        <v>52</v>
      </c>
      <c r="K6524" s="3">
        <v>100933264751</v>
      </c>
      <c r="L6524" s="10">
        <v>40785</v>
      </c>
      <c r="M6524">
        <v>19.34</v>
      </c>
      <c r="N6524" s="11">
        <v>2</v>
      </c>
      <c r="O6524" s="12">
        <v>7.1</v>
      </c>
      <c r="P6524" s="12">
        <v>6.05</v>
      </c>
      <c r="Q6524" s="13">
        <v>-14.375</v>
      </c>
      <c r="R6524" s="36" t="s">
        <v>646</v>
      </c>
      <c r="S6524" s="7">
        <f t="shared" si="565"/>
        <v>9</v>
      </c>
      <c r="T6524" s="15" t="str">
        <f>VLOOKUP(R6524,产品分类!$C$2:$D$1278,2,0)</f>
        <v>数码电子</v>
      </c>
    </row>
    <row r="6525" spans="1:20">
      <c r="A6525" s="8">
        <f t="shared" si="573"/>
        <v>40776</v>
      </c>
      <c r="B6525" s="8">
        <f t="shared" si="573"/>
        <v>40776</v>
      </c>
      <c r="C6525" s="9" t="s">
        <v>1010</v>
      </c>
      <c r="D6525">
        <v>10021323892</v>
      </c>
      <c r="E6525" t="s">
        <v>47</v>
      </c>
      <c r="F6525" t="s">
        <v>91</v>
      </c>
      <c r="G6525" t="s">
        <v>92</v>
      </c>
      <c r="H6525" t="s">
        <v>2525</v>
      </c>
      <c r="I6525" t="s">
        <v>2526</v>
      </c>
      <c r="J6525" t="s">
        <v>52</v>
      </c>
      <c r="K6525" s="3">
        <v>100332840779</v>
      </c>
      <c r="L6525" s="10">
        <v>40781</v>
      </c>
      <c r="M6525">
        <v>3064.658</v>
      </c>
      <c r="N6525" s="11">
        <v>17</v>
      </c>
      <c r="O6525" s="12">
        <v>205.99</v>
      </c>
      <c r="P6525" s="12">
        <v>2.79</v>
      </c>
      <c r="Q6525" s="13">
        <v>447.336</v>
      </c>
      <c r="R6525" s="36" t="s">
        <v>685</v>
      </c>
      <c r="S6525" s="7">
        <f t="shared" si="565"/>
        <v>5</v>
      </c>
      <c r="T6525" s="15" t="str">
        <f>VLOOKUP(R6525,产品分类!$C$2:$D$1278,2,0)</f>
        <v>办公用品</v>
      </c>
    </row>
    <row r="6526" spans="1:20">
      <c r="A6526" s="16">
        <f t="shared" si="573"/>
        <v>40776</v>
      </c>
      <c r="B6526" s="16">
        <f t="shared" si="573"/>
        <v>40776</v>
      </c>
      <c r="C6526" s="9" t="s">
        <v>2208</v>
      </c>
      <c r="D6526">
        <v>10021271705</v>
      </c>
      <c r="E6526" t="s">
        <v>47</v>
      </c>
      <c r="F6526" t="s">
        <v>127</v>
      </c>
      <c r="G6526" t="s">
        <v>128</v>
      </c>
      <c r="H6526" t="s">
        <v>2462</v>
      </c>
      <c r="I6526" t="s">
        <v>2463</v>
      </c>
      <c r="J6526" t="s">
        <v>52</v>
      </c>
      <c r="K6526" s="3">
        <v>100132759996</v>
      </c>
      <c r="L6526" s="10">
        <v>40776</v>
      </c>
      <c r="M6526">
        <v>84.47</v>
      </c>
      <c r="N6526" s="17">
        <v>23</v>
      </c>
      <c r="O6526" s="5">
        <v>3.8</v>
      </c>
      <c r="P6526" s="5">
        <v>1.49</v>
      </c>
      <c r="Q6526" s="6">
        <v>7.9815</v>
      </c>
      <c r="R6526" s="37" t="s">
        <v>1731</v>
      </c>
      <c r="S6526" s="7">
        <f t="shared" si="565"/>
        <v>0</v>
      </c>
      <c r="T6526" s="15" t="str">
        <f>VLOOKUP(R6526,产品分类!$C$2:$D$1278,2,0)</f>
        <v>数码电子</v>
      </c>
    </row>
    <row r="6527" spans="1:20">
      <c r="A6527" s="8">
        <f t="shared" si="573"/>
        <v>40776</v>
      </c>
      <c r="B6527" s="8">
        <f t="shared" si="573"/>
        <v>40776</v>
      </c>
      <c r="C6527" s="9" t="s">
        <v>2096</v>
      </c>
      <c r="D6527">
        <v>10021601534</v>
      </c>
      <c r="E6527" t="s">
        <v>47</v>
      </c>
      <c r="F6527" t="s">
        <v>137</v>
      </c>
      <c r="G6527" t="s">
        <v>138</v>
      </c>
      <c r="H6527" t="s">
        <v>2504</v>
      </c>
      <c r="I6527" t="s">
        <v>2505</v>
      </c>
      <c r="J6527" t="s">
        <v>52</v>
      </c>
      <c r="K6527" s="3">
        <v>100833180852</v>
      </c>
      <c r="L6527" s="10">
        <v>40783</v>
      </c>
      <c r="M6527">
        <v>4211</v>
      </c>
      <c r="N6527" s="11">
        <v>39</v>
      </c>
      <c r="O6527" s="12">
        <v>111.96</v>
      </c>
      <c r="P6527" s="12">
        <v>69</v>
      </c>
      <c r="Q6527" s="13">
        <v>-270.573732</v>
      </c>
      <c r="R6527" s="36" t="s">
        <v>1305</v>
      </c>
      <c r="S6527" s="7">
        <f t="shared" si="565"/>
        <v>7</v>
      </c>
      <c r="T6527" s="15" t="str">
        <f>VLOOKUP(R6527,产品分类!$C$2:$D$1278,2,0)</f>
        <v>家具产品</v>
      </c>
    </row>
    <row r="6528" spans="1:20">
      <c r="A6528" s="8">
        <f>DATE(2012,12,31)-1181</f>
        <v>40093</v>
      </c>
      <c r="B6528" s="8">
        <f>DATE(2012,12,31)-1181</f>
        <v>40093</v>
      </c>
      <c r="C6528" s="9" t="s">
        <v>1751</v>
      </c>
      <c r="D6528">
        <v>10021321242</v>
      </c>
      <c r="E6528" t="s">
        <v>47</v>
      </c>
      <c r="F6528" t="s">
        <v>208</v>
      </c>
      <c r="G6528" t="s">
        <v>209</v>
      </c>
      <c r="H6528" t="s">
        <v>2300</v>
      </c>
      <c r="I6528" t="s">
        <v>2301</v>
      </c>
      <c r="J6528" t="s">
        <v>52</v>
      </c>
      <c r="K6528" s="3">
        <v>100732830635</v>
      </c>
      <c r="L6528" s="10">
        <v>40094</v>
      </c>
      <c r="M6528">
        <v>215.24</v>
      </c>
      <c r="N6528" s="11">
        <v>3</v>
      </c>
      <c r="O6528" s="12">
        <v>55.5</v>
      </c>
      <c r="P6528" s="12">
        <v>52.2</v>
      </c>
      <c r="Q6528" s="13">
        <v>49.76</v>
      </c>
      <c r="R6528" s="36" t="s">
        <v>990</v>
      </c>
      <c r="S6528" s="7">
        <f t="shared" si="565"/>
        <v>1</v>
      </c>
      <c r="T6528" s="15" t="str">
        <f>VLOOKUP(R6528,产品分类!$C$2:$D$1278,2,0)</f>
        <v>家具产品</v>
      </c>
    </row>
    <row r="6529" spans="1:20">
      <c r="A6529" s="8">
        <f>DATE(2012,12,31)-1181</f>
        <v>40093</v>
      </c>
      <c r="B6529" s="8">
        <f>DATE(2012,12,31)-1181</f>
        <v>40093</v>
      </c>
      <c r="C6529" s="9" t="s">
        <v>1751</v>
      </c>
      <c r="D6529">
        <v>10021474031</v>
      </c>
      <c r="E6529" t="s">
        <v>47</v>
      </c>
      <c r="F6529" t="s">
        <v>171</v>
      </c>
      <c r="G6529" t="s">
        <v>172</v>
      </c>
      <c r="H6529" t="s">
        <v>2486</v>
      </c>
      <c r="I6529" t="s">
        <v>2310</v>
      </c>
      <c r="J6529" t="s">
        <v>52</v>
      </c>
      <c r="K6529" s="3">
        <v>100433012434</v>
      </c>
      <c r="L6529" s="10">
        <v>40095</v>
      </c>
      <c r="M6529">
        <v>654.874</v>
      </c>
      <c r="N6529" s="11">
        <v>12</v>
      </c>
      <c r="O6529" s="12">
        <v>65.99</v>
      </c>
      <c r="P6529" s="12">
        <v>3.99</v>
      </c>
      <c r="Q6529" s="13">
        <v>-82.06</v>
      </c>
      <c r="R6529" s="36" t="s">
        <v>235</v>
      </c>
      <c r="S6529" s="7">
        <f t="shared" si="565"/>
        <v>2</v>
      </c>
      <c r="T6529" s="15" t="str">
        <f>VLOOKUP(R6529,产品分类!$C$2:$D$1278,2,0)</f>
        <v>办公用品</v>
      </c>
    </row>
    <row r="6530" spans="1:20">
      <c r="A6530" s="8">
        <f>DATE(2012,12,31)-89</f>
        <v>41185</v>
      </c>
      <c r="B6530" s="8">
        <f>DATE(2012,12,31)-89</f>
        <v>41185</v>
      </c>
      <c r="C6530" s="9" t="s">
        <v>1751</v>
      </c>
      <c r="D6530">
        <v>10021551191</v>
      </c>
      <c r="E6530" t="s">
        <v>47</v>
      </c>
      <c r="F6530" t="s">
        <v>61</v>
      </c>
      <c r="G6530" t="s">
        <v>62</v>
      </c>
      <c r="H6530" t="s">
        <v>2506</v>
      </c>
      <c r="I6530" t="s">
        <v>2507</v>
      </c>
      <c r="J6530" t="s">
        <v>52</v>
      </c>
      <c r="K6530" s="3">
        <v>100133109428</v>
      </c>
      <c r="L6530" s="10">
        <v>41187</v>
      </c>
      <c r="M6530">
        <v>1341.31</v>
      </c>
      <c r="N6530" s="11">
        <v>13</v>
      </c>
      <c r="O6530" s="12">
        <v>99.99</v>
      </c>
      <c r="P6530" s="12">
        <v>19.99</v>
      </c>
      <c r="Q6530" s="13">
        <v>5.54999999999998</v>
      </c>
      <c r="R6530" s="36" t="s">
        <v>580</v>
      </c>
      <c r="S6530" s="7">
        <f t="shared" si="565"/>
        <v>2</v>
      </c>
      <c r="T6530" s="15" t="str">
        <f>VLOOKUP(R6530,产品分类!$C$2:$D$1278,2,0)</f>
        <v>家具产品</v>
      </c>
    </row>
    <row r="6531" spans="1:20">
      <c r="A6531" s="8">
        <f>DATE(2012,12,31)-688</f>
        <v>40586</v>
      </c>
      <c r="B6531" s="8">
        <f>DATE(2012,12,31)-688</f>
        <v>40586</v>
      </c>
      <c r="C6531" s="9" t="s">
        <v>1206</v>
      </c>
      <c r="D6531">
        <v>10021305582</v>
      </c>
      <c r="E6531" t="s">
        <v>47</v>
      </c>
      <c r="F6531" t="s">
        <v>55</v>
      </c>
      <c r="G6531" t="s">
        <v>56</v>
      </c>
      <c r="H6531" t="s">
        <v>2471</v>
      </c>
      <c r="I6531" t="s">
        <v>2472</v>
      </c>
      <c r="J6531" t="s">
        <v>52</v>
      </c>
      <c r="K6531" s="3">
        <v>100932796671</v>
      </c>
      <c r="L6531" s="10">
        <v>40588</v>
      </c>
      <c r="M6531">
        <v>5407.9</v>
      </c>
      <c r="N6531" s="11">
        <v>35</v>
      </c>
      <c r="O6531" s="12">
        <v>145.98</v>
      </c>
      <c r="P6531" s="12">
        <v>46.2</v>
      </c>
      <c r="Q6531" s="13">
        <v>-352.789866</v>
      </c>
      <c r="R6531" s="36" t="s">
        <v>2533</v>
      </c>
      <c r="S6531" s="7">
        <f t="shared" ref="S6531:S6594" si="574">+L6531-B6531</f>
        <v>2</v>
      </c>
      <c r="T6531" s="15" t="str">
        <f>VLOOKUP(R6531,产品分类!$C$2:$D$1278,2,0)</f>
        <v>办公用品</v>
      </c>
    </row>
    <row r="6532" spans="1:20">
      <c r="A6532" s="8">
        <f t="shared" ref="A6532:B6534" si="575">DATE(2012,12,31)-558</f>
        <v>40716</v>
      </c>
      <c r="B6532" s="8">
        <f t="shared" si="575"/>
        <v>40716</v>
      </c>
      <c r="C6532" s="9" t="s">
        <v>1206</v>
      </c>
      <c r="D6532">
        <v>10021362697</v>
      </c>
      <c r="E6532" t="s">
        <v>47</v>
      </c>
      <c r="F6532" t="s">
        <v>132</v>
      </c>
      <c r="G6532" t="s">
        <v>133</v>
      </c>
      <c r="H6532" t="s">
        <v>134</v>
      </c>
      <c r="I6532" t="s">
        <v>133</v>
      </c>
      <c r="J6532" t="s">
        <v>52</v>
      </c>
      <c r="K6532" s="3">
        <v>100132828656</v>
      </c>
      <c r="L6532" s="10">
        <v>40716</v>
      </c>
      <c r="M6532">
        <v>4691.27</v>
      </c>
      <c r="N6532" s="11">
        <v>16</v>
      </c>
      <c r="O6532" s="12">
        <v>300.65</v>
      </c>
      <c r="P6532" s="12">
        <v>24.49</v>
      </c>
      <c r="Q6532" s="13">
        <v>1196.72</v>
      </c>
      <c r="R6532" s="36" t="s">
        <v>1648</v>
      </c>
      <c r="S6532" s="7">
        <f t="shared" si="574"/>
        <v>0</v>
      </c>
      <c r="T6532" s="15" t="str">
        <f>VLOOKUP(R6532,产品分类!$C$2:$D$1278,2,0)</f>
        <v>办公用品</v>
      </c>
    </row>
    <row r="6533" spans="1:20">
      <c r="A6533" s="8">
        <f t="shared" si="575"/>
        <v>40716</v>
      </c>
      <c r="B6533" s="8">
        <f t="shared" si="575"/>
        <v>40716</v>
      </c>
      <c r="C6533" s="9" t="s">
        <v>737</v>
      </c>
      <c r="D6533">
        <v>10021424112</v>
      </c>
      <c r="E6533" t="s">
        <v>47</v>
      </c>
      <c r="F6533" t="s">
        <v>78</v>
      </c>
      <c r="G6533" t="s">
        <v>79</v>
      </c>
      <c r="H6533" t="s">
        <v>2489</v>
      </c>
      <c r="I6533" t="s">
        <v>2490</v>
      </c>
      <c r="J6533" t="s">
        <v>52</v>
      </c>
      <c r="K6533" s="3">
        <v>100928414001</v>
      </c>
      <c r="L6533" s="10">
        <v>40717</v>
      </c>
      <c r="M6533">
        <v>804.14</v>
      </c>
      <c r="N6533" s="11">
        <v>50</v>
      </c>
      <c r="O6533" s="12">
        <v>17.67</v>
      </c>
      <c r="P6533" s="12">
        <v>8.99</v>
      </c>
      <c r="Q6533" s="13">
        <v>-25.27</v>
      </c>
      <c r="R6533" s="36" t="s">
        <v>942</v>
      </c>
      <c r="S6533" s="7">
        <f t="shared" si="574"/>
        <v>1</v>
      </c>
      <c r="T6533" s="15" t="str">
        <f>VLOOKUP(R6533,产品分类!$C$2:$D$1278,2,0)</f>
        <v>办公用品</v>
      </c>
    </row>
    <row r="6534" spans="1:20">
      <c r="A6534" s="16">
        <f t="shared" si="575"/>
        <v>40716</v>
      </c>
      <c r="B6534" s="16">
        <f t="shared" si="575"/>
        <v>40716</v>
      </c>
      <c r="C6534" s="9" t="s">
        <v>875</v>
      </c>
      <c r="D6534">
        <v>10021589893</v>
      </c>
      <c r="E6534" t="s">
        <v>47</v>
      </c>
      <c r="F6534" t="s">
        <v>78</v>
      </c>
      <c r="G6534" t="s">
        <v>79</v>
      </c>
      <c r="H6534" t="s">
        <v>2489</v>
      </c>
      <c r="I6534" t="s">
        <v>2490</v>
      </c>
      <c r="J6534" t="s">
        <v>52</v>
      </c>
      <c r="K6534" s="3">
        <v>100931227231</v>
      </c>
      <c r="L6534" s="10">
        <v>40718</v>
      </c>
      <c r="M6534">
        <v>567.51</v>
      </c>
      <c r="N6534" s="17">
        <v>8</v>
      </c>
      <c r="O6534" s="5">
        <v>64.65</v>
      </c>
      <c r="P6534" s="5">
        <v>35</v>
      </c>
      <c r="Q6534" s="6">
        <v>-255.55</v>
      </c>
      <c r="R6534" s="37" t="s">
        <v>1590</v>
      </c>
      <c r="S6534" s="7">
        <f t="shared" si="574"/>
        <v>2</v>
      </c>
      <c r="T6534" s="15" t="str">
        <f>VLOOKUP(R6534,产品分类!$C$2:$D$1278,2,0)</f>
        <v>办公用品</v>
      </c>
    </row>
    <row r="6535" spans="1:20">
      <c r="A6535" s="8">
        <f>DATE(2012,12,31)-266</f>
        <v>41008</v>
      </c>
      <c r="B6535" s="8">
        <f>DATE(2012,12,31)-266</f>
        <v>41008</v>
      </c>
      <c r="C6535" s="9" t="s">
        <v>875</v>
      </c>
      <c r="D6535">
        <v>10021511115</v>
      </c>
      <c r="E6535" t="s">
        <v>47</v>
      </c>
      <c r="F6535" t="s">
        <v>177</v>
      </c>
      <c r="G6535" t="s">
        <v>178</v>
      </c>
      <c r="H6535" t="s">
        <v>2529</v>
      </c>
      <c r="I6535" t="s">
        <v>2530</v>
      </c>
      <c r="J6535" t="s">
        <v>52</v>
      </c>
      <c r="K6535" s="3">
        <v>100332714049</v>
      </c>
      <c r="L6535" s="10">
        <v>41009</v>
      </c>
      <c r="M6535">
        <v>1534.7</v>
      </c>
      <c r="N6535" s="11">
        <v>49</v>
      </c>
      <c r="O6535" s="12">
        <v>31.11</v>
      </c>
      <c r="P6535" s="12">
        <v>3.6</v>
      </c>
      <c r="Q6535" s="13">
        <v>258.25</v>
      </c>
      <c r="R6535" s="36" t="s">
        <v>1285</v>
      </c>
      <c r="S6535" s="7">
        <f t="shared" si="574"/>
        <v>1</v>
      </c>
      <c r="T6535" s="15" t="str">
        <f>VLOOKUP(R6535,产品分类!$C$2:$D$1278,2,0)</f>
        <v>办公用品</v>
      </c>
    </row>
    <row r="6536" spans="1:20">
      <c r="A6536" s="8">
        <f t="shared" ref="A6536:B6538" si="576">DATE(2012,12,31)-1096</f>
        <v>40178</v>
      </c>
      <c r="B6536" s="8">
        <f t="shared" si="576"/>
        <v>40178</v>
      </c>
      <c r="C6536" s="9" t="s">
        <v>875</v>
      </c>
      <c r="D6536">
        <v>10021422172</v>
      </c>
      <c r="E6536" t="s">
        <v>47</v>
      </c>
      <c r="F6536" t="s">
        <v>171</v>
      </c>
      <c r="G6536" t="s">
        <v>172</v>
      </c>
      <c r="H6536" t="s">
        <v>2486</v>
      </c>
      <c r="I6536" t="s">
        <v>2310</v>
      </c>
      <c r="J6536" t="s">
        <v>52</v>
      </c>
      <c r="K6536" s="3">
        <v>100426823964</v>
      </c>
      <c r="L6536" s="10">
        <v>40178</v>
      </c>
      <c r="M6536">
        <v>8216.593</v>
      </c>
      <c r="N6536" s="11">
        <v>47</v>
      </c>
      <c r="O6536" s="12">
        <v>195.99</v>
      </c>
      <c r="P6536" s="12">
        <v>8.99</v>
      </c>
      <c r="Q6536" s="13">
        <v>2463.462</v>
      </c>
      <c r="R6536" s="36" t="s">
        <v>339</v>
      </c>
      <c r="S6536" s="7">
        <f t="shared" si="574"/>
        <v>0</v>
      </c>
      <c r="T6536" s="15" t="str">
        <f>VLOOKUP(R6536,产品分类!$C$2:$D$1278,2,0)</f>
        <v>数码电子</v>
      </c>
    </row>
    <row r="6537" spans="1:20">
      <c r="A6537" s="8">
        <f t="shared" si="576"/>
        <v>40178</v>
      </c>
      <c r="B6537" s="8">
        <f t="shared" si="576"/>
        <v>40178</v>
      </c>
      <c r="C6537" s="9" t="s">
        <v>375</v>
      </c>
      <c r="D6537">
        <v>10021353088</v>
      </c>
      <c r="E6537" t="s">
        <v>47</v>
      </c>
      <c r="F6537" t="s">
        <v>61</v>
      </c>
      <c r="G6537" t="s">
        <v>62</v>
      </c>
      <c r="H6537" t="s">
        <v>2506</v>
      </c>
      <c r="I6537" t="s">
        <v>2507</v>
      </c>
      <c r="J6537" t="s">
        <v>52</v>
      </c>
      <c r="K6537" s="3">
        <v>100930958591</v>
      </c>
      <c r="L6537" s="10">
        <v>40180</v>
      </c>
      <c r="M6537">
        <v>130.36</v>
      </c>
      <c r="N6537" s="11">
        <v>10</v>
      </c>
      <c r="O6537" s="12">
        <v>12.95</v>
      </c>
      <c r="P6537" s="12">
        <v>4.98</v>
      </c>
      <c r="Q6537" s="13">
        <v>2.431</v>
      </c>
      <c r="R6537" s="36" t="s">
        <v>1075</v>
      </c>
      <c r="S6537" s="7">
        <f t="shared" si="574"/>
        <v>2</v>
      </c>
      <c r="T6537" s="15" t="str">
        <f>VLOOKUP(R6537,产品分类!$C$2:$D$1278,2,0)</f>
        <v>数码电子</v>
      </c>
    </row>
    <row r="6538" spans="1:20">
      <c r="A6538" s="8">
        <f t="shared" si="576"/>
        <v>40178</v>
      </c>
      <c r="B6538" s="8">
        <f t="shared" si="576"/>
        <v>40178</v>
      </c>
      <c r="C6538" s="9" t="s">
        <v>369</v>
      </c>
      <c r="D6538">
        <v>10021357134</v>
      </c>
      <c r="E6538" t="s">
        <v>47</v>
      </c>
      <c r="F6538" t="s">
        <v>66</v>
      </c>
      <c r="G6538" t="s">
        <v>67</v>
      </c>
      <c r="H6538" t="s">
        <v>2467</v>
      </c>
      <c r="I6538" t="s">
        <v>2468</v>
      </c>
      <c r="J6538" t="s">
        <v>52</v>
      </c>
      <c r="K6538" s="3">
        <v>10085670732</v>
      </c>
      <c r="L6538" s="10">
        <v>40180</v>
      </c>
      <c r="M6538">
        <v>200.57</v>
      </c>
      <c r="N6538" s="11">
        <v>1</v>
      </c>
      <c r="O6538" s="12">
        <v>122.99</v>
      </c>
      <c r="P6538" s="12">
        <v>70.2</v>
      </c>
      <c r="Q6538" s="13">
        <v>-83.63</v>
      </c>
      <c r="R6538" s="36" t="s">
        <v>1212</v>
      </c>
      <c r="S6538" s="7">
        <f t="shared" si="574"/>
        <v>2</v>
      </c>
      <c r="T6538" s="15" t="str">
        <f>VLOOKUP(R6538,产品分类!$C$2:$D$1278,2,0)</f>
        <v>办公用品</v>
      </c>
    </row>
    <row r="6539" spans="1:20">
      <c r="A6539" s="8">
        <f>DATE(2012,12,31)-840</f>
        <v>40434</v>
      </c>
      <c r="B6539" s="8">
        <f>DATE(2012,12,31)-840</f>
        <v>40434</v>
      </c>
      <c r="C6539" s="9" t="s">
        <v>369</v>
      </c>
      <c r="D6539">
        <v>10021442953</v>
      </c>
      <c r="E6539" t="s">
        <v>47</v>
      </c>
      <c r="F6539" t="s">
        <v>66</v>
      </c>
      <c r="G6539" t="s">
        <v>67</v>
      </c>
      <c r="H6539" t="s">
        <v>2467</v>
      </c>
      <c r="I6539" t="s">
        <v>2468</v>
      </c>
      <c r="J6539" t="s">
        <v>52</v>
      </c>
      <c r="K6539" s="3">
        <v>100830473832</v>
      </c>
      <c r="L6539" s="10">
        <v>40435</v>
      </c>
      <c r="M6539">
        <v>284</v>
      </c>
      <c r="N6539" s="11">
        <v>4</v>
      </c>
      <c r="O6539" s="12">
        <v>62.18</v>
      </c>
      <c r="P6539" s="12">
        <v>10.84</v>
      </c>
      <c r="Q6539" s="13">
        <v>208.31</v>
      </c>
      <c r="R6539" s="36" t="s">
        <v>302</v>
      </c>
      <c r="S6539" s="7">
        <f t="shared" si="574"/>
        <v>1</v>
      </c>
      <c r="T6539" s="15" t="str">
        <f>VLOOKUP(R6539,产品分类!$C$2:$D$1278,2,0)</f>
        <v>家具产品</v>
      </c>
    </row>
    <row r="6540" spans="1:20">
      <c r="A6540" s="8">
        <f>DATE(2012,12,31)-980</f>
        <v>40294</v>
      </c>
      <c r="B6540" s="8">
        <f>DATE(2012,12,31)-980</f>
        <v>40294</v>
      </c>
      <c r="C6540" s="9" t="s">
        <v>1685</v>
      </c>
      <c r="D6540">
        <v>10021309852</v>
      </c>
      <c r="E6540" t="s">
        <v>47</v>
      </c>
      <c r="F6540" t="s">
        <v>66</v>
      </c>
      <c r="G6540" t="s">
        <v>67</v>
      </c>
      <c r="H6540" t="s">
        <v>2467</v>
      </c>
      <c r="I6540" t="s">
        <v>2468</v>
      </c>
      <c r="J6540" t="s">
        <v>52</v>
      </c>
      <c r="K6540" s="3">
        <v>100111176437</v>
      </c>
      <c r="L6540" s="10">
        <v>40295</v>
      </c>
      <c r="M6540">
        <v>110.2</v>
      </c>
      <c r="N6540" s="11">
        <v>28</v>
      </c>
      <c r="O6540" s="12">
        <v>4.13</v>
      </c>
      <c r="P6540" s="12">
        <v>0.5</v>
      </c>
      <c r="Q6540" s="13">
        <v>42.84</v>
      </c>
      <c r="R6540" s="36" t="s">
        <v>958</v>
      </c>
      <c r="S6540" s="7">
        <f t="shared" si="574"/>
        <v>1</v>
      </c>
      <c r="T6540" s="15" t="str">
        <f>VLOOKUP(R6540,产品分类!$C$2:$D$1278,2,0)</f>
        <v>办公用品</v>
      </c>
    </row>
    <row r="6541" spans="1:20">
      <c r="A6541" s="8">
        <f>DATE(2012,12,31)-980</f>
        <v>40294</v>
      </c>
      <c r="B6541" s="8">
        <f>DATE(2012,12,31)-980</f>
        <v>40294</v>
      </c>
      <c r="C6541" s="9" t="s">
        <v>1685</v>
      </c>
      <c r="D6541">
        <v>10021291078</v>
      </c>
      <c r="E6541" t="s">
        <v>47</v>
      </c>
      <c r="F6541" t="s">
        <v>48</v>
      </c>
      <c r="G6541" t="s">
        <v>49</v>
      </c>
      <c r="H6541" t="s">
        <v>2474</v>
      </c>
      <c r="I6541" t="s">
        <v>2475</v>
      </c>
      <c r="J6541" t="s">
        <v>52</v>
      </c>
      <c r="K6541" s="3">
        <v>100331709479</v>
      </c>
      <c r="L6541" s="10">
        <v>40296</v>
      </c>
      <c r="M6541">
        <v>54.86</v>
      </c>
      <c r="N6541" s="11">
        <v>12</v>
      </c>
      <c r="O6541" s="12">
        <v>4.28</v>
      </c>
      <c r="P6541" s="12">
        <v>6.72</v>
      </c>
      <c r="Q6541" s="13">
        <v>-50.6</v>
      </c>
      <c r="R6541" s="36" t="s">
        <v>2534</v>
      </c>
      <c r="S6541" s="7">
        <f t="shared" si="574"/>
        <v>2</v>
      </c>
      <c r="T6541" s="15" t="str">
        <f>VLOOKUP(R6541,产品分类!$C$2:$D$1278,2,0)</f>
        <v>数码电子</v>
      </c>
    </row>
    <row r="6542" spans="1:20">
      <c r="A6542" s="8">
        <f>DATE(2012,12,31)-187</f>
        <v>41087</v>
      </c>
      <c r="B6542" s="8">
        <f>DATE(2012,12,31)-187</f>
        <v>41087</v>
      </c>
      <c r="C6542" s="9" t="s">
        <v>1685</v>
      </c>
      <c r="D6542">
        <v>10021399436</v>
      </c>
      <c r="E6542" t="s">
        <v>47</v>
      </c>
      <c r="F6542" t="s">
        <v>72</v>
      </c>
      <c r="G6542" t="s">
        <v>73</v>
      </c>
      <c r="H6542" t="s">
        <v>2417</v>
      </c>
      <c r="I6542" t="s">
        <v>2418</v>
      </c>
      <c r="J6542" t="s">
        <v>52</v>
      </c>
      <c r="K6542" s="3">
        <v>100429727643</v>
      </c>
      <c r="L6542" s="10">
        <v>41091</v>
      </c>
      <c r="M6542">
        <v>825.96</v>
      </c>
      <c r="N6542" s="11">
        <v>8</v>
      </c>
      <c r="O6542" s="12">
        <v>95.98</v>
      </c>
      <c r="P6542" s="12">
        <v>58.2</v>
      </c>
      <c r="Q6542" s="13">
        <v>-276.95</v>
      </c>
      <c r="R6542" s="36" t="s">
        <v>648</v>
      </c>
      <c r="S6542" s="7">
        <f t="shared" si="574"/>
        <v>4</v>
      </c>
      <c r="T6542" s="15" t="str">
        <f>VLOOKUP(R6542,产品分类!$C$2:$D$1278,2,0)</f>
        <v>家具产品</v>
      </c>
    </row>
    <row r="6543" spans="1:20">
      <c r="A6543" s="8">
        <f>DATE(2012,12,31)-1299</f>
        <v>39975</v>
      </c>
      <c r="B6543" s="8">
        <f>DATE(2012,12,31)-1299</f>
        <v>39975</v>
      </c>
      <c r="C6543" s="9" t="s">
        <v>1685</v>
      </c>
      <c r="D6543">
        <v>10021534533</v>
      </c>
      <c r="E6543" t="s">
        <v>47</v>
      </c>
      <c r="F6543" t="s">
        <v>230</v>
      </c>
      <c r="G6543" t="s">
        <v>231</v>
      </c>
      <c r="H6543" t="s">
        <v>2497</v>
      </c>
      <c r="I6543" t="s">
        <v>2498</v>
      </c>
      <c r="J6543" t="s">
        <v>52</v>
      </c>
      <c r="K6543" s="3">
        <v>100431441854</v>
      </c>
      <c r="L6543" s="10">
        <v>39976</v>
      </c>
      <c r="M6543">
        <v>21.46</v>
      </c>
      <c r="N6543" s="11">
        <v>3</v>
      </c>
      <c r="O6543" s="12">
        <v>5.28</v>
      </c>
      <c r="P6543" s="12">
        <v>6.26</v>
      </c>
      <c r="Q6543" s="13">
        <v>-14.22</v>
      </c>
      <c r="R6543" s="36" t="s">
        <v>1834</v>
      </c>
      <c r="S6543" s="7">
        <f t="shared" si="574"/>
        <v>1</v>
      </c>
      <c r="T6543" s="15" t="str">
        <f>VLOOKUP(R6543,产品分类!$C$2:$D$1278,2,0)</f>
        <v>家具产品</v>
      </c>
    </row>
    <row r="6544" spans="1:20">
      <c r="A6544" s="8">
        <f>DATE(2012,12,31)-1299</f>
        <v>39975</v>
      </c>
      <c r="B6544" s="8">
        <f>DATE(2012,12,31)-1299</f>
        <v>39975</v>
      </c>
      <c r="C6544" s="9" t="s">
        <v>1819</v>
      </c>
      <c r="D6544">
        <v>10021564913</v>
      </c>
      <c r="E6544" t="s">
        <v>47</v>
      </c>
      <c r="F6544" t="s">
        <v>230</v>
      </c>
      <c r="G6544" t="s">
        <v>231</v>
      </c>
      <c r="H6544" t="s">
        <v>2497</v>
      </c>
      <c r="I6544" t="s">
        <v>2498</v>
      </c>
      <c r="J6544" t="s">
        <v>52</v>
      </c>
      <c r="K6544" s="3">
        <v>100722019295</v>
      </c>
      <c r="L6544" s="10">
        <v>39976</v>
      </c>
      <c r="M6544">
        <v>1388.628</v>
      </c>
      <c r="N6544" s="11">
        <v>24</v>
      </c>
      <c r="O6544" s="12">
        <v>65.99</v>
      </c>
      <c r="P6544" s="12">
        <v>5.26</v>
      </c>
      <c r="Q6544" s="13">
        <v>261.522</v>
      </c>
      <c r="R6544" s="36" t="s">
        <v>1995</v>
      </c>
      <c r="S6544" s="7">
        <f t="shared" si="574"/>
        <v>1</v>
      </c>
      <c r="T6544" s="15" t="str">
        <f>VLOOKUP(R6544,产品分类!$C$2:$D$1278,2,0)</f>
        <v>家具产品</v>
      </c>
    </row>
    <row r="6545" spans="1:20">
      <c r="A6545" s="8">
        <f>DATE(2012,12,31)-295</f>
        <v>40979</v>
      </c>
      <c r="B6545" s="8">
        <f>DATE(2012,12,31)-295</f>
        <v>40979</v>
      </c>
      <c r="C6545" s="9" t="s">
        <v>1819</v>
      </c>
      <c r="D6545">
        <v>10021632755</v>
      </c>
      <c r="E6545" t="s">
        <v>47</v>
      </c>
      <c r="F6545" t="s">
        <v>253</v>
      </c>
      <c r="G6545" t="s">
        <v>254</v>
      </c>
      <c r="H6545" t="s">
        <v>2508</v>
      </c>
      <c r="I6545" t="s">
        <v>2509</v>
      </c>
      <c r="J6545" t="s">
        <v>52</v>
      </c>
      <c r="K6545" s="3">
        <v>100314876509</v>
      </c>
      <c r="L6545" s="10">
        <v>40981</v>
      </c>
      <c r="M6545">
        <v>930.84</v>
      </c>
      <c r="N6545" s="11">
        <v>39</v>
      </c>
      <c r="O6545" s="12">
        <v>22.84</v>
      </c>
      <c r="P6545" s="12">
        <v>16.92</v>
      </c>
      <c r="Q6545" s="13">
        <v>-122.12</v>
      </c>
      <c r="R6545" s="36" t="s">
        <v>727</v>
      </c>
      <c r="S6545" s="7">
        <f t="shared" si="574"/>
        <v>2</v>
      </c>
      <c r="T6545" s="15" t="str">
        <f>VLOOKUP(R6545,产品分类!$C$2:$D$1278,2,0)</f>
        <v>家具产品</v>
      </c>
    </row>
    <row r="6546" spans="1:20">
      <c r="A6546" s="8">
        <f>DATE(2012,12,31)-1264</f>
        <v>40010</v>
      </c>
      <c r="B6546" s="8">
        <f>DATE(2012,12,31)-1264</f>
        <v>40010</v>
      </c>
      <c r="C6546" s="9" t="s">
        <v>2086</v>
      </c>
      <c r="D6546">
        <v>10021520057</v>
      </c>
      <c r="E6546" t="s">
        <v>47</v>
      </c>
      <c r="F6546" t="s">
        <v>122</v>
      </c>
      <c r="G6546" t="s">
        <v>123</v>
      </c>
      <c r="H6546" t="s">
        <v>2458</v>
      </c>
      <c r="I6546" t="s">
        <v>2459</v>
      </c>
      <c r="J6546" t="s">
        <v>52</v>
      </c>
      <c r="K6546" s="3">
        <v>100430647154</v>
      </c>
      <c r="L6546" s="10">
        <v>40011</v>
      </c>
      <c r="M6546">
        <v>636.7</v>
      </c>
      <c r="N6546" s="11">
        <v>27</v>
      </c>
      <c r="O6546" s="12">
        <v>24.92</v>
      </c>
      <c r="P6546" s="12">
        <v>12.98</v>
      </c>
      <c r="Q6546" s="13">
        <v>-29.9115</v>
      </c>
      <c r="R6546" s="36" t="s">
        <v>1379</v>
      </c>
      <c r="S6546" s="7">
        <f t="shared" si="574"/>
        <v>1</v>
      </c>
      <c r="T6546" s="15" t="str">
        <f>VLOOKUP(R6546,产品分类!$C$2:$D$1278,2,0)</f>
        <v>家具产品</v>
      </c>
    </row>
    <row r="6547" spans="1:20">
      <c r="A6547" s="8">
        <f t="shared" ref="A6547:B6549" si="577">DATE(2012,12,31)-368</f>
        <v>40906</v>
      </c>
      <c r="B6547" s="8">
        <f t="shared" si="577"/>
        <v>40906</v>
      </c>
      <c r="C6547" s="9" t="s">
        <v>145</v>
      </c>
      <c r="D6547">
        <v>10021480280</v>
      </c>
      <c r="E6547" t="s">
        <v>47</v>
      </c>
      <c r="F6547" t="s">
        <v>122</v>
      </c>
      <c r="G6547" t="s">
        <v>123</v>
      </c>
      <c r="H6547" t="s">
        <v>2458</v>
      </c>
      <c r="I6547" t="s">
        <v>2459</v>
      </c>
      <c r="J6547" t="s">
        <v>52</v>
      </c>
      <c r="K6547" s="3">
        <v>100431000484</v>
      </c>
      <c r="L6547" s="10">
        <v>40908</v>
      </c>
      <c r="M6547">
        <v>57.22</v>
      </c>
      <c r="N6547" s="11">
        <v>8</v>
      </c>
      <c r="O6547" s="12">
        <v>6.48</v>
      </c>
      <c r="P6547" s="12">
        <v>6.6</v>
      </c>
      <c r="Q6547" s="13">
        <v>-27.72</v>
      </c>
      <c r="R6547" s="36" t="s">
        <v>955</v>
      </c>
      <c r="S6547" s="7">
        <f t="shared" si="574"/>
        <v>2</v>
      </c>
      <c r="T6547" s="15" t="str">
        <f>VLOOKUP(R6547,产品分类!$C$2:$D$1278,2,0)</f>
        <v>办公用品</v>
      </c>
    </row>
    <row r="6548" spans="1:20">
      <c r="A6548" s="8">
        <f t="shared" si="577"/>
        <v>40906</v>
      </c>
      <c r="B6548" s="8">
        <f t="shared" si="577"/>
        <v>40906</v>
      </c>
      <c r="C6548" s="9" t="s">
        <v>1774</v>
      </c>
      <c r="D6548">
        <v>10021411447</v>
      </c>
      <c r="E6548" t="s">
        <v>47</v>
      </c>
      <c r="F6548" t="s">
        <v>342</v>
      </c>
      <c r="G6548" t="s">
        <v>343</v>
      </c>
      <c r="H6548" t="s">
        <v>2515</v>
      </c>
      <c r="I6548" t="s">
        <v>2516</v>
      </c>
      <c r="J6548" t="s">
        <v>52</v>
      </c>
      <c r="K6548" s="3">
        <v>10091425531</v>
      </c>
      <c r="L6548" s="10">
        <v>40908</v>
      </c>
      <c r="M6548">
        <v>162</v>
      </c>
      <c r="N6548" s="11">
        <v>33</v>
      </c>
      <c r="O6548" s="12">
        <v>4.84</v>
      </c>
      <c r="P6548" s="12">
        <v>0.71</v>
      </c>
      <c r="Q6548" s="13">
        <v>45.84</v>
      </c>
      <c r="R6548" s="36" t="s">
        <v>979</v>
      </c>
      <c r="S6548" s="7">
        <f t="shared" si="574"/>
        <v>2</v>
      </c>
      <c r="T6548" s="15" t="str">
        <f>VLOOKUP(R6548,产品分类!$C$2:$D$1278,2,0)</f>
        <v>办公用品</v>
      </c>
    </row>
    <row r="6549" spans="1:20">
      <c r="A6549" s="8">
        <f t="shared" si="577"/>
        <v>40906</v>
      </c>
      <c r="B6549" s="8">
        <f t="shared" si="577"/>
        <v>40906</v>
      </c>
      <c r="C6549" s="9" t="s">
        <v>1774</v>
      </c>
      <c r="D6549">
        <v>10021554263</v>
      </c>
      <c r="E6549" t="s">
        <v>47</v>
      </c>
      <c r="F6549" t="s">
        <v>132</v>
      </c>
      <c r="G6549" t="s">
        <v>133</v>
      </c>
      <c r="H6549" t="s">
        <v>134</v>
      </c>
      <c r="I6549" t="s">
        <v>133</v>
      </c>
      <c r="J6549" t="s">
        <v>52</v>
      </c>
      <c r="K6549" s="3">
        <v>100423210273</v>
      </c>
      <c r="L6549" s="10">
        <v>40908</v>
      </c>
      <c r="M6549">
        <v>3410.1575</v>
      </c>
      <c r="N6549" s="11">
        <v>48</v>
      </c>
      <c r="O6549" s="12">
        <v>85.99</v>
      </c>
      <c r="P6549" s="12">
        <v>0.99</v>
      </c>
      <c r="Q6549" s="13">
        <v>1137.906</v>
      </c>
      <c r="R6549" s="36" t="s">
        <v>491</v>
      </c>
      <c r="S6549" s="7">
        <f t="shared" si="574"/>
        <v>2</v>
      </c>
      <c r="T6549" s="15" t="str">
        <f>VLOOKUP(R6549,产品分类!$C$2:$D$1278,2,0)</f>
        <v>办公用品</v>
      </c>
    </row>
    <row r="6550" spans="1:20">
      <c r="A6550" s="8">
        <f>DATE(2012,12,31)-190</f>
        <v>41084</v>
      </c>
      <c r="B6550" s="8">
        <f>DATE(2012,12,31)-190</f>
        <v>41084</v>
      </c>
      <c r="C6550" s="9" t="s">
        <v>1774</v>
      </c>
      <c r="D6550">
        <v>10021687442</v>
      </c>
      <c r="E6550" t="s">
        <v>47</v>
      </c>
      <c r="F6550" t="s">
        <v>66</v>
      </c>
      <c r="G6550" t="s">
        <v>67</v>
      </c>
      <c r="H6550" t="s">
        <v>2467</v>
      </c>
      <c r="I6550" t="s">
        <v>2468</v>
      </c>
      <c r="J6550" t="s">
        <v>52</v>
      </c>
      <c r="K6550" s="3">
        <v>100131681056</v>
      </c>
      <c r="L6550" s="10">
        <v>41086</v>
      </c>
      <c r="M6550">
        <v>1676.25</v>
      </c>
      <c r="N6550" s="11">
        <v>47</v>
      </c>
      <c r="O6550" s="12">
        <v>36.65</v>
      </c>
      <c r="P6550" s="12">
        <v>22.6</v>
      </c>
      <c r="Q6550" s="13">
        <v>-458.33</v>
      </c>
      <c r="R6550" s="36" t="s">
        <v>1310</v>
      </c>
      <c r="S6550" s="7">
        <f t="shared" si="574"/>
        <v>2</v>
      </c>
      <c r="T6550" s="15" t="str">
        <f>VLOOKUP(R6550,产品分类!$C$2:$D$1278,2,0)</f>
        <v>办公用品</v>
      </c>
    </row>
    <row r="6551" spans="1:20">
      <c r="A6551" s="8">
        <f t="shared" ref="A6551:B6553" si="578">DATE(2012,12,31)-1205</f>
        <v>40069</v>
      </c>
      <c r="B6551" s="8">
        <f t="shared" si="578"/>
        <v>40069</v>
      </c>
      <c r="C6551" s="9" t="s">
        <v>2071</v>
      </c>
      <c r="D6551">
        <v>10021377631</v>
      </c>
      <c r="E6551" t="s">
        <v>47</v>
      </c>
      <c r="F6551" t="s">
        <v>97</v>
      </c>
      <c r="G6551" t="s">
        <v>98</v>
      </c>
      <c r="H6551" t="s">
        <v>99</v>
      </c>
      <c r="I6551" t="s">
        <v>98</v>
      </c>
      <c r="J6551" t="s">
        <v>52</v>
      </c>
      <c r="K6551" s="3">
        <v>100422956763</v>
      </c>
      <c r="L6551" s="10">
        <v>40070</v>
      </c>
      <c r="M6551">
        <v>142.94</v>
      </c>
      <c r="N6551" s="11">
        <v>17</v>
      </c>
      <c r="O6551" s="12">
        <v>7.38</v>
      </c>
      <c r="P6551" s="12">
        <v>11.51</v>
      </c>
      <c r="Q6551" s="13">
        <v>-129.559</v>
      </c>
      <c r="R6551" s="36" t="s">
        <v>1219</v>
      </c>
      <c r="S6551" s="7">
        <f t="shared" si="574"/>
        <v>1</v>
      </c>
      <c r="T6551" s="15" t="str">
        <f>VLOOKUP(R6551,产品分类!$C$2:$D$1278,2,0)</f>
        <v>数码电子</v>
      </c>
    </row>
    <row r="6552" spans="1:20">
      <c r="A6552" s="8">
        <f t="shared" si="578"/>
        <v>40069</v>
      </c>
      <c r="B6552" s="8">
        <f t="shared" si="578"/>
        <v>40069</v>
      </c>
      <c r="C6552" s="9" t="s">
        <v>2364</v>
      </c>
      <c r="D6552">
        <v>10021372821</v>
      </c>
      <c r="E6552" t="s">
        <v>47</v>
      </c>
      <c r="F6552" t="s">
        <v>208</v>
      </c>
      <c r="G6552" t="s">
        <v>209</v>
      </c>
      <c r="H6552" t="s">
        <v>2300</v>
      </c>
      <c r="I6552" t="s">
        <v>2301</v>
      </c>
      <c r="J6552" t="s">
        <v>52</v>
      </c>
      <c r="K6552" s="3">
        <v>100310708419</v>
      </c>
      <c r="L6552" s="10">
        <v>40070</v>
      </c>
      <c r="M6552">
        <v>240.61</v>
      </c>
      <c r="N6552" s="11">
        <v>35</v>
      </c>
      <c r="O6552" s="12">
        <v>6.48</v>
      </c>
      <c r="P6552" s="12">
        <v>7.91</v>
      </c>
      <c r="Q6552" s="13">
        <v>-133.12</v>
      </c>
      <c r="R6552" s="36" t="s">
        <v>414</v>
      </c>
      <c r="S6552" s="7">
        <f t="shared" si="574"/>
        <v>1</v>
      </c>
      <c r="T6552" s="15" t="str">
        <f>VLOOKUP(R6552,产品分类!$C$2:$D$1278,2,0)</f>
        <v>数码电子</v>
      </c>
    </row>
    <row r="6553" spans="1:20">
      <c r="A6553" s="8">
        <f t="shared" si="578"/>
        <v>40069</v>
      </c>
      <c r="B6553" s="8">
        <f t="shared" si="578"/>
        <v>40069</v>
      </c>
      <c r="C6553" s="9" t="s">
        <v>2364</v>
      </c>
      <c r="D6553">
        <v>10021409021</v>
      </c>
      <c r="E6553" t="s">
        <v>47</v>
      </c>
      <c r="F6553" t="s">
        <v>603</v>
      </c>
      <c r="G6553" t="s">
        <v>604</v>
      </c>
      <c r="H6553" t="s">
        <v>605</v>
      </c>
      <c r="I6553" t="s">
        <v>606</v>
      </c>
      <c r="J6553" t="s">
        <v>52</v>
      </c>
      <c r="K6553" s="3">
        <v>100712812745</v>
      </c>
      <c r="L6553" s="10">
        <v>40070</v>
      </c>
      <c r="M6553">
        <v>1912.76</v>
      </c>
      <c r="N6553" s="11">
        <v>17</v>
      </c>
      <c r="O6553" s="12">
        <v>111.03</v>
      </c>
      <c r="P6553" s="12">
        <v>8.64</v>
      </c>
      <c r="Q6553" s="13">
        <v>71.56</v>
      </c>
      <c r="R6553" s="36" t="s">
        <v>312</v>
      </c>
      <c r="S6553" s="7">
        <f t="shared" si="574"/>
        <v>1</v>
      </c>
      <c r="T6553" s="15" t="str">
        <f>VLOOKUP(R6553,产品分类!$C$2:$D$1278,2,0)</f>
        <v>数码电子</v>
      </c>
    </row>
    <row r="6554" spans="1:20">
      <c r="A6554" s="8">
        <f>DATE(2012,12,31)-833</f>
        <v>40441</v>
      </c>
      <c r="B6554" s="8">
        <f>DATE(2012,12,31)-833</f>
        <v>40441</v>
      </c>
      <c r="C6554" s="9" t="s">
        <v>2364</v>
      </c>
      <c r="D6554">
        <v>10021687024</v>
      </c>
      <c r="E6554" t="s">
        <v>47</v>
      </c>
      <c r="F6554" t="s">
        <v>434</v>
      </c>
      <c r="G6554" t="s">
        <v>435</v>
      </c>
      <c r="H6554" t="s">
        <v>436</v>
      </c>
      <c r="I6554" t="s">
        <v>437</v>
      </c>
      <c r="J6554" t="s">
        <v>52</v>
      </c>
      <c r="K6554" s="3">
        <v>10092337681</v>
      </c>
      <c r="L6554" s="10">
        <v>40443</v>
      </c>
      <c r="M6554">
        <v>80</v>
      </c>
      <c r="N6554" s="11">
        <v>13</v>
      </c>
      <c r="O6554" s="12">
        <v>5.84</v>
      </c>
      <c r="P6554" s="12">
        <v>1.2</v>
      </c>
      <c r="Q6554" s="13">
        <v>10.96</v>
      </c>
      <c r="R6554" s="36" t="s">
        <v>860</v>
      </c>
      <c r="S6554" s="7">
        <f t="shared" si="574"/>
        <v>2</v>
      </c>
      <c r="T6554" s="15" t="str">
        <f>VLOOKUP(R6554,产品分类!$C$2:$D$1278,2,0)</f>
        <v>办公用品</v>
      </c>
    </row>
    <row r="6555" spans="1:20">
      <c r="A6555" s="8">
        <f>DATE(2012,12,31)-833</f>
        <v>40441</v>
      </c>
      <c r="B6555" s="8">
        <f>DATE(2012,12,31)-833</f>
        <v>40441</v>
      </c>
      <c r="C6555" s="9" t="s">
        <v>2203</v>
      </c>
      <c r="D6555">
        <v>10021729991</v>
      </c>
      <c r="E6555" t="s">
        <v>47</v>
      </c>
      <c r="F6555" t="s">
        <v>177</v>
      </c>
      <c r="G6555" t="s">
        <v>178</v>
      </c>
      <c r="H6555" t="s">
        <v>2529</v>
      </c>
      <c r="I6555" t="s">
        <v>2530</v>
      </c>
      <c r="J6555" t="s">
        <v>52</v>
      </c>
      <c r="K6555" s="3">
        <v>100416053843</v>
      </c>
      <c r="L6555" s="10">
        <v>40442</v>
      </c>
      <c r="M6555">
        <v>137.42</v>
      </c>
      <c r="N6555" s="11">
        <v>8</v>
      </c>
      <c r="O6555" s="12">
        <v>16.91</v>
      </c>
      <c r="P6555" s="12">
        <v>6.25</v>
      </c>
      <c r="Q6555" s="13">
        <v>-24.86</v>
      </c>
      <c r="R6555" s="36" t="s">
        <v>1933</v>
      </c>
      <c r="S6555" s="7">
        <f t="shared" si="574"/>
        <v>1</v>
      </c>
      <c r="T6555" s="15" t="str">
        <f>VLOOKUP(R6555,产品分类!$C$2:$D$1278,2,0)</f>
        <v>办公用品</v>
      </c>
    </row>
    <row r="6556" spans="1:20">
      <c r="A6556" s="8">
        <f>DATE(2012,12,31)-179</f>
        <v>41095</v>
      </c>
      <c r="B6556" s="8">
        <f>DATE(2012,12,31)-179</f>
        <v>41095</v>
      </c>
      <c r="C6556" s="9" t="s">
        <v>111</v>
      </c>
      <c r="D6556">
        <v>10021329603</v>
      </c>
      <c r="E6556" t="s">
        <v>47</v>
      </c>
      <c r="F6556" t="s">
        <v>171</v>
      </c>
      <c r="G6556" t="s">
        <v>172</v>
      </c>
      <c r="H6556" t="s">
        <v>2486</v>
      </c>
      <c r="I6556" t="s">
        <v>2310</v>
      </c>
      <c r="J6556" t="s">
        <v>52</v>
      </c>
      <c r="K6556" s="3">
        <v>100128576516</v>
      </c>
      <c r="L6556" s="10">
        <v>41095</v>
      </c>
      <c r="M6556">
        <v>325.97</v>
      </c>
      <c r="N6556" s="11">
        <v>46</v>
      </c>
      <c r="O6556" s="12">
        <v>6.84</v>
      </c>
      <c r="P6556" s="12">
        <v>8.37</v>
      </c>
      <c r="Q6556" s="13">
        <v>-255.22</v>
      </c>
      <c r="R6556" s="36" t="s">
        <v>691</v>
      </c>
      <c r="S6556" s="7">
        <f t="shared" si="574"/>
        <v>0</v>
      </c>
      <c r="T6556" s="15" t="str">
        <f>VLOOKUP(R6556,产品分类!$C$2:$D$1278,2,0)</f>
        <v>办公用品</v>
      </c>
    </row>
    <row r="6557" spans="1:20">
      <c r="A6557" s="8">
        <f>DATE(2012,12,31)-179</f>
        <v>41095</v>
      </c>
      <c r="B6557" s="8">
        <f>DATE(2012,12,31)-179</f>
        <v>41095</v>
      </c>
      <c r="C6557" s="9" t="s">
        <v>111</v>
      </c>
      <c r="D6557">
        <v>10021604351</v>
      </c>
      <c r="E6557" t="s">
        <v>47</v>
      </c>
      <c r="F6557" t="s">
        <v>342</v>
      </c>
      <c r="G6557" t="s">
        <v>343</v>
      </c>
      <c r="H6557" t="s">
        <v>2515</v>
      </c>
      <c r="I6557" t="s">
        <v>2516</v>
      </c>
      <c r="J6557" t="s">
        <v>52</v>
      </c>
      <c r="K6557" s="3">
        <v>100129157088</v>
      </c>
      <c r="L6557" s="10">
        <v>41097</v>
      </c>
      <c r="M6557">
        <v>49.65</v>
      </c>
      <c r="N6557" s="11">
        <v>10</v>
      </c>
      <c r="O6557" s="12">
        <v>4.55</v>
      </c>
      <c r="P6557" s="12">
        <v>1.49</v>
      </c>
      <c r="Q6557" s="13">
        <v>8.2705</v>
      </c>
      <c r="R6557" s="36" t="s">
        <v>833</v>
      </c>
      <c r="S6557" s="7">
        <f t="shared" si="574"/>
        <v>2</v>
      </c>
      <c r="T6557" s="15" t="str">
        <f>VLOOKUP(R6557,产品分类!$C$2:$D$1278,2,0)</f>
        <v>家具产品</v>
      </c>
    </row>
    <row r="6558" spans="1:20">
      <c r="A6558" s="8">
        <f>DATE(2012,12,31)-1177</f>
        <v>40097</v>
      </c>
      <c r="B6558" s="8">
        <f>DATE(2012,12,31)-1177</f>
        <v>40097</v>
      </c>
      <c r="C6558" s="9" t="s">
        <v>1934</v>
      </c>
      <c r="D6558">
        <v>10021373032</v>
      </c>
      <c r="E6558" t="s">
        <v>47</v>
      </c>
      <c r="F6558" t="s">
        <v>177</v>
      </c>
      <c r="G6558" t="s">
        <v>178</v>
      </c>
      <c r="H6558" t="s">
        <v>2529</v>
      </c>
      <c r="I6558" t="s">
        <v>2530</v>
      </c>
      <c r="J6558" t="s">
        <v>52</v>
      </c>
      <c r="K6558" s="3">
        <v>100122582407</v>
      </c>
      <c r="L6558" s="10">
        <v>40099</v>
      </c>
      <c r="M6558">
        <v>33.64</v>
      </c>
      <c r="N6558" s="11">
        <v>3</v>
      </c>
      <c r="O6558" s="12">
        <v>7.28</v>
      </c>
      <c r="P6558" s="12">
        <v>11.15</v>
      </c>
      <c r="Q6558" s="13">
        <v>-22.45</v>
      </c>
      <c r="R6558" s="36" t="s">
        <v>1341</v>
      </c>
      <c r="S6558" s="7">
        <f t="shared" si="574"/>
        <v>2</v>
      </c>
      <c r="T6558" s="15" t="str">
        <f>VLOOKUP(R6558,产品分类!$C$2:$D$1278,2,0)</f>
        <v>办公用品</v>
      </c>
    </row>
    <row r="6559" spans="1:20">
      <c r="A6559" s="16">
        <f>DATE(2012,12,31)-277</f>
        <v>40997</v>
      </c>
      <c r="B6559" s="16">
        <f>DATE(2012,12,31)-277</f>
        <v>40997</v>
      </c>
      <c r="C6559" s="9" t="s">
        <v>1424</v>
      </c>
      <c r="D6559">
        <v>10021374983</v>
      </c>
      <c r="E6559" t="s">
        <v>47</v>
      </c>
      <c r="F6559" t="s">
        <v>177</v>
      </c>
      <c r="G6559" t="s">
        <v>178</v>
      </c>
      <c r="H6559" t="s">
        <v>2529</v>
      </c>
      <c r="I6559" t="s">
        <v>2530</v>
      </c>
      <c r="J6559" t="s">
        <v>52</v>
      </c>
      <c r="K6559" s="3">
        <v>100721815805</v>
      </c>
      <c r="L6559" s="10">
        <v>40999</v>
      </c>
      <c r="M6559">
        <v>174.1</v>
      </c>
      <c r="N6559" s="17">
        <v>28</v>
      </c>
      <c r="O6559" s="5">
        <v>6.48</v>
      </c>
      <c r="P6559" s="5">
        <v>9.17</v>
      </c>
      <c r="Q6559" s="6">
        <v>-162.75</v>
      </c>
      <c r="R6559" s="37" t="s">
        <v>292</v>
      </c>
      <c r="S6559" s="7">
        <f t="shared" si="574"/>
        <v>2</v>
      </c>
      <c r="T6559" s="15" t="str">
        <f>VLOOKUP(R6559,产品分类!$C$2:$D$1278,2,0)</f>
        <v>办公用品</v>
      </c>
    </row>
    <row r="6560" spans="1:20">
      <c r="A6560" s="8">
        <f>DATE(2012,12,31)-277</f>
        <v>40997</v>
      </c>
      <c r="B6560" s="8">
        <f>DATE(2012,12,31)-277</f>
        <v>40997</v>
      </c>
      <c r="C6560" s="9" t="s">
        <v>1424</v>
      </c>
      <c r="D6560">
        <v>10021489990</v>
      </c>
      <c r="E6560" t="s">
        <v>47</v>
      </c>
      <c r="F6560" t="s">
        <v>61</v>
      </c>
      <c r="G6560" t="s">
        <v>62</v>
      </c>
      <c r="H6560" t="s">
        <v>2506</v>
      </c>
      <c r="I6560" t="s">
        <v>2507</v>
      </c>
      <c r="J6560" t="s">
        <v>52</v>
      </c>
      <c r="K6560" s="3">
        <v>100933047021</v>
      </c>
      <c r="L6560" s="10">
        <v>40999</v>
      </c>
      <c r="M6560">
        <v>693.17</v>
      </c>
      <c r="N6560" s="11">
        <v>32</v>
      </c>
      <c r="O6560" s="12">
        <v>22.99</v>
      </c>
      <c r="P6560" s="12">
        <v>8.99</v>
      </c>
      <c r="Q6560" s="13">
        <v>-59.83</v>
      </c>
      <c r="R6560" s="36" t="s">
        <v>522</v>
      </c>
      <c r="S6560" s="7">
        <f t="shared" si="574"/>
        <v>2</v>
      </c>
      <c r="T6560" s="15" t="str">
        <f>VLOOKUP(R6560,产品分类!$C$2:$D$1278,2,0)</f>
        <v>家具产品</v>
      </c>
    </row>
    <row r="6561" spans="1:20">
      <c r="A6561" s="8">
        <f>DATE(2012,12,31)-1147</f>
        <v>40127</v>
      </c>
      <c r="B6561" s="8">
        <f>DATE(2012,12,31)-1147</f>
        <v>40127</v>
      </c>
      <c r="C6561" s="9" t="s">
        <v>417</v>
      </c>
      <c r="D6561">
        <v>10021520977</v>
      </c>
      <c r="E6561" t="s">
        <v>47</v>
      </c>
      <c r="F6561" t="s">
        <v>61</v>
      </c>
      <c r="G6561" t="s">
        <v>62</v>
      </c>
      <c r="H6561" t="s">
        <v>2506</v>
      </c>
      <c r="I6561" t="s">
        <v>2507</v>
      </c>
      <c r="J6561" t="s">
        <v>52</v>
      </c>
      <c r="K6561" s="3">
        <v>100829754652</v>
      </c>
      <c r="L6561" s="10">
        <v>40129</v>
      </c>
      <c r="M6561">
        <v>3842.99</v>
      </c>
      <c r="N6561" s="11">
        <v>39</v>
      </c>
      <c r="O6561" s="12">
        <v>95.43</v>
      </c>
      <c r="P6561" s="12">
        <v>19.99</v>
      </c>
      <c r="Q6561" s="13">
        <v>-67.68</v>
      </c>
      <c r="R6561" s="36" t="s">
        <v>463</v>
      </c>
      <c r="S6561" s="7">
        <f t="shared" si="574"/>
        <v>2</v>
      </c>
      <c r="T6561" s="15" t="str">
        <f>VLOOKUP(R6561,产品分类!$C$2:$D$1278,2,0)</f>
        <v>家具产品</v>
      </c>
    </row>
    <row r="6562" spans="1:20">
      <c r="A6562" s="8">
        <f>DATE(2012,12,31)-749</f>
        <v>40525</v>
      </c>
      <c r="B6562" s="8">
        <f>DATE(2012,12,31)-749</f>
        <v>40525</v>
      </c>
      <c r="C6562" s="9" t="s">
        <v>2007</v>
      </c>
      <c r="D6562">
        <v>10021700567</v>
      </c>
      <c r="E6562" t="s">
        <v>47</v>
      </c>
      <c r="F6562" t="s">
        <v>61</v>
      </c>
      <c r="G6562" t="s">
        <v>62</v>
      </c>
      <c r="H6562" t="s">
        <v>2506</v>
      </c>
      <c r="I6562" t="s">
        <v>2507</v>
      </c>
      <c r="J6562" t="s">
        <v>52</v>
      </c>
      <c r="K6562" s="3">
        <v>100433061764</v>
      </c>
      <c r="L6562" s="10">
        <v>40526</v>
      </c>
      <c r="M6562">
        <v>188.54</v>
      </c>
      <c r="N6562" s="11">
        <v>23</v>
      </c>
      <c r="O6562" s="12">
        <v>8.33</v>
      </c>
      <c r="P6562" s="12">
        <v>1.99</v>
      </c>
      <c r="Q6562" s="13">
        <v>9.82000000000001</v>
      </c>
      <c r="R6562" s="36" t="s">
        <v>187</v>
      </c>
      <c r="S6562" s="7">
        <f t="shared" si="574"/>
        <v>1</v>
      </c>
      <c r="T6562" s="15" t="str">
        <f>VLOOKUP(R6562,产品分类!$C$2:$D$1278,2,0)</f>
        <v>数码电子</v>
      </c>
    </row>
    <row r="6563" spans="1:20">
      <c r="A6563" s="8">
        <f>DATE(2012,12,31)-338</f>
        <v>40936</v>
      </c>
      <c r="B6563" s="8">
        <f>DATE(2012,12,31)-338</f>
        <v>40936</v>
      </c>
      <c r="C6563" s="9" t="s">
        <v>1609</v>
      </c>
      <c r="D6563">
        <v>10021278693</v>
      </c>
      <c r="E6563" t="s">
        <v>47</v>
      </c>
      <c r="F6563" t="s">
        <v>2517</v>
      </c>
      <c r="G6563" t="s">
        <v>2518</v>
      </c>
      <c r="H6563" t="s">
        <v>2519</v>
      </c>
      <c r="I6563" t="s">
        <v>2520</v>
      </c>
      <c r="J6563" t="s">
        <v>52</v>
      </c>
      <c r="K6563" s="3">
        <v>100313967969</v>
      </c>
      <c r="L6563" s="10">
        <v>40938</v>
      </c>
      <c r="M6563">
        <v>1591.89</v>
      </c>
      <c r="N6563" s="11">
        <v>46</v>
      </c>
      <c r="O6563" s="12">
        <v>34.98</v>
      </c>
      <c r="P6563" s="12">
        <v>7.53</v>
      </c>
      <c r="Q6563" s="13">
        <v>-117.31</v>
      </c>
      <c r="R6563" s="36" t="s">
        <v>784</v>
      </c>
      <c r="S6563" s="7">
        <f t="shared" si="574"/>
        <v>2</v>
      </c>
      <c r="T6563" s="15" t="str">
        <f>VLOOKUP(R6563,产品分类!$C$2:$D$1278,2,0)</f>
        <v>数码电子</v>
      </c>
    </row>
    <row r="6564" spans="1:20">
      <c r="A6564" s="8">
        <f>DATE(2012,12,31)-338</f>
        <v>40936</v>
      </c>
      <c r="B6564" s="8">
        <f>DATE(2012,12,31)-338</f>
        <v>40936</v>
      </c>
      <c r="C6564" s="9" t="s">
        <v>1609</v>
      </c>
      <c r="D6564">
        <v>10021642702</v>
      </c>
      <c r="E6564" t="s">
        <v>47</v>
      </c>
      <c r="F6564" t="s">
        <v>83</v>
      </c>
      <c r="G6564" t="s">
        <v>84</v>
      </c>
      <c r="H6564" t="s">
        <v>2510</v>
      </c>
      <c r="I6564" t="s">
        <v>2511</v>
      </c>
      <c r="J6564" t="s">
        <v>52</v>
      </c>
      <c r="K6564" s="3">
        <v>100329414299</v>
      </c>
      <c r="L6564" s="10">
        <v>40937</v>
      </c>
      <c r="M6564">
        <v>220.07</v>
      </c>
      <c r="N6564" s="11">
        <v>44</v>
      </c>
      <c r="O6564" s="12">
        <v>4.89</v>
      </c>
      <c r="P6564" s="12">
        <v>4.93</v>
      </c>
      <c r="Q6564" s="13">
        <v>-158.42</v>
      </c>
      <c r="R6564" s="36" t="s">
        <v>946</v>
      </c>
      <c r="S6564" s="7">
        <f t="shared" si="574"/>
        <v>1</v>
      </c>
      <c r="T6564" s="15" t="str">
        <f>VLOOKUP(R6564,产品分类!$C$2:$D$1278,2,0)</f>
        <v>数码电子</v>
      </c>
    </row>
    <row r="6565" spans="1:20">
      <c r="A6565" s="8">
        <f>DATE(2012,12,31)-1319</f>
        <v>39955</v>
      </c>
      <c r="B6565" s="8">
        <f>DATE(2012,12,31)-1319</f>
        <v>39955</v>
      </c>
      <c r="C6565" s="9" t="s">
        <v>1609</v>
      </c>
      <c r="D6565">
        <v>10021456127</v>
      </c>
      <c r="E6565" t="s">
        <v>47</v>
      </c>
      <c r="F6565" t="s">
        <v>132</v>
      </c>
      <c r="G6565" t="s">
        <v>133</v>
      </c>
      <c r="H6565" t="s">
        <v>134</v>
      </c>
      <c r="I6565" t="s">
        <v>133</v>
      </c>
      <c r="J6565" t="s">
        <v>52</v>
      </c>
      <c r="K6565" s="3">
        <v>100124652308</v>
      </c>
      <c r="L6565" s="10">
        <v>39955</v>
      </c>
      <c r="M6565">
        <v>5648.69</v>
      </c>
      <c r="N6565" s="11">
        <v>22</v>
      </c>
      <c r="O6565" s="12">
        <v>256.99</v>
      </c>
      <c r="P6565" s="12">
        <v>11.25</v>
      </c>
      <c r="Q6565" s="13">
        <v>1489.8</v>
      </c>
      <c r="R6565" s="36" t="s">
        <v>1684</v>
      </c>
      <c r="S6565" s="7">
        <f t="shared" si="574"/>
        <v>0</v>
      </c>
      <c r="T6565" s="15" t="str">
        <f>VLOOKUP(R6565,产品分类!$C$2:$D$1278,2,0)</f>
        <v>办公用品</v>
      </c>
    </row>
    <row r="6566" spans="1:20">
      <c r="A6566" s="8">
        <f>DATE(2012,12,31)-1032</f>
        <v>40242</v>
      </c>
      <c r="B6566" s="8">
        <f>DATE(2012,12,31)-1032</f>
        <v>40242</v>
      </c>
      <c r="C6566" s="9" t="s">
        <v>1301</v>
      </c>
      <c r="D6566">
        <v>10021377149</v>
      </c>
      <c r="E6566" t="s">
        <v>47</v>
      </c>
      <c r="F6566" t="s">
        <v>527</v>
      </c>
      <c r="G6566" t="s">
        <v>528</v>
      </c>
      <c r="H6566" t="s">
        <v>2513</v>
      </c>
      <c r="I6566" t="s">
        <v>2514</v>
      </c>
      <c r="J6566" t="s">
        <v>52</v>
      </c>
      <c r="K6566" s="3">
        <v>100729861905</v>
      </c>
      <c r="L6566" s="10">
        <v>40243</v>
      </c>
      <c r="M6566">
        <v>53.34</v>
      </c>
      <c r="N6566" s="11">
        <v>32</v>
      </c>
      <c r="O6566" s="12">
        <v>1.68</v>
      </c>
      <c r="P6566" s="12">
        <v>0.7</v>
      </c>
      <c r="Q6566" s="13">
        <v>-4.68</v>
      </c>
      <c r="R6566" s="36" t="s">
        <v>2535</v>
      </c>
      <c r="S6566" s="7">
        <f t="shared" si="574"/>
        <v>1</v>
      </c>
      <c r="T6566" s="15" t="str">
        <f>VLOOKUP(R6566,产品分类!$C$2:$D$1278,2,0)</f>
        <v>家具产品</v>
      </c>
    </row>
    <row r="6567" spans="1:20">
      <c r="A6567" s="8">
        <f>DATE(2012,12,31)-912</f>
        <v>40362</v>
      </c>
      <c r="B6567" s="8">
        <f>DATE(2012,12,31)-912</f>
        <v>40362</v>
      </c>
      <c r="C6567" s="9" t="s">
        <v>1127</v>
      </c>
      <c r="D6567">
        <v>10021307763</v>
      </c>
      <c r="E6567" t="s">
        <v>47</v>
      </c>
      <c r="F6567" t="s">
        <v>171</v>
      </c>
      <c r="G6567" t="s">
        <v>172</v>
      </c>
      <c r="H6567" t="s">
        <v>2486</v>
      </c>
      <c r="I6567" t="s">
        <v>2310</v>
      </c>
      <c r="J6567" t="s">
        <v>52</v>
      </c>
      <c r="K6567" s="3">
        <v>100815829582</v>
      </c>
      <c r="L6567" s="10">
        <v>40364</v>
      </c>
      <c r="M6567">
        <v>29.99</v>
      </c>
      <c r="N6567" s="11">
        <v>1</v>
      </c>
      <c r="O6567" s="12">
        <v>21.98</v>
      </c>
      <c r="P6567" s="12">
        <v>8.32</v>
      </c>
      <c r="Q6567" s="13">
        <v>-8.88</v>
      </c>
      <c r="R6567" s="36" t="s">
        <v>1739</v>
      </c>
      <c r="S6567" s="7">
        <f t="shared" si="574"/>
        <v>2</v>
      </c>
      <c r="T6567" s="15" t="str">
        <f>VLOOKUP(R6567,产品分类!$C$2:$D$1278,2,0)</f>
        <v>家具产品</v>
      </c>
    </row>
    <row r="6568" spans="1:20">
      <c r="A6568" s="8">
        <f>DATE(2012,12,31)-1182</f>
        <v>40092</v>
      </c>
      <c r="B6568" s="8">
        <f>DATE(2012,12,31)-1182</f>
        <v>40092</v>
      </c>
      <c r="C6568" s="9" t="s">
        <v>1127</v>
      </c>
      <c r="D6568">
        <v>10021489972</v>
      </c>
      <c r="E6568" t="s">
        <v>47</v>
      </c>
      <c r="F6568" t="s">
        <v>177</v>
      </c>
      <c r="G6568" t="s">
        <v>178</v>
      </c>
      <c r="H6568" t="s">
        <v>2529</v>
      </c>
      <c r="I6568" t="s">
        <v>2530</v>
      </c>
      <c r="J6568" t="s">
        <v>52</v>
      </c>
      <c r="K6568" s="3">
        <v>100127762998</v>
      </c>
      <c r="L6568" s="10">
        <v>40094</v>
      </c>
      <c r="M6568">
        <v>176.28</v>
      </c>
      <c r="N6568" s="11">
        <v>31</v>
      </c>
      <c r="O6568" s="12">
        <v>5.18</v>
      </c>
      <c r="P6568" s="12">
        <v>5.74</v>
      </c>
      <c r="Q6568" s="13">
        <v>-80.3045</v>
      </c>
      <c r="R6568" s="36" t="s">
        <v>581</v>
      </c>
      <c r="S6568" s="7">
        <f t="shared" si="574"/>
        <v>2</v>
      </c>
      <c r="T6568" s="15" t="str">
        <f>VLOOKUP(R6568,产品分类!$C$2:$D$1278,2,0)</f>
        <v>办公用品</v>
      </c>
    </row>
    <row r="6569" spans="1:20">
      <c r="A6569" s="16">
        <f t="shared" ref="A6569:B6571" si="579">DATE(2012,12,31)-1444</f>
        <v>39830</v>
      </c>
      <c r="B6569" s="16">
        <f t="shared" si="579"/>
        <v>39830</v>
      </c>
      <c r="C6569" s="9" t="s">
        <v>1127</v>
      </c>
      <c r="D6569">
        <v>10021498836</v>
      </c>
      <c r="E6569" t="s">
        <v>47</v>
      </c>
      <c r="F6569" t="s">
        <v>97</v>
      </c>
      <c r="G6569" t="s">
        <v>98</v>
      </c>
      <c r="H6569" t="s">
        <v>99</v>
      </c>
      <c r="I6569" t="s">
        <v>98</v>
      </c>
      <c r="J6569" t="s">
        <v>52</v>
      </c>
      <c r="K6569" s="3">
        <v>100123569357</v>
      </c>
      <c r="L6569" s="10">
        <v>39832</v>
      </c>
      <c r="M6569">
        <v>130.11</v>
      </c>
      <c r="N6569" s="17">
        <v>18</v>
      </c>
      <c r="O6569" s="5">
        <v>7.64</v>
      </c>
      <c r="P6569" s="5">
        <v>1.39</v>
      </c>
      <c r="Q6569" s="6">
        <v>40.3</v>
      </c>
      <c r="R6569" s="37" t="s">
        <v>1646</v>
      </c>
      <c r="S6569" s="7">
        <f t="shared" si="574"/>
        <v>2</v>
      </c>
      <c r="T6569" s="15" t="str">
        <f>VLOOKUP(R6569,产品分类!$C$2:$D$1278,2,0)</f>
        <v>数码电子</v>
      </c>
    </row>
    <row r="6570" spans="1:20">
      <c r="A6570" s="8">
        <f t="shared" si="579"/>
        <v>39830</v>
      </c>
      <c r="B6570" s="8">
        <f t="shared" si="579"/>
        <v>39830</v>
      </c>
      <c r="C6570" s="9" t="s">
        <v>145</v>
      </c>
      <c r="D6570">
        <v>10021521974</v>
      </c>
      <c r="E6570" t="s">
        <v>47</v>
      </c>
      <c r="F6570" t="s">
        <v>66</v>
      </c>
      <c r="G6570" t="s">
        <v>67</v>
      </c>
      <c r="H6570" t="s">
        <v>2467</v>
      </c>
      <c r="I6570" t="s">
        <v>2468</v>
      </c>
      <c r="J6570" t="s">
        <v>52</v>
      </c>
      <c r="K6570" s="3">
        <v>10019686308</v>
      </c>
      <c r="L6570" s="10">
        <v>39832</v>
      </c>
      <c r="M6570">
        <v>337.3395</v>
      </c>
      <c r="N6570" s="11">
        <v>3</v>
      </c>
      <c r="O6570" s="12">
        <v>125.99</v>
      </c>
      <c r="P6570" s="12">
        <v>2.5</v>
      </c>
      <c r="Q6570" s="13">
        <v>-509.938</v>
      </c>
      <c r="R6570" s="36" t="s">
        <v>1478</v>
      </c>
      <c r="S6570" s="7">
        <f t="shared" si="574"/>
        <v>2</v>
      </c>
      <c r="T6570" s="15" t="str">
        <f>VLOOKUP(R6570,产品分类!$C$2:$D$1278,2,0)</f>
        <v>办公用品</v>
      </c>
    </row>
    <row r="6571" spans="1:20">
      <c r="A6571" s="8">
        <f t="shared" si="579"/>
        <v>39830</v>
      </c>
      <c r="B6571" s="8">
        <f t="shared" si="579"/>
        <v>39830</v>
      </c>
      <c r="C6571" s="9" t="s">
        <v>145</v>
      </c>
      <c r="D6571">
        <v>10021495480</v>
      </c>
      <c r="E6571" t="s">
        <v>47</v>
      </c>
      <c r="F6571" t="s">
        <v>48</v>
      </c>
      <c r="G6571" t="s">
        <v>49</v>
      </c>
      <c r="H6571" t="s">
        <v>2474</v>
      </c>
      <c r="I6571" t="s">
        <v>2475</v>
      </c>
      <c r="J6571" t="s">
        <v>52</v>
      </c>
      <c r="K6571" s="3">
        <v>10037380949</v>
      </c>
      <c r="L6571" s="10">
        <v>39831</v>
      </c>
      <c r="M6571">
        <v>280.43</v>
      </c>
      <c r="N6571" s="11">
        <v>25</v>
      </c>
      <c r="O6571" s="12">
        <v>11.55</v>
      </c>
      <c r="P6571" s="12">
        <v>2.36</v>
      </c>
      <c r="Q6571" s="13">
        <v>39.52</v>
      </c>
      <c r="R6571" s="36" t="s">
        <v>1673</v>
      </c>
      <c r="S6571" s="7">
        <f t="shared" si="574"/>
        <v>1</v>
      </c>
      <c r="T6571" s="15" t="str">
        <f>VLOOKUP(R6571,产品分类!$C$2:$D$1278,2,0)</f>
        <v>家具产品</v>
      </c>
    </row>
    <row r="6572" spans="1:20">
      <c r="A6572" s="8">
        <f t="shared" ref="A6572:B6574" si="580">DATE(2012,12,31)-573</f>
        <v>40701</v>
      </c>
      <c r="B6572" s="8">
        <f t="shared" si="580"/>
        <v>40701</v>
      </c>
      <c r="C6572" s="9" t="s">
        <v>375</v>
      </c>
      <c r="D6572">
        <v>10021583457</v>
      </c>
      <c r="E6572" t="s">
        <v>47</v>
      </c>
      <c r="F6572" t="s">
        <v>152</v>
      </c>
      <c r="G6572" t="s">
        <v>153</v>
      </c>
      <c r="H6572" t="s">
        <v>2441</v>
      </c>
      <c r="I6572" t="s">
        <v>2442</v>
      </c>
      <c r="J6572" t="s">
        <v>52</v>
      </c>
      <c r="K6572" s="3">
        <v>100426686183</v>
      </c>
      <c r="L6572" s="10">
        <v>40705</v>
      </c>
      <c r="M6572">
        <v>632.55</v>
      </c>
      <c r="N6572" s="11">
        <v>27</v>
      </c>
      <c r="O6572" s="12">
        <v>22.72</v>
      </c>
      <c r="P6572" s="12">
        <v>8.99</v>
      </c>
      <c r="Q6572" s="13">
        <v>165.35</v>
      </c>
      <c r="R6572" s="36" t="s">
        <v>1239</v>
      </c>
      <c r="S6572" s="7">
        <f t="shared" si="574"/>
        <v>4</v>
      </c>
      <c r="T6572" s="15" t="str">
        <f>VLOOKUP(R6572,产品分类!$C$2:$D$1278,2,0)</f>
        <v>办公用品</v>
      </c>
    </row>
    <row r="6573" spans="1:20">
      <c r="A6573" s="8">
        <f t="shared" si="580"/>
        <v>40701</v>
      </c>
      <c r="B6573" s="8">
        <f t="shared" si="580"/>
        <v>40701</v>
      </c>
      <c r="C6573" s="9" t="s">
        <v>375</v>
      </c>
      <c r="D6573">
        <v>10021668362</v>
      </c>
      <c r="E6573" t="s">
        <v>47</v>
      </c>
      <c r="F6573" t="s">
        <v>66</v>
      </c>
      <c r="G6573" t="s">
        <v>67</v>
      </c>
      <c r="H6573" t="s">
        <v>2467</v>
      </c>
      <c r="I6573" t="s">
        <v>2468</v>
      </c>
      <c r="J6573" t="s">
        <v>52</v>
      </c>
      <c r="K6573" s="3">
        <v>100129126947</v>
      </c>
      <c r="L6573" s="10">
        <v>40705</v>
      </c>
      <c r="M6573">
        <v>90.96</v>
      </c>
      <c r="N6573" s="11">
        <v>48</v>
      </c>
      <c r="O6573" s="12">
        <v>1.81</v>
      </c>
      <c r="P6573" s="12">
        <v>1.56</v>
      </c>
      <c r="Q6573" s="13">
        <v>-30.11</v>
      </c>
      <c r="R6573" s="36" t="s">
        <v>1668</v>
      </c>
      <c r="S6573" s="7">
        <f t="shared" si="574"/>
        <v>4</v>
      </c>
      <c r="T6573" s="15" t="str">
        <f>VLOOKUP(R6573,产品分类!$C$2:$D$1278,2,0)</f>
        <v>办公用品</v>
      </c>
    </row>
    <row r="6574" spans="1:20">
      <c r="A6574" s="8">
        <f t="shared" si="580"/>
        <v>40701</v>
      </c>
      <c r="B6574" s="8">
        <f t="shared" si="580"/>
        <v>40701</v>
      </c>
      <c r="C6574" s="9" t="s">
        <v>2025</v>
      </c>
      <c r="D6574">
        <v>10021344249</v>
      </c>
      <c r="E6574" t="s">
        <v>47</v>
      </c>
      <c r="F6574" t="s">
        <v>152</v>
      </c>
      <c r="G6574" t="s">
        <v>153</v>
      </c>
      <c r="H6574" t="s">
        <v>2441</v>
      </c>
      <c r="I6574" t="s">
        <v>2442</v>
      </c>
      <c r="J6574" t="s">
        <v>52</v>
      </c>
      <c r="K6574" s="3">
        <v>100429493463</v>
      </c>
      <c r="L6574" s="10">
        <v>40706</v>
      </c>
      <c r="M6574">
        <v>1997.13</v>
      </c>
      <c r="N6574" s="11">
        <v>32</v>
      </c>
      <c r="O6574" s="12">
        <v>63.94</v>
      </c>
      <c r="P6574" s="12">
        <v>14.48</v>
      </c>
      <c r="Q6574" s="13">
        <v>720.45</v>
      </c>
      <c r="R6574" s="36" t="s">
        <v>1394</v>
      </c>
      <c r="S6574" s="7">
        <f t="shared" si="574"/>
        <v>5</v>
      </c>
      <c r="T6574" s="15" t="str">
        <f>VLOOKUP(R6574,产品分类!$C$2:$D$1278,2,0)</f>
        <v>办公用品</v>
      </c>
    </row>
    <row r="6575" spans="1:20">
      <c r="A6575" s="8">
        <f>DATE(2012,12,31)-184</f>
        <v>41090</v>
      </c>
      <c r="B6575" s="8">
        <f>DATE(2012,12,31)-184</f>
        <v>41090</v>
      </c>
      <c r="C6575" s="9" t="s">
        <v>323</v>
      </c>
      <c r="D6575">
        <v>10021461674</v>
      </c>
      <c r="E6575" t="s">
        <v>47</v>
      </c>
      <c r="F6575" t="s">
        <v>66</v>
      </c>
      <c r="G6575" t="s">
        <v>67</v>
      </c>
      <c r="H6575" t="s">
        <v>2467</v>
      </c>
      <c r="I6575" t="s">
        <v>2468</v>
      </c>
      <c r="J6575" t="s">
        <v>52</v>
      </c>
      <c r="K6575" s="3">
        <v>100116344408</v>
      </c>
      <c r="L6575" s="10">
        <v>41090</v>
      </c>
      <c r="M6575">
        <v>294</v>
      </c>
      <c r="N6575" s="11">
        <v>5</v>
      </c>
      <c r="O6575" s="12">
        <v>54.74</v>
      </c>
      <c r="P6575" s="12">
        <v>14.83</v>
      </c>
      <c r="Q6575" s="13">
        <v>181.53</v>
      </c>
      <c r="R6575" s="36" t="s">
        <v>1600</v>
      </c>
      <c r="S6575" s="7">
        <f t="shared" si="574"/>
        <v>0</v>
      </c>
      <c r="T6575" s="15" t="str">
        <f>VLOOKUP(R6575,产品分类!$C$2:$D$1278,2,0)</f>
        <v>办公用品</v>
      </c>
    </row>
    <row r="6576" spans="1:20">
      <c r="A6576" s="8">
        <f t="shared" ref="A6576:B6578" si="581">DATE(2012,12,31)-455</f>
        <v>40819</v>
      </c>
      <c r="B6576" s="8">
        <f t="shared" si="581"/>
        <v>40819</v>
      </c>
      <c r="C6576" s="9" t="s">
        <v>323</v>
      </c>
      <c r="D6576">
        <v>10021303384</v>
      </c>
      <c r="E6576" t="s">
        <v>47</v>
      </c>
      <c r="F6576" t="s">
        <v>66</v>
      </c>
      <c r="G6576" t="s">
        <v>67</v>
      </c>
      <c r="H6576" t="s">
        <v>2467</v>
      </c>
      <c r="I6576" t="s">
        <v>2468</v>
      </c>
      <c r="J6576" t="s">
        <v>52</v>
      </c>
      <c r="K6576" s="3">
        <v>100831858302</v>
      </c>
      <c r="L6576" s="10">
        <v>40821</v>
      </c>
      <c r="M6576">
        <v>115.51</v>
      </c>
      <c r="N6576" s="11">
        <v>40</v>
      </c>
      <c r="O6576" s="12">
        <v>2.78</v>
      </c>
      <c r="P6576" s="12">
        <v>0.97</v>
      </c>
      <c r="Q6576" s="13">
        <v>5.54</v>
      </c>
      <c r="R6576" s="36" t="s">
        <v>1582</v>
      </c>
      <c r="S6576" s="7">
        <f t="shared" si="574"/>
        <v>2</v>
      </c>
      <c r="T6576" s="15" t="str">
        <f>VLOOKUP(R6576,产品分类!$C$2:$D$1278,2,0)</f>
        <v>数码电子</v>
      </c>
    </row>
    <row r="6577" spans="1:20">
      <c r="A6577" s="8">
        <f t="shared" si="581"/>
        <v>40819</v>
      </c>
      <c r="B6577" s="8">
        <f t="shared" si="581"/>
        <v>40819</v>
      </c>
      <c r="C6577" s="9" t="s">
        <v>1071</v>
      </c>
      <c r="D6577">
        <v>10021417264</v>
      </c>
      <c r="E6577" t="s">
        <v>47</v>
      </c>
      <c r="F6577" t="s">
        <v>152</v>
      </c>
      <c r="G6577" t="s">
        <v>153</v>
      </c>
      <c r="H6577" t="s">
        <v>2441</v>
      </c>
      <c r="I6577" t="s">
        <v>2442</v>
      </c>
      <c r="J6577" t="s">
        <v>52</v>
      </c>
      <c r="K6577" s="3">
        <v>100716393855</v>
      </c>
      <c r="L6577" s="10">
        <v>40821</v>
      </c>
      <c r="M6577">
        <v>103.79</v>
      </c>
      <c r="N6577" s="11">
        <v>40</v>
      </c>
      <c r="O6577" s="12">
        <v>2.61</v>
      </c>
      <c r="P6577" s="12">
        <v>0.5</v>
      </c>
      <c r="Q6577" s="13">
        <v>37.85</v>
      </c>
      <c r="R6577" s="36" t="s">
        <v>406</v>
      </c>
      <c r="S6577" s="7">
        <f t="shared" si="574"/>
        <v>2</v>
      </c>
      <c r="T6577" s="15" t="str">
        <f>VLOOKUP(R6577,产品分类!$C$2:$D$1278,2,0)</f>
        <v>办公用品</v>
      </c>
    </row>
    <row r="6578" spans="1:20">
      <c r="A6578" s="8">
        <f t="shared" si="581"/>
        <v>40819</v>
      </c>
      <c r="B6578" s="8">
        <f t="shared" si="581"/>
        <v>40819</v>
      </c>
      <c r="C6578" s="9" t="s">
        <v>1667</v>
      </c>
      <c r="D6578">
        <v>10021319973</v>
      </c>
      <c r="E6578" t="s">
        <v>47</v>
      </c>
      <c r="F6578" t="s">
        <v>66</v>
      </c>
      <c r="G6578" t="s">
        <v>67</v>
      </c>
      <c r="H6578" t="s">
        <v>2467</v>
      </c>
      <c r="I6578" t="s">
        <v>2468</v>
      </c>
      <c r="J6578" t="s">
        <v>52</v>
      </c>
      <c r="K6578" s="3">
        <v>100117201306</v>
      </c>
      <c r="L6578" s="10">
        <v>40821</v>
      </c>
      <c r="M6578">
        <v>2108.21</v>
      </c>
      <c r="N6578" s="11">
        <v>40</v>
      </c>
      <c r="O6578" s="12">
        <v>51.75</v>
      </c>
      <c r="P6578" s="12">
        <v>19.99</v>
      </c>
      <c r="Q6578" s="13">
        <v>273.61</v>
      </c>
      <c r="R6578" s="36" t="s">
        <v>1011</v>
      </c>
      <c r="S6578" s="7">
        <f t="shared" si="574"/>
        <v>2</v>
      </c>
      <c r="T6578" s="15" t="str">
        <f>VLOOKUP(R6578,产品分类!$C$2:$D$1278,2,0)</f>
        <v>家具产品</v>
      </c>
    </row>
    <row r="6579" spans="1:20">
      <c r="A6579" s="8">
        <f>DATE(2012,12,31)-1292</f>
        <v>39982</v>
      </c>
      <c r="B6579" s="8">
        <f>DATE(2012,12,31)-1292</f>
        <v>39982</v>
      </c>
      <c r="C6579" s="9" t="s">
        <v>191</v>
      </c>
      <c r="D6579">
        <v>10021257153</v>
      </c>
      <c r="E6579" t="s">
        <v>47</v>
      </c>
      <c r="F6579" t="s">
        <v>152</v>
      </c>
      <c r="G6579" t="s">
        <v>153</v>
      </c>
      <c r="H6579" t="s">
        <v>2536</v>
      </c>
      <c r="I6579" t="s">
        <v>2537</v>
      </c>
      <c r="J6579" t="s">
        <v>52</v>
      </c>
      <c r="K6579" s="3">
        <v>100410044344</v>
      </c>
      <c r="L6579" s="10">
        <v>39984</v>
      </c>
      <c r="M6579">
        <v>4483.92</v>
      </c>
      <c r="N6579" s="11">
        <v>31</v>
      </c>
      <c r="O6579" s="12">
        <v>152.48</v>
      </c>
      <c r="P6579" s="12">
        <v>6.5</v>
      </c>
      <c r="Q6579" s="13">
        <v>174.61</v>
      </c>
      <c r="R6579" s="36" t="s">
        <v>1788</v>
      </c>
      <c r="S6579" s="7">
        <f t="shared" si="574"/>
        <v>2</v>
      </c>
      <c r="T6579" s="15" t="str">
        <f>VLOOKUP(R6579,产品分类!$C$2:$D$1278,2,0)</f>
        <v>办公用品</v>
      </c>
    </row>
    <row r="6580" spans="1:20">
      <c r="A6580" s="8">
        <f>DATE(2012,12,31)-956</f>
        <v>40318</v>
      </c>
      <c r="B6580" s="8">
        <f>DATE(2012,12,31)-956</f>
        <v>40318</v>
      </c>
      <c r="C6580" s="9" t="s">
        <v>191</v>
      </c>
      <c r="D6580">
        <v>10021433131</v>
      </c>
      <c r="E6580" t="s">
        <v>47</v>
      </c>
      <c r="F6580" t="s">
        <v>66</v>
      </c>
      <c r="G6580" t="s">
        <v>67</v>
      </c>
      <c r="H6580" t="s">
        <v>2467</v>
      </c>
      <c r="I6580" t="s">
        <v>2468</v>
      </c>
      <c r="J6580" t="s">
        <v>52</v>
      </c>
      <c r="K6580" s="3">
        <v>100332599499</v>
      </c>
      <c r="L6580" s="10">
        <v>40322</v>
      </c>
      <c r="M6580">
        <v>64.13</v>
      </c>
      <c r="N6580" s="11">
        <v>10</v>
      </c>
      <c r="O6580" s="12">
        <v>6.54</v>
      </c>
      <c r="P6580" s="12">
        <v>5.27</v>
      </c>
      <c r="Q6580" s="13">
        <v>-28.9685</v>
      </c>
      <c r="R6580" s="36" t="s">
        <v>512</v>
      </c>
      <c r="S6580" s="7">
        <f t="shared" si="574"/>
        <v>4</v>
      </c>
      <c r="T6580" s="15" t="str">
        <f>VLOOKUP(R6580,产品分类!$C$2:$D$1278,2,0)</f>
        <v>办公用品</v>
      </c>
    </row>
    <row r="6581" spans="1:20">
      <c r="A6581" s="8">
        <f>DATE(2012,12,31)-1030</f>
        <v>40244</v>
      </c>
      <c r="B6581" s="8">
        <f>DATE(2012,12,31)-1030</f>
        <v>40244</v>
      </c>
      <c r="C6581" s="9" t="s">
        <v>2416</v>
      </c>
      <c r="D6581">
        <v>10021431339</v>
      </c>
      <c r="E6581" t="s">
        <v>47</v>
      </c>
      <c r="F6581" t="s">
        <v>48</v>
      </c>
      <c r="G6581" t="s">
        <v>49</v>
      </c>
      <c r="H6581" t="s">
        <v>2474</v>
      </c>
      <c r="I6581" t="s">
        <v>2475</v>
      </c>
      <c r="J6581" t="s">
        <v>52</v>
      </c>
      <c r="K6581" s="3">
        <v>100132227248</v>
      </c>
      <c r="L6581" s="10">
        <v>40245</v>
      </c>
      <c r="M6581">
        <v>319.39</v>
      </c>
      <c r="N6581" s="11">
        <v>37</v>
      </c>
      <c r="O6581" s="12">
        <v>8.46</v>
      </c>
      <c r="P6581" s="12">
        <v>3.62</v>
      </c>
      <c r="Q6581" s="13">
        <v>-39.33</v>
      </c>
      <c r="R6581" s="36" t="s">
        <v>2153</v>
      </c>
      <c r="S6581" s="7">
        <f t="shared" si="574"/>
        <v>1</v>
      </c>
      <c r="T6581" s="15" t="str">
        <f>VLOOKUP(R6581,产品分类!$C$2:$D$1278,2,0)</f>
        <v>数码电子</v>
      </c>
    </row>
    <row r="6582" spans="1:20">
      <c r="A6582" s="8">
        <f>DATE(2012,12,31)-410</f>
        <v>40864</v>
      </c>
      <c r="B6582" s="8">
        <f>DATE(2012,12,31)-410</f>
        <v>40864</v>
      </c>
      <c r="C6582" s="9" t="s">
        <v>1348</v>
      </c>
      <c r="D6582">
        <v>10021432319</v>
      </c>
      <c r="E6582" t="s">
        <v>47</v>
      </c>
      <c r="F6582" t="s">
        <v>152</v>
      </c>
      <c r="G6582" t="s">
        <v>153</v>
      </c>
      <c r="H6582" t="s">
        <v>2536</v>
      </c>
      <c r="I6582" t="s">
        <v>2537</v>
      </c>
      <c r="J6582" t="s">
        <v>52</v>
      </c>
      <c r="K6582" s="3">
        <v>100132299267</v>
      </c>
      <c r="L6582" s="10">
        <v>40865</v>
      </c>
      <c r="M6582">
        <v>2379.3285</v>
      </c>
      <c r="N6582" s="11">
        <v>26</v>
      </c>
      <c r="O6582" s="12">
        <v>115.99</v>
      </c>
      <c r="P6582" s="12">
        <v>5.92</v>
      </c>
      <c r="Q6582" s="13">
        <v>284.589</v>
      </c>
      <c r="R6582" s="36" t="s">
        <v>1364</v>
      </c>
      <c r="S6582" s="7">
        <f t="shared" si="574"/>
        <v>1</v>
      </c>
      <c r="T6582" s="15" t="str">
        <f>VLOOKUP(R6582,产品分类!$C$2:$D$1278,2,0)</f>
        <v>数码电子</v>
      </c>
    </row>
    <row r="6583" spans="1:20">
      <c r="A6583" s="8">
        <f>DATE(2012,12,31)-238</f>
        <v>41036</v>
      </c>
      <c r="B6583" s="8">
        <f>DATE(2012,12,31)-238</f>
        <v>41036</v>
      </c>
      <c r="C6583" s="9" t="s">
        <v>373</v>
      </c>
      <c r="D6583">
        <v>10021334041</v>
      </c>
      <c r="E6583" t="s">
        <v>47</v>
      </c>
      <c r="F6583" t="s">
        <v>152</v>
      </c>
      <c r="G6583" t="s">
        <v>153</v>
      </c>
      <c r="H6583" t="s">
        <v>2536</v>
      </c>
      <c r="I6583" t="s">
        <v>2537</v>
      </c>
      <c r="J6583" t="s">
        <v>52</v>
      </c>
      <c r="K6583" s="3">
        <v>10016810168</v>
      </c>
      <c r="L6583" s="10">
        <v>41038</v>
      </c>
      <c r="M6583">
        <v>50.42</v>
      </c>
      <c r="N6583" s="11">
        <v>10</v>
      </c>
      <c r="O6583" s="12">
        <v>4.82</v>
      </c>
      <c r="P6583" s="12">
        <v>1.49</v>
      </c>
      <c r="Q6583" s="13">
        <v>7.2505</v>
      </c>
      <c r="R6583" s="36" t="s">
        <v>2114</v>
      </c>
      <c r="S6583" s="7">
        <f t="shared" si="574"/>
        <v>2</v>
      </c>
      <c r="T6583" s="15" t="str">
        <f>VLOOKUP(R6583,产品分类!$C$2:$D$1278,2,0)</f>
        <v>办公用品</v>
      </c>
    </row>
    <row r="6584" spans="1:20">
      <c r="A6584" s="8">
        <f>DATE(2012,12,31)-238</f>
        <v>41036</v>
      </c>
      <c r="B6584" s="8">
        <f>DATE(2012,12,31)-238</f>
        <v>41036</v>
      </c>
      <c r="C6584" s="9" t="s">
        <v>2002</v>
      </c>
      <c r="D6584">
        <v>10021267395</v>
      </c>
      <c r="E6584" t="s">
        <v>47</v>
      </c>
      <c r="F6584" t="s">
        <v>152</v>
      </c>
      <c r="G6584" t="s">
        <v>153</v>
      </c>
      <c r="H6584" t="s">
        <v>2536</v>
      </c>
      <c r="I6584" t="s">
        <v>2537</v>
      </c>
      <c r="J6584" t="s">
        <v>52</v>
      </c>
      <c r="K6584" s="3">
        <v>100432088513</v>
      </c>
      <c r="L6584" s="10">
        <v>41038</v>
      </c>
      <c r="M6584">
        <v>2980.372</v>
      </c>
      <c r="N6584" s="11">
        <v>19</v>
      </c>
      <c r="O6584" s="12">
        <v>175.99</v>
      </c>
      <c r="P6584" s="12">
        <v>8.99</v>
      </c>
      <c r="Q6584" s="13">
        <v>494.631</v>
      </c>
      <c r="R6584" s="36" t="s">
        <v>458</v>
      </c>
      <c r="S6584" s="7">
        <f t="shared" si="574"/>
        <v>2</v>
      </c>
      <c r="T6584" s="15" t="str">
        <f>VLOOKUP(R6584,产品分类!$C$2:$D$1278,2,0)</f>
        <v>家具产品</v>
      </c>
    </row>
    <row r="6585" spans="1:20">
      <c r="A6585" s="8">
        <f>DATE(2012,12,31)-168</f>
        <v>41106</v>
      </c>
      <c r="B6585" s="8">
        <f>DATE(2012,12,31)-168</f>
        <v>41106</v>
      </c>
      <c r="C6585" s="9" t="s">
        <v>802</v>
      </c>
      <c r="D6585">
        <v>10021496611</v>
      </c>
      <c r="E6585" t="s">
        <v>47</v>
      </c>
      <c r="F6585" t="s">
        <v>66</v>
      </c>
      <c r="G6585" t="s">
        <v>67</v>
      </c>
      <c r="H6585" t="s">
        <v>2467</v>
      </c>
      <c r="I6585" t="s">
        <v>2468</v>
      </c>
      <c r="J6585" t="s">
        <v>52</v>
      </c>
      <c r="K6585" s="3">
        <v>100412347634</v>
      </c>
      <c r="L6585" s="10">
        <v>41108</v>
      </c>
      <c r="M6585">
        <v>8718.46</v>
      </c>
      <c r="N6585" s="11">
        <v>30</v>
      </c>
      <c r="O6585" s="12">
        <v>306.14</v>
      </c>
      <c r="P6585" s="12">
        <v>26.53</v>
      </c>
      <c r="Q6585" s="13">
        <v>1554.85</v>
      </c>
      <c r="R6585" s="36" t="s">
        <v>1814</v>
      </c>
      <c r="S6585" s="7">
        <f t="shared" si="574"/>
        <v>2</v>
      </c>
      <c r="T6585" s="15" t="str">
        <f>VLOOKUP(R6585,产品分类!$C$2:$D$1278,2,0)</f>
        <v>办公用品</v>
      </c>
    </row>
    <row r="6586" spans="1:20">
      <c r="A6586" s="16">
        <f>DATE(2012,12,31)-168</f>
        <v>41106</v>
      </c>
      <c r="B6586" s="16">
        <f>DATE(2012,12,31)-168</f>
        <v>41106</v>
      </c>
      <c r="C6586" s="9" t="s">
        <v>802</v>
      </c>
      <c r="D6586">
        <v>10021709400</v>
      </c>
      <c r="E6586" t="s">
        <v>47</v>
      </c>
      <c r="F6586" t="s">
        <v>97</v>
      </c>
      <c r="G6586" t="s">
        <v>98</v>
      </c>
      <c r="H6586" t="s">
        <v>99</v>
      </c>
      <c r="I6586" t="s">
        <v>98</v>
      </c>
      <c r="J6586" t="s">
        <v>52</v>
      </c>
      <c r="K6586" s="3">
        <v>100930224271</v>
      </c>
      <c r="L6586" s="10">
        <v>41115</v>
      </c>
      <c r="M6586">
        <v>135.88</v>
      </c>
      <c r="N6586" s="17">
        <v>26</v>
      </c>
      <c r="O6586" s="5">
        <v>4.98</v>
      </c>
      <c r="P6586" s="5">
        <v>5.49</v>
      </c>
      <c r="Q6586" s="6">
        <v>-66.02</v>
      </c>
      <c r="R6586" s="37" t="s">
        <v>2538</v>
      </c>
      <c r="S6586" s="7">
        <f t="shared" si="574"/>
        <v>9</v>
      </c>
      <c r="T6586" s="15" t="str">
        <f>VLOOKUP(R6586,产品分类!$C$2:$D$1278,2,0)</f>
        <v>数码电子</v>
      </c>
    </row>
    <row r="6587" spans="1:20">
      <c r="A6587" s="16">
        <f>DATE(2012,12,31)-714</f>
        <v>40560</v>
      </c>
      <c r="B6587" s="16">
        <f>DATE(2012,12,31)-714</f>
        <v>40560</v>
      </c>
      <c r="C6587" s="9" t="s">
        <v>802</v>
      </c>
      <c r="D6587">
        <v>10021674509</v>
      </c>
      <c r="E6587" t="s">
        <v>47</v>
      </c>
      <c r="F6587" t="s">
        <v>152</v>
      </c>
      <c r="G6587" t="s">
        <v>153</v>
      </c>
      <c r="H6587" t="s">
        <v>2536</v>
      </c>
      <c r="I6587" t="s">
        <v>2537</v>
      </c>
      <c r="J6587" t="s">
        <v>52</v>
      </c>
      <c r="K6587" s="3">
        <v>100132153376</v>
      </c>
      <c r="L6587" s="10">
        <v>40560</v>
      </c>
      <c r="M6587">
        <v>216.3</v>
      </c>
      <c r="N6587" s="17">
        <v>34</v>
      </c>
      <c r="O6587" s="5">
        <v>6.3</v>
      </c>
      <c r="P6587" s="5">
        <v>0.5</v>
      </c>
      <c r="Q6587" s="6">
        <v>103.16</v>
      </c>
      <c r="R6587" s="37" t="s">
        <v>1043</v>
      </c>
      <c r="S6587" s="7">
        <f t="shared" si="574"/>
        <v>0</v>
      </c>
      <c r="T6587" s="15" t="str">
        <f>VLOOKUP(R6587,产品分类!$C$2:$D$1278,2,0)</f>
        <v>家具产品</v>
      </c>
    </row>
    <row r="6588" spans="1:20">
      <c r="A6588" s="8">
        <f>DATE(2012,12,31)-1423</f>
        <v>39851</v>
      </c>
      <c r="B6588" s="8">
        <f>DATE(2012,12,31)-1423</f>
        <v>39851</v>
      </c>
      <c r="C6588" s="9" t="s">
        <v>1853</v>
      </c>
      <c r="D6588">
        <v>10021545065</v>
      </c>
      <c r="E6588" t="s">
        <v>47</v>
      </c>
      <c r="F6588" t="s">
        <v>66</v>
      </c>
      <c r="G6588" t="s">
        <v>67</v>
      </c>
      <c r="H6588" t="s">
        <v>2467</v>
      </c>
      <c r="I6588" t="s">
        <v>2468</v>
      </c>
      <c r="J6588" t="s">
        <v>52</v>
      </c>
      <c r="K6588" s="3">
        <v>100429711613</v>
      </c>
      <c r="L6588" s="10">
        <v>39851</v>
      </c>
      <c r="M6588">
        <v>1398.87</v>
      </c>
      <c r="N6588" s="11">
        <v>46</v>
      </c>
      <c r="O6588" s="12">
        <v>30.56</v>
      </c>
      <c r="P6588" s="12">
        <v>2.99</v>
      </c>
      <c r="Q6588" s="13">
        <v>601.9615</v>
      </c>
      <c r="R6588" s="36" t="s">
        <v>972</v>
      </c>
      <c r="S6588" s="7">
        <f t="shared" si="574"/>
        <v>0</v>
      </c>
      <c r="T6588" s="15" t="str">
        <f>VLOOKUP(R6588,产品分类!$C$2:$D$1278,2,0)</f>
        <v>办公用品</v>
      </c>
    </row>
    <row r="6589" spans="1:20">
      <c r="A6589" s="8">
        <f>DATE(2012,12,31)-1306</f>
        <v>39968</v>
      </c>
      <c r="B6589" s="8">
        <f>DATE(2012,12,31)-1306</f>
        <v>39968</v>
      </c>
      <c r="C6589" s="9" t="s">
        <v>1853</v>
      </c>
      <c r="D6589">
        <v>10021522055</v>
      </c>
      <c r="E6589" t="s">
        <v>47</v>
      </c>
      <c r="F6589" t="s">
        <v>66</v>
      </c>
      <c r="G6589" t="s">
        <v>67</v>
      </c>
      <c r="H6589" t="s">
        <v>2467</v>
      </c>
      <c r="I6589" t="s">
        <v>2468</v>
      </c>
      <c r="J6589" t="s">
        <v>52</v>
      </c>
      <c r="K6589" s="3">
        <v>10039820399</v>
      </c>
      <c r="L6589" s="10">
        <v>39970</v>
      </c>
      <c r="M6589">
        <v>1587.16</v>
      </c>
      <c r="N6589" s="11">
        <v>32</v>
      </c>
      <c r="O6589" s="12">
        <v>49.99</v>
      </c>
      <c r="P6589" s="12">
        <v>19.99</v>
      </c>
      <c r="Q6589" s="13">
        <v>-22.33</v>
      </c>
      <c r="R6589" s="36" t="s">
        <v>2496</v>
      </c>
      <c r="S6589" s="7">
        <f t="shared" si="574"/>
        <v>2</v>
      </c>
      <c r="T6589" s="15" t="str">
        <f>VLOOKUP(R6589,产品分类!$C$2:$D$1278,2,0)</f>
        <v>家具产品</v>
      </c>
    </row>
    <row r="6590" spans="1:20">
      <c r="A6590" s="8">
        <f>DATE(2012,12,31)-455</f>
        <v>40819</v>
      </c>
      <c r="B6590" s="8">
        <f>DATE(2012,12,31)-455</f>
        <v>40819</v>
      </c>
      <c r="C6590" s="9" t="s">
        <v>1853</v>
      </c>
      <c r="D6590">
        <v>10021575597</v>
      </c>
      <c r="E6590" t="s">
        <v>47</v>
      </c>
      <c r="F6590" t="s">
        <v>66</v>
      </c>
      <c r="G6590" t="s">
        <v>67</v>
      </c>
      <c r="H6590" t="s">
        <v>2467</v>
      </c>
      <c r="I6590" t="s">
        <v>2468</v>
      </c>
      <c r="J6590" t="s">
        <v>52</v>
      </c>
      <c r="K6590" s="3">
        <v>100110043048</v>
      </c>
      <c r="L6590" s="10">
        <v>40819</v>
      </c>
      <c r="M6590">
        <v>1479.14</v>
      </c>
      <c r="N6590" s="11">
        <v>11</v>
      </c>
      <c r="O6590" s="12">
        <v>130.98</v>
      </c>
      <c r="P6590" s="12">
        <v>30</v>
      </c>
      <c r="Q6590" s="13">
        <v>-236.63</v>
      </c>
      <c r="R6590" s="36" t="s">
        <v>1889</v>
      </c>
      <c r="S6590" s="7">
        <f t="shared" si="574"/>
        <v>0</v>
      </c>
      <c r="T6590" s="15" t="str">
        <f>VLOOKUP(R6590,产品分类!$C$2:$D$1278,2,0)</f>
        <v>家具产品</v>
      </c>
    </row>
    <row r="6591" spans="1:20">
      <c r="A6591" s="8">
        <f>DATE(2012,12,31)-1411</f>
        <v>39863</v>
      </c>
      <c r="B6591" s="8">
        <f>DATE(2012,12,31)-1411</f>
        <v>39863</v>
      </c>
      <c r="C6591" s="9" t="s">
        <v>1163</v>
      </c>
      <c r="D6591">
        <v>10021339954</v>
      </c>
      <c r="E6591" t="s">
        <v>47</v>
      </c>
      <c r="F6591" t="s">
        <v>66</v>
      </c>
      <c r="G6591" t="s">
        <v>67</v>
      </c>
      <c r="H6591" t="s">
        <v>2467</v>
      </c>
      <c r="I6591" t="s">
        <v>2468</v>
      </c>
      <c r="J6591" t="s">
        <v>52</v>
      </c>
      <c r="K6591" s="3">
        <v>100825657492</v>
      </c>
      <c r="L6591" s="10">
        <v>39865</v>
      </c>
      <c r="M6591">
        <v>373.13</v>
      </c>
      <c r="N6591" s="11">
        <v>33</v>
      </c>
      <c r="O6591" s="12">
        <v>11.29</v>
      </c>
      <c r="P6591" s="12">
        <v>5.03</v>
      </c>
      <c r="Q6591" s="13">
        <v>-35.26</v>
      </c>
      <c r="R6591" s="36" t="s">
        <v>2093</v>
      </c>
      <c r="S6591" s="7">
        <f t="shared" si="574"/>
        <v>2</v>
      </c>
      <c r="T6591" s="15" t="str">
        <f>VLOOKUP(R6591,产品分类!$C$2:$D$1278,2,0)</f>
        <v>办公用品</v>
      </c>
    </row>
    <row r="6592" spans="1:20">
      <c r="A6592" s="8">
        <f>DATE(2012,12,31)-963</f>
        <v>40311</v>
      </c>
      <c r="B6592" s="8">
        <f>DATE(2012,12,31)-963</f>
        <v>40311</v>
      </c>
      <c r="C6592" s="9" t="s">
        <v>766</v>
      </c>
      <c r="D6592">
        <v>10021266693</v>
      </c>
      <c r="E6592" t="s">
        <v>47</v>
      </c>
      <c r="F6592" t="s">
        <v>48</v>
      </c>
      <c r="G6592" t="s">
        <v>49</v>
      </c>
      <c r="H6592" t="s">
        <v>2539</v>
      </c>
      <c r="I6592" t="s">
        <v>2540</v>
      </c>
      <c r="J6592" t="s">
        <v>52</v>
      </c>
      <c r="K6592" s="3">
        <v>100831813842</v>
      </c>
      <c r="L6592" s="10">
        <v>40315</v>
      </c>
      <c r="M6592">
        <v>584.42</v>
      </c>
      <c r="N6592" s="11">
        <v>35</v>
      </c>
      <c r="O6592" s="12">
        <v>16.99</v>
      </c>
      <c r="P6592" s="12">
        <v>8.99</v>
      </c>
      <c r="Q6592" s="13">
        <v>-97.21</v>
      </c>
      <c r="R6592" s="36" t="s">
        <v>1509</v>
      </c>
      <c r="S6592" s="7">
        <f t="shared" si="574"/>
        <v>4</v>
      </c>
      <c r="T6592" s="15" t="str">
        <f>VLOOKUP(R6592,产品分类!$C$2:$D$1278,2,0)</f>
        <v>家具产品</v>
      </c>
    </row>
    <row r="6593" spans="1:20">
      <c r="A6593" s="8">
        <f>DATE(2012,12,31)-232</f>
        <v>41042</v>
      </c>
      <c r="B6593" s="8">
        <f>DATE(2012,12,31)-232</f>
        <v>41042</v>
      </c>
      <c r="C6593" s="9" t="s">
        <v>766</v>
      </c>
      <c r="D6593">
        <v>10021414506</v>
      </c>
      <c r="E6593" t="s">
        <v>47</v>
      </c>
      <c r="F6593" t="s">
        <v>48</v>
      </c>
      <c r="G6593" t="s">
        <v>49</v>
      </c>
      <c r="H6593" t="s">
        <v>2539</v>
      </c>
      <c r="I6593" t="s">
        <v>2540</v>
      </c>
      <c r="J6593" t="s">
        <v>52</v>
      </c>
      <c r="K6593" s="3">
        <v>10043084294</v>
      </c>
      <c r="L6593" s="10">
        <v>41044</v>
      </c>
      <c r="M6593">
        <v>803.11</v>
      </c>
      <c r="N6593" s="11">
        <v>33</v>
      </c>
      <c r="O6593" s="12">
        <v>25.98</v>
      </c>
      <c r="P6593" s="12">
        <v>14.36</v>
      </c>
      <c r="Q6593" s="13">
        <v>-237.13</v>
      </c>
      <c r="R6593" s="36" t="s">
        <v>624</v>
      </c>
      <c r="S6593" s="7">
        <f t="shared" si="574"/>
        <v>2</v>
      </c>
      <c r="T6593" s="15" t="str">
        <f>VLOOKUP(R6593,产品分类!$C$2:$D$1278,2,0)</f>
        <v>数码电子</v>
      </c>
    </row>
    <row r="6594" spans="1:20">
      <c r="A6594" s="8">
        <f>DATE(2012,12,31)-687</f>
        <v>40587</v>
      </c>
      <c r="B6594" s="8">
        <f>DATE(2012,12,31)-687</f>
        <v>40587</v>
      </c>
      <c r="C6594" s="9" t="s">
        <v>766</v>
      </c>
      <c r="D6594">
        <v>10021258091</v>
      </c>
      <c r="E6594" t="s">
        <v>47</v>
      </c>
      <c r="F6594" t="s">
        <v>72</v>
      </c>
      <c r="G6594" t="s">
        <v>73</v>
      </c>
      <c r="H6594" t="s">
        <v>2417</v>
      </c>
      <c r="I6594" t="s">
        <v>2418</v>
      </c>
      <c r="J6594" t="s">
        <v>52</v>
      </c>
      <c r="K6594" s="3">
        <v>100426956543</v>
      </c>
      <c r="L6594" s="10">
        <v>40588</v>
      </c>
      <c r="M6594">
        <v>5441.06</v>
      </c>
      <c r="N6594" s="11">
        <v>19</v>
      </c>
      <c r="O6594" s="12">
        <v>286.85</v>
      </c>
      <c r="P6594" s="12">
        <v>61.76</v>
      </c>
      <c r="Q6594" s="13">
        <v>-557.2</v>
      </c>
      <c r="R6594" s="36" t="s">
        <v>2132</v>
      </c>
      <c r="S6594" s="7">
        <f t="shared" si="574"/>
        <v>1</v>
      </c>
      <c r="T6594" s="15" t="str">
        <f>VLOOKUP(R6594,产品分类!$C$2:$D$1278,2,0)</f>
        <v>办公用品</v>
      </c>
    </row>
    <row r="6595" spans="1:20">
      <c r="A6595" s="8">
        <f>DATE(2012,12,31)-868</f>
        <v>40406</v>
      </c>
      <c r="B6595" s="8">
        <f>DATE(2012,12,31)-868</f>
        <v>40406</v>
      </c>
      <c r="C6595" s="9" t="s">
        <v>1591</v>
      </c>
      <c r="D6595">
        <v>10021254267</v>
      </c>
      <c r="E6595" t="s">
        <v>47</v>
      </c>
      <c r="F6595" t="s">
        <v>72</v>
      </c>
      <c r="G6595" t="s">
        <v>73</v>
      </c>
      <c r="H6595" t="s">
        <v>2417</v>
      </c>
      <c r="I6595" t="s">
        <v>2418</v>
      </c>
      <c r="J6595" t="s">
        <v>52</v>
      </c>
      <c r="K6595" s="3">
        <v>100321618949</v>
      </c>
      <c r="L6595" s="10">
        <v>40407</v>
      </c>
      <c r="M6595">
        <v>487.98</v>
      </c>
      <c r="N6595" s="11">
        <v>38</v>
      </c>
      <c r="O6595" s="12">
        <v>12.53</v>
      </c>
      <c r="P6595" s="12">
        <v>7.17</v>
      </c>
      <c r="Q6595" s="13">
        <v>8.1005</v>
      </c>
      <c r="R6595" s="36" t="s">
        <v>505</v>
      </c>
      <c r="S6595" s="7">
        <f t="shared" ref="S6595:S6658" si="582">+L6595-B6595</f>
        <v>1</v>
      </c>
      <c r="T6595" s="15" t="str">
        <f>VLOOKUP(R6595,产品分类!$C$2:$D$1278,2,0)</f>
        <v>家具产品</v>
      </c>
    </row>
    <row r="6596" spans="1:20">
      <c r="A6596" s="16">
        <f>DATE(2012,12,31)-274</f>
        <v>41000</v>
      </c>
      <c r="B6596" s="16">
        <f>DATE(2012,12,31)-274</f>
        <v>41000</v>
      </c>
      <c r="C6596" s="9" t="s">
        <v>1853</v>
      </c>
      <c r="D6596">
        <v>10021262389</v>
      </c>
      <c r="E6596" t="s">
        <v>47</v>
      </c>
      <c r="F6596" t="s">
        <v>78</v>
      </c>
      <c r="G6596" t="s">
        <v>79</v>
      </c>
      <c r="H6596" t="s">
        <v>2489</v>
      </c>
      <c r="I6596" t="s">
        <v>2490</v>
      </c>
      <c r="J6596" t="s">
        <v>52</v>
      </c>
      <c r="K6596" s="3">
        <v>100130065277</v>
      </c>
      <c r="L6596" s="10">
        <v>41002</v>
      </c>
      <c r="M6596">
        <v>154</v>
      </c>
      <c r="N6596" s="17">
        <v>35</v>
      </c>
      <c r="O6596" s="5">
        <v>4.63</v>
      </c>
      <c r="P6596" s="5">
        <v>1.93</v>
      </c>
      <c r="Q6596" s="6">
        <v>-7.08</v>
      </c>
      <c r="R6596" s="37" t="s">
        <v>196</v>
      </c>
      <c r="S6596" s="7">
        <f t="shared" si="582"/>
        <v>2</v>
      </c>
      <c r="T6596" s="15" t="str">
        <f>VLOOKUP(R6596,产品分类!$C$2:$D$1278,2,0)</f>
        <v>办公用品</v>
      </c>
    </row>
    <row r="6597" spans="1:20">
      <c r="A6597" s="8">
        <f>DATE(2012,12,31)-304</f>
        <v>40970</v>
      </c>
      <c r="B6597" s="8">
        <f>DATE(2012,12,31)-304</f>
        <v>40970</v>
      </c>
      <c r="C6597" s="9" t="s">
        <v>859</v>
      </c>
      <c r="D6597">
        <v>10021512040</v>
      </c>
      <c r="E6597" t="s">
        <v>47</v>
      </c>
      <c r="F6597" t="s">
        <v>78</v>
      </c>
      <c r="G6597" t="s">
        <v>79</v>
      </c>
      <c r="H6597" t="s">
        <v>2489</v>
      </c>
      <c r="I6597" t="s">
        <v>2490</v>
      </c>
      <c r="J6597" t="s">
        <v>52</v>
      </c>
      <c r="K6597" s="3">
        <v>100932750941</v>
      </c>
      <c r="L6597" s="10">
        <v>40971</v>
      </c>
      <c r="M6597">
        <v>1375.3765</v>
      </c>
      <c r="N6597" s="11">
        <v>45</v>
      </c>
      <c r="O6597" s="12">
        <v>35.99</v>
      </c>
      <c r="P6597" s="12">
        <v>3.3</v>
      </c>
      <c r="Q6597" s="13">
        <v>592.218</v>
      </c>
      <c r="R6597" s="36" t="s">
        <v>412</v>
      </c>
      <c r="S6597" s="7">
        <f t="shared" si="582"/>
        <v>1</v>
      </c>
      <c r="T6597" s="15" t="str">
        <f>VLOOKUP(R6597,产品分类!$C$2:$D$1278,2,0)</f>
        <v>数码电子</v>
      </c>
    </row>
    <row r="6598" spans="1:20">
      <c r="A6598" s="8">
        <f>DATE(2012,12,31)-441</f>
        <v>40833</v>
      </c>
      <c r="B6598" s="8">
        <f>DATE(2012,12,31)-441</f>
        <v>40833</v>
      </c>
      <c r="C6598" s="9" t="s">
        <v>1568</v>
      </c>
      <c r="D6598">
        <v>10021257819</v>
      </c>
      <c r="E6598" t="s">
        <v>47</v>
      </c>
      <c r="F6598" t="s">
        <v>72</v>
      </c>
      <c r="G6598" t="s">
        <v>73</v>
      </c>
      <c r="H6598" t="s">
        <v>2417</v>
      </c>
      <c r="I6598" t="s">
        <v>2418</v>
      </c>
      <c r="J6598" t="s">
        <v>52</v>
      </c>
      <c r="K6598" s="3">
        <v>100826707512</v>
      </c>
      <c r="L6598" s="10">
        <v>40835</v>
      </c>
      <c r="M6598">
        <v>4346.98</v>
      </c>
      <c r="N6598" s="11">
        <v>42</v>
      </c>
      <c r="O6598" s="12">
        <v>100.98</v>
      </c>
      <c r="P6598" s="12">
        <v>35.84</v>
      </c>
      <c r="Q6598" s="13">
        <v>10.22</v>
      </c>
      <c r="R6598" s="36" t="s">
        <v>1104</v>
      </c>
      <c r="S6598" s="7">
        <f t="shared" si="582"/>
        <v>2</v>
      </c>
      <c r="T6598" s="15" t="str">
        <f>VLOOKUP(R6598,产品分类!$C$2:$D$1278,2,0)</f>
        <v>办公用品</v>
      </c>
    </row>
    <row r="6599" spans="1:20">
      <c r="A6599" s="8">
        <f t="shared" ref="A6599:B6601" si="583">DATE(2012,12,31)-987</f>
        <v>40287</v>
      </c>
      <c r="B6599" s="8">
        <f t="shared" si="583"/>
        <v>40287</v>
      </c>
      <c r="C6599" s="9" t="s">
        <v>964</v>
      </c>
      <c r="D6599">
        <v>10021297619</v>
      </c>
      <c r="E6599" t="s">
        <v>47</v>
      </c>
      <c r="F6599" t="s">
        <v>78</v>
      </c>
      <c r="G6599" t="s">
        <v>79</v>
      </c>
      <c r="H6599" t="s">
        <v>2489</v>
      </c>
      <c r="I6599" t="s">
        <v>2490</v>
      </c>
      <c r="J6599" t="s">
        <v>52</v>
      </c>
      <c r="K6599" s="3">
        <v>100725077045</v>
      </c>
      <c r="L6599" s="10">
        <v>40287</v>
      </c>
      <c r="M6599">
        <v>84.74</v>
      </c>
      <c r="N6599" s="11">
        <v>18</v>
      </c>
      <c r="O6599" s="12">
        <v>4.91</v>
      </c>
      <c r="P6599" s="12">
        <v>0.5</v>
      </c>
      <c r="Q6599" s="13">
        <v>34.1</v>
      </c>
      <c r="R6599" s="36" t="s">
        <v>1891</v>
      </c>
      <c r="S6599" s="7">
        <f t="shared" si="582"/>
        <v>0</v>
      </c>
      <c r="T6599" s="15" t="str">
        <f>VLOOKUP(R6599,产品分类!$C$2:$D$1278,2,0)</f>
        <v>办公用品</v>
      </c>
    </row>
    <row r="6600" spans="1:20">
      <c r="A6600" s="16">
        <f t="shared" si="583"/>
        <v>40287</v>
      </c>
      <c r="B6600" s="16">
        <f t="shared" si="583"/>
        <v>40287</v>
      </c>
      <c r="C6600" s="9" t="s">
        <v>964</v>
      </c>
      <c r="D6600">
        <v>10021350383</v>
      </c>
      <c r="E6600" t="s">
        <v>47</v>
      </c>
      <c r="F6600" t="s">
        <v>72</v>
      </c>
      <c r="G6600" t="s">
        <v>73</v>
      </c>
      <c r="H6600" t="s">
        <v>2417</v>
      </c>
      <c r="I6600" t="s">
        <v>2418</v>
      </c>
      <c r="J6600" t="s">
        <v>52</v>
      </c>
      <c r="K6600" s="3">
        <v>100932148921</v>
      </c>
      <c r="L6600" s="10">
        <v>40288</v>
      </c>
      <c r="M6600">
        <v>279.83</v>
      </c>
      <c r="N6600" s="17">
        <v>43</v>
      </c>
      <c r="O6600" s="5">
        <v>6.04</v>
      </c>
      <c r="P6600" s="5">
        <v>2.14</v>
      </c>
      <c r="Q6600" s="6">
        <v>77.04</v>
      </c>
      <c r="R6600" s="37" t="s">
        <v>1570</v>
      </c>
      <c r="S6600" s="7">
        <f t="shared" si="582"/>
        <v>1</v>
      </c>
      <c r="T6600" s="15" t="str">
        <f>VLOOKUP(R6600,产品分类!$C$2:$D$1278,2,0)</f>
        <v>办公用品</v>
      </c>
    </row>
    <row r="6601" spans="1:20">
      <c r="A6601" s="16">
        <f t="shared" si="583"/>
        <v>40287</v>
      </c>
      <c r="B6601" s="16">
        <f t="shared" si="583"/>
        <v>40287</v>
      </c>
      <c r="C6601" s="9" t="s">
        <v>1049</v>
      </c>
      <c r="D6601">
        <v>10021657574</v>
      </c>
      <c r="E6601" t="s">
        <v>47</v>
      </c>
      <c r="F6601" t="s">
        <v>78</v>
      </c>
      <c r="G6601" t="s">
        <v>79</v>
      </c>
      <c r="H6601" t="s">
        <v>2489</v>
      </c>
      <c r="I6601" t="s">
        <v>2490</v>
      </c>
      <c r="J6601" t="s">
        <v>52</v>
      </c>
      <c r="K6601" s="3">
        <v>10075930715</v>
      </c>
      <c r="L6601" s="10">
        <v>40288</v>
      </c>
      <c r="M6601">
        <v>98.57</v>
      </c>
      <c r="N6601" s="17">
        <v>20</v>
      </c>
      <c r="O6601" s="5">
        <v>4.98</v>
      </c>
      <c r="P6601" s="5">
        <v>5.02</v>
      </c>
      <c r="Q6601" s="6">
        <v>-49.64</v>
      </c>
      <c r="R6601" s="37" t="s">
        <v>1483</v>
      </c>
      <c r="S6601" s="7">
        <f t="shared" si="582"/>
        <v>1</v>
      </c>
      <c r="T6601" s="15" t="str">
        <f>VLOOKUP(R6601,产品分类!$C$2:$D$1278,2,0)</f>
        <v>办公用品</v>
      </c>
    </row>
    <row r="6602" spans="1:20">
      <c r="A6602" s="8">
        <f>DATE(2012,12,31)-381</f>
        <v>40893</v>
      </c>
      <c r="B6602" s="8">
        <f>DATE(2012,12,31)-381</f>
        <v>40893</v>
      </c>
      <c r="C6602" s="9" t="s">
        <v>1049</v>
      </c>
      <c r="D6602">
        <v>10021620040</v>
      </c>
      <c r="E6602" t="s">
        <v>47</v>
      </c>
      <c r="F6602" t="s">
        <v>78</v>
      </c>
      <c r="G6602" t="s">
        <v>79</v>
      </c>
      <c r="H6602" t="s">
        <v>2489</v>
      </c>
      <c r="I6602" t="s">
        <v>2490</v>
      </c>
      <c r="J6602" t="s">
        <v>52</v>
      </c>
      <c r="K6602" s="3">
        <v>10044154123</v>
      </c>
      <c r="L6602" s="10">
        <v>40895</v>
      </c>
      <c r="M6602">
        <v>1069.85</v>
      </c>
      <c r="N6602" s="11">
        <v>34</v>
      </c>
      <c r="O6602" s="12">
        <v>31.76</v>
      </c>
      <c r="P6602" s="12">
        <v>45.51</v>
      </c>
      <c r="Q6602" s="13">
        <v>-1179.39</v>
      </c>
      <c r="R6602" s="36" t="s">
        <v>602</v>
      </c>
      <c r="S6602" s="7">
        <f t="shared" si="582"/>
        <v>2</v>
      </c>
      <c r="T6602" s="15" t="str">
        <f>VLOOKUP(R6602,产品分类!$C$2:$D$1278,2,0)</f>
        <v>办公用品</v>
      </c>
    </row>
    <row r="6603" spans="1:20">
      <c r="A6603" s="8">
        <f>DATE(2012,12,31)-433</f>
        <v>40841</v>
      </c>
      <c r="B6603" s="8">
        <f>DATE(2012,12,31)-433</f>
        <v>40841</v>
      </c>
      <c r="C6603" s="9" t="s">
        <v>303</v>
      </c>
      <c r="D6603">
        <v>10021575319</v>
      </c>
      <c r="E6603" t="s">
        <v>47</v>
      </c>
      <c r="F6603" t="s">
        <v>72</v>
      </c>
      <c r="G6603" t="s">
        <v>73</v>
      </c>
      <c r="H6603" t="s">
        <v>2417</v>
      </c>
      <c r="I6603" t="s">
        <v>2418</v>
      </c>
      <c r="J6603" t="s">
        <v>52</v>
      </c>
      <c r="K6603" s="3">
        <v>10079552315</v>
      </c>
      <c r="L6603" s="10">
        <v>40843</v>
      </c>
      <c r="M6603">
        <v>2192.63</v>
      </c>
      <c r="N6603" s="11">
        <v>37</v>
      </c>
      <c r="O6603" s="12">
        <v>59.98</v>
      </c>
      <c r="P6603" s="12">
        <v>3.99</v>
      </c>
      <c r="Q6603" s="13">
        <v>660.06</v>
      </c>
      <c r="R6603" s="36" t="s">
        <v>961</v>
      </c>
      <c r="S6603" s="7">
        <f t="shared" si="582"/>
        <v>2</v>
      </c>
      <c r="T6603" s="15" t="str">
        <f>VLOOKUP(R6603,产品分类!$C$2:$D$1278,2,0)</f>
        <v>办公用品</v>
      </c>
    </row>
    <row r="6604" spans="1:20">
      <c r="A6604" s="8">
        <f>DATE(2012,12,31)-433</f>
        <v>40841</v>
      </c>
      <c r="B6604" s="8">
        <f>DATE(2012,12,31)-433</f>
        <v>40841</v>
      </c>
      <c r="C6604" s="9" t="s">
        <v>1079</v>
      </c>
      <c r="D6604">
        <v>10021499181</v>
      </c>
      <c r="E6604" t="s">
        <v>47</v>
      </c>
      <c r="F6604" t="s">
        <v>78</v>
      </c>
      <c r="G6604" t="s">
        <v>79</v>
      </c>
      <c r="H6604" t="s">
        <v>2489</v>
      </c>
      <c r="I6604" t="s">
        <v>2490</v>
      </c>
      <c r="J6604" t="s">
        <v>52</v>
      </c>
      <c r="K6604" s="3">
        <v>10034269199</v>
      </c>
      <c r="L6604" s="10">
        <v>40843</v>
      </c>
      <c r="M6604">
        <v>6618.457</v>
      </c>
      <c r="N6604" s="11">
        <v>40</v>
      </c>
      <c r="O6604" s="12">
        <v>205.99</v>
      </c>
      <c r="P6604" s="12">
        <v>5.99</v>
      </c>
      <c r="Q6604" s="13">
        <v>1489.959</v>
      </c>
      <c r="R6604" s="36" t="s">
        <v>1457</v>
      </c>
      <c r="S6604" s="7">
        <f t="shared" si="582"/>
        <v>2</v>
      </c>
      <c r="T6604" s="15" t="str">
        <f>VLOOKUP(R6604,产品分类!$C$2:$D$1278,2,0)</f>
        <v>办公用品</v>
      </c>
    </row>
    <row r="6605" spans="1:20">
      <c r="A6605" s="8">
        <f t="shared" ref="A6605:B6608" si="584">DATE(2012,12,31)-1173</f>
        <v>40101</v>
      </c>
      <c r="B6605" s="8">
        <f t="shared" si="584"/>
        <v>40101</v>
      </c>
      <c r="C6605" s="9" t="s">
        <v>1015</v>
      </c>
      <c r="D6605">
        <v>10021631220</v>
      </c>
      <c r="E6605" t="s">
        <v>47</v>
      </c>
      <c r="F6605" t="s">
        <v>230</v>
      </c>
      <c r="G6605" t="s">
        <v>231</v>
      </c>
      <c r="H6605" t="s">
        <v>2497</v>
      </c>
      <c r="I6605" t="s">
        <v>2498</v>
      </c>
      <c r="J6605" t="s">
        <v>52</v>
      </c>
      <c r="K6605" s="3">
        <v>100732444085</v>
      </c>
      <c r="L6605" s="10">
        <v>40102</v>
      </c>
      <c r="M6605">
        <v>359.68</v>
      </c>
      <c r="N6605" s="11">
        <v>19</v>
      </c>
      <c r="O6605" s="12">
        <v>18.65</v>
      </c>
      <c r="P6605" s="12">
        <v>3.77</v>
      </c>
      <c r="Q6605" s="13">
        <v>187.15</v>
      </c>
      <c r="R6605" s="36" t="s">
        <v>1328</v>
      </c>
      <c r="S6605" s="7">
        <f t="shared" si="582"/>
        <v>1</v>
      </c>
      <c r="T6605" s="15" t="str">
        <f>VLOOKUP(R6605,产品分类!$C$2:$D$1278,2,0)</f>
        <v>家具产品</v>
      </c>
    </row>
    <row r="6606" spans="1:20">
      <c r="A6606" s="8">
        <f t="shared" si="584"/>
        <v>40101</v>
      </c>
      <c r="B6606" s="8">
        <f t="shared" si="584"/>
        <v>40101</v>
      </c>
      <c r="C6606" s="9" t="s">
        <v>1079</v>
      </c>
      <c r="D6606">
        <v>10021510046</v>
      </c>
      <c r="E6606" t="s">
        <v>47</v>
      </c>
      <c r="F6606" t="s">
        <v>230</v>
      </c>
      <c r="G6606" t="s">
        <v>231</v>
      </c>
      <c r="H6606" t="s">
        <v>2497</v>
      </c>
      <c r="I6606" t="s">
        <v>2498</v>
      </c>
      <c r="J6606" t="s">
        <v>52</v>
      </c>
      <c r="K6606" s="3">
        <v>100932666891</v>
      </c>
      <c r="L6606" s="10">
        <v>40103</v>
      </c>
      <c r="M6606">
        <v>131.55</v>
      </c>
      <c r="N6606" s="11">
        <v>7</v>
      </c>
      <c r="O6606" s="12">
        <v>17.98</v>
      </c>
      <c r="P6606" s="12">
        <v>8.51</v>
      </c>
      <c r="Q6606" s="13">
        <v>-43.7436</v>
      </c>
      <c r="R6606" s="36" t="s">
        <v>1025</v>
      </c>
      <c r="S6606" s="7">
        <f t="shared" si="582"/>
        <v>2</v>
      </c>
      <c r="T6606" s="15" t="str">
        <f>VLOOKUP(R6606,产品分类!$C$2:$D$1278,2,0)</f>
        <v>办公用品</v>
      </c>
    </row>
    <row r="6607" spans="1:20">
      <c r="A6607" s="8">
        <f t="shared" si="584"/>
        <v>40101</v>
      </c>
      <c r="B6607" s="8">
        <f t="shared" si="584"/>
        <v>40101</v>
      </c>
      <c r="C6607" s="9" t="s">
        <v>695</v>
      </c>
      <c r="D6607">
        <v>10021319902</v>
      </c>
      <c r="E6607" t="s">
        <v>47</v>
      </c>
      <c r="F6607" t="s">
        <v>473</v>
      </c>
      <c r="G6607" t="s">
        <v>474</v>
      </c>
      <c r="H6607" t="s">
        <v>2523</v>
      </c>
      <c r="I6607" t="s">
        <v>2524</v>
      </c>
      <c r="J6607" t="s">
        <v>52</v>
      </c>
      <c r="K6607" s="3">
        <v>100917140521</v>
      </c>
      <c r="L6607" s="10">
        <v>40104</v>
      </c>
      <c r="M6607">
        <v>258.11</v>
      </c>
      <c r="N6607" s="11">
        <v>26</v>
      </c>
      <c r="O6607" s="12">
        <v>9.99</v>
      </c>
      <c r="P6607" s="12">
        <v>4.78</v>
      </c>
      <c r="Q6607" s="13">
        <v>9.95</v>
      </c>
      <c r="R6607" s="36" t="s">
        <v>1138</v>
      </c>
      <c r="S6607" s="7">
        <f t="shared" si="582"/>
        <v>3</v>
      </c>
      <c r="T6607" s="15" t="str">
        <f>VLOOKUP(R6607,产品分类!$C$2:$D$1278,2,0)</f>
        <v>办公用品</v>
      </c>
    </row>
    <row r="6608" spans="1:20">
      <c r="A6608" s="8">
        <f t="shared" si="584"/>
        <v>40101</v>
      </c>
      <c r="B6608" s="8">
        <f t="shared" si="584"/>
        <v>40101</v>
      </c>
      <c r="C6608" s="9" t="s">
        <v>1773</v>
      </c>
      <c r="D6608">
        <v>10021299632</v>
      </c>
      <c r="E6608" t="s">
        <v>47</v>
      </c>
      <c r="F6608" t="s">
        <v>2517</v>
      </c>
      <c r="G6608" t="s">
        <v>2518</v>
      </c>
      <c r="H6608" t="s">
        <v>2519</v>
      </c>
      <c r="I6608" t="s">
        <v>2520</v>
      </c>
      <c r="J6608" t="s">
        <v>52</v>
      </c>
      <c r="K6608" s="3">
        <v>10013101636</v>
      </c>
      <c r="L6608" s="10">
        <v>40102</v>
      </c>
      <c r="M6608">
        <v>1288.515</v>
      </c>
      <c r="N6608" s="11">
        <v>9</v>
      </c>
      <c r="O6608" s="12">
        <v>175.99</v>
      </c>
      <c r="P6608" s="12">
        <v>8.99</v>
      </c>
      <c r="Q6608" s="13">
        <v>-382.569</v>
      </c>
      <c r="R6608" s="36" t="s">
        <v>1383</v>
      </c>
      <c r="S6608" s="7">
        <f t="shared" si="582"/>
        <v>1</v>
      </c>
      <c r="T6608" s="15" t="str">
        <f>VLOOKUP(R6608,产品分类!$C$2:$D$1278,2,0)</f>
        <v>家具产品</v>
      </c>
    </row>
    <row r="6609" spans="1:20">
      <c r="A6609" s="8">
        <f>DATE(2012,12,31)-477</f>
        <v>40797</v>
      </c>
      <c r="B6609" s="8">
        <f>DATE(2012,12,31)-477</f>
        <v>40797</v>
      </c>
      <c r="C6609" s="9" t="s">
        <v>1359</v>
      </c>
      <c r="D6609">
        <v>10021673019</v>
      </c>
      <c r="E6609" t="s">
        <v>47</v>
      </c>
      <c r="F6609" t="s">
        <v>277</v>
      </c>
      <c r="G6609" t="s">
        <v>278</v>
      </c>
      <c r="H6609" t="s">
        <v>279</v>
      </c>
      <c r="I6609" t="s">
        <v>280</v>
      </c>
      <c r="J6609" t="s">
        <v>52</v>
      </c>
      <c r="K6609" s="3">
        <v>100131627308</v>
      </c>
      <c r="L6609" s="10">
        <v>40799</v>
      </c>
      <c r="M6609">
        <v>6131.54</v>
      </c>
      <c r="N6609" s="11">
        <v>47</v>
      </c>
      <c r="O6609" s="12">
        <v>128.24</v>
      </c>
      <c r="P6609" s="12">
        <v>12.65</v>
      </c>
      <c r="Q6609" s="13">
        <v>1844.96</v>
      </c>
      <c r="R6609" s="36" t="s">
        <v>1510</v>
      </c>
      <c r="S6609" s="7">
        <f t="shared" si="582"/>
        <v>2</v>
      </c>
      <c r="T6609" s="15" t="str">
        <f>VLOOKUP(R6609,产品分类!$C$2:$D$1278,2,0)</f>
        <v>办公用品</v>
      </c>
    </row>
    <row r="6610" spans="1:20">
      <c r="A6610" s="8">
        <f>DATE(2012,12,31)-707</f>
        <v>40567</v>
      </c>
      <c r="B6610" s="8">
        <f>DATE(2012,12,31)-707</f>
        <v>40567</v>
      </c>
      <c r="C6610" s="9" t="s">
        <v>2020</v>
      </c>
      <c r="D6610">
        <v>10021494224</v>
      </c>
      <c r="E6610" t="s">
        <v>47</v>
      </c>
      <c r="F6610" t="s">
        <v>91</v>
      </c>
      <c r="G6610" t="s">
        <v>92</v>
      </c>
      <c r="H6610" t="s">
        <v>2525</v>
      </c>
      <c r="I6610" t="s">
        <v>2526</v>
      </c>
      <c r="J6610" t="s">
        <v>52</v>
      </c>
      <c r="K6610" s="3">
        <v>10012057376</v>
      </c>
      <c r="L6610" s="10">
        <v>40569</v>
      </c>
      <c r="M6610">
        <v>89.99</v>
      </c>
      <c r="N6610" s="11">
        <v>18</v>
      </c>
      <c r="O6610" s="12">
        <v>4.82</v>
      </c>
      <c r="P6610" s="12">
        <v>1.49</v>
      </c>
      <c r="Q6610" s="13">
        <v>18.955</v>
      </c>
      <c r="R6610" s="36" t="s">
        <v>1252</v>
      </c>
      <c r="S6610" s="7">
        <f t="shared" si="582"/>
        <v>2</v>
      </c>
      <c r="T6610" s="15" t="str">
        <f>VLOOKUP(R6610,产品分类!$C$2:$D$1278,2,0)</f>
        <v>办公用品</v>
      </c>
    </row>
    <row r="6611" spans="1:20">
      <c r="A6611" s="8">
        <f>DATE(2012,12,31)-1452</f>
        <v>39822</v>
      </c>
      <c r="B6611" s="8">
        <f>DATE(2012,12,31)-1452</f>
        <v>39822</v>
      </c>
      <c r="C6611" s="9" t="s">
        <v>2222</v>
      </c>
      <c r="D6611">
        <v>10021584115</v>
      </c>
      <c r="E6611" t="s">
        <v>47</v>
      </c>
      <c r="F6611" t="s">
        <v>55</v>
      </c>
      <c r="G6611" t="s">
        <v>56</v>
      </c>
      <c r="H6611" t="s">
        <v>2471</v>
      </c>
      <c r="I6611" t="s">
        <v>2472</v>
      </c>
      <c r="J6611" t="s">
        <v>52</v>
      </c>
      <c r="K6611" s="3">
        <v>100918689801</v>
      </c>
      <c r="L6611" s="10">
        <v>39829</v>
      </c>
      <c r="M6611">
        <v>107.95</v>
      </c>
      <c r="N6611" s="11">
        <v>1</v>
      </c>
      <c r="O6611" s="12">
        <v>125.99</v>
      </c>
      <c r="P6611" s="12">
        <v>8.99</v>
      </c>
      <c r="Q6611" s="13">
        <v>-506.308</v>
      </c>
      <c r="R6611" s="36" t="s">
        <v>357</v>
      </c>
      <c r="S6611" s="7">
        <f t="shared" si="582"/>
        <v>7</v>
      </c>
      <c r="T6611" s="15" t="str">
        <f>VLOOKUP(R6611,产品分类!$C$2:$D$1278,2,0)</f>
        <v>办公用品</v>
      </c>
    </row>
    <row r="6612" spans="1:20">
      <c r="A6612" s="8">
        <f>DATE(2012,12,31)-1289</f>
        <v>39985</v>
      </c>
      <c r="B6612" s="8">
        <f>DATE(2012,12,31)-1289</f>
        <v>39985</v>
      </c>
      <c r="C6612" s="9" t="s">
        <v>1233</v>
      </c>
      <c r="D6612">
        <v>10021445634</v>
      </c>
      <c r="E6612" t="s">
        <v>47</v>
      </c>
      <c r="F6612" t="s">
        <v>91</v>
      </c>
      <c r="G6612" t="s">
        <v>92</v>
      </c>
      <c r="H6612" t="s">
        <v>2525</v>
      </c>
      <c r="I6612" t="s">
        <v>2526</v>
      </c>
      <c r="J6612" t="s">
        <v>52</v>
      </c>
      <c r="K6612" s="3">
        <v>10097090861</v>
      </c>
      <c r="L6612" s="10">
        <v>39986</v>
      </c>
      <c r="M6612">
        <v>2920.83</v>
      </c>
      <c r="N6612" s="11">
        <v>24</v>
      </c>
      <c r="O6612" s="12">
        <v>119.99</v>
      </c>
      <c r="P6612" s="12">
        <v>14</v>
      </c>
      <c r="Q6612" s="13">
        <v>1068.16</v>
      </c>
      <c r="R6612" s="36" t="s">
        <v>1101</v>
      </c>
      <c r="S6612" s="7">
        <f t="shared" si="582"/>
        <v>1</v>
      </c>
      <c r="T6612" s="15" t="str">
        <f>VLOOKUP(R6612,产品分类!$C$2:$D$1278,2,0)</f>
        <v>家具产品</v>
      </c>
    </row>
    <row r="6613" spans="1:20">
      <c r="A6613" s="8">
        <f>DATE(2012,12,31)-1289</f>
        <v>39985</v>
      </c>
      <c r="B6613" s="8">
        <f>DATE(2012,12,31)-1289</f>
        <v>39985</v>
      </c>
      <c r="C6613" s="9" t="s">
        <v>1564</v>
      </c>
      <c r="D6613">
        <v>10021669174</v>
      </c>
      <c r="E6613" t="s">
        <v>47</v>
      </c>
      <c r="F6613" t="s">
        <v>83</v>
      </c>
      <c r="G6613" t="s">
        <v>84</v>
      </c>
      <c r="H6613" t="s">
        <v>2510</v>
      </c>
      <c r="I6613" t="s">
        <v>2511</v>
      </c>
      <c r="J6613" t="s">
        <v>52</v>
      </c>
      <c r="K6613" s="3">
        <v>100929731351</v>
      </c>
      <c r="L6613" s="10">
        <v>39986</v>
      </c>
      <c r="M6613">
        <v>262.3</v>
      </c>
      <c r="N6613" s="11">
        <v>42</v>
      </c>
      <c r="O6613" s="12">
        <v>6.48</v>
      </c>
      <c r="P6613" s="12">
        <v>9.68</v>
      </c>
      <c r="Q6613" s="13">
        <v>-255.2</v>
      </c>
      <c r="R6613" s="36" t="s">
        <v>1817</v>
      </c>
      <c r="S6613" s="7">
        <f t="shared" si="582"/>
        <v>1</v>
      </c>
      <c r="T6613" s="15" t="str">
        <f>VLOOKUP(R6613,产品分类!$C$2:$D$1278,2,0)</f>
        <v>数码电子</v>
      </c>
    </row>
    <row r="6614" spans="1:20">
      <c r="A6614" s="8">
        <f>DATE(2012,12,31)-1034</f>
        <v>40240</v>
      </c>
      <c r="B6614" s="8">
        <f>DATE(2012,12,31)-1034</f>
        <v>40240</v>
      </c>
      <c r="C6614" s="9" t="s">
        <v>859</v>
      </c>
      <c r="D6614">
        <v>10021341843</v>
      </c>
      <c r="E6614" t="s">
        <v>47</v>
      </c>
      <c r="F6614" t="s">
        <v>55</v>
      </c>
      <c r="G6614" t="s">
        <v>56</v>
      </c>
      <c r="H6614" t="s">
        <v>2471</v>
      </c>
      <c r="I6614" t="s">
        <v>2472</v>
      </c>
      <c r="J6614" t="s">
        <v>52</v>
      </c>
      <c r="K6614" s="3">
        <v>100927558301</v>
      </c>
      <c r="L6614" s="10">
        <v>40241</v>
      </c>
      <c r="M6614">
        <v>803.267</v>
      </c>
      <c r="N6614" s="11">
        <v>15</v>
      </c>
      <c r="O6614" s="12">
        <v>65.99</v>
      </c>
      <c r="P6614" s="12">
        <v>5.26</v>
      </c>
      <c r="Q6614" s="13">
        <v>-19.965</v>
      </c>
      <c r="R6614" s="36" t="s">
        <v>471</v>
      </c>
      <c r="S6614" s="7">
        <f t="shared" si="582"/>
        <v>1</v>
      </c>
      <c r="T6614" s="15" t="str">
        <f>VLOOKUP(R6614,产品分类!$C$2:$D$1278,2,0)</f>
        <v>办公用品</v>
      </c>
    </row>
    <row r="6615" spans="1:20">
      <c r="A6615" s="8">
        <f t="shared" ref="A6615:B6617" si="585">DATE(2012,12,31)-1089</f>
        <v>40185</v>
      </c>
      <c r="B6615" s="8">
        <f t="shared" si="585"/>
        <v>40185</v>
      </c>
      <c r="C6615" s="9" t="s">
        <v>1410</v>
      </c>
      <c r="D6615">
        <v>10021577116</v>
      </c>
      <c r="E6615" t="s">
        <v>47</v>
      </c>
      <c r="F6615" t="s">
        <v>122</v>
      </c>
      <c r="G6615" t="s">
        <v>123</v>
      </c>
      <c r="H6615" t="s">
        <v>2458</v>
      </c>
      <c r="I6615" t="s">
        <v>2459</v>
      </c>
      <c r="J6615" t="s">
        <v>52</v>
      </c>
      <c r="K6615" s="3">
        <v>10096981511</v>
      </c>
      <c r="L6615" s="10">
        <v>40186</v>
      </c>
      <c r="M6615">
        <v>147.16</v>
      </c>
      <c r="N6615" s="11">
        <v>21</v>
      </c>
      <c r="O6615" s="12">
        <v>6.48</v>
      </c>
      <c r="P6615" s="12">
        <v>8.4</v>
      </c>
      <c r="Q6615" s="13">
        <v>-92.55</v>
      </c>
      <c r="R6615" s="36" t="s">
        <v>427</v>
      </c>
      <c r="S6615" s="7">
        <f t="shared" si="582"/>
        <v>1</v>
      </c>
      <c r="T6615" s="15" t="str">
        <f>VLOOKUP(R6615,产品分类!$C$2:$D$1278,2,0)</f>
        <v>数码电子</v>
      </c>
    </row>
    <row r="6616" spans="1:20">
      <c r="A6616" s="8">
        <f t="shared" si="585"/>
        <v>40185</v>
      </c>
      <c r="B6616" s="8">
        <f t="shared" si="585"/>
        <v>40185</v>
      </c>
      <c r="C6616" s="9" t="s">
        <v>1410</v>
      </c>
      <c r="D6616">
        <v>10021575026</v>
      </c>
      <c r="E6616" t="s">
        <v>47</v>
      </c>
      <c r="F6616" t="s">
        <v>122</v>
      </c>
      <c r="G6616" t="s">
        <v>123</v>
      </c>
      <c r="H6616" t="s">
        <v>2458</v>
      </c>
      <c r="I6616" t="s">
        <v>2459</v>
      </c>
      <c r="J6616" t="s">
        <v>52</v>
      </c>
      <c r="K6616" s="3">
        <v>10071042715</v>
      </c>
      <c r="L6616" s="10">
        <v>40186</v>
      </c>
      <c r="M6616">
        <v>50.07</v>
      </c>
      <c r="N6616" s="11">
        <v>19</v>
      </c>
      <c r="O6616" s="12">
        <v>2.67</v>
      </c>
      <c r="P6616" s="12">
        <v>0.86</v>
      </c>
      <c r="Q6616" s="13">
        <v>-0.53</v>
      </c>
      <c r="R6616" s="36" t="s">
        <v>2141</v>
      </c>
      <c r="S6616" s="7">
        <f t="shared" si="582"/>
        <v>1</v>
      </c>
      <c r="T6616" s="15" t="str">
        <f>VLOOKUP(R6616,产品分类!$C$2:$D$1278,2,0)</f>
        <v>数码电子</v>
      </c>
    </row>
    <row r="6617" spans="1:20">
      <c r="A6617" s="8">
        <f t="shared" si="585"/>
        <v>40185</v>
      </c>
      <c r="B6617" s="8">
        <f t="shared" si="585"/>
        <v>40185</v>
      </c>
      <c r="C6617" s="9" t="s">
        <v>1410</v>
      </c>
      <c r="D6617">
        <v>10021525427</v>
      </c>
      <c r="E6617" t="s">
        <v>47</v>
      </c>
      <c r="F6617" t="s">
        <v>55</v>
      </c>
      <c r="G6617" t="s">
        <v>56</v>
      </c>
      <c r="H6617" t="s">
        <v>2471</v>
      </c>
      <c r="I6617" t="s">
        <v>2472</v>
      </c>
      <c r="J6617" t="s">
        <v>52</v>
      </c>
      <c r="K6617" s="3">
        <v>100921770941</v>
      </c>
      <c r="L6617" s="10">
        <v>40185</v>
      </c>
      <c r="M6617">
        <v>6982.87</v>
      </c>
      <c r="N6617" s="11">
        <v>32</v>
      </c>
      <c r="O6617" s="12">
        <v>217.85</v>
      </c>
      <c r="P6617" s="12">
        <v>29.1</v>
      </c>
      <c r="Q6617" s="13">
        <v>875.55</v>
      </c>
      <c r="R6617" s="36" t="s">
        <v>2335</v>
      </c>
      <c r="S6617" s="7">
        <f t="shared" si="582"/>
        <v>0</v>
      </c>
      <c r="T6617" s="15" t="str">
        <f>VLOOKUP(R6617,产品分类!$C$2:$D$1278,2,0)</f>
        <v>办公用品</v>
      </c>
    </row>
    <row r="6618" spans="1:20">
      <c r="A6618" s="8">
        <f>DATE(2012,12,31)-1217</f>
        <v>40057</v>
      </c>
      <c r="B6618" s="8">
        <f>DATE(2012,12,31)-1217</f>
        <v>40057</v>
      </c>
      <c r="C6618" s="9" t="s">
        <v>421</v>
      </c>
      <c r="D6618">
        <v>10021498547</v>
      </c>
      <c r="E6618" t="s">
        <v>47</v>
      </c>
      <c r="F6618" t="s">
        <v>91</v>
      </c>
      <c r="G6618" t="s">
        <v>92</v>
      </c>
      <c r="H6618" t="s">
        <v>2525</v>
      </c>
      <c r="I6618" t="s">
        <v>2526</v>
      </c>
      <c r="J6618" t="s">
        <v>52</v>
      </c>
      <c r="K6618" s="3">
        <v>100122623708</v>
      </c>
      <c r="L6618" s="10">
        <v>40059</v>
      </c>
      <c r="M6618">
        <v>277.0745</v>
      </c>
      <c r="N6618" s="11">
        <v>41</v>
      </c>
      <c r="O6618" s="12">
        <v>7.99</v>
      </c>
      <c r="P6618" s="12">
        <v>5.03</v>
      </c>
      <c r="Q6618" s="13">
        <v>-128.436</v>
      </c>
      <c r="R6618" s="36" t="s">
        <v>576</v>
      </c>
      <c r="S6618" s="7">
        <f t="shared" si="582"/>
        <v>2</v>
      </c>
      <c r="T6618" s="15" t="str">
        <f>VLOOKUP(R6618,产品分类!$C$2:$D$1278,2,0)</f>
        <v>办公用品</v>
      </c>
    </row>
    <row r="6619" spans="1:20">
      <c r="A6619" s="8">
        <f>DATE(2012,12,31)-472</f>
        <v>40802</v>
      </c>
      <c r="B6619" s="8">
        <f>DATE(2012,12,31)-472</f>
        <v>40802</v>
      </c>
      <c r="C6619" s="9" t="s">
        <v>1422</v>
      </c>
      <c r="D6619">
        <v>10021283038</v>
      </c>
      <c r="E6619" t="s">
        <v>47</v>
      </c>
      <c r="F6619" t="s">
        <v>91</v>
      </c>
      <c r="G6619" t="s">
        <v>92</v>
      </c>
      <c r="H6619" t="s">
        <v>2525</v>
      </c>
      <c r="I6619" t="s">
        <v>2526</v>
      </c>
      <c r="J6619" t="s">
        <v>52</v>
      </c>
      <c r="K6619" s="3">
        <v>100926549951</v>
      </c>
      <c r="L6619" s="10">
        <v>40802</v>
      </c>
      <c r="M6619">
        <v>642.1</v>
      </c>
      <c r="N6619" s="11">
        <v>42</v>
      </c>
      <c r="O6619" s="12">
        <v>13.99</v>
      </c>
      <c r="P6619" s="12">
        <v>7.51</v>
      </c>
      <c r="Q6619" s="13">
        <v>41.56</v>
      </c>
      <c r="R6619" s="36" t="s">
        <v>378</v>
      </c>
      <c r="S6619" s="7">
        <f t="shared" si="582"/>
        <v>0</v>
      </c>
      <c r="T6619" s="15" t="str">
        <f>VLOOKUP(R6619,产品分类!$C$2:$D$1278,2,0)</f>
        <v>数码电子</v>
      </c>
    </row>
    <row r="6620" spans="1:20">
      <c r="A6620" s="8">
        <f>DATE(2012,12,31)-981</f>
        <v>40293</v>
      </c>
      <c r="B6620" s="8">
        <f>DATE(2012,12,31)-981</f>
        <v>40293</v>
      </c>
      <c r="C6620" s="9" t="s">
        <v>1422</v>
      </c>
      <c r="D6620">
        <v>10021366194</v>
      </c>
      <c r="E6620" t="s">
        <v>47</v>
      </c>
      <c r="F6620" t="s">
        <v>122</v>
      </c>
      <c r="G6620" t="s">
        <v>123</v>
      </c>
      <c r="H6620" t="s">
        <v>2458</v>
      </c>
      <c r="I6620" t="s">
        <v>2459</v>
      </c>
      <c r="J6620" t="s">
        <v>52</v>
      </c>
      <c r="K6620" s="3">
        <v>100925092931</v>
      </c>
      <c r="L6620" s="10">
        <v>40294</v>
      </c>
      <c r="M6620">
        <v>70.45</v>
      </c>
      <c r="N6620" s="11">
        <v>40</v>
      </c>
      <c r="O6620" s="12">
        <v>1.82</v>
      </c>
      <c r="P6620" s="12">
        <v>1</v>
      </c>
      <c r="Q6620" s="13">
        <v>-2.31</v>
      </c>
      <c r="R6620" s="36" t="s">
        <v>110</v>
      </c>
      <c r="S6620" s="7">
        <f t="shared" si="582"/>
        <v>1</v>
      </c>
      <c r="T6620" s="15" t="str">
        <f>VLOOKUP(R6620,产品分类!$C$2:$D$1278,2,0)</f>
        <v>数码电子</v>
      </c>
    </row>
    <row r="6621" spans="1:20">
      <c r="A6621" s="8">
        <f>DATE(2012,12,31)-1099</f>
        <v>40175</v>
      </c>
      <c r="B6621" s="8">
        <f>DATE(2012,12,31)-1099</f>
        <v>40175</v>
      </c>
      <c r="C6621" s="9" t="s">
        <v>149</v>
      </c>
      <c r="D6621">
        <v>10021501534</v>
      </c>
      <c r="E6621" t="s">
        <v>47</v>
      </c>
      <c r="F6621" t="s">
        <v>122</v>
      </c>
      <c r="G6621" t="s">
        <v>123</v>
      </c>
      <c r="H6621" t="s">
        <v>2458</v>
      </c>
      <c r="I6621" t="s">
        <v>2459</v>
      </c>
      <c r="J6621" t="s">
        <v>52</v>
      </c>
      <c r="K6621" s="3">
        <v>100127343966</v>
      </c>
      <c r="L6621" s="10">
        <v>40176</v>
      </c>
      <c r="M6621">
        <v>99.55</v>
      </c>
      <c r="N6621" s="11">
        <v>18</v>
      </c>
      <c r="O6621" s="12">
        <v>4.98</v>
      </c>
      <c r="P6621" s="12">
        <v>4.62</v>
      </c>
      <c r="Q6621" s="13">
        <v>-60.9</v>
      </c>
      <c r="R6621" s="36" t="s">
        <v>1864</v>
      </c>
      <c r="S6621" s="7">
        <f t="shared" si="582"/>
        <v>1</v>
      </c>
      <c r="T6621" s="15" t="str">
        <f>VLOOKUP(R6621,产品分类!$C$2:$D$1278,2,0)</f>
        <v>办公用品</v>
      </c>
    </row>
    <row r="6622" spans="1:20">
      <c r="A6622" s="8">
        <f t="shared" ref="A6622:B6624" si="586">DATE(2012,12,31)-1109</f>
        <v>40165</v>
      </c>
      <c r="B6622" s="8">
        <f t="shared" si="586"/>
        <v>40165</v>
      </c>
      <c r="C6622" s="9" t="s">
        <v>149</v>
      </c>
      <c r="D6622">
        <v>10021260865</v>
      </c>
      <c r="E6622" t="s">
        <v>47</v>
      </c>
      <c r="F6622" t="s">
        <v>55</v>
      </c>
      <c r="G6622" t="s">
        <v>56</v>
      </c>
      <c r="H6622" t="s">
        <v>2471</v>
      </c>
      <c r="I6622" t="s">
        <v>2472</v>
      </c>
      <c r="J6622" t="s">
        <v>52</v>
      </c>
      <c r="K6622" s="3">
        <v>100929062381</v>
      </c>
      <c r="L6622" s="10">
        <v>40166</v>
      </c>
      <c r="M6622">
        <v>129.18</v>
      </c>
      <c r="N6622" s="11">
        <v>8</v>
      </c>
      <c r="O6622" s="12">
        <v>15.98</v>
      </c>
      <c r="P6622" s="12">
        <v>4</v>
      </c>
      <c r="Q6622" s="13">
        <v>-30.02</v>
      </c>
      <c r="R6622" s="36" t="s">
        <v>1430</v>
      </c>
      <c r="S6622" s="7">
        <f t="shared" si="582"/>
        <v>1</v>
      </c>
      <c r="T6622" s="15" t="str">
        <f>VLOOKUP(R6622,产品分类!$C$2:$D$1278,2,0)</f>
        <v>办公用品</v>
      </c>
    </row>
    <row r="6623" spans="1:20">
      <c r="A6623" s="8">
        <f t="shared" si="586"/>
        <v>40165</v>
      </c>
      <c r="B6623" s="8">
        <f t="shared" si="586"/>
        <v>40165</v>
      </c>
      <c r="C6623" s="9" t="s">
        <v>149</v>
      </c>
      <c r="D6623">
        <v>10021331049</v>
      </c>
      <c r="E6623" t="s">
        <v>47</v>
      </c>
      <c r="F6623" t="s">
        <v>91</v>
      </c>
      <c r="G6623" t="s">
        <v>92</v>
      </c>
      <c r="H6623" t="s">
        <v>2525</v>
      </c>
      <c r="I6623" t="s">
        <v>2526</v>
      </c>
      <c r="J6623" t="s">
        <v>52</v>
      </c>
      <c r="K6623" s="3">
        <v>1009534991</v>
      </c>
      <c r="L6623" s="10">
        <v>40167</v>
      </c>
      <c r="M6623">
        <v>1016.26</v>
      </c>
      <c r="N6623" s="11">
        <v>44</v>
      </c>
      <c r="O6623" s="12">
        <v>22.84</v>
      </c>
      <c r="P6623" s="12">
        <v>5.47</v>
      </c>
      <c r="Q6623" s="13">
        <v>337.97</v>
      </c>
      <c r="R6623" s="36" t="s">
        <v>2274</v>
      </c>
      <c r="S6623" s="7">
        <f t="shared" si="582"/>
        <v>2</v>
      </c>
      <c r="T6623" s="15" t="str">
        <f>VLOOKUP(R6623,产品分类!$C$2:$D$1278,2,0)</f>
        <v>办公用品</v>
      </c>
    </row>
    <row r="6624" spans="1:20">
      <c r="A6624" s="8">
        <f t="shared" si="586"/>
        <v>40165</v>
      </c>
      <c r="B6624" s="8">
        <f t="shared" si="586"/>
        <v>40165</v>
      </c>
      <c r="C6624" s="9" t="s">
        <v>149</v>
      </c>
      <c r="D6624">
        <v>10021605155</v>
      </c>
      <c r="E6624" t="s">
        <v>47</v>
      </c>
      <c r="F6624" t="s">
        <v>122</v>
      </c>
      <c r="G6624" t="s">
        <v>123</v>
      </c>
      <c r="H6624" t="s">
        <v>2458</v>
      </c>
      <c r="I6624" t="s">
        <v>2459</v>
      </c>
      <c r="J6624" t="s">
        <v>52</v>
      </c>
      <c r="K6624" s="3">
        <v>10012512686</v>
      </c>
      <c r="L6624" s="10">
        <v>40169</v>
      </c>
      <c r="M6624">
        <v>437.87</v>
      </c>
      <c r="N6624" s="11">
        <v>15</v>
      </c>
      <c r="O6624" s="12">
        <v>30.98</v>
      </c>
      <c r="P6624" s="12">
        <v>6.5</v>
      </c>
      <c r="Q6624" s="13">
        <v>-111.94</v>
      </c>
      <c r="R6624" s="36" t="s">
        <v>1570</v>
      </c>
      <c r="S6624" s="7">
        <f t="shared" si="582"/>
        <v>4</v>
      </c>
      <c r="T6624" s="15" t="str">
        <f>VLOOKUP(R6624,产品分类!$C$2:$D$1278,2,0)</f>
        <v>办公用品</v>
      </c>
    </row>
    <row r="6625" spans="1:20">
      <c r="A6625" s="8">
        <f>DATE(2012,12,31)-867</f>
        <v>40407</v>
      </c>
      <c r="B6625" s="8">
        <f>DATE(2012,12,31)-867</f>
        <v>40407</v>
      </c>
      <c r="C6625" s="9" t="s">
        <v>564</v>
      </c>
      <c r="D6625">
        <v>10021508531</v>
      </c>
      <c r="E6625" t="s">
        <v>47</v>
      </c>
      <c r="F6625" t="s">
        <v>91</v>
      </c>
      <c r="G6625" t="s">
        <v>92</v>
      </c>
      <c r="H6625" t="s">
        <v>2525</v>
      </c>
      <c r="I6625" t="s">
        <v>2526</v>
      </c>
      <c r="J6625" t="s">
        <v>52</v>
      </c>
      <c r="K6625" s="3">
        <v>100432194614</v>
      </c>
      <c r="L6625" s="10">
        <v>40409</v>
      </c>
      <c r="M6625">
        <v>546.4</v>
      </c>
      <c r="N6625" s="11">
        <v>39</v>
      </c>
      <c r="O6625" s="12">
        <v>15.14</v>
      </c>
      <c r="P6625" s="12">
        <v>4.53</v>
      </c>
      <c r="Q6625" s="13">
        <v>-138.82</v>
      </c>
      <c r="R6625" s="36" t="s">
        <v>622</v>
      </c>
      <c r="S6625" s="7">
        <f t="shared" si="582"/>
        <v>2</v>
      </c>
      <c r="T6625" s="15" t="str">
        <f>VLOOKUP(R6625,产品分类!$C$2:$D$1278,2,0)</f>
        <v>办公用品</v>
      </c>
    </row>
    <row r="6626" spans="1:20">
      <c r="A6626" s="8">
        <f>DATE(2012,12,31)-456</f>
        <v>40818</v>
      </c>
      <c r="B6626" s="8">
        <f>DATE(2012,12,31)-456</f>
        <v>40818</v>
      </c>
      <c r="C6626" s="9" t="s">
        <v>1612</v>
      </c>
      <c r="D6626">
        <v>10021718781</v>
      </c>
      <c r="E6626" t="s">
        <v>47</v>
      </c>
      <c r="F6626" t="s">
        <v>122</v>
      </c>
      <c r="G6626" t="s">
        <v>123</v>
      </c>
      <c r="H6626" t="s">
        <v>2458</v>
      </c>
      <c r="I6626" t="s">
        <v>2459</v>
      </c>
      <c r="J6626" t="s">
        <v>52</v>
      </c>
      <c r="K6626" s="3">
        <v>100914582271</v>
      </c>
      <c r="L6626" s="10">
        <v>40820</v>
      </c>
      <c r="M6626">
        <v>70.91</v>
      </c>
      <c r="N6626" s="11">
        <v>1</v>
      </c>
      <c r="O6626" s="12">
        <v>70.97</v>
      </c>
      <c r="P6626" s="12">
        <v>3.5</v>
      </c>
      <c r="Q6626" s="13">
        <v>-45.43</v>
      </c>
      <c r="R6626" s="36" t="s">
        <v>1891</v>
      </c>
      <c r="S6626" s="7">
        <f t="shared" si="582"/>
        <v>2</v>
      </c>
      <c r="T6626" s="15" t="str">
        <f>VLOOKUP(R6626,产品分类!$C$2:$D$1278,2,0)</f>
        <v>办公用品</v>
      </c>
    </row>
    <row r="6627" spans="1:20">
      <c r="A6627" s="16">
        <f>DATE(2012,12,31)-387</f>
        <v>40887</v>
      </c>
      <c r="B6627" s="16">
        <f>DATE(2012,12,31)-387</f>
        <v>40887</v>
      </c>
      <c r="C6627" s="9" t="s">
        <v>2060</v>
      </c>
      <c r="D6627">
        <v>10021719446</v>
      </c>
      <c r="E6627" t="s">
        <v>47</v>
      </c>
      <c r="F6627" t="s">
        <v>91</v>
      </c>
      <c r="G6627" t="s">
        <v>92</v>
      </c>
      <c r="H6627" t="s">
        <v>2525</v>
      </c>
      <c r="I6627" t="s">
        <v>2526</v>
      </c>
      <c r="J6627" t="s">
        <v>52</v>
      </c>
      <c r="K6627" s="3">
        <v>100921570311</v>
      </c>
      <c r="L6627" s="10">
        <v>40888</v>
      </c>
      <c r="M6627">
        <v>187.13</v>
      </c>
      <c r="N6627" s="17">
        <v>31</v>
      </c>
      <c r="O6627" s="5">
        <v>5.98</v>
      </c>
      <c r="P6627" s="5">
        <v>5.46</v>
      </c>
      <c r="Q6627" s="6">
        <v>-60.83</v>
      </c>
      <c r="R6627" s="37" t="s">
        <v>1637</v>
      </c>
      <c r="S6627" s="7">
        <f t="shared" si="582"/>
        <v>1</v>
      </c>
      <c r="T6627" s="15" t="str">
        <f>VLOOKUP(R6627,产品分类!$C$2:$D$1278,2,0)</f>
        <v>数码电子</v>
      </c>
    </row>
    <row r="6628" spans="1:20">
      <c r="A6628" s="8">
        <f>DATE(2012,12,31)-733</f>
        <v>40541</v>
      </c>
      <c r="B6628" s="8">
        <f>DATE(2012,12,31)-733</f>
        <v>40541</v>
      </c>
      <c r="C6628" s="9" t="s">
        <v>1062</v>
      </c>
      <c r="D6628">
        <v>10021530409</v>
      </c>
      <c r="E6628" t="s">
        <v>47</v>
      </c>
      <c r="F6628" t="s">
        <v>55</v>
      </c>
      <c r="G6628" t="s">
        <v>56</v>
      </c>
      <c r="H6628" t="s">
        <v>2471</v>
      </c>
      <c r="I6628" t="s">
        <v>2472</v>
      </c>
      <c r="J6628" t="s">
        <v>52</v>
      </c>
      <c r="K6628" s="3">
        <v>100421845433</v>
      </c>
      <c r="L6628" s="10">
        <v>40542</v>
      </c>
      <c r="M6628">
        <v>492.71</v>
      </c>
      <c r="N6628" s="11">
        <v>24</v>
      </c>
      <c r="O6628" s="12">
        <v>19.98</v>
      </c>
      <c r="P6628" s="12">
        <v>8.68</v>
      </c>
      <c r="Q6628" s="13">
        <v>67.01</v>
      </c>
      <c r="R6628" s="36" t="s">
        <v>801</v>
      </c>
      <c r="S6628" s="7">
        <f t="shared" si="582"/>
        <v>1</v>
      </c>
      <c r="T6628" s="15" t="str">
        <f>VLOOKUP(R6628,产品分类!$C$2:$D$1278,2,0)</f>
        <v>办公用品</v>
      </c>
    </row>
    <row r="6629" spans="1:20">
      <c r="A6629" s="8">
        <f>DATE(2012,12,31)-733</f>
        <v>40541</v>
      </c>
      <c r="B6629" s="8">
        <f>DATE(2012,12,31)-733</f>
        <v>40541</v>
      </c>
      <c r="C6629" s="9" t="s">
        <v>1062</v>
      </c>
      <c r="D6629">
        <v>10021504164</v>
      </c>
      <c r="E6629" t="s">
        <v>47</v>
      </c>
      <c r="F6629" t="s">
        <v>91</v>
      </c>
      <c r="G6629" t="s">
        <v>92</v>
      </c>
      <c r="H6629" t="s">
        <v>2525</v>
      </c>
      <c r="I6629" t="s">
        <v>2526</v>
      </c>
      <c r="J6629" t="s">
        <v>52</v>
      </c>
      <c r="K6629" s="3">
        <v>1009615521</v>
      </c>
      <c r="L6629" s="10">
        <v>40542</v>
      </c>
      <c r="M6629">
        <v>1042.06</v>
      </c>
      <c r="N6629" s="11">
        <v>14</v>
      </c>
      <c r="O6629" s="12">
        <v>70.89</v>
      </c>
      <c r="P6629" s="12">
        <v>89.3</v>
      </c>
      <c r="Q6629" s="13">
        <v>-931.248</v>
      </c>
      <c r="R6629" s="36" t="s">
        <v>1905</v>
      </c>
      <c r="S6629" s="7">
        <f t="shared" si="582"/>
        <v>1</v>
      </c>
      <c r="T6629" s="15" t="str">
        <f>VLOOKUP(R6629,产品分类!$C$2:$D$1278,2,0)</f>
        <v>数码电子</v>
      </c>
    </row>
    <row r="6630" spans="1:20">
      <c r="A6630" s="8">
        <f t="shared" ref="A6630:B6632" si="587">DATE(2012,12,31)-882</f>
        <v>40392</v>
      </c>
      <c r="B6630" s="8">
        <f t="shared" si="587"/>
        <v>40392</v>
      </c>
      <c r="C6630" s="9" t="s">
        <v>1388</v>
      </c>
      <c r="D6630">
        <v>10021452133</v>
      </c>
      <c r="E6630" t="s">
        <v>47</v>
      </c>
      <c r="F6630" t="s">
        <v>122</v>
      </c>
      <c r="G6630" t="s">
        <v>123</v>
      </c>
      <c r="H6630" t="s">
        <v>2458</v>
      </c>
      <c r="I6630" t="s">
        <v>2459</v>
      </c>
      <c r="J6630" t="s">
        <v>52</v>
      </c>
      <c r="K6630" s="3">
        <v>100330802179</v>
      </c>
      <c r="L6630" s="10">
        <v>40395</v>
      </c>
      <c r="M6630">
        <v>382.65</v>
      </c>
      <c r="N6630" s="11">
        <v>40</v>
      </c>
      <c r="O6630" s="12">
        <v>9.27</v>
      </c>
      <c r="P6630" s="12">
        <v>4.39</v>
      </c>
      <c r="Q6630" s="13">
        <v>47.61</v>
      </c>
      <c r="R6630" s="36" t="s">
        <v>522</v>
      </c>
      <c r="S6630" s="7">
        <f t="shared" si="582"/>
        <v>3</v>
      </c>
      <c r="T6630" s="15" t="str">
        <f>VLOOKUP(R6630,产品分类!$C$2:$D$1278,2,0)</f>
        <v>家具产品</v>
      </c>
    </row>
    <row r="6631" spans="1:20">
      <c r="A6631" s="8">
        <f t="shared" si="587"/>
        <v>40392</v>
      </c>
      <c r="B6631" s="8">
        <f t="shared" si="587"/>
        <v>40392</v>
      </c>
      <c r="C6631" s="9" t="s">
        <v>596</v>
      </c>
      <c r="D6631">
        <v>10021414468</v>
      </c>
      <c r="E6631" t="s">
        <v>47</v>
      </c>
      <c r="F6631" t="s">
        <v>91</v>
      </c>
      <c r="G6631" t="s">
        <v>92</v>
      </c>
      <c r="H6631" t="s">
        <v>2525</v>
      </c>
      <c r="I6631" t="s">
        <v>2526</v>
      </c>
      <c r="J6631" t="s">
        <v>52</v>
      </c>
      <c r="K6631" s="3">
        <v>10091427321</v>
      </c>
      <c r="L6631" s="10">
        <v>40394</v>
      </c>
      <c r="M6631">
        <v>61</v>
      </c>
      <c r="N6631" s="11">
        <v>9</v>
      </c>
      <c r="O6631" s="12">
        <v>6.48</v>
      </c>
      <c r="P6631" s="12">
        <v>6.81</v>
      </c>
      <c r="Q6631" s="13">
        <v>-34.25</v>
      </c>
      <c r="R6631" s="36" t="s">
        <v>767</v>
      </c>
      <c r="S6631" s="7">
        <f t="shared" si="582"/>
        <v>2</v>
      </c>
      <c r="T6631" s="15" t="str">
        <f>VLOOKUP(R6631,产品分类!$C$2:$D$1278,2,0)</f>
        <v>家具产品</v>
      </c>
    </row>
    <row r="6632" spans="1:20">
      <c r="A6632" s="8">
        <f t="shared" si="587"/>
        <v>40392</v>
      </c>
      <c r="B6632" s="8">
        <f t="shared" si="587"/>
        <v>40392</v>
      </c>
      <c r="C6632" s="9" t="s">
        <v>596</v>
      </c>
      <c r="D6632">
        <v>10021495102</v>
      </c>
      <c r="E6632" t="s">
        <v>47</v>
      </c>
      <c r="F6632" t="s">
        <v>55</v>
      </c>
      <c r="G6632" t="s">
        <v>56</v>
      </c>
      <c r="H6632" t="s">
        <v>2471</v>
      </c>
      <c r="I6632" t="s">
        <v>2472</v>
      </c>
      <c r="J6632" t="s">
        <v>52</v>
      </c>
      <c r="K6632" s="3">
        <v>100413922913</v>
      </c>
      <c r="L6632" s="10">
        <v>40394</v>
      </c>
      <c r="M6632">
        <v>3559.613</v>
      </c>
      <c r="N6632" s="11">
        <v>19</v>
      </c>
      <c r="O6632" s="12">
        <v>205.99</v>
      </c>
      <c r="P6632" s="12">
        <v>3</v>
      </c>
      <c r="Q6632" s="13">
        <v>747.738</v>
      </c>
      <c r="R6632" s="36" t="s">
        <v>2541</v>
      </c>
      <c r="S6632" s="7">
        <f t="shared" si="582"/>
        <v>2</v>
      </c>
      <c r="T6632" s="15" t="str">
        <f>VLOOKUP(R6632,产品分类!$C$2:$D$1278,2,0)</f>
        <v>家具产品</v>
      </c>
    </row>
    <row r="6633" spans="1:20">
      <c r="A6633" s="8">
        <f>DATE(2012,12,31)-522</f>
        <v>40752</v>
      </c>
      <c r="B6633" s="8">
        <f>DATE(2012,12,31)-522</f>
        <v>40752</v>
      </c>
      <c r="C6633" s="9" t="s">
        <v>596</v>
      </c>
      <c r="D6633">
        <v>10021369920</v>
      </c>
      <c r="E6633" t="s">
        <v>47</v>
      </c>
      <c r="F6633" t="s">
        <v>91</v>
      </c>
      <c r="G6633" t="s">
        <v>92</v>
      </c>
      <c r="H6633" t="s">
        <v>2525</v>
      </c>
      <c r="I6633" t="s">
        <v>2526</v>
      </c>
      <c r="J6633" t="s">
        <v>52</v>
      </c>
      <c r="K6633" s="3">
        <v>100330575749</v>
      </c>
      <c r="L6633" s="10">
        <v>40753</v>
      </c>
      <c r="M6633">
        <v>221.42</v>
      </c>
      <c r="N6633" s="11">
        <v>44</v>
      </c>
      <c r="O6633" s="12">
        <v>4.98</v>
      </c>
      <c r="P6633" s="12">
        <v>4.62</v>
      </c>
      <c r="Q6633" s="13">
        <v>-142.02</v>
      </c>
      <c r="R6633" s="36" t="s">
        <v>2542</v>
      </c>
      <c r="S6633" s="7">
        <f t="shared" si="582"/>
        <v>1</v>
      </c>
      <c r="T6633" s="15" t="str">
        <f>VLOOKUP(R6633,产品分类!$C$2:$D$1278,2,0)</f>
        <v>办公用品</v>
      </c>
    </row>
    <row r="6634" spans="1:20">
      <c r="A6634" s="16">
        <f>DATE(2012,12,31)-533</f>
        <v>40741</v>
      </c>
      <c r="B6634" s="16">
        <f>DATE(2012,12,31)-533</f>
        <v>40741</v>
      </c>
      <c r="C6634" s="9" t="s">
        <v>526</v>
      </c>
      <c r="D6634">
        <v>10021675634</v>
      </c>
      <c r="E6634" t="s">
        <v>47</v>
      </c>
      <c r="F6634" t="s">
        <v>171</v>
      </c>
      <c r="G6634" t="s">
        <v>172</v>
      </c>
      <c r="H6634" t="s">
        <v>2486</v>
      </c>
      <c r="I6634" t="s">
        <v>2310</v>
      </c>
      <c r="J6634" t="s">
        <v>52</v>
      </c>
      <c r="K6634" s="3">
        <v>100932505131</v>
      </c>
      <c r="L6634" s="10">
        <v>40746</v>
      </c>
      <c r="M6634">
        <v>460.71</v>
      </c>
      <c r="N6634" s="17">
        <v>6</v>
      </c>
      <c r="O6634" s="5">
        <v>70.98</v>
      </c>
      <c r="P6634" s="5">
        <v>35</v>
      </c>
      <c r="Q6634" s="6">
        <v>-231.95</v>
      </c>
      <c r="R6634" s="37" t="s">
        <v>71</v>
      </c>
      <c r="S6634" s="7">
        <f t="shared" si="582"/>
        <v>5</v>
      </c>
      <c r="T6634" s="15" t="str">
        <f>VLOOKUP(R6634,产品分类!$C$2:$D$1278,2,0)</f>
        <v>办公用品</v>
      </c>
    </row>
    <row r="6635" spans="1:20">
      <c r="A6635" s="8">
        <f t="shared" ref="A6635:B6637" si="588">DATE(2012,12,31)-392</f>
        <v>40882</v>
      </c>
      <c r="B6635" s="8">
        <f t="shared" si="588"/>
        <v>40882</v>
      </c>
      <c r="C6635" s="9" t="s">
        <v>1564</v>
      </c>
      <c r="D6635">
        <v>10021418104</v>
      </c>
      <c r="E6635" t="s">
        <v>47</v>
      </c>
      <c r="F6635" t="s">
        <v>127</v>
      </c>
      <c r="G6635" t="s">
        <v>128</v>
      </c>
      <c r="H6635" t="s">
        <v>2462</v>
      </c>
      <c r="I6635" t="s">
        <v>2463</v>
      </c>
      <c r="J6635" t="s">
        <v>52</v>
      </c>
      <c r="K6635" s="3">
        <v>100819694542</v>
      </c>
      <c r="L6635" s="10">
        <v>40883</v>
      </c>
      <c r="M6635">
        <v>1413.82</v>
      </c>
      <c r="N6635" s="11">
        <v>47</v>
      </c>
      <c r="O6635" s="12">
        <v>30.98</v>
      </c>
      <c r="P6635" s="12">
        <v>11.63</v>
      </c>
      <c r="Q6635" s="13">
        <v>226.5335</v>
      </c>
      <c r="R6635" s="36" t="s">
        <v>397</v>
      </c>
      <c r="S6635" s="7">
        <f t="shared" si="582"/>
        <v>1</v>
      </c>
      <c r="T6635" s="15" t="str">
        <f>VLOOKUP(R6635,产品分类!$C$2:$D$1278,2,0)</f>
        <v>办公用品</v>
      </c>
    </row>
    <row r="6636" spans="1:20">
      <c r="A6636" s="16">
        <f t="shared" si="588"/>
        <v>40882</v>
      </c>
      <c r="B6636" s="16">
        <f t="shared" si="588"/>
        <v>40882</v>
      </c>
      <c r="C6636" s="9" t="s">
        <v>2020</v>
      </c>
      <c r="D6636">
        <v>10021447620</v>
      </c>
      <c r="E6636" t="s">
        <v>47</v>
      </c>
      <c r="F6636" t="s">
        <v>61</v>
      </c>
      <c r="G6636" t="s">
        <v>62</v>
      </c>
      <c r="H6636" t="s">
        <v>2506</v>
      </c>
      <c r="I6636" t="s">
        <v>2507</v>
      </c>
      <c r="J6636" t="s">
        <v>52</v>
      </c>
      <c r="K6636" s="3">
        <v>10076740625</v>
      </c>
      <c r="L6636" s="10">
        <v>40883</v>
      </c>
      <c r="M6636">
        <v>56.9</v>
      </c>
      <c r="N6636" s="17">
        <v>7</v>
      </c>
      <c r="O6636" s="5">
        <v>7.64</v>
      </c>
      <c r="P6636" s="5">
        <v>1.39</v>
      </c>
      <c r="Q6636" s="6">
        <v>12.64</v>
      </c>
      <c r="R6636" s="37" t="s">
        <v>797</v>
      </c>
      <c r="S6636" s="7">
        <f t="shared" si="582"/>
        <v>1</v>
      </c>
      <c r="T6636" s="15" t="str">
        <f>VLOOKUP(R6636,产品分类!$C$2:$D$1278,2,0)</f>
        <v>家具产品</v>
      </c>
    </row>
    <row r="6637" spans="1:20">
      <c r="A6637" s="16">
        <f t="shared" si="588"/>
        <v>40882</v>
      </c>
      <c r="B6637" s="16">
        <f t="shared" si="588"/>
        <v>40882</v>
      </c>
      <c r="C6637" s="9" t="s">
        <v>1862</v>
      </c>
      <c r="D6637">
        <v>10021339122</v>
      </c>
      <c r="E6637" t="s">
        <v>47</v>
      </c>
      <c r="F6637" t="s">
        <v>132</v>
      </c>
      <c r="G6637" t="s">
        <v>133</v>
      </c>
      <c r="H6637" t="s">
        <v>134</v>
      </c>
      <c r="I6637" t="s">
        <v>133</v>
      </c>
      <c r="J6637" t="s">
        <v>52</v>
      </c>
      <c r="K6637" s="3">
        <v>100922262601</v>
      </c>
      <c r="L6637" s="10">
        <v>40884</v>
      </c>
      <c r="M6637">
        <v>308.92</v>
      </c>
      <c r="N6637" s="17">
        <v>45</v>
      </c>
      <c r="O6637" s="5">
        <v>6.48</v>
      </c>
      <c r="P6637" s="5">
        <v>7.37</v>
      </c>
      <c r="Q6637" s="6">
        <v>-143.58</v>
      </c>
      <c r="R6637" s="37" t="s">
        <v>146</v>
      </c>
      <c r="S6637" s="7">
        <f t="shared" si="582"/>
        <v>2</v>
      </c>
      <c r="T6637" s="15" t="str">
        <f>VLOOKUP(R6637,产品分类!$C$2:$D$1278,2,0)</f>
        <v>办公用品</v>
      </c>
    </row>
    <row r="6638" spans="1:20">
      <c r="A6638" s="16">
        <f>DATE(2012,12,31)-1055</f>
        <v>40219</v>
      </c>
      <c r="B6638" s="16">
        <f>DATE(2012,12,31)-1055</f>
        <v>40219</v>
      </c>
      <c r="C6638" s="9" t="s">
        <v>309</v>
      </c>
      <c r="D6638">
        <v>10021258449</v>
      </c>
      <c r="E6638" t="s">
        <v>47</v>
      </c>
      <c r="F6638" t="s">
        <v>97</v>
      </c>
      <c r="G6638" t="s">
        <v>98</v>
      </c>
      <c r="H6638" t="s">
        <v>99</v>
      </c>
      <c r="I6638" t="s">
        <v>98</v>
      </c>
      <c r="J6638" t="s">
        <v>52</v>
      </c>
      <c r="K6638" s="3">
        <v>100326983219</v>
      </c>
      <c r="L6638" s="10">
        <v>40224</v>
      </c>
      <c r="M6638">
        <v>26.64</v>
      </c>
      <c r="N6638" s="17">
        <v>2</v>
      </c>
      <c r="O6638" s="5">
        <v>11.55</v>
      </c>
      <c r="P6638" s="5">
        <v>2.36</v>
      </c>
      <c r="Q6638" s="6">
        <v>-13.88</v>
      </c>
      <c r="R6638" s="37" t="s">
        <v>371</v>
      </c>
      <c r="S6638" s="7">
        <f t="shared" si="582"/>
        <v>5</v>
      </c>
      <c r="T6638" s="15" t="str">
        <f>VLOOKUP(R6638,产品分类!$C$2:$D$1278,2,0)</f>
        <v>办公用品</v>
      </c>
    </row>
    <row r="6639" spans="1:20">
      <c r="A6639" s="8">
        <f>DATE(2012,12,31)-1055</f>
        <v>40219</v>
      </c>
      <c r="B6639" s="8">
        <f>DATE(2012,12,31)-1055</f>
        <v>40219</v>
      </c>
      <c r="C6639" s="9" t="s">
        <v>309</v>
      </c>
      <c r="D6639">
        <v>10021498380</v>
      </c>
      <c r="E6639" t="s">
        <v>47</v>
      </c>
      <c r="F6639" t="s">
        <v>97</v>
      </c>
      <c r="G6639" t="s">
        <v>98</v>
      </c>
      <c r="H6639" t="s">
        <v>99</v>
      </c>
      <c r="I6639" t="s">
        <v>98</v>
      </c>
      <c r="J6639" t="s">
        <v>52</v>
      </c>
      <c r="K6639" s="3">
        <v>100822050092</v>
      </c>
      <c r="L6639" s="10">
        <v>40228</v>
      </c>
      <c r="M6639">
        <v>88.19</v>
      </c>
      <c r="N6639" s="11">
        <v>16</v>
      </c>
      <c r="O6639" s="12">
        <v>4.98</v>
      </c>
      <c r="P6639" s="12">
        <v>4.72</v>
      </c>
      <c r="Q6639" s="13">
        <v>-25.97</v>
      </c>
      <c r="R6639" s="36" t="s">
        <v>682</v>
      </c>
      <c r="S6639" s="7">
        <f t="shared" si="582"/>
        <v>9</v>
      </c>
      <c r="T6639" s="15" t="str">
        <f>VLOOKUP(R6639,产品分类!$C$2:$D$1278,2,0)</f>
        <v>家具产品</v>
      </c>
    </row>
    <row r="6640" spans="1:20">
      <c r="A6640" s="8">
        <f>DATE(2012,12,31)-481</f>
        <v>40793</v>
      </c>
      <c r="B6640" s="8">
        <f>DATE(2012,12,31)-481</f>
        <v>40793</v>
      </c>
      <c r="C6640" s="9" t="s">
        <v>613</v>
      </c>
      <c r="D6640">
        <v>10021589756</v>
      </c>
      <c r="E6640" t="s">
        <v>47</v>
      </c>
      <c r="F6640" t="s">
        <v>97</v>
      </c>
      <c r="G6640" t="s">
        <v>98</v>
      </c>
      <c r="H6640" t="s">
        <v>99</v>
      </c>
      <c r="I6640" t="s">
        <v>98</v>
      </c>
      <c r="J6640" t="s">
        <v>52</v>
      </c>
      <c r="K6640" s="3">
        <v>100131208727</v>
      </c>
      <c r="L6640" s="10">
        <v>40793</v>
      </c>
      <c r="M6640">
        <v>760.2485</v>
      </c>
      <c r="N6640" s="11">
        <v>16</v>
      </c>
      <c r="O6640" s="12">
        <v>55.99</v>
      </c>
      <c r="P6640" s="12">
        <v>3.3</v>
      </c>
      <c r="Q6640" s="13">
        <v>29.799</v>
      </c>
      <c r="R6640" s="36" t="s">
        <v>744</v>
      </c>
      <c r="S6640" s="7">
        <f t="shared" si="582"/>
        <v>0</v>
      </c>
      <c r="T6640" s="15" t="str">
        <f>VLOOKUP(R6640,产品分类!$C$2:$D$1278,2,0)</f>
        <v>家具产品</v>
      </c>
    </row>
    <row r="6641" spans="1:20">
      <c r="A6641" s="8">
        <f>DATE(2012,12,31)-815</f>
        <v>40459</v>
      </c>
      <c r="B6641" s="8">
        <f>DATE(2012,12,31)-815</f>
        <v>40459</v>
      </c>
      <c r="C6641" s="9" t="s">
        <v>584</v>
      </c>
      <c r="D6641">
        <v>10021425147</v>
      </c>
      <c r="E6641" t="s">
        <v>47</v>
      </c>
      <c r="F6641" t="s">
        <v>132</v>
      </c>
      <c r="G6641" t="s">
        <v>133</v>
      </c>
      <c r="H6641" t="s">
        <v>134</v>
      </c>
      <c r="I6641" t="s">
        <v>133</v>
      </c>
      <c r="J6641" t="s">
        <v>52</v>
      </c>
      <c r="K6641" s="3">
        <v>100129284726</v>
      </c>
      <c r="L6641" s="10">
        <v>40461</v>
      </c>
      <c r="M6641">
        <v>2200.64</v>
      </c>
      <c r="N6641" s="11">
        <v>25</v>
      </c>
      <c r="O6641" s="12">
        <v>89.99</v>
      </c>
      <c r="P6641" s="12">
        <v>42</v>
      </c>
      <c r="Q6641" s="13">
        <v>-514.18</v>
      </c>
      <c r="R6641" s="36" t="s">
        <v>836</v>
      </c>
      <c r="S6641" s="7">
        <f t="shared" si="582"/>
        <v>2</v>
      </c>
      <c r="T6641" s="15" t="str">
        <f>VLOOKUP(R6641,产品分类!$C$2:$D$1278,2,0)</f>
        <v>办公用品</v>
      </c>
    </row>
    <row r="6642" spans="1:20">
      <c r="A6642" s="8">
        <f>DATE(2012,12,31)-625</f>
        <v>40649</v>
      </c>
      <c r="B6642" s="8">
        <f>DATE(2012,12,31)-625</f>
        <v>40649</v>
      </c>
      <c r="C6642" s="9" t="s">
        <v>143</v>
      </c>
      <c r="D6642">
        <v>10021460737</v>
      </c>
      <c r="E6642" t="s">
        <v>47</v>
      </c>
      <c r="F6642" t="s">
        <v>137</v>
      </c>
      <c r="G6642" t="s">
        <v>138</v>
      </c>
      <c r="H6642" t="s">
        <v>2504</v>
      </c>
      <c r="I6642" t="s">
        <v>2505</v>
      </c>
      <c r="J6642" t="s">
        <v>52</v>
      </c>
      <c r="K6642" s="3">
        <v>100410698123</v>
      </c>
      <c r="L6642" s="10">
        <v>40649</v>
      </c>
      <c r="M6642">
        <v>27.99</v>
      </c>
      <c r="N6642" s="11">
        <v>7</v>
      </c>
      <c r="O6642" s="12">
        <v>3.8</v>
      </c>
      <c r="P6642" s="12">
        <v>1.49</v>
      </c>
      <c r="Q6642" s="13">
        <v>-0.172499999999999</v>
      </c>
      <c r="R6642" s="36" t="s">
        <v>365</v>
      </c>
      <c r="S6642" s="7">
        <f t="shared" si="582"/>
        <v>0</v>
      </c>
      <c r="T6642" s="15" t="str">
        <f>VLOOKUP(R6642,产品分类!$C$2:$D$1278,2,0)</f>
        <v>数码电子</v>
      </c>
    </row>
    <row r="6643" spans="1:20">
      <c r="A6643" s="8">
        <f>DATE(2012,12,31)-625</f>
        <v>40649</v>
      </c>
      <c r="B6643" s="8">
        <f>DATE(2012,12,31)-625</f>
        <v>40649</v>
      </c>
      <c r="C6643" s="9" t="s">
        <v>1034</v>
      </c>
      <c r="D6643">
        <v>10021415323</v>
      </c>
      <c r="E6643" t="s">
        <v>47</v>
      </c>
      <c r="F6643" t="s">
        <v>137</v>
      </c>
      <c r="G6643" t="s">
        <v>138</v>
      </c>
      <c r="H6643" t="s">
        <v>2504</v>
      </c>
      <c r="I6643" t="s">
        <v>2505</v>
      </c>
      <c r="J6643" t="s">
        <v>52</v>
      </c>
      <c r="K6643" s="3">
        <v>100811642682</v>
      </c>
      <c r="L6643" s="10">
        <v>40650</v>
      </c>
      <c r="M6643">
        <v>21.07</v>
      </c>
      <c r="N6643" s="11">
        <v>6</v>
      </c>
      <c r="O6643" s="12">
        <v>3.69</v>
      </c>
      <c r="P6643" s="12">
        <v>0.5</v>
      </c>
      <c r="Q6643" s="13">
        <v>2.28</v>
      </c>
      <c r="R6643" s="36" t="s">
        <v>1990</v>
      </c>
      <c r="S6643" s="7">
        <f t="shared" si="582"/>
        <v>1</v>
      </c>
      <c r="T6643" s="15" t="str">
        <f>VLOOKUP(R6643,产品分类!$C$2:$D$1278,2,0)</f>
        <v>家具产品</v>
      </c>
    </row>
    <row r="6644" spans="1:20">
      <c r="A6644" s="8">
        <f>DATE(2012,12,31)-563</f>
        <v>40711</v>
      </c>
      <c r="B6644" s="8">
        <f>DATE(2012,12,31)-563</f>
        <v>40711</v>
      </c>
      <c r="C6644" s="9" t="s">
        <v>472</v>
      </c>
      <c r="D6644">
        <v>10021690560</v>
      </c>
      <c r="E6644" t="s">
        <v>47</v>
      </c>
      <c r="F6644" t="s">
        <v>304</v>
      </c>
      <c r="G6644" t="s">
        <v>305</v>
      </c>
      <c r="H6644" t="s">
        <v>2527</v>
      </c>
      <c r="I6644" t="s">
        <v>2528</v>
      </c>
      <c r="J6644" t="s">
        <v>52</v>
      </c>
      <c r="K6644" s="3">
        <v>100416700033</v>
      </c>
      <c r="L6644" s="10">
        <v>40713</v>
      </c>
      <c r="M6644">
        <v>1307.184</v>
      </c>
      <c r="N6644" s="11">
        <v>6</v>
      </c>
      <c r="O6644" s="12">
        <v>262.11</v>
      </c>
      <c r="P6644" s="12">
        <v>62.74</v>
      </c>
      <c r="Q6644" s="13">
        <v>-184.06</v>
      </c>
      <c r="R6644" s="36" t="s">
        <v>1340</v>
      </c>
      <c r="S6644" s="7">
        <f t="shared" si="582"/>
        <v>2</v>
      </c>
      <c r="T6644" s="15" t="str">
        <f>VLOOKUP(R6644,产品分类!$C$2:$D$1278,2,0)</f>
        <v>办公用品</v>
      </c>
    </row>
    <row r="6645" spans="1:20">
      <c r="A6645" s="8">
        <f>DATE(2012,12,31)-152</f>
        <v>41122</v>
      </c>
      <c r="B6645" s="8">
        <f>DATE(2012,12,31)-152</f>
        <v>41122</v>
      </c>
      <c r="C6645" s="9" t="s">
        <v>472</v>
      </c>
      <c r="D6645">
        <v>10021387687</v>
      </c>
      <c r="E6645" t="s">
        <v>47</v>
      </c>
      <c r="F6645" t="s">
        <v>304</v>
      </c>
      <c r="G6645" t="s">
        <v>305</v>
      </c>
      <c r="H6645" t="s">
        <v>2527</v>
      </c>
      <c r="I6645" t="s">
        <v>2528</v>
      </c>
      <c r="J6645" t="s">
        <v>52</v>
      </c>
      <c r="K6645" s="3">
        <v>100722962685</v>
      </c>
      <c r="L6645" s="10">
        <v>41122</v>
      </c>
      <c r="M6645">
        <v>145.76</v>
      </c>
      <c r="N6645" s="11">
        <v>26</v>
      </c>
      <c r="O6645" s="12">
        <v>5.28</v>
      </c>
      <c r="P6645" s="12">
        <v>2.99</v>
      </c>
      <c r="Q6645" s="13">
        <v>5.6695</v>
      </c>
      <c r="R6645" s="36" t="s">
        <v>70</v>
      </c>
      <c r="S6645" s="7">
        <f t="shared" si="582"/>
        <v>0</v>
      </c>
      <c r="T6645" s="15" t="str">
        <f>VLOOKUP(R6645,产品分类!$C$2:$D$1278,2,0)</f>
        <v>数码电子</v>
      </c>
    </row>
    <row r="6646" spans="1:20">
      <c r="A6646" s="8">
        <f>DATE(2012,12,31)-214</f>
        <v>41060</v>
      </c>
      <c r="B6646" s="8">
        <f>DATE(2012,12,31)-214</f>
        <v>41060</v>
      </c>
      <c r="C6646" s="9" t="s">
        <v>897</v>
      </c>
      <c r="D6646">
        <v>10021259767</v>
      </c>
      <c r="E6646" t="s">
        <v>47</v>
      </c>
      <c r="F6646" t="s">
        <v>304</v>
      </c>
      <c r="G6646" t="s">
        <v>305</v>
      </c>
      <c r="H6646" t="s">
        <v>2527</v>
      </c>
      <c r="I6646" t="s">
        <v>2528</v>
      </c>
      <c r="J6646" t="s">
        <v>52</v>
      </c>
      <c r="K6646" s="3">
        <v>100928058341</v>
      </c>
      <c r="L6646" s="10">
        <v>41067</v>
      </c>
      <c r="M6646">
        <v>277.08</v>
      </c>
      <c r="N6646" s="11">
        <v>43</v>
      </c>
      <c r="O6646" s="12">
        <v>6.48</v>
      </c>
      <c r="P6646" s="12">
        <v>7.91</v>
      </c>
      <c r="Q6646" s="13">
        <v>-179.11</v>
      </c>
      <c r="R6646" s="36" t="s">
        <v>465</v>
      </c>
      <c r="S6646" s="7">
        <f t="shared" si="582"/>
        <v>7</v>
      </c>
      <c r="T6646" s="15" t="str">
        <f>VLOOKUP(R6646,产品分类!$C$2:$D$1278,2,0)</f>
        <v>办公用品</v>
      </c>
    </row>
    <row r="6647" spans="1:20">
      <c r="A6647" s="8">
        <f>DATE(2012,12,31)-1307</f>
        <v>39967</v>
      </c>
      <c r="B6647" s="8">
        <f>DATE(2012,12,31)-1307</f>
        <v>39967</v>
      </c>
      <c r="C6647" s="9" t="s">
        <v>897</v>
      </c>
      <c r="D6647">
        <v>10021659662</v>
      </c>
      <c r="E6647" t="s">
        <v>47</v>
      </c>
      <c r="F6647" t="s">
        <v>137</v>
      </c>
      <c r="G6647" t="s">
        <v>138</v>
      </c>
      <c r="H6647" t="s">
        <v>2504</v>
      </c>
      <c r="I6647" t="s">
        <v>2505</v>
      </c>
      <c r="J6647" t="s">
        <v>52</v>
      </c>
      <c r="K6647" s="3">
        <v>100911360261</v>
      </c>
      <c r="L6647" s="10">
        <v>39972</v>
      </c>
      <c r="M6647">
        <v>8230.77</v>
      </c>
      <c r="N6647" s="11">
        <v>50</v>
      </c>
      <c r="O6647" s="12">
        <v>161.55</v>
      </c>
      <c r="P6647" s="12">
        <v>19.99</v>
      </c>
      <c r="Q6647" s="13">
        <v>1577.02</v>
      </c>
      <c r="R6647" s="36" t="s">
        <v>772</v>
      </c>
      <c r="S6647" s="7">
        <f t="shared" si="582"/>
        <v>5</v>
      </c>
      <c r="T6647" s="15" t="str">
        <f>VLOOKUP(R6647,产品分类!$C$2:$D$1278,2,0)</f>
        <v>数码电子</v>
      </c>
    </row>
    <row r="6648" spans="1:20">
      <c r="A6648" s="8">
        <f>DATE(2012,12,31)-502</f>
        <v>40772</v>
      </c>
      <c r="B6648" s="8">
        <f>DATE(2012,12,31)-502</f>
        <v>40772</v>
      </c>
      <c r="C6648" s="9" t="s">
        <v>897</v>
      </c>
      <c r="D6648">
        <v>10021416611</v>
      </c>
      <c r="E6648" t="s">
        <v>47</v>
      </c>
      <c r="F6648" t="s">
        <v>304</v>
      </c>
      <c r="G6648" t="s">
        <v>305</v>
      </c>
      <c r="H6648" t="s">
        <v>2527</v>
      </c>
      <c r="I6648" t="s">
        <v>2528</v>
      </c>
      <c r="J6648" t="s">
        <v>52</v>
      </c>
      <c r="K6648" s="3">
        <v>100110429978</v>
      </c>
      <c r="L6648" s="10">
        <v>40773</v>
      </c>
      <c r="M6648">
        <v>197.21</v>
      </c>
      <c r="N6648" s="11">
        <v>10</v>
      </c>
      <c r="O6648" s="12">
        <v>20.98</v>
      </c>
      <c r="P6648" s="12">
        <v>1.49</v>
      </c>
      <c r="Q6648" s="13">
        <v>56.882</v>
      </c>
      <c r="R6648" s="36" t="s">
        <v>2039</v>
      </c>
      <c r="S6648" s="7">
        <f t="shared" si="582"/>
        <v>1</v>
      </c>
      <c r="T6648" s="15" t="str">
        <f>VLOOKUP(R6648,产品分类!$C$2:$D$1278,2,0)</f>
        <v>办公用品</v>
      </c>
    </row>
    <row r="6649" spans="1:20">
      <c r="A6649" s="8">
        <f>DATE(2012,12,31)-813</f>
        <v>40461</v>
      </c>
      <c r="B6649" s="8">
        <f>DATE(2012,12,31)-813</f>
        <v>40461</v>
      </c>
      <c r="C6649" s="9" t="s">
        <v>523</v>
      </c>
      <c r="D6649">
        <v>10021594019</v>
      </c>
      <c r="E6649" t="s">
        <v>47</v>
      </c>
      <c r="F6649" t="s">
        <v>102</v>
      </c>
      <c r="G6649" t="s">
        <v>103</v>
      </c>
      <c r="H6649" t="s">
        <v>2483</v>
      </c>
      <c r="I6649" t="s">
        <v>2484</v>
      </c>
      <c r="J6649" t="s">
        <v>52</v>
      </c>
      <c r="K6649" s="3">
        <v>100418644304</v>
      </c>
      <c r="L6649" s="10">
        <v>40463</v>
      </c>
      <c r="M6649">
        <v>31.6</v>
      </c>
      <c r="N6649" s="11">
        <v>12</v>
      </c>
      <c r="O6649" s="12">
        <v>2.84</v>
      </c>
      <c r="P6649" s="12">
        <v>0.93</v>
      </c>
      <c r="Q6649" s="13">
        <v>-3.64</v>
      </c>
      <c r="R6649" s="36" t="s">
        <v>146</v>
      </c>
      <c r="S6649" s="7">
        <f t="shared" si="582"/>
        <v>2</v>
      </c>
      <c r="T6649" s="15" t="str">
        <f>VLOOKUP(R6649,产品分类!$C$2:$D$1278,2,0)</f>
        <v>办公用品</v>
      </c>
    </row>
    <row r="6650" spans="1:20">
      <c r="A6650" s="8">
        <f t="shared" ref="A6650:B6652" si="589">DATE(2012,12,31)-981</f>
        <v>40293</v>
      </c>
      <c r="B6650" s="8">
        <f t="shared" si="589"/>
        <v>40293</v>
      </c>
      <c r="C6650" s="9" t="s">
        <v>710</v>
      </c>
      <c r="D6650">
        <v>10021350346</v>
      </c>
      <c r="E6650" t="s">
        <v>47</v>
      </c>
      <c r="F6650" t="s">
        <v>102</v>
      </c>
      <c r="G6650" t="s">
        <v>103</v>
      </c>
      <c r="H6650" t="s">
        <v>2483</v>
      </c>
      <c r="I6650" t="s">
        <v>2484</v>
      </c>
      <c r="J6650" t="s">
        <v>52</v>
      </c>
      <c r="K6650" s="3">
        <v>100332146509</v>
      </c>
      <c r="L6650" s="10">
        <v>40294</v>
      </c>
      <c r="M6650">
        <v>318.28</v>
      </c>
      <c r="N6650" s="11">
        <v>39</v>
      </c>
      <c r="O6650" s="12">
        <v>8.17</v>
      </c>
      <c r="P6650" s="12">
        <v>1.69</v>
      </c>
      <c r="Q6650" s="13">
        <v>114.95</v>
      </c>
      <c r="R6650" s="36" t="s">
        <v>2543</v>
      </c>
      <c r="S6650" s="7">
        <f t="shared" si="582"/>
        <v>1</v>
      </c>
      <c r="T6650" s="15" t="str">
        <f>VLOOKUP(R6650,产品分类!$C$2:$D$1278,2,0)</f>
        <v>办公用品</v>
      </c>
    </row>
    <row r="6651" spans="1:20">
      <c r="A6651" s="8">
        <f t="shared" si="589"/>
        <v>40293</v>
      </c>
      <c r="B6651" s="8">
        <f t="shared" si="589"/>
        <v>40293</v>
      </c>
      <c r="C6651" s="9" t="s">
        <v>1060</v>
      </c>
      <c r="D6651">
        <v>10021494328</v>
      </c>
      <c r="E6651" t="s">
        <v>47</v>
      </c>
      <c r="F6651" t="s">
        <v>171</v>
      </c>
      <c r="G6651" t="s">
        <v>172</v>
      </c>
      <c r="H6651" t="s">
        <v>2486</v>
      </c>
      <c r="I6651" t="s">
        <v>2310</v>
      </c>
      <c r="J6651" t="s">
        <v>52</v>
      </c>
      <c r="K6651" s="3">
        <v>10094096911</v>
      </c>
      <c r="L6651" s="10">
        <v>40294</v>
      </c>
      <c r="M6651">
        <v>289.53</v>
      </c>
      <c r="N6651" s="11">
        <v>34</v>
      </c>
      <c r="O6651" s="12">
        <v>8.69</v>
      </c>
      <c r="P6651" s="12">
        <v>2.99</v>
      </c>
      <c r="Q6651" s="13">
        <v>46.971</v>
      </c>
      <c r="R6651" s="36" t="s">
        <v>1498</v>
      </c>
      <c r="S6651" s="7">
        <f t="shared" si="582"/>
        <v>1</v>
      </c>
      <c r="T6651" s="15" t="str">
        <f>VLOOKUP(R6651,产品分类!$C$2:$D$1278,2,0)</f>
        <v>家具产品</v>
      </c>
    </row>
    <row r="6652" spans="1:20">
      <c r="A6652" s="8">
        <f t="shared" si="589"/>
        <v>40293</v>
      </c>
      <c r="B6652" s="8">
        <f t="shared" si="589"/>
        <v>40293</v>
      </c>
      <c r="C6652" s="9" t="s">
        <v>1060</v>
      </c>
      <c r="D6652">
        <v>10021420300</v>
      </c>
      <c r="E6652" t="s">
        <v>47</v>
      </c>
      <c r="F6652" t="s">
        <v>171</v>
      </c>
      <c r="G6652" t="s">
        <v>172</v>
      </c>
      <c r="H6652" t="s">
        <v>2486</v>
      </c>
      <c r="I6652" t="s">
        <v>2310</v>
      </c>
      <c r="J6652" t="s">
        <v>52</v>
      </c>
      <c r="K6652" s="3">
        <v>100924713491</v>
      </c>
      <c r="L6652" s="10">
        <v>40295</v>
      </c>
      <c r="M6652">
        <v>322.8</v>
      </c>
      <c r="N6652" s="11">
        <v>45</v>
      </c>
      <c r="O6652" s="12">
        <v>7.08</v>
      </c>
      <c r="P6652" s="12">
        <v>2.35</v>
      </c>
      <c r="Q6652" s="13">
        <v>53.15</v>
      </c>
      <c r="R6652" s="36" t="s">
        <v>1338</v>
      </c>
      <c r="S6652" s="7">
        <f t="shared" si="582"/>
        <v>2</v>
      </c>
      <c r="T6652" s="15" t="str">
        <f>VLOOKUP(R6652,产品分类!$C$2:$D$1278,2,0)</f>
        <v>办公用品</v>
      </c>
    </row>
    <row r="6653" spans="1:20">
      <c r="A6653" s="8">
        <f t="shared" ref="A6653:B6655" si="590">DATE(2012,12,31)-571</f>
        <v>40703</v>
      </c>
      <c r="B6653" s="8">
        <f t="shared" si="590"/>
        <v>40703</v>
      </c>
      <c r="C6653" s="9" t="s">
        <v>1060</v>
      </c>
      <c r="D6653">
        <v>10021527547</v>
      </c>
      <c r="E6653" t="s">
        <v>47</v>
      </c>
      <c r="F6653" t="s">
        <v>171</v>
      </c>
      <c r="G6653" t="s">
        <v>172</v>
      </c>
      <c r="H6653" t="s">
        <v>2486</v>
      </c>
      <c r="I6653" t="s">
        <v>2310</v>
      </c>
      <c r="J6653" t="s">
        <v>52</v>
      </c>
      <c r="K6653" s="3">
        <v>100926593781</v>
      </c>
      <c r="L6653" s="10">
        <v>40705</v>
      </c>
      <c r="M6653">
        <v>154.18</v>
      </c>
      <c r="N6653" s="11">
        <v>43</v>
      </c>
      <c r="O6653" s="12">
        <v>3.58</v>
      </c>
      <c r="P6653" s="12">
        <v>5.47</v>
      </c>
      <c r="Q6653" s="13">
        <v>-166.9225</v>
      </c>
      <c r="R6653" s="36" t="s">
        <v>1045</v>
      </c>
      <c r="S6653" s="7">
        <f t="shared" si="582"/>
        <v>2</v>
      </c>
      <c r="T6653" s="15" t="str">
        <f>VLOOKUP(R6653,产品分类!$C$2:$D$1278,2,0)</f>
        <v>数码电子</v>
      </c>
    </row>
    <row r="6654" spans="1:20">
      <c r="A6654" s="8">
        <f t="shared" si="590"/>
        <v>40703</v>
      </c>
      <c r="B6654" s="8">
        <f t="shared" si="590"/>
        <v>40703</v>
      </c>
      <c r="C6654" s="9" t="s">
        <v>1318</v>
      </c>
      <c r="D6654">
        <v>10021293622</v>
      </c>
      <c r="E6654" t="s">
        <v>47</v>
      </c>
      <c r="F6654" t="s">
        <v>171</v>
      </c>
      <c r="G6654" t="s">
        <v>172</v>
      </c>
      <c r="H6654" t="s">
        <v>2486</v>
      </c>
      <c r="I6654" t="s">
        <v>2310</v>
      </c>
      <c r="J6654" t="s">
        <v>52</v>
      </c>
      <c r="K6654" s="3">
        <v>1001609348</v>
      </c>
      <c r="L6654" s="10">
        <v>40705</v>
      </c>
      <c r="M6654">
        <v>110.31</v>
      </c>
      <c r="N6654" s="11">
        <v>18</v>
      </c>
      <c r="O6654" s="12">
        <v>5.85</v>
      </c>
      <c r="P6654" s="12">
        <v>2.27</v>
      </c>
      <c r="Q6654" s="13">
        <v>-1.22</v>
      </c>
      <c r="R6654" s="36" t="s">
        <v>1043</v>
      </c>
      <c r="S6654" s="7">
        <f t="shared" si="582"/>
        <v>2</v>
      </c>
      <c r="T6654" s="15" t="str">
        <f>VLOOKUP(R6654,产品分类!$C$2:$D$1278,2,0)</f>
        <v>家具产品</v>
      </c>
    </row>
    <row r="6655" spans="1:20">
      <c r="A6655" s="8">
        <f t="shared" si="590"/>
        <v>40703</v>
      </c>
      <c r="B6655" s="8">
        <f t="shared" si="590"/>
        <v>40703</v>
      </c>
      <c r="C6655" s="9" t="s">
        <v>1318</v>
      </c>
      <c r="D6655">
        <v>10021419840</v>
      </c>
      <c r="E6655" t="s">
        <v>47</v>
      </c>
      <c r="F6655" t="s">
        <v>171</v>
      </c>
      <c r="G6655" t="s">
        <v>172</v>
      </c>
      <c r="H6655" t="s">
        <v>2486</v>
      </c>
      <c r="I6655" t="s">
        <v>2310</v>
      </c>
      <c r="J6655" t="s">
        <v>52</v>
      </c>
      <c r="K6655" s="3">
        <v>100924094551</v>
      </c>
      <c r="L6655" s="10">
        <v>40705</v>
      </c>
      <c r="M6655">
        <v>137.51</v>
      </c>
      <c r="N6655" s="11">
        <v>41</v>
      </c>
      <c r="O6655" s="12">
        <v>3.29</v>
      </c>
      <c r="P6655" s="12">
        <v>1.35</v>
      </c>
      <c r="Q6655" s="13">
        <v>21.62</v>
      </c>
      <c r="R6655" s="36" t="s">
        <v>331</v>
      </c>
      <c r="S6655" s="7">
        <f t="shared" si="582"/>
        <v>2</v>
      </c>
      <c r="T6655" s="15" t="str">
        <f>VLOOKUP(R6655,产品分类!$C$2:$D$1278,2,0)</f>
        <v>数码电子</v>
      </c>
    </row>
    <row r="6656" spans="1:20">
      <c r="A6656" s="8">
        <f>DATE(2012,12,31)-527</f>
        <v>40747</v>
      </c>
      <c r="B6656" s="8">
        <f>DATE(2012,12,31)-527</f>
        <v>40747</v>
      </c>
      <c r="C6656" s="9" t="s">
        <v>462</v>
      </c>
      <c r="D6656">
        <v>10021576509</v>
      </c>
      <c r="E6656" t="s">
        <v>47</v>
      </c>
      <c r="F6656" t="s">
        <v>177</v>
      </c>
      <c r="G6656" t="s">
        <v>178</v>
      </c>
      <c r="H6656" t="s">
        <v>2529</v>
      </c>
      <c r="I6656" t="s">
        <v>2530</v>
      </c>
      <c r="J6656" t="s">
        <v>52</v>
      </c>
      <c r="K6656" s="3">
        <v>100913918611</v>
      </c>
      <c r="L6656" s="10">
        <v>40749</v>
      </c>
      <c r="M6656">
        <v>649.71</v>
      </c>
      <c r="N6656" s="11">
        <v>22</v>
      </c>
      <c r="O6656" s="12">
        <v>30.42</v>
      </c>
      <c r="P6656" s="12">
        <v>8.65</v>
      </c>
      <c r="Q6656" s="13">
        <v>-157.51</v>
      </c>
      <c r="R6656" s="36" t="s">
        <v>1274</v>
      </c>
      <c r="S6656" s="7">
        <f t="shared" si="582"/>
        <v>2</v>
      </c>
      <c r="T6656" s="15" t="str">
        <f>VLOOKUP(R6656,产品分类!$C$2:$D$1278,2,0)</f>
        <v>家具产品</v>
      </c>
    </row>
    <row r="6657" spans="1:20">
      <c r="A6657" s="8">
        <f>DATE(2012,12,31)-1419</f>
        <v>39855</v>
      </c>
      <c r="B6657" s="8">
        <f>DATE(2012,12,31)-1419</f>
        <v>39855</v>
      </c>
      <c r="C6657" s="9" t="s">
        <v>1821</v>
      </c>
      <c r="D6657">
        <v>10021432814</v>
      </c>
      <c r="E6657" t="s">
        <v>47</v>
      </c>
      <c r="F6657" t="s">
        <v>177</v>
      </c>
      <c r="G6657" t="s">
        <v>178</v>
      </c>
      <c r="H6657" t="s">
        <v>2544</v>
      </c>
      <c r="I6657" t="s">
        <v>2545</v>
      </c>
      <c r="J6657" t="s">
        <v>52</v>
      </c>
      <c r="K6657" s="3">
        <v>100932581001</v>
      </c>
      <c r="L6657" s="10">
        <v>39857</v>
      </c>
      <c r="M6657">
        <v>9757.48</v>
      </c>
      <c r="N6657" s="11">
        <v>36</v>
      </c>
      <c r="O6657" s="12">
        <v>270.98</v>
      </c>
      <c r="P6657" s="12">
        <v>50</v>
      </c>
      <c r="Q6657" s="13">
        <v>-96.05</v>
      </c>
      <c r="R6657" s="36" t="s">
        <v>891</v>
      </c>
      <c r="S6657" s="7">
        <f t="shared" si="582"/>
        <v>2</v>
      </c>
      <c r="T6657" s="15" t="str">
        <f>VLOOKUP(R6657,产品分类!$C$2:$D$1278,2,0)</f>
        <v>家具产品</v>
      </c>
    </row>
    <row r="6658" spans="1:20">
      <c r="A6658" s="8">
        <f>DATE(2012,12,31)-1279</f>
        <v>39995</v>
      </c>
      <c r="B6658" s="8">
        <f>DATE(2012,12,31)-1279</f>
        <v>39995</v>
      </c>
      <c r="C6658" s="9" t="s">
        <v>657</v>
      </c>
      <c r="D6658">
        <v>10021694036</v>
      </c>
      <c r="E6658" t="s">
        <v>47</v>
      </c>
      <c r="F6658" t="s">
        <v>167</v>
      </c>
      <c r="G6658" t="s">
        <v>168</v>
      </c>
      <c r="H6658" t="s">
        <v>169</v>
      </c>
      <c r="I6658" t="s">
        <v>168</v>
      </c>
      <c r="J6658" t="s">
        <v>52</v>
      </c>
      <c r="K6658" s="3">
        <v>100330591589</v>
      </c>
      <c r="L6658" s="10">
        <v>39996</v>
      </c>
      <c r="M6658">
        <v>1967.83</v>
      </c>
      <c r="N6658" s="11">
        <v>42</v>
      </c>
      <c r="O6658" s="12">
        <v>45.19</v>
      </c>
      <c r="P6658" s="12">
        <v>1.99</v>
      </c>
      <c r="Q6658" s="13">
        <v>659.6</v>
      </c>
      <c r="R6658" s="36" t="s">
        <v>648</v>
      </c>
      <c r="S6658" s="7">
        <f t="shared" si="582"/>
        <v>1</v>
      </c>
      <c r="T6658" s="15" t="str">
        <f>VLOOKUP(R6658,产品分类!$C$2:$D$1278,2,0)</f>
        <v>家具产品</v>
      </c>
    </row>
    <row r="6659" spans="1:20">
      <c r="A6659" s="8">
        <f>DATE(2012,12,31)-1279</f>
        <v>39995</v>
      </c>
      <c r="B6659" s="8">
        <f>DATE(2012,12,31)-1279</f>
        <v>39995</v>
      </c>
      <c r="C6659" s="9" t="s">
        <v>657</v>
      </c>
      <c r="D6659">
        <v>10021711798</v>
      </c>
      <c r="E6659" t="s">
        <v>47</v>
      </c>
      <c r="F6659" t="s">
        <v>342</v>
      </c>
      <c r="G6659" t="s">
        <v>343</v>
      </c>
      <c r="H6659" t="s">
        <v>2515</v>
      </c>
      <c r="I6659" t="s">
        <v>2516</v>
      </c>
      <c r="J6659" t="s">
        <v>52</v>
      </c>
      <c r="K6659" s="3">
        <v>100132464786</v>
      </c>
      <c r="L6659" s="10">
        <v>39995</v>
      </c>
      <c r="M6659">
        <v>52.59</v>
      </c>
      <c r="N6659" s="11">
        <v>9</v>
      </c>
      <c r="O6659" s="12">
        <v>4.98</v>
      </c>
      <c r="P6659" s="12">
        <v>6.07</v>
      </c>
      <c r="Q6659" s="13">
        <v>-28.14</v>
      </c>
      <c r="R6659" s="36" t="s">
        <v>486</v>
      </c>
      <c r="S6659" s="7">
        <f t="shared" ref="S6659:S6722" si="591">+L6659-B6659</f>
        <v>0</v>
      </c>
      <c r="T6659" s="15" t="str">
        <f>VLOOKUP(R6659,产品分类!$C$2:$D$1278,2,0)</f>
        <v>数码电子</v>
      </c>
    </row>
    <row r="6660" spans="1:20">
      <c r="A6660" s="8">
        <f t="shared" ref="A6660:B6662" si="592">DATE(2012,12,31)-1181</f>
        <v>40093</v>
      </c>
      <c r="B6660" s="8">
        <f t="shared" si="592"/>
        <v>40093</v>
      </c>
      <c r="C6660" s="9" t="s">
        <v>176</v>
      </c>
      <c r="D6660">
        <v>10021341932</v>
      </c>
      <c r="E6660" t="s">
        <v>47</v>
      </c>
      <c r="F6660" t="s">
        <v>177</v>
      </c>
      <c r="G6660" t="s">
        <v>178</v>
      </c>
      <c r="H6660" t="s">
        <v>2544</v>
      </c>
      <c r="I6660" t="s">
        <v>2545</v>
      </c>
      <c r="J6660" t="s">
        <v>52</v>
      </c>
      <c r="K6660" s="3">
        <v>100827583032</v>
      </c>
      <c r="L6660" s="10">
        <v>40095</v>
      </c>
      <c r="M6660">
        <v>277.88</v>
      </c>
      <c r="N6660" s="11">
        <v>36</v>
      </c>
      <c r="O6660" s="12">
        <v>7.68</v>
      </c>
      <c r="P6660" s="12">
        <v>6.16</v>
      </c>
      <c r="Q6660" s="13">
        <v>-64.4115</v>
      </c>
      <c r="R6660" s="36" t="s">
        <v>1593</v>
      </c>
      <c r="S6660" s="7">
        <f t="shared" si="591"/>
        <v>2</v>
      </c>
      <c r="T6660" s="15" t="str">
        <f>VLOOKUP(R6660,产品分类!$C$2:$D$1278,2,0)</f>
        <v>数码电子</v>
      </c>
    </row>
    <row r="6661" spans="1:20">
      <c r="A6661" s="8">
        <f t="shared" si="592"/>
        <v>40093</v>
      </c>
      <c r="B6661" s="8">
        <f t="shared" si="592"/>
        <v>40093</v>
      </c>
      <c r="C6661" s="9" t="s">
        <v>2366</v>
      </c>
      <c r="D6661">
        <v>10021663008</v>
      </c>
      <c r="E6661" t="s">
        <v>47</v>
      </c>
      <c r="F6661" t="s">
        <v>177</v>
      </c>
      <c r="G6661" t="s">
        <v>178</v>
      </c>
      <c r="H6661" t="s">
        <v>2544</v>
      </c>
      <c r="I6661" t="s">
        <v>2545</v>
      </c>
      <c r="J6661" t="s">
        <v>52</v>
      </c>
      <c r="K6661" s="3">
        <v>100323267569</v>
      </c>
      <c r="L6661" s="10">
        <v>40095</v>
      </c>
      <c r="M6661">
        <v>3939.89</v>
      </c>
      <c r="N6661" s="11">
        <v>13</v>
      </c>
      <c r="O6661" s="12">
        <v>291.73</v>
      </c>
      <c r="P6661" s="12">
        <v>48.8</v>
      </c>
      <c r="Q6661" s="13">
        <v>598.24</v>
      </c>
      <c r="R6661" s="36" t="s">
        <v>385</v>
      </c>
      <c r="S6661" s="7">
        <f t="shared" si="591"/>
        <v>2</v>
      </c>
      <c r="T6661" s="15" t="str">
        <f>VLOOKUP(R6661,产品分类!$C$2:$D$1278,2,0)</f>
        <v>数码电子</v>
      </c>
    </row>
    <row r="6662" spans="1:20">
      <c r="A6662" s="8">
        <f t="shared" si="592"/>
        <v>40093</v>
      </c>
      <c r="B6662" s="8">
        <f t="shared" si="592"/>
        <v>40093</v>
      </c>
      <c r="C6662" s="9" t="s">
        <v>1686</v>
      </c>
      <c r="D6662">
        <v>10021656405</v>
      </c>
      <c r="E6662" t="s">
        <v>47</v>
      </c>
      <c r="F6662" t="s">
        <v>177</v>
      </c>
      <c r="G6662" t="s">
        <v>178</v>
      </c>
      <c r="H6662" t="s">
        <v>2544</v>
      </c>
      <c r="I6662" t="s">
        <v>2545</v>
      </c>
      <c r="J6662" t="s">
        <v>52</v>
      </c>
      <c r="K6662" s="3">
        <v>1003993649</v>
      </c>
      <c r="L6662" s="10">
        <v>40095</v>
      </c>
      <c r="M6662">
        <v>925.3</v>
      </c>
      <c r="N6662" s="11">
        <v>47</v>
      </c>
      <c r="O6662" s="12">
        <v>19.98</v>
      </c>
      <c r="P6662" s="12">
        <v>5.77</v>
      </c>
      <c r="Q6662" s="13">
        <v>257.31</v>
      </c>
      <c r="R6662" s="36" t="s">
        <v>581</v>
      </c>
      <c r="S6662" s="7">
        <f t="shared" si="591"/>
        <v>2</v>
      </c>
      <c r="T6662" s="15" t="str">
        <f>VLOOKUP(R6662,产品分类!$C$2:$D$1278,2,0)</f>
        <v>办公用品</v>
      </c>
    </row>
    <row r="6663" spans="1:20">
      <c r="A6663" s="8">
        <f>DATE(2012,12,31)-69</f>
        <v>41205</v>
      </c>
      <c r="B6663" s="8">
        <f>DATE(2012,12,31)-69</f>
        <v>41205</v>
      </c>
      <c r="C6663" s="9" t="s">
        <v>1784</v>
      </c>
      <c r="D6663">
        <v>10021620859</v>
      </c>
      <c r="E6663" t="s">
        <v>47</v>
      </c>
      <c r="F6663" t="s">
        <v>177</v>
      </c>
      <c r="G6663" t="s">
        <v>178</v>
      </c>
      <c r="H6663" t="s">
        <v>2544</v>
      </c>
      <c r="I6663" t="s">
        <v>2545</v>
      </c>
      <c r="J6663" t="s">
        <v>52</v>
      </c>
      <c r="K6663" s="3">
        <v>100810127252</v>
      </c>
      <c r="L6663" s="10">
        <v>41206</v>
      </c>
      <c r="M6663">
        <v>80.56</v>
      </c>
      <c r="N6663" s="11">
        <v>5</v>
      </c>
      <c r="O6663" s="12">
        <v>15.67</v>
      </c>
      <c r="P6663" s="12">
        <v>1.39</v>
      </c>
      <c r="Q6663" s="13">
        <v>12.5</v>
      </c>
      <c r="R6663" s="36" t="s">
        <v>1896</v>
      </c>
      <c r="S6663" s="7">
        <f t="shared" si="591"/>
        <v>1</v>
      </c>
      <c r="T6663" s="15" t="str">
        <f>VLOOKUP(R6663,产品分类!$C$2:$D$1278,2,0)</f>
        <v>办公用品</v>
      </c>
    </row>
    <row r="6664" spans="1:20">
      <c r="A6664" s="8">
        <f>DATE(2012,12,31)-991</f>
        <v>40283</v>
      </c>
      <c r="B6664" s="8">
        <f>DATE(2012,12,31)-991</f>
        <v>40283</v>
      </c>
      <c r="C6664" s="9" t="s">
        <v>887</v>
      </c>
      <c r="D6664">
        <v>10021703623</v>
      </c>
      <c r="E6664" t="s">
        <v>47</v>
      </c>
      <c r="F6664" t="s">
        <v>61</v>
      </c>
      <c r="G6664" t="s">
        <v>62</v>
      </c>
      <c r="H6664" t="s">
        <v>2546</v>
      </c>
      <c r="I6664" t="s">
        <v>2547</v>
      </c>
      <c r="J6664" t="s">
        <v>52</v>
      </c>
      <c r="K6664" s="3">
        <v>100113798408</v>
      </c>
      <c r="L6664" s="10">
        <v>40283</v>
      </c>
      <c r="M6664">
        <v>245.82</v>
      </c>
      <c r="N6664" s="11">
        <v>40</v>
      </c>
      <c r="O6664" s="12">
        <v>6.45</v>
      </c>
      <c r="P6664" s="12">
        <v>1.34</v>
      </c>
      <c r="Q6664" s="13">
        <v>86.44</v>
      </c>
      <c r="R6664" s="36" t="s">
        <v>1155</v>
      </c>
      <c r="S6664" s="7">
        <f t="shared" si="591"/>
        <v>0</v>
      </c>
      <c r="T6664" s="15" t="str">
        <f>VLOOKUP(R6664,产品分类!$C$2:$D$1278,2,0)</f>
        <v>家具产品</v>
      </c>
    </row>
    <row r="6665" spans="1:20">
      <c r="A6665" s="8">
        <f>DATE(2012,12,31)-991</f>
        <v>40283</v>
      </c>
      <c r="B6665" s="8">
        <f>DATE(2012,12,31)-991</f>
        <v>40283</v>
      </c>
      <c r="C6665" s="9" t="s">
        <v>1618</v>
      </c>
      <c r="D6665">
        <v>10021645175</v>
      </c>
      <c r="E6665" t="s">
        <v>47</v>
      </c>
      <c r="F6665" t="s">
        <v>253</v>
      </c>
      <c r="G6665" t="s">
        <v>254</v>
      </c>
      <c r="H6665" t="s">
        <v>2508</v>
      </c>
      <c r="I6665" t="s">
        <v>2509</v>
      </c>
      <c r="J6665" t="s">
        <v>52</v>
      </c>
      <c r="K6665" s="3">
        <v>10082384102</v>
      </c>
      <c r="L6665" s="10">
        <v>40285</v>
      </c>
      <c r="M6665">
        <v>269.14</v>
      </c>
      <c r="N6665" s="11">
        <v>8</v>
      </c>
      <c r="O6665" s="12">
        <v>35.77</v>
      </c>
      <c r="P6665" s="12">
        <v>9.02</v>
      </c>
      <c r="Q6665" s="13">
        <v>-160.72</v>
      </c>
      <c r="R6665" s="36" t="s">
        <v>544</v>
      </c>
      <c r="S6665" s="7">
        <f t="shared" si="591"/>
        <v>2</v>
      </c>
      <c r="T6665" s="15" t="str">
        <f>VLOOKUP(R6665,产品分类!$C$2:$D$1278,2,0)</f>
        <v>办公用品</v>
      </c>
    </row>
    <row r="6666" spans="1:20">
      <c r="A6666" s="8">
        <f>DATE(2012,12,31)-669</f>
        <v>40605</v>
      </c>
      <c r="B6666" s="8">
        <f>DATE(2012,12,31)-669</f>
        <v>40605</v>
      </c>
      <c r="C6666" s="9" t="s">
        <v>726</v>
      </c>
      <c r="D6666">
        <v>10021661514</v>
      </c>
      <c r="E6666" t="s">
        <v>47</v>
      </c>
      <c r="F6666" t="s">
        <v>61</v>
      </c>
      <c r="G6666" t="s">
        <v>62</v>
      </c>
      <c r="H6666" t="s">
        <v>2546</v>
      </c>
      <c r="I6666" t="s">
        <v>2547</v>
      </c>
      <c r="J6666" t="s">
        <v>52</v>
      </c>
      <c r="K6666" s="3">
        <v>100118264306</v>
      </c>
      <c r="L6666" s="10">
        <v>40606</v>
      </c>
      <c r="M6666">
        <v>649.46</v>
      </c>
      <c r="N6666" s="11">
        <v>40</v>
      </c>
      <c r="O6666" s="12">
        <v>15.98</v>
      </c>
      <c r="P6666" s="12">
        <v>4</v>
      </c>
      <c r="Q6666" s="13">
        <v>189.04</v>
      </c>
      <c r="R6666" s="36" t="s">
        <v>1055</v>
      </c>
      <c r="S6666" s="7">
        <f t="shared" si="591"/>
        <v>1</v>
      </c>
      <c r="T6666" s="15" t="str">
        <f>VLOOKUP(R6666,产品分类!$C$2:$D$1278,2,0)</f>
        <v>办公用品</v>
      </c>
    </row>
    <row r="6667" spans="1:20">
      <c r="A6667" s="8">
        <f>DATE(2012,12,31)-836</f>
        <v>40438</v>
      </c>
      <c r="B6667" s="8">
        <f>DATE(2012,12,31)-836</f>
        <v>40438</v>
      </c>
      <c r="C6667" s="9" t="s">
        <v>726</v>
      </c>
      <c r="D6667">
        <v>10021673085</v>
      </c>
      <c r="E6667" t="s">
        <v>47</v>
      </c>
      <c r="F6667" t="s">
        <v>61</v>
      </c>
      <c r="G6667" t="s">
        <v>62</v>
      </c>
      <c r="H6667" t="s">
        <v>2546</v>
      </c>
      <c r="I6667" t="s">
        <v>2547</v>
      </c>
      <c r="J6667" t="s">
        <v>52</v>
      </c>
      <c r="K6667" s="3">
        <v>100931635561</v>
      </c>
      <c r="L6667" s="10">
        <v>40439</v>
      </c>
      <c r="M6667">
        <v>12072.9</v>
      </c>
      <c r="N6667" s="11">
        <v>48</v>
      </c>
      <c r="O6667" s="12">
        <v>243.98</v>
      </c>
      <c r="P6667" s="12">
        <v>43.32</v>
      </c>
      <c r="Q6667" s="13">
        <v>3064.51</v>
      </c>
      <c r="R6667" s="36" t="s">
        <v>206</v>
      </c>
      <c r="S6667" s="7">
        <f t="shared" si="591"/>
        <v>1</v>
      </c>
      <c r="T6667" s="15" t="str">
        <f>VLOOKUP(R6667,产品分类!$C$2:$D$1278,2,0)</f>
        <v>数码电子</v>
      </c>
    </row>
    <row r="6668" spans="1:20">
      <c r="A6668" s="8">
        <f>DATE(2012,12,31)-589</f>
        <v>40685</v>
      </c>
      <c r="B6668" s="8">
        <f>DATE(2012,12,31)-589</f>
        <v>40685</v>
      </c>
      <c r="C6668" s="9" t="s">
        <v>726</v>
      </c>
      <c r="D6668">
        <v>10021557683</v>
      </c>
      <c r="E6668" t="s">
        <v>47</v>
      </c>
      <c r="F6668" t="s">
        <v>342</v>
      </c>
      <c r="G6668" t="s">
        <v>343</v>
      </c>
      <c r="H6668" t="s">
        <v>2515</v>
      </c>
      <c r="I6668" t="s">
        <v>2516</v>
      </c>
      <c r="J6668" t="s">
        <v>52</v>
      </c>
      <c r="K6668" s="3">
        <v>100126252058</v>
      </c>
      <c r="L6668" s="10">
        <v>40686</v>
      </c>
      <c r="M6668">
        <v>20701.928</v>
      </c>
      <c r="N6668" s="11">
        <v>49</v>
      </c>
      <c r="O6668" s="12">
        <v>550.98</v>
      </c>
      <c r="P6668" s="12">
        <v>45.7</v>
      </c>
      <c r="Q6668" s="13">
        <v>3918.54</v>
      </c>
      <c r="R6668" s="36" t="s">
        <v>1940</v>
      </c>
      <c r="S6668" s="7">
        <f t="shared" si="591"/>
        <v>1</v>
      </c>
      <c r="T6668" s="15" t="str">
        <f>VLOOKUP(R6668,产品分类!$C$2:$D$1278,2,0)</f>
        <v>数码电子</v>
      </c>
    </row>
    <row r="6669" spans="1:20">
      <c r="A6669" s="8">
        <f>DATE(2012,12,31)-1024</f>
        <v>40250</v>
      </c>
      <c r="B6669" s="8">
        <f>DATE(2012,12,31)-1024</f>
        <v>40250</v>
      </c>
      <c r="C6669" s="9" t="s">
        <v>562</v>
      </c>
      <c r="D6669">
        <v>10021351846</v>
      </c>
      <c r="E6669" t="s">
        <v>47</v>
      </c>
      <c r="F6669" t="s">
        <v>342</v>
      </c>
      <c r="G6669" t="s">
        <v>343</v>
      </c>
      <c r="H6669" t="s">
        <v>2515</v>
      </c>
      <c r="I6669" t="s">
        <v>2516</v>
      </c>
      <c r="J6669" t="s">
        <v>52</v>
      </c>
      <c r="K6669" s="3">
        <v>100132506167</v>
      </c>
      <c r="L6669" s="10">
        <v>40250</v>
      </c>
      <c r="M6669">
        <v>436.3</v>
      </c>
      <c r="N6669" s="11">
        <v>9</v>
      </c>
      <c r="O6669" s="12">
        <v>50.98</v>
      </c>
      <c r="P6669" s="12">
        <v>14.19</v>
      </c>
      <c r="Q6669" s="13">
        <v>-50.31</v>
      </c>
      <c r="R6669" s="36" t="s">
        <v>320</v>
      </c>
      <c r="S6669" s="7">
        <f t="shared" si="591"/>
        <v>0</v>
      </c>
      <c r="T6669" s="15" t="str">
        <f>VLOOKUP(R6669,产品分类!$C$2:$D$1278,2,0)</f>
        <v>办公用品</v>
      </c>
    </row>
    <row r="6670" spans="1:20">
      <c r="A6670" s="8">
        <f>DATE(2012,12,31)-1024</f>
        <v>40250</v>
      </c>
      <c r="B6670" s="8">
        <f>DATE(2012,12,31)-1024</f>
        <v>40250</v>
      </c>
      <c r="C6670" s="9" t="s">
        <v>562</v>
      </c>
      <c r="D6670">
        <v>10021593023</v>
      </c>
      <c r="E6670" t="s">
        <v>47</v>
      </c>
      <c r="F6670" t="s">
        <v>342</v>
      </c>
      <c r="G6670" t="s">
        <v>343</v>
      </c>
      <c r="H6670" t="s">
        <v>2515</v>
      </c>
      <c r="I6670" t="s">
        <v>2516</v>
      </c>
      <c r="J6670" t="s">
        <v>52</v>
      </c>
      <c r="K6670" s="3">
        <v>10071821585</v>
      </c>
      <c r="L6670" s="10">
        <v>40257</v>
      </c>
      <c r="M6670">
        <v>364.23</v>
      </c>
      <c r="N6670" s="11">
        <v>47</v>
      </c>
      <c r="O6670" s="12">
        <v>7.59</v>
      </c>
      <c r="P6670" s="12">
        <v>4</v>
      </c>
      <c r="Q6670" s="13">
        <v>41.58</v>
      </c>
      <c r="R6670" s="36" t="s">
        <v>834</v>
      </c>
      <c r="S6670" s="7">
        <f t="shared" si="591"/>
        <v>7</v>
      </c>
      <c r="T6670" s="15" t="str">
        <f>VLOOKUP(R6670,产品分类!$C$2:$D$1278,2,0)</f>
        <v>家具产品</v>
      </c>
    </row>
    <row r="6671" spans="1:20">
      <c r="A6671" s="8">
        <f>DATE(2012,12,31)-890</f>
        <v>40384</v>
      </c>
      <c r="B6671" s="8">
        <f>DATE(2012,12,31)-890</f>
        <v>40384</v>
      </c>
      <c r="C6671" s="9" t="s">
        <v>562</v>
      </c>
      <c r="D6671">
        <v>10021718675</v>
      </c>
      <c r="E6671" t="s">
        <v>47</v>
      </c>
      <c r="F6671" t="s">
        <v>61</v>
      </c>
      <c r="G6671" t="s">
        <v>62</v>
      </c>
      <c r="H6671" t="s">
        <v>2546</v>
      </c>
      <c r="I6671" t="s">
        <v>2547</v>
      </c>
      <c r="J6671" t="s">
        <v>52</v>
      </c>
      <c r="K6671" s="3">
        <v>100413684684</v>
      </c>
      <c r="L6671" s="10">
        <v>40386</v>
      </c>
      <c r="M6671">
        <v>475.58</v>
      </c>
      <c r="N6671" s="11">
        <v>29</v>
      </c>
      <c r="O6671" s="12">
        <v>15.98</v>
      </c>
      <c r="P6671" s="12">
        <v>4</v>
      </c>
      <c r="Q6671" s="13">
        <v>108.21</v>
      </c>
      <c r="R6671" s="36" t="s">
        <v>908</v>
      </c>
      <c r="S6671" s="7">
        <f t="shared" si="591"/>
        <v>2</v>
      </c>
      <c r="T6671" s="15" t="str">
        <f>VLOOKUP(R6671,产品分类!$C$2:$D$1278,2,0)</f>
        <v>办公用品</v>
      </c>
    </row>
    <row r="6672" spans="1:20">
      <c r="A6672" s="8">
        <f>DATE(2012,12,31)-888</f>
        <v>40386</v>
      </c>
      <c r="B6672" s="8">
        <f>DATE(2012,12,31)-888</f>
        <v>40386</v>
      </c>
      <c r="C6672" s="9" t="s">
        <v>1250</v>
      </c>
      <c r="D6672">
        <v>10021444071</v>
      </c>
      <c r="E6672" t="s">
        <v>47</v>
      </c>
      <c r="F6672" t="s">
        <v>61</v>
      </c>
      <c r="G6672" t="s">
        <v>62</v>
      </c>
      <c r="H6672" t="s">
        <v>2546</v>
      </c>
      <c r="I6672" t="s">
        <v>2547</v>
      </c>
      <c r="J6672" t="s">
        <v>52</v>
      </c>
      <c r="K6672" s="3">
        <v>10044546803</v>
      </c>
      <c r="L6672" s="10">
        <v>40388</v>
      </c>
      <c r="M6672">
        <v>20.19</v>
      </c>
      <c r="N6672" s="11">
        <v>4</v>
      </c>
      <c r="O6672" s="12">
        <v>4.91</v>
      </c>
      <c r="P6672" s="12">
        <v>0.5</v>
      </c>
      <c r="Q6672" s="13">
        <v>1.3</v>
      </c>
      <c r="R6672" s="36" t="s">
        <v>1231</v>
      </c>
      <c r="S6672" s="7">
        <f t="shared" si="591"/>
        <v>2</v>
      </c>
      <c r="T6672" s="15" t="str">
        <f>VLOOKUP(R6672,产品分类!$C$2:$D$1278,2,0)</f>
        <v>办公用品</v>
      </c>
    </row>
    <row r="6673" spans="1:20">
      <c r="A6673" s="8">
        <f>DATE(2012,12,31)-888</f>
        <v>40386</v>
      </c>
      <c r="B6673" s="8">
        <f>DATE(2012,12,31)-888</f>
        <v>40386</v>
      </c>
      <c r="C6673" s="9" t="s">
        <v>687</v>
      </c>
      <c r="D6673">
        <v>10021496298</v>
      </c>
      <c r="E6673" t="s">
        <v>47</v>
      </c>
      <c r="F6673" t="s">
        <v>61</v>
      </c>
      <c r="G6673" t="s">
        <v>62</v>
      </c>
      <c r="H6673" t="s">
        <v>2546</v>
      </c>
      <c r="I6673" t="s">
        <v>2547</v>
      </c>
      <c r="J6673" t="s">
        <v>52</v>
      </c>
      <c r="K6673" s="3">
        <v>10088338512</v>
      </c>
      <c r="L6673" s="10">
        <v>40387</v>
      </c>
      <c r="M6673">
        <v>74.99</v>
      </c>
      <c r="N6673" s="11">
        <v>43</v>
      </c>
      <c r="O6673" s="12">
        <v>1.82</v>
      </c>
      <c r="P6673" s="12">
        <v>0.83</v>
      </c>
      <c r="Q6673" s="13">
        <v>-8.95</v>
      </c>
      <c r="R6673" s="36" t="s">
        <v>1777</v>
      </c>
      <c r="S6673" s="7">
        <f t="shared" si="591"/>
        <v>1</v>
      </c>
      <c r="T6673" s="15" t="str">
        <f>VLOOKUP(R6673,产品分类!$C$2:$D$1278,2,0)</f>
        <v>办公用品</v>
      </c>
    </row>
    <row r="6674" spans="1:20">
      <c r="A6674" s="8">
        <f>DATE(2012,12,31)-364</f>
        <v>40910</v>
      </c>
      <c r="B6674" s="8">
        <f>DATE(2012,12,31)-364</f>
        <v>40910</v>
      </c>
      <c r="C6674" s="9" t="s">
        <v>1404</v>
      </c>
      <c r="D6674">
        <v>10021319057</v>
      </c>
      <c r="E6674" t="s">
        <v>47</v>
      </c>
      <c r="F6674" t="s">
        <v>61</v>
      </c>
      <c r="G6674" t="s">
        <v>62</v>
      </c>
      <c r="H6674" t="s">
        <v>2546</v>
      </c>
      <c r="I6674" t="s">
        <v>2547</v>
      </c>
      <c r="J6674" t="s">
        <v>52</v>
      </c>
      <c r="K6674" s="3">
        <v>10018114628</v>
      </c>
      <c r="L6674" s="10">
        <v>40911</v>
      </c>
      <c r="M6674">
        <v>279.4</v>
      </c>
      <c r="N6674" s="11">
        <v>27</v>
      </c>
      <c r="O6674" s="12">
        <v>10.48</v>
      </c>
      <c r="P6674" s="12">
        <v>6.91</v>
      </c>
      <c r="Q6674" s="13">
        <v>-92.25</v>
      </c>
      <c r="R6674" s="36" t="s">
        <v>921</v>
      </c>
      <c r="S6674" s="7">
        <f t="shared" si="591"/>
        <v>1</v>
      </c>
      <c r="T6674" s="15" t="str">
        <f>VLOOKUP(R6674,产品分类!$C$2:$D$1278,2,0)</f>
        <v>家具产品</v>
      </c>
    </row>
    <row r="6675" spans="1:20">
      <c r="A6675" s="8">
        <f>DATE(2012,12,31)-1119</f>
        <v>40155</v>
      </c>
      <c r="B6675" s="8">
        <f>DATE(2012,12,31)-1119</f>
        <v>40155</v>
      </c>
      <c r="C6675" s="9" t="s">
        <v>1404</v>
      </c>
      <c r="D6675">
        <v>10021660489</v>
      </c>
      <c r="E6675" t="s">
        <v>47</v>
      </c>
      <c r="F6675" t="s">
        <v>61</v>
      </c>
      <c r="G6675" t="s">
        <v>62</v>
      </c>
      <c r="H6675" t="s">
        <v>2546</v>
      </c>
      <c r="I6675" t="s">
        <v>2547</v>
      </c>
      <c r="J6675" t="s">
        <v>52</v>
      </c>
      <c r="K6675" s="3">
        <v>10088597362</v>
      </c>
      <c r="L6675" s="10">
        <v>40156</v>
      </c>
      <c r="M6675">
        <v>5001.29</v>
      </c>
      <c r="N6675" s="11">
        <v>17</v>
      </c>
      <c r="O6675" s="12">
        <v>304.99</v>
      </c>
      <c r="P6675" s="12">
        <v>19.99</v>
      </c>
      <c r="Q6675" s="13">
        <v>1680.9175</v>
      </c>
      <c r="R6675" s="36" t="s">
        <v>1586</v>
      </c>
      <c r="S6675" s="7">
        <f t="shared" si="591"/>
        <v>1</v>
      </c>
      <c r="T6675" s="15" t="str">
        <f>VLOOKUP(R6675,产品分类!$C$2:$D$1278,2,0)</f>
        <v>家具产品</v>
      </c>
    </row>
    <row r="6676" spans="1:20">
      <c r="A6676" s="8">
        <f>DATE(2012,12,31)-188</f>
        <v>41086</v>
      </c>
      <c r="B6676" s="8">
        <f>DATE(2012,12,31)-188</f>
        <v>41086</v>
      </c>
      <c r="C6676" s="9" t="s">
        <v>977</v>
      </c>
      <c r="D6676">
        <v>10021416627</v>
      </c>
      <c r="E6676" t="s">
        <v>47</v>
      </c>
      <c r="F6676" t="s">
        <v>61</v>
      </c>
      <c r="G6676" t="s">
        <v>62</v>
      </c>
      <c r="H6676" t="s">
        <v>2546</v>
      </c>
      <c r="I6676" t="s">
        <v>2547</v>
      </c>
      <c r="J6676" t="s">
        <v>52</v>
      </c>
      <c r="K6676" s="3">
        <v>100111439796</v>
      </c>
      <c r="L6676" s="10">
        <v>41095</v>
      </c>
      <c r="M6676">
        <v>302.2</v>
      </c>
      <c r="N6676" s="11">
        <v>27</v>
      </c>
      <c r="O6676" s="12">
        <v>10.98</v>
      </c>
      <c r="P6676" s="12">
        <v>3.37</v>
      </c>
      <c r="Q6676" s="13">
        <v>20.27</v>
      </c>
      <c r="R6676" s="36" t="s">
        <v>1262</v>
      </c>
      <c r="S6676" s="7">
        <f t="shared" si="591"/>
        <v>9</v>
      </c>
      <c r="T6676" s="15" t="str">
        <f>VLOOKUP(R6676,产品分类!$C$2:$D$1278,2,0)</f>
        <v>办公用品</v>
      </c>
    </row>
    <row r="6677" spans="1:20">
      <c r="A6677" s="8">
        <f>DATE(2012,12,31)-1269</f>
        <v>40005</v>
      </c>
      <c r="B6677" s="8">
        <f>DATE(2012,12,31)-1269</f>
        <v>40005</v>
      </c>
      <c r="C6677" s="9" t="s">
        <v>977</v>
      </c>
      <c r="D6677">
        <v>10021595878</v>
      </c>
      <c r="E6677" t="s">
        <v>47</v>
      </c>
      <c r="F6677" t="s">
        <v>61</v>
      </c>
      <c r="G6677" t="s">
        <v>62</v>
      </c>
      <c r="H6677" t="s">
        <v>2546</v>
      </c>
      <c r="I6677" t="s">
        <v>2547</v>
      </c>
      <c r="J6677" t="s">
        <v>52</v>
      </c>
      <c r="K6677" s="3">
        <v>100932825631</v>
      </c>
      <c r="L6677" s="10">
        <v>40007</v>
      </c>
      <c r="M6677">
        <v>230.74</v>
      </c>
      <c r="N6677" s="11">
        <v>16</v>
      </c>
      <c r="O6677" s="12">
        <v>14.2</v>
      </c>
      <c r="P6677" s="12">
        <v>5.3</v>
      </c>
      <c r="Q6677" s="13">
        <v>27.23</v>
      </c>
      <c r="R6677" s="36" t="s">
        <v>791</v>
      </c>
      <c r="S6677" s="7">
        <f t="shared" si="591"/>
        <v>2</v>
      </c>
      <c r="T6677" s="15" t="str">
        <f>VLOOKUP(R6677,产品分类!$C$2:$D$1278,2,0)</f>
        <v>数码电子</v>
      </c>
    </row>
    <row r="6678" spans="1:20">
      <c r="A6678" s="8">
        <f>DATE(2012,12,31)-110</f>
        <v>41164</v>
      </c>
      <c r="B6678" s="8">
        <f>DATE(2012,12,31)-110</f>
        <v>41164</v>
      </c>
      <c r="C6678" s="9" t="s">
        <v>977</v>
      </c>
      <c r="D6678">
        <v>10021263830</v>
      </c>
      <c r="E6678" t="s">
        <v>47</v>
      </c>
      <c r="F6678" t="s">
        <v>61</v>
      </c>
      <c r="G6678" t="s">
        <v>62</v>
      </c>
      <c r="H6678" t="s">
        <v>2546</v>
      </c>
      <c r="I6678" t="s">
        <v>2547</v>
      </c>
      <c r="J6678" t="s">
        <v>52</v>
      </c>
      <c r="K6678" s="3">
        <v>100930845551</v>
      </c>
      <c r="L6678" s="10">
        <v>41165</v>
      </c>
      <c r="M6678">
        <v>8188.19</v>
      </c>
      <c r="N6678" s="11">
        <v>41</v>
      </c>
      <c r="O6678" s="12">
        <v>204.1</v>
      </c>
      <c r="P6678" s="12">
        <v>13.99</v>
      </c>
      <c r="Q6678" s="13">
        <v>3702</v>
      </c>
      <c r="R6678" s="36" t="s">
        <v>1619</v>
      </c>
      <c r="S6678" s="7">
        <f t="shared" si="591"/>
        <v>1</v>
      </c>
      <c r="T6678" s="15" t="str">
        <f>VLOOKUP(R6678,产品分类!$C$2:$D$1278,2,0)</f>
        <v>数码电子</v>
      </c>
    </row>
    <row r="6679" spans="1:20">
      <c r="A6679" s="8">
        <f>DATE(2012,12,31)-45</f>
        <v>41229</v>
      </c>
      <c r="B6679" s="8">
        <f>DATE(2012,12,31)-45</f>
        <v>41229</v>
      </c>
      <c r="C6679" s="9" t="s">
        <v>1879</v>
      </c>
      <c r="D6679">
        <v>10021310875</v>
      </c>
      <c r="E6679" t="s">
        <v>47</v>
      </c>
      <c r="F6679" t="s">
        <v>61</v>
      </c>
      <c r="G6679" t="s">
        <v>62</v>
      </c>
      <c r="H6679" t="s">
        <v>2546</v>
      </c>
      <c r="I6679" t="s">
        <v>2547</v>
      </c>
      <c r="J6679" t="s">
        <v>52</v>
      </c>
      <c r="K6679" s="3">
        <v>10087737592</v>
      </c>
      <c r="L6679" s="10">
        <v>41230</v>
      </c>
      <c r="M6679">
        <v>3191.24</v>
      </c>
      <c r="N6679" s="11">
        <v>38</v>
      </c>
      <c r="O6679" s="12">
        <v>83.98</v>
      </c>
      <c r="P6679" s="12">
        <v>5.01</v>
      </c>
      <c r="Q6679" s="13">
        <v>1620.23</v>
      </c>
      <c r="R6679" s="36" t="s">
        <v>1012</v>
      </c>
      <c r="S6679" s="7">
        <f t="shared" si="591"/>
        <v>1</v>
      </c>
      <c r="T6679" s="15" t="str">
        <f>VLOOKUP(R6679,产品分类!$C$2:$D$1278,2,0)</f>
        <v>家具产品</v>
      </c>
    </row>
    <row r="6680" spans="1:20">
      <c r="A6680" s="16">
        <f>DATE(2012,12,31)-852</f>
        <v>40422</v>
      </c>
      <c r="B6680" s="16">
        <f>DATE(2012,12,31)-852</f>
        <v>40422</v>
      </c>
      <c r="C6680" s="9" t="s">
        <v>2020</v>
      </c>
      <c r="D6680">
        <v>10021619824</v>
      </c>
      <c r="E6680" t="s">
        <v>47</v>
      </c>
      <c r="F6680" t="s">
        <v>61</v>
      </c>
      <c r="G6680" t="s">
        <v>62</v>
      </c>
      <c r="H6680" t="s">
        <v>2546</v>
      </c>
      <c r="I6680" t="s">
        <v>2547</v>
      </c>
      <c r="J6680" t="s">
        <v>52</v>
      </c>
      <c r="K6680" s="3">
        <v>10082320742</v>
      </c>
      <c r="L6680" s="10">
        <v>40429</v>
      </c>
      <c r="M6680">
        <v>81.97</v>
      </c>
      <c r="N6680" s="17">
        <v>38</v>
      </c>
      <c r="O6680" s="5">
        <v>1.98</v>
      </c>
      <c r="P6680" s="5">
        <v>4.77</v>
      </c>
      <c r="Q6680" s="6">
        <v>-148.7985</v>
      </c>
      <c r="R6680" s="37" t="s">
        <v>1991</v>
      </c>
      <c r="S6680" s="7">
        <f t="shared" si="591"/>
        <v>7</v>
      </c>
      <c r="T6680" s="15" t="str">
        <f>VLOOKUP(R6680,产品分类!$C$2:$D$1278,2,0)</f>
        <v>办公用品</v>
      </c>
    </row>
    <row r="6681" spans="1:20">
      <c r="A6681" s="8">
        <f>DATE(2012,12,31)-81</f>
        <v>41193</v>
      </c>
      <c r="B6681" s="8">
        <f>DATE(2012,12,31)-81</f>
        <v>41193</v>
      </c>
      <c r="C6681" s="9" t="s">
        <v>2020</v>
      </c>
      <c r="D6681">
        <v>10021331718</v>
      </c>
      <c r="E6681" t="s">
        <v>47</v>
      </c>
      <c r="F6681" t="s">
        <v>61</v>
      </c>
      <c r="G6681" t="s">
        <v>62</v>
      </c>
      <c r="H6681" t="s">
        <v>2546</v>
      </c>
      <c r="I6681" t="s">
        <v>2547</v>
      </c>
      <c r="J6681" t="s">
        <v>52</v>
      </c>
      <c r="K6681" s="3">
        <v>10094999531</v>
      </c>
      <c r="L6681" s="10">
        <v>41195</v>
      </c>
      <c r="M6681">
        <v>179.65</v>
      </c>
      <c r="N6681" s="11">
        <v>48</v>
      </c>
      <c r="O6681" s="12">
        <v>4.13</v>
      </c>
      <c r="P6681" s="12">
        <v>1.23</v>
      </c>
      <c r="Q6681" s="13">
        <v>3.32</v>
      </c>
      <c r="R6681" s="36" t="s">
        <v>1872</v>
      </c>
      <c r="S6681" s="7">
        <f t="shared" si="591"/>
        <v>2</v>
      </c>
      <c r="T6681" s="15" t="str">
        <f>VLOOKUP(R6681,产品分类!$C$2:$D$1278,2,0)</f>
        <v>办公用品</v>
      </c>
    </row>
    <row r="6682" spans="1:20">
      <c r="A6682" s="16">
        <f>DATE(2012,12,31)-902</f>
        <v>40372</v>
      </c>
      <c r="B6682" s="16">
        <f>DATE(2012,12,31)-902</f>
        <v>40372</v>
      </c>
      <c r="C6682" s="9" t="s">
        <v>1741</v>
      </c>
      <c r="D6682">
        <v>10021335012</v>
      </c>
      <c r="E6682" t="s">
        <v>47</v>
      </c>
      <c r="F6682" t="s">
        <v>61</v>
      </c>
      <c r="G6682" t="s">
        <v>62</v>
      </c>
      <c r="H6682" t="s">
        <v>2546</v>
      </c>
      <c r="I6682" t="s">
        <v>2547</v>
      </c>
      <c r="J6682" t="s">
        <v>52</v>
      </c>
      <c r="K6682" s="3">
        <v>10084288242</v>
      </c>
      <c r="L6682" s="10">
        <v>40377</v>
      </c>
      <c r="M6682">
        <v>274.04</v>
      </c>
      <c r="N6682" s="17">
        <v>50</v>
      </c>
      <c r="O6682" s="5">
        <v>5.38</v>
      </c>
      <c r="P6682" s="5">
        <v>7.57</v>
      </c>
      <c r="Q6682" s="6">
        <v>-243.869</v>
      </c>
      <c r="R6682" s="37" t="s">
        <v>371</v>
      </c>
      <c r="S6682" s="7">
        <f t="shared" si="591"/>
        <v>5</v>
      </c>
      <c r="T6682" s="15" t="str">
        <f>VLOOKUP(R6682,产品分类!$C$2:$D$1278,2,0)</f>
        <v>办公用品</v>
      </c>
    </row>
    <row r="6683" spans="1:20">
      <c r="A6683" s="8">
        <f>DATE(2012,12,31)-1277</f>
        <v>39997</v>
      </c>
      <c r="B6683" s="8">
        <f>DATE(2012,12,31)-1277</f>
        <v>39997</v>
      </c>
      <c r="C6683" s="9" t="s">
        <v>1939</v>
      </c>
      <c r="D6683">
        <v>10021581359</v>
      </c>
      <c r="E6683" t="s">
        <v>47</v>
      </c>
      <c r="F6683" t="s">
        <v>61</v>
      </c>
      <c r="G6683" t="s">
        <v>62</v>
      </c>
      <c r="H6683" t="s">
        <v>2546</v>
      </c>
      <c r="I6683" t="s">
        <v>2547</v>
      </c>
      <c r="J6683" t="s">
        <v>52</v>
      </c>
      <c r="K6683" s="3">
        <v>100924332791</v>
      </c>
      <c r="L6683" s="10">
        <v>39997</v>
      </c>
      <c r="M6683">
        <v>3419.1505</v>
      </c>
      <c r="N6683" s="11">
        <v>34</v>
      </c>
      <c r="O6683" s="12">
        <v>115.99</v>
      </c>
      <c r="P6683" s="12">
        <v>5.92</v>
      </c>
      <c r="Q6683" s="13">
        <v>858.582</v>
      </c>
      <c r="R6683" s="36" t="s">
        <v>704</v>
      </c>
      <c r="S6683" s="7">
        <f t="shared" si="591"/>
        <v>0</v>
      </c>
      <c r="T6683" s="15" t="str">
        <f>VLOOKUP(R6683,产品分类!$C$2:$D$1278,2,0)</f>
        <v>数码电子</v>
      </c>
    </row>
    <row r="6684" spans="1:20">
      <c r="A6684" s="8">
        <f>DATE(2012,12,31)-662</f>
        <v>40612</v>
      </c>
      <c r="B6684" s="8">
        <f>DATE(2012,12,31)-662</f>
        <v>40612</v>
      </c>
      <c r="C6684" s="9" t="s">
        <v>982</v>
      </c>
      <c r="D6684">
        <v>10021524721</v>
      </c>
      <c r="E6684" t="s">
        <v>47</v>
      </c>
      <c r="F6684" t="s">
        <v>61</v>
      </c>
      <c r="G6684" t="s">
        <v>62</v>
      </c>
      <c r="H6684" t="s">
        <v>2546</v>
      </c>
      <c r="I6684" t="s">
        <v>2547</v>
      </c>
      <c r="J6684" t="s">
        <v>52</v>
      </c>
      <c r="K6684" s="3">
        <v>100118690718</v>
      </c>
      <c r="L6684" s="10">
        <v>40613</v>
      </c>
      <c r="M6684">
        <v>176.15</v>
      </c>
      <c r="N6684" s="11">
        <v>30</v>
      </c>
      <c r="O6684" s="12">
        <v>5.53</v>
      </c>
      <c r="P6684" s="12">
        <v>6.98</v>
      </c>
      <c r="Q6684" s="13">
        <v>-125.3615</v>
      </c>
      <c r="R6684" s="36" t="s">
        <v>1215</v>
      </c>
      <c r="S6684" s="7">
        <f t="shared" si="591"/>
        <v>1</v>
      </c>
      <c r="T6684" s="15" t="str">
        <f>VLOOKUP(R6684,产品分类!$C$2:$D$1278,2,0)</f>
        <v>家具产品</v>
      </c>
    </row>
    <row r="6685" spans="1:20">
      <c r="A6685" s="8">
        <f>DATE(2012,12,31)-662</f>
        <v>40612</v>
      </c>
      <c r="B6685" s="8">
        <f>DATE(2012,12,31)-662</f>
        <v>40612</v>
      </c>
      <c r="C6685" s="9" t="s">
        <v>703</v>
      </c>
      <c r="D6685">
        <v>10021568907</v>
      </c>
      <c r="E6685" t="s">
        <v>47</v>
      </c>
      <c r="F6685" t="s">
        <v>177</v>
      </c>
      <c r="G6685" t="s">
        <v>178</v>
      </c>
      <c r="H6685" t="s">
        <v>2544</v>
      </c>
      <c r="I6685" t="s">
        <v>2545</v>
      </c>
      <c r="J6685" t="s">
        <v>52</v>
      </c>
      <c r="K6685" s="3">
        <v>100123194588</v>
      </c>
      <c r="L6685" s="10">
        <v>40613</v>
      </c>
      <c r="M6685">
        <v>2946.05</v>
      </c>
      <c r="N6685" s="11">
        <v>29</v>
      </c>
      <c r="O6685" s="12">
        <v>105.49</v>
      </c>
      <c r="P6685" s="12">
        <v>41.64</v>
      </c>
      <c r="Q6685" s="13">
        <v>-690.21</v>
      </c>
      <c r="R6685" s="36" t="s">
        <v>1170</v>
      </c>
      <c r="S6685" s="7">
        <f t="shared" si="591"/>
        <v>1</v>
      </c>
      <c r="T6685" s="15" t="str">
        <f>VLOOKUP(R6685,产品分类!$C$2:$D$1278,2,0)</f>
        <v>数码电子</v>
      </c>
    </row>
    <row r="6686" spans="1:20">
      <c r="A6686" s="8">
        <f>DATE(2012,12,31)-380</f>
        <v>40894</v>
      </c>
      <c r="B6686" s="8">
        <f>DATE(2012,12,31)-380</f>
        <v>40894</v>
      </c>
      <c r="C6686" s="9" t="s">
        <v>703</v>
      </c>
      <c r="D6686">
        <v>10021346540</v>
      </c>
      <c r="E6686" t="s">
        <v>47</v>
      </c>
      <c r="F6686" t="s">
        <v>122</v>
      </c>
      <c r="G6686" t="s">
        <v>123</v>
      </c>
      <c r="H6686" t="s">
        <v>2458</v>
      </c>
      <c r="I6686" t="s">
        <v>2459</v>
      </c>
      <c r="J6686" t="s">
        <v>52</v>
      </c>
      <c r="K6686" s="3">
        <v>100430821763</v>
      </c>
      <c r="L6686" s="10">
        <v>40895</v>
      </c>
      <c r="M6686">
        <v>173.22</v>
      </c>
      <c r="N6686" s="11">
        <v>35</v>
      </c>
      <c r="O6686" s="12">
        <v>4.91</v>
      </c>
      <c r="P6686" s="12">
        <v>0.5</v>
      </c>
      <c r="Q6686" s="13">
        <v>84.03</v>
      </c>
      <c r="R6686" s="36" t="s">
        <v>996</v>
      </c>
      <c r="S6686" s="7">
        <f t="shared" si="591"/>
        <v>1</v>
      </c>
      <c r="T6686" s="15" t="str">
        <f>VLOOKUP(R6686,产品分类!$C$2:$D$1278,2,0)</f>
        <v>家具产品</v>
      </c>
    </row>
    <row r="6687" spans="1:20">
      <c r="A6687" s="8">
        <f>DATE(2012,12,31)-406</f>
        <v>40868</v>
      </c>
      <c r="B6687" s="8">
        <f>DATE(2012,12,31)-406</f>
        <v>40868</v>
      </c>
      <c r="C6687" s="9" t="s">
        <v>2354</v>
      </c>
      <c r="D6687">
        <v>10021533349</v>
      </c>
      <c r="E6687" t="s">
        <v>47</v>
      </c>
      <c r="F6687" t="s">
        <v>55</v>
      </c>
      <c r="G6687" t="s">
        <v>56</v>
      </c>
      <c r="H6687" t="s">
        <v>2471</v>
      </c>
      <c r="I6687" t="s">
        <v>2472</v>
      </c>
      <c r="J6687" t="s">
        <v>52</v>
      </c>
      <c r="K6687" s="3">
        <v>100432364084</v>
      </c>
      <c r="L6687" s="10">
        <v>40870</v>
      </c>
      <c r="M6687">
        <v>102.15</v>
      </c>
      <c r="N6687" s="11">
        <v>40</v>
      </c>
      <c r="O6687" s="12">
        <v>2.08</v>
      </c>
      <c r="P6687" s="12">
        <v>5.33</v>
      </c>
      <c r="Q6687" s="13">
        <v>-138.51</v>
      </c>
      <c r="R6687" s="36" t="s">
        <v>371</v>
      </c>
      <c r="S6687" s="7">
        <f t="shared" si="591"/>
        <v>2</v>
      </c>
      <c r="T6687" s="15" t="str">
        <f>VLOOKUP(R6687,产品分类!$C$2:$D$1278,2,0)</f>
        <v>办公用品</v>
      </c>
    </row>
    <row r="6688" spans="1:20">
      <c r="A6688" s="16">
        <f>DATE(2012,12,31)-1021</f>
        <v>40253</v>
      </c>
      <c r="B6688" s="16">
        <f>DATE(2012,12,31)-1021</f>
        <v>40253</v>
      </c>
      <c r="C6688" s="9" t="s">
        <v>825</v>
      </c>
      <c r="D6688">
        <v>10021344953</v>
      </c>
      <c r="E6688" t="s">
        <v>47</v>
      </c>
      <c r="F6688" t="s">
        <v>171</v>
      </c>
      <c r="G6688" t="s">
        <v>172</v>
      </c>
      <c r="H6688" t="s">
        <v>2486</v>
      </c>
      <c r="I6688" t="s">
        <v>2310</v>
      </c>
      <c r="J6688" t="s">
        <v>52</v>
      </c>
      <c r="K6688" s="3">
        <v>100329846489</v>
      </c>
      <c r="L6688" s="10">
        <v>40253</v>
      </c>
      <c r="M6688">
        <v>399.58</v>
      </c>
      <c r="N6688" s="17">
        <v>46</v>
      </c>
      <c r="O6688" s="5">
        <v>8.45</v>
      </c>
      <c r="P6688" s="5">
        <v>7.77</v>
      </c>
      <c r="Q6688" s="6">
        <v>-188.53</v>
      </c>
      <c r="R6688" s="37" t="s">
        <v>827</v>
      </c>
      <c r="S6688" s="7">
        <f t="shared" si="591"/>
        <v>0</v>
      </c>
      <c r="T6688" s="15" t="str">
        <f>VLOOKUP(R6688,产品分类!$C$2:$D$1278,2,0)</f>
        <v>家具产品</v>
      </c>
    </row>
    <row r="6689" spans="1:20">
      <c r="A6689" s="8">
        <f t="shared" ref="A6689:B6691" si="593">DATE(2012,12,31)-930</f>
        <v>40344</v>
      </c>
      <c r="B6689" s="8">
        <f t="shared" si="593"/>
        <v>40344</v>
      </c>
      <c r="C6689" s="9" t="s">
        <v>825</v>
      </c>
      <c r="D6689">
        <v>10021348086</v>
      </c>
      <c r="E6689" t="s">
        <v>47</v>
      </c>
      <c r="F6689" t="s">
        <v>61</v>
      </c>
      <c r="G6689" t="s">
        <v>62</v>
      </c>
      <c r="H6689" t="s">
        <v>2546</v>
      </c>
      <c r="I6689" t="s">
        <v>2547</v>
      </c>
      <c r="J6689" t="s">
        <v>52</v>
      </c>
      <c r="K6689" s="3">
        <v>100125272318</v>
      </c>
      <c r="L6689" s="10">
        <v>40349</v>
      </c>
      <c r="M6689">
        <v>102.46</v>
      </c>
      <c r="N6689" s="11">
        <v>37</v>
      </c>
      <c r="O6689" s="12">
        <v>2.88</v>
      </c>
      <c r="P6689" s="12">
        <v>0.5</v>
      </c>
      <c r="Q6689" s="13">
        <v>36.64</v>
      </c>
      <c r="R6689" s="36" t="s">
        <v>1835</v>
      </c>
      <c r="S6689" s="7">
        <f t="shared" si="591"/>
        <v>5</v>
      </c>
      <c r="T6689" s="15" t="str">
        <f>VLOOKUP(R6689,产品分类!$C$2:$D$1278,2,0)</f>
        <v>家具产品</v>
      </c>
    </row>
    <row r="6690" spans="1:20">
      <c r="A6690" s="8">
        <f t="shared" si="593"/>
        <v>40344</v>
      </c>
      <c r="B6690" s="8">
        <f t="shared" si="593"/>
        <v>40344</v>
      </c>
      <c r="C6690" s="9" t="s">
        <v>216</v>
      </c>
      <c r="D6690">
        <v>10021681091</v>
      </c>
      <c r="E6690" t="s">
        <v>47</v>
      </c>
      <c r="F6690" t="s">
        <v>66</v>
      </c>
      <c r="G6690" t="s">
        <v>67</v>
      </c>
      <c r="H6690" t="s">
        <v>2467</v>
      </c>
      <c r="I6690" t="s">
        <v>2468</v>
      </c>
      <c r="J6690" t="s">
        <v>52</v>
      </c>
      <c r="K6690" s="3">
        <v>100133270366</v>
      </c>
      <c r="L6690" s="10">
        <v>40349</v>
      </c>
      <c r="M6690">
        <v>1097.6</v>
      </c>
      <c r="N6690" s="11">
        <v>43</v>
      </c>
      <c r="O6690" s="12">
        <v>25.38</v>
      </c>
      <c r="P6690" s="12">
        <v>8.99</v>
      </c>
      <c r="Q6690" s="13">
        <v>216.12</v>
      </c>
      <c r="R6690" s="36" t="s">
        <v>2305</v>
      </c>
      <c r="S6690" s="7">
        <f t="shared" si="591"/>
        <v>5</v>
      </c>
      <c r="T6690" s="15" t="str">
        <f>VLOOKUP(R6690,产品分类!$C$2:$D$1278,2,0)</f>
        <v>家具产品</v>
      </c>
    </row>
    <row r="6691" spans="1:20">
      <c r="A6691" s="8">
        <f t="shared" si="593"/>
        <v>40344</v>
      </c>
      <c r="B6691" s="8">
        <f t="shared" si="593"/>
        <v>40344</v>
      </c>
      <c r="C6691" s="9" t="s">
        <v>425</v>
      </c>
      <c r="D6691">
        <v>10021436390</v>
      </c>
      <c r="E6691" t="s">
        <v>47</v>
      </c>
      <c r="F6691" t="s">
        <v>48</v>
      </c>
      <c r="G6691" t="s">
        <v>49</v>
      </c>
      <c r="H6691" t="s">
        <v>2539</v>
      </c>
      <c r="I6691" t="s">
        <v>2540</v>
      </c>
      <c r="J6691" t="s">
        <v>52</v>
      </c>
      <c r="K6691" s="3">
        <v>100132967977</v>
      </c>
      <c r="L6691" s="10">
        <v>40344</v>
      </c>
      <c r="M6691">
        <v>195.04</v>
      </c>
      <c r="N6691" s="11">
        <v>1</v>
      </c>
      <c r="O6691" s="12">
        <v>167.27</v>
      </c>
      <c r="P6691" s="12">
        <v>35</v>
      </c>
      <c r="Q6691" s="13">
        <v>-149.41</v>
      </c>
      <c r="R6691" s="36" t="s">
        <v>782</v>
      </c>
      <c r="S6691" s="7">
        <f t="shared" si="591"/>
        <v>0</v>
      </c>
      <c r="T6691" s="15" t="str">
        <f>VLOOKUP(R6691,产品分类!$C$2:$D$1278,2,0)</f>
        <v>办公用品</v>
      </c>
    </row>
    <row r="6692" spans="1:20">
      <c r="A6692" s="8">
        <f>DATE(2012,12,31)-36</f>
        <v>41238</v>
      </c>
      <c r="B6692" s="8">
        <f>DATE(2012,12,31)-36</f>
        <v>41238</v>
      </c>
      <c r="C6692" s="9" t="s">
        <v>2233</v>
      </c>
      <c r="D6692">
        <v>10021359817</v>
      </c>
      <c r="E6692" t="s">
        <v>47</v>
      </c>
      <c r="F6692" t="s">
        <v>66</v>
      </c>
      <c r="G6692" t="s">
        <v>67</v>
      </c>
      <c r="H6692" t="s">
        <v>2467</v>
      </c>
      <c r="I6692" t="s">
        <v>2468</v>
      </c>
      <c r="J6692" t="s">
        <v>52</v>
      </c>
      <c r="K6692" s="3">
        <v>100832723922</v>
      </c>
      <c r="L6692" s="10">
        <v>41240</v>
      </c>
      <c r="M6692">
        <v>87.91</v>
      </c>
      <c r="N6692" s="11">
        <v>13</v>
      </c>
      <c r="O6692" s="12">
        <v>6.68</v>
      </c>
      <c r="P6692" s="12">
        <v>5.41</v>
      </c>
      <c r="Q6692" s="13">
        <v>-27.91</v>
      </c>
      <c r="R6692" s="36" t="s">
        <v>1792</v>
      </c>
      <c r="S6692" s="7">
        <f t="shared" si="591"/>
        <v>2</v>
      </c>
      <c r="T6692" s="15" t="str">
        <f>VLOOKUP(R6692,产品分类!$C$2:$D$1278,2,0)</f>
        <v>办公用品</v>
      </c>
    </row>
    <row r="6693" spans="1:20">
      <c r="A6693" s="8">
        <f>DATE(2012,12,31)-1051</f>
        <v>40223</v>
      </c>
      <c r="B6693" s="8">
        <f>DATE(2012,12,31)-1051</f>
        <v>40223</v>
      </c>
      <c r="C6693" s="9" t="s">
        <v>366</v>
      </c>
      <c r="D6693">
        <v>10021479962</v>
      </c>
      <c r="E6693" t="s">
        <v>47</v>
      </c>
      <c r="F6693" t="s">
        <v>48</v>
      </c>
      <c r="G6693" t="s">
        <v>49</v>
      </c>
      <c r="H6693" t="s">
        <v>2539</v>
      </c>
      <c r="I6693" t="s">
        <v>2540</v>
      </c>
      <c r="J6693" t="s">
        <v>52</v>
      </c>
      <c r="K6693" s="3">
        <v>10016641607</v>
      </c>
      <c r="L6693" s="10">
        <v>40225</v>
      </c>
      <c r="M6693">
        <v>174.11</v>
      </c>
      <c r="N6693" s="11">
        <v>12</v>
      </c>
      <c r="O6693" s="12">
        <v>13.73</v>
      </c>
      <c r="P6693" s="12">
        <v>6.85</v>
      </c>
      <c r="Q6693" s="13">
        <v>-24.52</v>
      </c>
      <c r="R6693" s="36" t="s">
        <v>975</v>
      </c>
      <c r="S6693" s="7">
        <f t="shared" si="591"/>
        <v>2</v>
      </c>
      <c r="T6693" s="15" t="str">
        <f>VLOOKUP(R6693,产品分类!$C$2:$D$1278,2,0)</f>
        <v>家具产品</v>
      </c>
    </row>
    <row r="6694" spans="1:20">
      <c r="A6694" s="8">
        <f>DATE(2012,12,31)-505</f>
        <v>40769</v>
      </c>
      <c r="B6694" s="8">
        <f>DATE(2012,12,31)-505</f>
        <v>40769</v>
      </c>
      <c r="C6694" s="9" t="s">
        <v>1039</v>
      </c>
      <c r="D6694">
        <v>10021307709</v>
      </c>
      <c r="E6694" t="s">
        <v>47</v>
      </c>
      <c r="F6694" t="s">
        <v>152</v>
      </c>
      <c r="G6694" t="s">
        <v>153</v>
      </c>
      <c r="H6694" t="s">
        <v>2536</v>
      </c>
      <c r="I6694" t="s">
        <v>2537</v>
      </c>
      <c r="J6694" t="s">
        <v>52</v>
      </c>
      <c r="K6694" s="3">
        <v>100817456782</v>
      </c>
      <c r="L6694" s="10">
        <v>40770</v>
      </c>
      <c r="M6694">
        <v>19.57</v>
      </c>
      <c r="N6694" s="11">
        <v>3</v>
      </c>
      <c r="O6694" s="12">
        <v>5.84</v>
      </c>
      <c r="P6694" s="12">
        <v>1.2</v>
      </c>
      <c r="Q6694" s="13">
        <v>-5.35</v>
      </c>
      <c r="R6694" s="36" t="s">
        <v>902</v>
      </c>
      <c r="S6694" s="7">
        <f t="shared" si="591"/>
        <v>1</v>
      </c>
      <c r="T6694" s="15" t="str">
        <f>VLOOKUP(R6694,产品分类!$C$2:$D$1278,2,0)</f>
        <v>办公用品</v>
      </c>
    </row>
    <row r="6695" spans="1:20">
      <c r="A6695" s="16">
        <f>DATE(2012,12,31)-1222</f>
        <v>40052</v>
      </c>
      <c r="B6695" s="16">
        <f>DATE(2012,12,31)-1222</f>
        <v>40052</v>
      </c>
      <c r="C6695" s="9" t="s">
        <v>853</v>
      </c>
      <c r="D6695">
        <v>10021654932</v>
      </c>
      <c r="E6695" t="s">
        <v>47</v>
      </c>
      <c r="F6695" t="s">
        <v>152</v>
      </c>
      <c r="G6695" t="s">
        <v>153</v>
      </c>
      <c r="H6695" t="s">
        <v>2536</v>
      </c>
      <c r="I6695" t="s">
        <v>2537</v>
      </c>
      <c r="J6695" t="s">
        <v>52</v>
      </c>
      <c r="K6695" s="3">
        <v>100133215998</v>
      </c>
      <c r="L6695" s="10">
        <v>40054</v>
      </c>
      <c r="M6695">
        <v>343</v>
      </c>
      <c r="N6695" s="17">
        <v>50</v>
      </c>
      <c r="O6695" s="5">
        <v>6.68</v>
      </c>
      <c r="P6695" s="5">
        <v>5.66</v>
      </c>
      <c r="Q6695" s="6">
        <v>-76.94</v>
      </c>
      <c r="R6695" s="37" t="s">
        <v>2226</v>
      </c>
      <c r="S6695" s="7">
        <f t="shared" si="591"/>
        <v>2</v>
      </c>
      <c r="T6695" s="15" t="str">
        <f>VLOOKUP(R6695,产品分类!$C$2:$D$1278,2,0)</f>
        <v>办公用品</v>
      </c>
    </row>
    <row r="6696" spans="1:20">
      <c r="A6696" s="8">
        <f>DATE(2012,12,31)-1</f>
        <v>41273</v>
      </c>
      <c r="B6696" s="8">
        <f>DATE(2012,12,31)-1</f>
        <v>41273</v>
      </c>
      <c r="C6696" s="9" t="s">
        <v>417</v>
      </c>
      <c r="D6696">
        <v>10021515764</v>
      </c>
      <c r="E6696" t="s">
        <v>47</v>
      </c>
      <c r="F6696" t="s">
        <v>66</v>
      </c>
      <c r="G6696" t="s">
        <v>67</v>
      </c>
      <c r="H6696" t="s">
        <v>2467</v>
      </c>
      <c r="I6696" t="s">
        <v>2468</v>
      </c>
      <c r="J6696" t="s">
        <v>52</v>
      </c>
      <c r="K6696" s="3">
        <v>100930056791</v>
      </c>
      <c r="L6696" s="10">
        <v>41273</v>
      </c>
      <c r="M6696">
        <v>580.96</v>
      </c>
      <c r="N6696" s="11">
        <v>45</v>
      </c>
      <c r="O6696" s="12">
        <v>13.73</v>
      </c>
      <c r="P6696" s="12">
        <v>6.85</v>
      </c>
      <c r="Q6696" s="13">
        <v>-33.47</v>
      </c>
      <c r="R6696" s="36" t="s">
        <v>787</v>
      </c>
      <c r="S6696" s="7">
        <f t="shared" si="591"/>
        <v>0</v>
      </c>
      <c r="T6696" s="15" t="str">
        <f>VLOOKUP(R6696,产品分类!$C$2:$D$1278,2,0)</f>
        <v>办公用品</v>
      </c>
    </row>
    <row r="6697" spans="1:20">
      <c r="A6697" s="16">
        <f>DATE(2012,12,31)-964</f>
        <v>40310</v>
      </c>
      <c r="B6697" s="16">
        <f>DATE(2012,12,31)-964</f>
        <v>40310</v>
      </c>
      <c r="C6697" s="9" t="s">
        <v>143</v>
      </c>
      <c r="D6697">
        <v>10021357109</v>
      </c>
      <c r="E6697" t="s">
        <v>47</v>
      </c>
      <c r="F6697" t="s">
        <v>78</v>
      </c>
      <c r="G6697" t="s">
        <v>79</v>
      </c>
      <c r="H6697" t="s">
        <v>2489</v>
      </c>
      <c r="I6697" t="s">
        <v>2490</v>
      </c>
      <c r="J6697" t="s">
        <v>52</v>
      </c>
      <c r="K6697" s="3">
        <v>100411451774</v>
      </c>
      <c r="L6697" s="10">
        <v>40310</v>
      </c>
      <c r="M6697">
        <v>230.23</v>
      </c>
      <c r="N6697" s="17">
        <v>50</v>
      </c>
      <c r="O6697" s="5">
        <v>4.28</v>
      </c>
      <c r="P6697" s="5">
        <v>5.74</v>
      </c>
      <c r="Q6697" s="6">
        <v>-150.93</v>
      </c>
      <c r="R6697" s="37" t="s">
        <v>2382</v>
      </c>
      <c r="S6697" s="7">
        <f t="shared" si="591"/>
        <v>0</v>
      </c>
      <c r="T6697" s="15" t="str">
        <f>VLOOKUP(R6697,产品分类!$C$2:$D$1278,2,0)</f>
        <v>办公用品</v>
      </c>
    </row>
    <row r="6698" spans="1:20">
      <c r="A6698" s="8">
        <f>DATE(2012,12,31)-750</f>
        <v>40524</v>
      </c>
      <c r="B6698" s="8">
        <f>DATE(2012,12,31)-750</f>
        <v>40524</v>
      </c>
      <c r="C6698" s="9" t="s">
        <v>851</v>
      </c>
      <c r="D6698">
        <v>10021571364</v>
      </c>
      <c r="E6698" t="s">
        <v>47</v>
      </c>
      <c r="F6698" t="s">
        <v>72</v>
      </c>
      <c r="G6698" t="s">
        <v>73</v>
      </c>
      <c r="H6698" t="s">
        <v>2417</v>
      </c>
      <c r="I6698" t="s">
        <v>2418</v>
      </c>
      <c r="J6698" t="s">
        <v>52</v>
      </c>
      <c r="K6698" s="3">
        <v>100132844108</v>
      </c>
      <c r="L6698" s="10">
        <v>40526</v>
      </c>
      <c r="M6698">
        <v>5824.01</v>
      </c>
      <c r="N6698" s="11">
        <v>41</v>
      </c>
      <c r="O6698" s="12">
        <v>150.98</v>
      </c>
      <c r="P6698" s="12">
        <v>30</v>
      </c>
      <c r="Q6698" s="13">
        <v>-288.68</v>
      </c>
      <c r="R6698" s="36" t="s">
        <v>2166</v>
      </c>
      <c r="S6698" s="7">
        <f t="shared" si="591"/>
        <v>2</v>
      </c>
      <c r="T6698" s="15" t="str">
        <f>VLOOKUP(R6698,产品分类!$C$2:$D$1278,2,0)</f>
        <v>数码电子</v>
      </c>
    </row>
    <row r="6699" spans="1:20">
      <c r="A6699" s="8">
        <f t="shared" ref="A6699:B6702" si="594">DATE(2012,12,31)-142</f>
        <v>41132</v>
      </c>
      <c r="B6699" s="8">
        <f t="shared" si="594"/>
        <v>41132</v>
      </c>
      <c r="C6699" s="9" t="s">
        <v>907</v>
      </c>
      <c r="D6699">
        <v>10021485908</v>
      </c>
      <c r="E6699" t="s">
        <v>47</v>
      </c>
      <c r="F6699" t="s">
        <v>72</v>
      </c>
      <c r="G6699" t="s">
        <v>73</v>
      </c>
      <c r="H6699" t="s">
        <v>2417</v>
      </c>
      <c r="I6699" t="s">
        <v>2418</v>
      </c>
      <c r="J6699" t="s">
        <v>52</v>
      </c>
      <c r="K6699" s="3">
        <v>100431866934</v>
      </c>
      <c r="L6699" s="10">
        <v>41134</v>
      </c>
      <c r="M6699">
        <v>66.43</v>
      </c>
      <c r="N6699" s="11">
        <v>5</v>
      </c>
      <c r="O6699" s="12">
        <v>10.68</v>
      </c>
      <c r="P6699" s="12">
        <v>13.04</v>
      </c>
      <c r="Q6699" s="13">
        <v>-9.45</v>
      </c>
      <c r="R6699" s="36" t="s">
        <v>1104</v>
      </c>
      <c r="S6699" s="7">
        <f t="shared" si="591"/>
        <v>2</v>
      </c>
      <c r="T6699" s="15" t="str">
        <f>VLOOKUP(R6699,产品分类!$C$2:$D$1278,2,0)</f>
        <v>办公用品</v>
      </c>
    </row>
    <row r="6700" spans="1:20">
      <c r="A6700" s="8">
        <f t="shared" si="594"/>
        <v>41132</v>
      </c>
      <c r="B6700" s="8">
        <f t="shared" si="594"/>
        <v>41132</v>
      </c>
      <c r="C6700" s="9" t="s">
        <v>734</v>
      </c>
      <c r="D6700">
        <v>10021359518</v>
      </c>
      <c r="E6700" t="s">
        <v>47</v>
      </c>
      <c r="F6700" t="s">
        <v>72</v>
      </c>
      <c r="G6700" t="s">
        <v>73</v>
      </c>
      <c r="H6700" t="s">
        <v>2417</v>
      </c>
      <c r="I6700" t="s">
        <v>2418</v>
      </c>
      <c r="J6700" t="s">
        <v>52</v>
      </c>
      <c r="K6700" s="3">
        <v>100724660345</v>
      </c>
      <c r="L6700" s="10">
        <v>41134</v>
      </c>
      <c r="M6700">
        <v>2674.18</v>
      </c>
      <c r="N6700" s="11">
        <v>25</v>
      </c>
      <c r="O6700" s="12">
        <v>110.98</v>
      </c>
      <c r="P6700" s="12">
        <v>13.99</v>
      </c>
      <c r="Q6700" s="13">
        <v>631.99</v>
      </c>
      <c r="R6700" s="36" t="s">
        <v>1566</v>
      </c>
      <c r="S6700" s="7">
        <f t="shared" si="591"/>
        <v>2</v>
      </c>
      <c r="T6700" s="15" t="str">
        <f>VLOOKUP(R6700,产品分类!$C$2:$D$1278,2,0)</f>
        <v>数码电子</v>
      </c>
    </row>
    <row r="6701" spans="1:20">
      <c r="A6701" s="8">
        <f t="shared" si="594"/>
        <v>41132</v>
      </c>
      <c r="B6701" s="8">
        <f t="shared" si="594"/>
        <v>41132</v>
      </c>
      <c r="C6701" s="9" t="s">
        <v>734</v>
      </c>
      <c r="D6701">
        <v>10021643983</v>
      </c>
      <c r="E6701" t="s">
        <v>47</v>
      </c>
      <c r="F6701" t="s">
        <v>2517</v>
      </c>
      <c r="G6701" t="s">
        <v>2518</v>
      </c>
      <c r="H6701" t="s">
        <v>2519</v>
      </c>
      <c r="I6701" t="s">
        <v>2520</v>
      </c>
      <c r="J6701" t="s">
        <v>52</v>
      </c>
      <c r="K6701" s="3">
        <v>100925133141</v>
      </c>
      <c r="L6701" s="10">
        <v>41133</v>
      </c>
      <c r="M6701">
        <v>5513.82</v>
      </c>
      <c r="N6701" s="11">
        <v>50</v>
      </c>
      <c r="O6701" s="12">
        <v>105.98</v>
      </c>
      <c r="P6701" s="12">
        <v>13.99</v>
      </c>
      <c r="Q6701" s="13">
        <v>1581.93</v>
      </c>
      <c r="R6701" s="36" t="s">
        <v>489</v>
      </c>
      <c r="S6701" s="7">
        <f t="shared" si="591"/>
        <v>1</v>
      </c>
      <c r="T6701" s="15" t="str">
        <f>VLOOKUP(R6701,产品分类!$C$2:$D$1278,2,0)</f>
        <v>办公用品</v>
      </c>
    </row>
    <row r="6702" spans="1:20">
      <c r="A6702" s="16">
        <f t="shared" si="594"/>
        <v>41132</v>
      </c>
      <c r="B6702" s="16">
        <f t="shared" si="594"/>
        <v>41132</v>
      </c>
      <c r="C6702" s="9" t="s">
        <v>1297</v>
      </c>
      <c r="D6702">
        <v>10021536339</v>
      </c>
      <c r="E6702" t="s">
        <v>47</v>
      </c>
      <c r="F6702" t="s">
        <v>55</v>
      </c>
      <c r="G6702" t="s">
        <v>56</v>
      </c>
      <c r="H6702" t="s">
        <v>2471</v>
      </c>
      <c r="I6702" t="s">
        <v>2472</v>
      </c>
      <c r="J6702" t="s">
        <v>52</v>
      </c>
      <c r="K6702" s="3">
        <v>10099588461</v>
      </c>
      <c r="L6702" s="10">
        <v>41133</v>
      </c>
      <c r="M6702">
        <v>241.14</v>
      </c>
      <c r="N6702" s="17">
        <v>37</v>
      </c>
      <c r="O6702" s="5">
        <v>6.68</v>
      </c>
      <c r="P6702" s="5">
        <v>6.93</v>
      </c>
      <c r="Q6702" s="6">
        <v>-120.08</v>
      </c>
      <c r="R6702" s="37" t="s">
        <v>427</v>
      </c>
      <c r="S6702" s="7">
        <f t="shared" si="591"/>
        <v>1</v>
      </c>
      <c r="T6702" s="15" t="str">
        <f>VLOOKUP(R6702,产品分类!$C$2:$D$1278,2,0)</f>
        <v>数码电子</v>
      </c>
    </row>
    <row r="6703" spans="1:20">
      <c r="A6703" s="16">
        <f>DATE(2012,12,31)-1298</f>
        <v>39976</v>
      </c>
      <c r="B6703" s="16">
        <f>DATE(2012,12,31)-1298</f>
        <v>39976</v>
      </c>
      <c r="C6703" s="9" t="s">
        <v>1565</v>
      </c>
      <c r="D6703">
        <v>10021313417</v>
      </c>
      <c r="E6703" t="s">
        <v>47</v>
      </c>
      <c r="F6703" t="s">
        <v>55</v>
      </c>
      <c r="G6703" t="s">
        <v>56</v>
      </c>
      <c r="H6703" t="s">
        <v>2471</v>
      </c>
      <c r="I6703" t="s">
        <v>2472</v>
      </c>
      <c r="J6703" t="s">
        <v>52</v>
      </c>
      <c r="K6703" s="3">
        <v>10011567218</v>
      </c>
      <c r="L6703" s="10">
        <v>39978</v>
      </c>
      <c r="M6703">
        <v>1756.27</v>
      </c>
      <c r="N6703" s="17">
        <v>38</v>
      </c>
      <c r="O6703" s="5">
        <v>46.89</v>
      </c>
      <c r="P6703" s="5">
        <v>5.1</v>
      </c>
      <c r="Q6703" s="6">
        <v>649.05</v>
      </c>
      <c r="R6703" s="37" t="s">
        <v>901</v>
      </c>
      <c r="S6703" s="7">
        <f t="shared" si="591"/>
        <v>2</v>
      </c>
      <c r="T6703" s="15" t="str">
        <f>VLOOKUP(R6703,产品分类!$C$2:$D$1278,2,0)</f>
        <v>家具产品</v>
      </c>
    </row>
    <row r="6704" spans="1:20">
      <c r="A6704" s="8">
        <f>DATE(2012,12,31)-1298</f>
        <v>39976</v>
      </c>
      <c r="B6704" s="8">
        <f>DATE(2012,12,31)-1298</f>
        <v>39976</v>
      </c>
      <c r="C6704" s="9" t="s">
        <v>2067</v>
      </c>
      <c r="D6704">
        <v>10021271377</v>
      </c>
      <c r="E6704" t="s">
        <v>47</v>
      </c>
      <c r="F6704" t="s">
        <v>177</v>
      </c>
      <c r="G6704" t="s">
        <v>178</v>
      </c>
      <c r="H6704" t="s">
        <v>2544</v>
      </c>
      <c r="I6704" t="s">
        <v>2545</v>
      </c>
      <c r="J6704" t="s">
        <v>52</v>
      </c>
      <c r="K6704" s="3">
        <v>100119114996</v>
      </c>
      <c r="L6704" s="10">
        <v>39977</v>
      </c>
      <c r="M6704">
        <v>345.58</v>
      </c>
      <c r="N6704" s="11">
        <v>50</v>
      </c>
      <c r="O6704" s="12">
        <v>6.64</v>
      </c>
      <c r="P6704" s="12">
        <v>4.95</v>
      </c>
      <c r="Q6704" s="13">
        <v>-38.04</v>
      </c>
      <c r="R6704" s="36" t="s">
        <v>1973</v>
      </c>
      <c r="S6704" s="7">
        <f t="shared" si="591"/>
        <v>1</v>
      </c>
      <c r="T6704" s="15" t="str">
        <f>VLOOKUP(R6704,产品分类!$C$2:$D$1278,2,0)</f>
        <v>家具产品</v>
      </c>
    </row>
    <row r="6705" spans="1:20">
      <c r="A6705" s="8">
        <f>DATE(2012,12,31)-779</f>
        <v>40495</v>
      </c>
      <c r="B6705" s="8">
        <f>DATE(2012,12,31)-779</f>
        <v>40495</v>
      </c>
      <c r="C6705" s="9" t="s">
        <v>1537</v>
      </c>
      <c r="D6705">
        <v>10021516256</v>
      </c>
      <c r="E6705" t="s">
        <v>47</v>
      </c>
      <c r="F6705" t="s">
        <v>132</v>
      </c>
      <c r="G6705" t="s">
        <v>133</v>
      </c>
      <c r="H6705" t="s">
        <v>134</v>
      </c>
      <c r="I6705" t="s">
        <v>133</v>
      </c>
      <c r="J6705" t="s">
        <v>52</v>
      </c>
      <c r="K6705" s="3">
        <v>100332741229</v>
      </c>
      <c r="L6705" s="10">
        <v>40497</v>
      </c>
      <c r="M6705">
        <v>52.39</v>
      </c>
      <c r="N6705" s="11">
        <v>8</v>
      </c>
      <c r="O6705" s="12">
        <v>5.89</v>
      </c>
      <c r="P6705" s="12">
        <v>5.57</v>
      </c>
      <c r="Q6705" s="13">
        <v>-17.38</v>
      </c>
      <c r="R6705" s="36" t="s">
        <v>1194</v>
      </c>
      <c r="S6705" s="7">
        <f t="shared" si="591"/>
        <v>2</v>
      </c>
      <c r="T6705" s="15" t="str">
        <f>VLOOKUP(R6705,产品分类!$C$2:$D$1278,2,0)</f>
        <v>办公用品</v>
      </c>
    </row>
    <row r="6706" spans="1:20">
      <c r="A6706" s="8">
        <f>DATE(2012,12,31)-1102</f>
        <v>40172</v>
      </c>
      <c r="B6706" s="8">
        <f>DATE(2012,12,31)-1102</f>
        <v>40172</v>
      </c>
      <c r="C6706" s="9" t="s">
        <v>1537</v>
      </c>
      <c r="D6706">
        <v>10021372576</v>
      </c>
      <c r="E6706" t="s">
        <v>47</v>
      </c>
      <c r="F6706" t="s">
        <v>97</v>
      </c>
      <c r="G6706" t="s">
        <v>98</v>
      </c>
      <c r="H6706" t="s">
        <v>99</v>
      </c>
      <c r="I6706" t="s">
        <v>98</v>
      </c>
      <c r="J6706" t="s">
        <v>52</v>
      </c>
      <c r="K6706" s="3">
        <v>100729980985</v>
      </c>
      <c r="L6706" s="10">
        <v>40174</v>
      </c>
      <c r="M6706">
        <v>365.22</v>
      </c>
      <c r="N6706" s="11">
        <v>8</v>
      </c>
      <c r="O6706" s="12">
        <v>46.89</v>
      </c>
      <c r="P6706" s="12">
        <v>5.1</v>
      </c>
      <c r="Q6706" s="13">
        <v>58.08</v>
      </c>
      <c r="R6706" s="36" t="s">
        <v>992</v>
      </c>
      <c r="S6706" s="7">
        <f t="shared" si="591"/>
        <v>2</v>
      </c>
      <c r="T6706" s="15" t="str">
        <f>VLOOKUP(R6706,产品分类!$C$2:$D$1278,2,0)</f>
        <v>数码电子</v>
      </c>
    </row>
    <row r="6707" spans="1:20">
      <c r="A6707" s="16">
        <f t="shared" ref="A6707:B6709" si="595">DATE(2012,12,31)-1221</f>
        <v>40053</v>
      </c>
      <c r="B6707" s="16">
        <f t="shared" si="595"/>
        <v>40053</v>
      </c>
      <c r="C6707" s="9" t="s">
        <v>1537</v>
      </c>
      <c r="D6707">
        <v>10021435627</v>
      </c>
      <c r="E6707" t="s">
        <v>47</v>
      </c>
      <c r="F6707" t="s">
        <v>132</v>
      </c>
      <c r="G6707" t="s">
        <v>133</v>
      </c>
      <c r="H6707" t="s">
        <v>134</v>
      </c>
      <c r="I6707" t="s">
        <v>133</v>
      </c>
      <c r="J6707" t="s">
        <v>52</v>
      </c>
      <c r="K6707" s="3">
        <v>100116417858</v>
      </c>
      <c r="L6707" s="10">
        <v>40056</v>
      </c>
      <c r="M6707">
        <v>273.36</v>
      </c>
      <c r="N6707" s="17">
        <v>16</v>
      </c>
      <c r="O6707" s="5">
        <v>17.24</v>
      </c>
      <c r="P6707" s="5">
        <v>3.26</v>
      </c>
      <c r="Q6707" s="6">
        <v>32.25</v>
      </c>
      <c r="R6707" s="37" t="s">
        <v>1552</v>
      </c>
      <c r="S6707" s="7">
        <f t="shared" si="591"/>
        <v>3</v>
      </c>
      <c r="T6707" s="15" t="str">
        <f>VLOOKUP(R6707,产品分类!$C$2:$D$1278,2,0)</f>
        <v>数码电子</v>
      </c>
    </row>
    <row r="6708" spans="1:20">
      <c r="A6708" s="8">
        <f t="shared" si="595"/>
        <v>40053</v>
      </c>
      <c r="B6708" s="8">
        <f t="shared" si="595"/>
        <v>40053</v>
      </c>
      <c r="C6708" s="9" t="s">
        <v>1746</v>
      </c>
      <c r="D6708">
        <v>10021682575</v>
      </c>
      <c r="E6708" t="s">
        <v>47</v>
      </c>
      <c r="F6708" t="s">
        <v>102</v>
      </c>
      <c r="G6708" t="s">
        <v>103</v>
      </c>
      <c r="H6708" t="s">
        <v>2483</v>
      </c>
      <c r="I6708" t="s">
        <v>2484</v>
      </c>
      <c r="J6708" t="s">
        <v>52</v>
      </c>
      <c r="K6708" s="3">
        <v>100131056618</v>
      </c>
      <c r="L6708" s="10">
        <v>40055</v>
      </c>
      <c r="M6708">
        <v>3240.728</v>
      </c>
      <c r="N6708" s="11">
        <v>19</v>
      </c>
      <c r="O6708" s="12">
        <v>218.75</v>
      </c>
      <c r="P6708" s="12">
        <v>69.64</v>
      </c>
      <c r="Q6708" s="13">
        <v>-691.31</v>
      </c>
      <c r="R6708" s="36" t="s">
        <v>289</v>
      </c>
      <c r="S6708" s="7">
        <f t="shared" si="591"/>
        <v>2</v>
      </c>
      <c r="T6708" s="15" t="str">
        <f>VLOOKUP(R6708,产品分类!$C$2:$D$1278,2,0)</f>
        <v>办公用品</v>
      </c>
    </row>
    <row r="6709" spans="1:20">
      <c r="A6709" s="8">
        <f t="shared" si="595"/>
        <v>40053</v>
      </c>
      <c r="B6709" s="8">
        <f t="shared" si="595"/>
        <v>40053</v>
      </c>
      <c r="C6709" s="9" t="s">
        <v>481</v>
      </c>
      <c r="D6709">
        <v>10021733428</v>
      </c>
      <c r="E6709" t="s">
        <v>47</v>
      </c>
      <c r="F6709" t="s">
        <v>208</v>
      </c>
      <c r="G6709" t="s">
        <v>209</v>
      </c>
      <c r="H6709" t="s">
        <v>2300</v>
      </c>
      <c r="I6709" t="s">
        <v>2301</v>
      </c>
      <c r="J6709" t="s">
        <v>52</v>
      </c>
      <c r="K6709" s="3">
        <v>100110300718</v>
      </c>
      <c r="L6709" s="10">
        <v>40055</v>
      </c>
      <c r="M6709">
        <v>8058.96</v>
      </c>
      <c r="N6709" s="11">
        <v>49</v>
      </c>
      <c r="O6709" s="12">
        <v>209.37</v>
      </c>
      <c r="P6709" s="12">
        <v>69</v>
      </c>
      <c r="Q6709" s="13">
        <v>-1621.38</v>
      </c>
      <c r="R6709" s="36" t="s">
        <v>387</v>
      </c>
      <c r="S6709" s="7">
        <f t="shared" si="591"/>
        <v>2</v>
      </c>
      <c r="T6709" s="15" t="str">
        <f>VLOOKUP(R6709,产品分类!$C$2:$D$1278,2,0)</f>
        <v>家具产品</v>
      </c>
    </row>
    <row r="6710" spans="1:20">
      <c r="A6710" s="8">
        <f>DATE(2012,12,31)-355</f>
        <v>40919</v>
      </c>
      <c r="B6710" s="8">
        <f>DATE(2012,12,31)-355</f>
        <v>40919</v>
      </c>
      <c r="C6710" s="9" t="s">
        <v>428</v>
      </c>
      <c r="D6710">
        <v>10021481896</v>
      </c>
      <c r="E6710" t="s">
        <v>47</v>
      </c>
      <c r="F6710" t="s">
        <v>102</v>
      </c>
      <c r="G6710" t="s">
        <v>103</v>
      </c>
      <c r="H6710" t="s">
        <v>2483</v>
      </c>
      <c r="I6710" t="s">
        <v>2484</v>
      </c>
      <c r="J6710" t="s">
        <v>52</v>
      </c>
      <c r="K6710" s="3">
        <v>10046263643</v>
      </c>
      <c r="L6710" s="10">
        <v>40920</v>
      </c>
      <c r="M6710">
        <v>172.54</v>
      </c>
      <c r="N6710" s="11">
        <v>19</v>
      </c>
      <c r="O6710" s="12">
        <v>9.11</v>
      </c>
      <c r="P6710" s="12">
        <v>2.15</v>
      </c>
      <c r="Q6710" s="13">
        <v>44.23</v>
      </c>
      <c r="R6710" s="36" t="s">
        <v>1478</v>
      </c>
      <c r="S6710" s="7">
        <f t="shared" si="591"/>
        <v>1</v>
      </c>
      <c r="T6710" s="15" t="str">
        <f>VLOOKUP(R6710,产品分类!$C$2:$D$1278,2,0)</f>
        <v>办公用品</v>
      </c>
    </row>
    <row r="6711" spans="1:20">
      <c r="A6711" s="8">
        <f t="shared" ref="A6711:B6713" si="596">DATE(2012,12,31)-1028</f>
        <v>40246</v>
      </c>
      <c r="B6711" s="8">
        <f t="shared" si="596"/>
        <v>40246</v>
      </c>
      <c r="C6711" s="9" t="s">
        <v>1273</v>
      </c>
      <c r="D6711">
        <v>10021513137</v>
      </c>
      <c r="E6711" t="s">
        <v>47</v>
      </c>
      <c r="F6711" t="s">
        <v>304</v>
      </c>
      <c r="G6711" t="s">
        <v>305</v>
      </c>
      <c r="H6711" t="s">
        <v>2527</v>
      </c>
      <c r="I6711" t="s">
        <v>2528</v>
      </c>
      <c r="J6711" t="s">
        <v>52</v>
      </c>
      <c r="K6711" s="3">
        <v>100415098124</v>
      </c>
      <c r="L6711" s="10">
        <v>40246</v>
      </c>
      <c r="M6711">
        <v>185.19</v>
      </c>
      <c r="N6711" s="11">
        <v>38</v>
      </c>
      <c r="O6711" s="12">
        <v>4.98</v>
      </c>
      <c r="P6711" s="12">
        <v>7.44</v>
      </c>
      <c r="Q6711" s="13">
        <v>-175.62</v>
      </c>
      <c r="R6711" s="36" t="s">
        <v>662</v>
      </c>
      <c r="S6711" s="7">
        <f t="shared" si="591"/>
        <v>0</v>
      </c>
      <c r="T6711" s="15" t="str">
        <f>VLOOKUP(R6711,产品分类!$C$2:$D$1278,2,0)</f>
        <v>数码电子</v>
      </c>
    </row>
    <row r="6712" spans="1:20">
      <c r="A6712" s="16">
        <f t="shared" si="596"/>
        <v>40246</v>
      </c>
      <c r="B6712" s="16">
        <f t="shared" si="596"/>
        <v>40246</v>
      </c>
      <c r="C6712" s="9" t="s">
        <v>413</v>
      </c>
      <c r="D6712">
        <v>10021457105</v>
      </c>
      <c r="E6712" t="s">
        <v>47</v>
      </c>
      <c r="F6712" t="s">
        <v>527</v>
      </c>
      <c r="G6712" t="s">
        <v>528</v>
      </c>
      <c r="H6712" t="s">
        <v>2513</v>
      </c>
      <c r="I6712" t="s">
        <v>2514</v>
      </c>
      <c r="J6712" t="s">
        <v>52</v>
      </c>
      <c r="K6712" s="3">
        <v>100832702132</v>
      </c>
      <c r="L6712" s="10">
        <v>40247</v>
      </c>
      <c r="M6712">
        <v>220.26</v>
      </c>
      <c r="N6712" s="17">
        <v>22</v>
      </c>
      <c r="O6712" s="5">
        <v>10.23</v>
      </c>
      <c r="P6712" s="5">
        <v>4.68</v>
      </c>
      <c r="Q6712" s="6">
        <v>-35.95</v>
      </c>
      <c r="R6712" s="37" t="s">
        <v>387</v>
      </c>
      <c r="S6712" s="7">
        <f t="shared" si="591"/>
        <v>1</v>
      </c>
      <c r="T6712" s="15" t="str">
        <f>VLOOKUP(R6712,产品分类!$C$2:$D$1278,2,0)</f>
        <v>家具产品</v>
      </c>
    </row>
    <row r="6713" spans="1:20">
      <c r="A6713" s="8">
        <f t="shared" si="596"/>
        <v>40246</v>
      </c>
      <c r="B6713" s="8">
        <f t="shared" si="596"/>
        <v>40246</v>
      </c>
      <c r="C6713" s="9" t="s">
        <v>968</v>
      </c>
      <c r="D6713">
        <v>10021489971</v>
      </c>
      <c r="E6713" t="s">
        <v>47</v>
      </c>
      <c r="F6713" t="s">
        <v>171</v>
      </c>
      <c r="G6713" t="s">
        <v>172</v>
      </c>
      <c r="H6713" t="s">
        <v>2486</v>
      </c>
      <c r="I6713" t="s">
        <v>2310</v>
      </c>
      <c r="J6713" t="s">
        <v>52</v>
      </c>
      <c r="K6713" s="3">
        <v>100732776735</v>
      </c>
      <c r="L6713" s="10">
        <v>40248</v>
      </c>
      <c r="M6713">
        <v>843.03</v>
      </c>
      <c r="N6713" s="11">
        <v>48</v>
      </c>
      <c r="O6713" s="12">
        <v>20.99</v>
      </c>
      <c r="P6713" s="12">
        <v>0.99</v>
      </c>
      <c r="Q6713" s="13">
        <v>419.895</v>
      </c>
      <c r="R6713" s="36" t="s">
        <v>1845</v>
      </c>
      <c r="S6713" s="7">
        <f t="shared" si="591"/>
        <v>2</v>
      </c>
      <c r="T6713" s="15" t="str">
        <f>VLOOKUP(R6713,产品分类!$C$2:$D$1278,2,0)</f>
        <v>办公用品</v>
      </c>
    </row>
    <row r="6714" spans="1:20">
      <c r="A6714" s="16">
        <f>DATE(2012,12,31)-1234</f>
        <v>40040</v>
      </c>
      <c r="B6714" s="16">
        <f>DATE(2012,12,31)-1234</f>
        <v>40040</v>
      </c>
      <c r="C6714" s="9" t="s">
        <v>448</v>
      </c>
      <c r="D6714">
        <v>10021538482</v>
      </c>
      <c r="E6714" t="s">
        <v>47</v>
      </c>
      <c r="F6714" t="s">
        <v>167</v>
      </c>
      <c r="G6714" t="s">
        <v>168</v>
      </c>
      <c r="H6714" t="s">
        <v>169</v>
      </c>
      <c r="I6714" t="s">
        <v>168</v>
      </c>
      <c r="J6714" t="s">
        <v>52</v>
      </c>
      <c r="K6714" s="3">
        <v>100130648306</v>
      </c>
      <c r="L6714" s="10">
        <v>40041</v>
      </c>
      <c r="M6714">
        <v>5290.57</v>
      </c>
      <c r="N6714" s="17">
        <v>30</v>
      </c>
      <c r="O6714" s="5">
        <v>178.47</v>
      </c>
      <c r="P6714" s="5">
        <v>19.99</v>
      </c>
      <c r="Q6714" s="6">
        <v>1389.18</v>
      </c>
      <c r="R6714" s="37" t="s">
        <v>1373</v>
      </c>
      <c r="S6714" s="7">
        <f t="shared" si="591"/>
        <v>1</v>
      </c>
      <c r="T6714" s="15" t="str">
        <f>VLOOKUP(R6714,产品分类!$C$2:$D$1278,2,0)</f>
        <v>家具产品</v>
      </c>
    </row>
    <row r="6715" spans="1:20">
      <c r="A6715" s="8">
        <f>DATE(2012,12,31)-1286</f>
        <v>39988</v>
      </c>
      <c r="B6715" s="8">
        <f>DATE(2012,12,31)-1286</f>
        <v>39988</v>
      </c>
      <c r="C6715" s="9" t="s">
        <v>1666</v>
      </c>
      <c r="D6715">
        <v>10021289351</v>
      </c>
      <c r="E6715" t="s">
        <v>47</v>
      </c>
      <c r="F6715" t="s">
        <v>342</v>
      </c>
      <c r="G6715" t="s">
        <v>343</v>
      </c>
      <c r="H6715" t="s">
        <v>2515</v>
      </c>
      <c r="I6715" t="s">
        <v>2516</v>
      </c>
      <c r="J6715" t="s">
        <v>52</v>
      </c>
      <c r="K6715" s="3">
        <v>100430783694</v>
      </c>
      <c r="L6715" s="10">
        <v>39995</v>
      </c>
      <c r="M6715">
        <v>283.6535</v>
      </c>
      <c r="N6715" s="11">
        <v>17</v>
      </c>
      <c r="O6715" s="12">
        <v>20.99</v>
      </c>
      <c r="P6715" s="12">
        <v>2.5</v>
      </c>
      <c r="Q6715" s="13">
        <v>-113.047</v>
      </c>
      <c r="R6715" s="36" t="s">
        <v>2548</v>
      </c>
      <c r="S6715" s="7">
        <f t="shared" si="591"/>
        <v>7</v>
      </c>
      <c r="T6715" s="15" t="str">
        <f>VLOOKUP(R6715,产品分类!$C$2:$D$1278,2,0)</f>
        <v>数码电子</v>
      </c>
    </row>
    <row r="6716" spans="1:20">
      <c r="A6716" s="8">
        <f>DATE(2012,12,31)-1241</f>
        <v>40033</v>
      </c>
      <c r="B6716" s="8">
        <f>DATE(2012,12,31)-1241</f>
        <v>40033</v>
      </c>
      <c r="C6716" s="9" t="s">
        <v>1666</v>
      </c>
      <c r="D6716">
        <v>10021563387</v>
      </c>
      <c r="E6716" t="s">
        <v>47</v>
      </c>
      <c r="F6716" t="s">
        <v>61</v>
      </c>
      <c r="G6716" t="s">
        <v>62</v>
      </c>
      <c r="H6716" t="s">
        <v>2546</v>
      </c>
      <c r="I6716" t="s">
        <v>2547</v>
      </c>
      <c r="J6716" t="s">
        <v>52</v>
      </c>
      <c r="K6716" s="3">
        <v>100132960578</v>
      </c>
      <c r="L6716" s="10">
        <v>40033</v>
      </c>
      <c r="M6716">
        <v>1187.1525</v>
      </c>
      <c r="N6716" s="11">
        <v>15</v>
      </c>
      <c r="O6716" s="12">
        <v>95.99</v>
      </c>
      <c r="P6716" s="12">
        <v>4.9</v>
      </c>
      <c r="Q6716" s="13">
        <v>33.192</v>
      </c>
      <c r="R6716" s="36" t="s">
        <v>422</v>
      </c>
      <c r="S6716" s="7">
        <f t="shared" si="591"/>
        <v>0</v>
      </c>
      <c r="T6716" s="15" t="str">
        <f>VLOOKUP(R6716,产品分类!$C$2:$D$1278,2,0)</f>
        <v>数码电子</v>
      </c>
    </row>
    <row r="6717" spans="1:20">
      <c r="A6717" s="8">
        <f t="shared" ref="A6717:B6719" si="597">DATE(2012,12,31)-1038</f>
        <v>40236</v>
      </c>
      <c r="B6717" s="8">
        <f t="shared" si="597"/>
        <v>40236</v>
      </c>
      <c r="C6717" s="9" t="s">
        <v>1666</v>
      </c>
      <c r="D6717">
        <v>10021373072</v>
      </c>
      <c r="E6717" t="s">
        <v>47</v>
      </c>
      <c r="F6717" t="s">
        <v>61</v>
      </c>
      <c r="G6717" t="s">
        <v>62</v>
      </c>
      <c r="H6717" t="s">
        <v>2546</v>
      </c>
      <c r="I6717" t="s">
        <v>2547</v>
      </c>
      <c r="J6717" t="s">
        <v>52</v>
      </c>
      <c r="K6717" s="3">
        <v>100922892521</v>
      </c>
      <c r="L6717" s="10">
        <v>40238</v>
      </c>
      <c r="M6717">
        <v>17034.92</v>
      </c>
      <c r="N6717" s="11">
        <v>30</v>
      </c>
      <c r="O6717" s="12">
        <v>599.99</v>
      </c>
      <c r="P6717" s="12">
        <v>24.49</v>
      </c>
      <c r="Q6717" s="13">
        <v>5916.343</v>
      </c>
      <c r="R6717" s="36" t="s">
        <v>1205</v>
      </c>
      <c r="S6717" s="7">
        <f t="shared" si="591"/>
        <v>2</v>
      </c>
      <c r="T6717" s="15" t="str">
        <f>VLOOKUP(R6717,产品分类!$C$2:$D$1278,2,0)</f>
        <v>办公用品</v>
      </c>
    </row>
    <row r="6718" spans="1:20">
      <c r="A6718" s="8">
        <f t="shared" si="597"/>
        <v>40236</v>
      </c>
      <c r="B6718" s="8">
        <f t="shared" si="597"/>
        <v>40236</v>
      </c>
      <c r="C6718" s="9" t="s">
        <v>1666</v>
      </c>
      <c r="D6718">
        <v>10021568503</v>
      </c>
      <c r="E6718" t="s">
        <v>47</v>
      </c>
      <c r="F6718" t="s">
        <v>91</v>
      </c>
      <c r="G6718" t="s">
        <v>92</v>
      </c>
      <c r="H6718" t="s">
        <v>2525</v>
      </c>
      <c r="I6718" t="s">
        <v>2526</v>
      </c>
      <c r="J6718" t="s">
        <v>52</v>
      </c>
      <c r="K6718" s="3">
        <v>1007464745</v>
      </c>
      <c r="L6718" s="10">
        <v>40238</v>
      </c>
      <c r="M6718">
        <v>22.6</v>
      </c>
      <c r="N6718" s="11">
        <v>3</v>
      </c>
      <c r="O6718" s="12">
        <v>5.88</v>
      </c>
      <c r="P6718" s="12">
        <v>3.04</v>
      </c>
      <c r="Q6718" s="13">
        <v>-4.63</v>
      </c>
      <c r="R6718" s="36" t="s">
        <v>1002</v>
      </c>
      <c r="S6718" s="7">
        <f t="shared" si="591"/>
        <v>2</v>
      </c>
      <c r="T6718" s="15" t="str">
        <f>VLOOKUP(R6718,产品分类!$C$2:$D$1278,2,0)</f>
        <v>办公用品</v>
      </c>
    </row>
    <row r="6719" spans="1:20">
      <c r="A6719" s="8">
        <f t="shared" si="597"/>
        <v>40236</v>
      </c>
      <c r="B6719" s="8">
        <f t="shared" si="597"/>
        <v>40236</v>
      </c>
      <c r="C6719" s="9" t="s">
        <v>158</v>
      </c>
      <c r="D6719">
        <v>10021292292</v>
      </c>
      <c r="E6719" t="s">
        <v>47</v>
      </c>
      <c r="F6719" t="s">
        <v>83</v>
      </c>
      <c r="G6719" t="s">
        <v>84</v>
      </c>
      <c r="H6719" t="s">
        <v>2510</v>
      </c>
      <c r="I6719" t="s">
        <v>2511</v>
      </c>
      <c r="J6719" t="s">
        <v>52</v>
      </c>
      <c r="K6719" s="3">
        <v>100732305025</v>
      </c>
      <c r="L6719" s="10">
        <v>40237</v>
      </c>
      <c r="M6719">
        <v>918.7395</v>
      </c>
      <c r="N6719" s="11">
        <v>9</v>
      </c>
      <c r="O6719" s="12">
        <v>125.99</v>
      </c>
      <c r="P6719" s="12">
        <v>7.69</v>
      </c>
      <c r="Q6719" s="13">
        <v>-303.556</v>
      </c>
      <c r="R6719" s="36" t="s">
        <v>1530</v>
      </c>
      <c r="S6719" s="7">
        <f t="shared" si="591"/>
        <v>1</v>
      </c>
      <c r="T6719" s="15" t="str">
        <f>VLOOKUP(R6719,产品分类!$C$2:$D$1278,2,0)</f>
        <v>数码电子</v>
      </c>
    </row>
    <row r="6720" spans="1:20">
      <c r="A6720" s="8">
        <f>DATE(2012,12,31)-1143</f>
        <v>40131</v>
      </c>
      <c r="B6720" s="8">
        <f>DATE(2012,12,31)-1143</f>
        <v>40131</v>
      </c>
      <c r="C6720" s="9" t="s">
        <v>158</v>
      </c>
      <c r="D6720">
        <v>10021650292</v>
      </c>
      <c r="E6720" t="s">
        <v>47</v>
      </c>
      <c r="F6720" t="s">
        <v>171</v>
      </c>
      <c r="G6720" t="s">
        <v>172</v>
      </c>
      <c r="H6720" t="s">
        <v>2486</v>
      </c>
      <c r="I6720" t="s">
        <v>2310</v>
      </c>
      <c r="J6720" t="s">
        <v>52</v>
      </c>
      <c r="K6720" s="3">
        <v>100932794771</v>
      </c>
      <c r="L6720" s="10">
        <v>40131</v>
      </c>
      <c r="M6720">
        <v>61.09</v>
      </c>
      <c r="N6720" s="11">
        <v>12</v>
      </c>
      <c r="O6720" s="12">
        <v>4.91</v>
      </c>
      <c r="P6720" s="12">
        <v>0.5</v>
      </c>
      <c r="Q6720" s="13">
        <v>24.06</v>
      </c>
      <c r="R6720" s="36" t="s">
        <v>281</v>
      </c>
      <c r="S6720" s="7">
        <f t="shared" si="591"/>
        <v>0</v>
      </c>
      <c r="T6720" s="15" t="str">
        <f>VLOOKUP(R6720,产品分类!$C$2:$D$1278,2,0)</f>
        <v>数码电子</v>
      </c>
    </row>
    <row r="6721" spans="1:20">
      <c r="A6721" s="8">
        <f>DATE(2012,12,31)-1143</f>
        <v>40131</v>
      </c>
      <c r="B6721" s="8">
        <f>DATE(2012,12,31)-1143</f>
        <v>40131</v>
      </c>
      <c r="C6721" s="9" t="s">
        <v>1592</v>
      </c>
      <c r="D6721">
        <v>10021603250</v>
      </c>
      <c r="E6721" t="s">
        <v>47</v>
      </c>
      <c r="F6721" t="s">
        <v>177</v>
      </c>
      <c r="G6721" t="s">
        <v>178</v>
      </c>
      <c r="H6721" t="s">
        <v>2544</v>
      </c>
      <c r="I6721" t="s">
        <v>2545</v>
      </c>
      <c r="J6721" t="s">
        <v>52</v>
      </c>
      <c r="K6721" s="3">
        <v>10049871203</v>
      </c>
      <c r="L6721" s="10">
        <v>40132</v>
      </c>
      <c r="M6721">
        <v>777.76</v>
      </c>
      <c r="N6721" s="11">
        <v>48</v>
      </c>
      <c r="O6721" s="12">
        <v>15.94</v>
      </c>
      <c r="P6721" s="12">
        <v>5.45</v>
      </c>
      <c r="Q6721" s="13">
        <v>63.46</v>
      </c>
      <c r="R6721" s="36" t="s">
        <v>2342</v>
      </c>
      <c r="S6721" s="7">
        <f t="shared" si="591"/>
        <v>1</v>
      </c>
      <c r="T6721" s="15" t="str">
        <f>VLOOKUP(R6721,产品分类!$C$2:$D$1278,2,0)</f>
        <v>家具产品</v>
      </c>
    </row>
    <row r="6722" spans="1:20">
      <c r="A6722" s="8">
        <f>DATE(2012,12,31)-63</f>
        <v>41211</v>
      </c>
      <c r="B6722" s="8">
        <f>DATE(2012,12,31)-63</f>
        <v>41211</v>
      </c>
      <c r="C6722" s="9" t="s">
        <v>1764</v>
      </c>
      <c r="D6722">
        <v>10021440942</v>
      </c>
      <c r="E6722" t="s">
        <v>47</v>
      </c>
      <c r="F6722" t="s">
        <v>167</v>
      </c>
      <c r="G6722" t="s">
        <v>168</v>
      </c>
      <c r="H6722" t="s">
        <v>169</v>
      </c>
      <c r="I6722" t="s">
        <v>168</v>
      </c>
      <c r="J6722" t="s">
        <v>52</v>
      </c>
      <c r="K6722" s="3">
        <v>100128187716</v>
      </c>
      <c r="L6722" s="10">
        <v>41212</v>
      </c>
      <c r="M6722">
        <v>113.43</v>
      </c>
      <c r="N6722" s="11">
        <v>24</v>
      </c>
      <c r="O6722" s="12">
        <v>4.95</v>
      </c>
      <c r="P6722" s="12">
        <v>5.32</v>
      </c>
      <c r="Q6722" s="13">
        <v>-53.06</v>
      </c>
      <c r="R6722" s="36" t="s">
        <v>1530</v>
      </c>
      <c r="S6722" s="7">
        <f t="shared" si="591"/>
        <v>1</v>
      </c>
      <c r="T6722" s="15" t="str">
        <f>VLOOKUP(R6722,产品分类!$C$2:$D$1278,2,0)</f>
        <v>数码电子</v>
      </c>
    </row>
    <row r="6723" spans="1:20">
      <c r="A6723" s="16">
        <f>DATE(2012,12,31)-812</f>
        <v>40462</v>
      </c>
      <c r="B6723" s="16">
        <f>DATE(2012,12,31)-812</f>
        <v>40462</v>
      </c>
      <c r="C6723" s="9" t="s">
        <v>1414</v>
      </c>
      <c r="D6723">
        <v>10021503604</v>
      </c>
      <c r="E6723" t="s">
        <v>47</v>
      </c>
      <c r="F6723" t="s">
        <v>48</v>
      </c>
      <c r="G6723" t="s">
        <v>49</v>
      </c>
      <c r="H6723" t="s">
        <v>2539</v>
      </c>
      <c r="I6723" t="s">
        <v>2540</v>
      </c>
      <c r="J6723" t="s">
        <v>52</v>
      </c>
      <c r="K6723" s="3">
        <v>100129686487</v>
      </c>
      <c r="L6723" s="10">
        <v>40464</v>
      </c>
      <c r="M6723">
        <v>7685.62</v>
      </c>
      <c r="N6723" s="17">
        <v>46</v>
      </c>
      <c r="O6723" s="5">
        <v>165.2</v>
      </c>
      <c r="P6723" s="5">
        <v>19.99</v>
      </c>
      <c r="Q6723" s="6">
        <v>1952.15</v>
      </c>
      <c r="R6723" s="37" t="s">
        <v>2376</v>
      </c>
      <c r="S6723" s="7">
        <f t="shared" ref="S6723:S6786" si="598">+L6723-B6723</f>
        <v>2</v>
      </c>
      <c r="T6723" s="15" t="str">
        <f>VLOOKUP(R6723,产品分类!$C$2:$D$1278,2,0)</f>
        <v>办公用品</v>
      </c>
    </row>
    <row r="6724" spans="1:20">
      <c r="A6724" s="8">
        <f>DATE(2012,12,31)-1218</f>
        <v>40056</v>
      </c>
      <c r="B6724" s="8">
        <f>DATE(2012,12,31)-1218</f>
        <v>40056</v>
      </c>
      <c r="C6724" s="9" t="s">
        <v>1414</v>
      </c>
      <c r="D6724">
        <v>10021612721</v>
      </c>
      <c r="E6724" t="s">
        <v>47</v>
      </c>
      <c r="F6724" t="s">
        <v>48</v>
      </c>
      <c r="G6724" t="s">
        <v>49</v>
      </c>
      <c r="H6724" t="s">
        <v>2539</v>
      </c>
      <c r="I6724" t="s">
        <v>2540</v>
      </c>
      <c r="J6724" t="s">
        <v>1225</v>
      </c>
      <c r="K6724" s="3">
        <v>100831490742</v>
      </c>
      <c r="L6724" s="10">
        <v>40058</v>
      </c>
      <c r="M6724">
        <v>18.02</v>
      </c>
      <c r="N6724" s="11">
        <v>6</v>
      </c>
      <c r="O6724" s="12">
        <v>2.78</v>
      </c>
      <c r="P6724" s="12">
        <v>1.34</v>
      </c>
      <c r="Q6724" s="13">
        <v>-3.09</v>
      </c>
      <c r="R6724" s="36" t="s">
        <v>456</v>
      </c>
      <c r="S6724" s="7">
        <f t="shared" si="598"/>
        <v>2</v>
      </c>
      <c r="T6724" s="15" t="str">
        <f>VLOOKUP(R6724,产品分类!$C$2:$D$1278,2,0)</f>
        <v>办公用品</v>
      </c>
    </row>
    <row r="6725" spans="1:20">
      <c r="A6725" s="8">
        <f>DATE(2012,12,31)-140</f>
        <v>41134</v>
      </c>
      <c r="B6725" s="8">
        <f>DATE(2012,12,31)-140</f>
        <v>41134</v>
      </c>
      <c r="C6725" s="9" t="s">
        <v>1414</v>
      </c>
      <c r="D6725">
        <v>10021446741</v>
      </c>
      <c r="E6725" t="s">
        <v>47</v>
      </c>
      <c r="F6725" t="s">
        <v>66</v>
      </c>
      <c r="G6725" t="s">
        <v>67</v>
      </c>
      <c r="H6725" t="s">
        <v>2467</v>
      </c>
      <c r="I6725" t="s">
        <v>2468</v>
      </c>
      <c r="J6725" t="s">
        <v>1225</v>
      </c>
      <c r="K6725" s="3">
        <v>100420911214</v>
      </c>
      <c r="L6725" s="10">
        <v>41135</v>
      </c>
      <c r="M6725">
        <v>214.94</v>
      </c>
      <c r="N6725" s="11">
        <v>12</v>
      </c>
      <c r="O6725" s="12">
        <v>17.48</v>
      </c>
      <c r="P6725" s="12">
        <v>1.99</v>
      </c>
      <c r="Q6725" s="13">
        <v>26.75</v>
      </c>
      <c r="R6725" s="36" t="s">
        <v>1184</v>
      </c>
      <c r="S6725" s="7">
        <f t="shared" si="598"/>
        <v>1</v>
      </c>
      <c r="T6725" s="15" t="str">
        <f>VLOOKUP(R6725,产品分类!$C$2:$D$1278,2,0)</f>
        <v>数码电子</v>
      </c>
    </row>
    <row r="6726" spans="1:20">
      <c r="A6726" s="8">
        <f>DATE(2012,12,31)-340</f>
        <v>40934</v>
      </c>
      <c r="B6726" s="8">
        <f>DATE(2012,12,31)-340</f>
        <v>40934</v>
      </c>
      <c r="C6726" s="9" t="s">
        <v>976</v>
      </c>
      <c r="D6726">
        <v>10021671346</v>
      </c>
      <c r="E6726" t="s">
        <v>47</v>
      </c>
      <c r="F6726" t="s">
        <v>48</v>
      </c>
      <c r="G6726" t="s">
        <v>49</v>
      </c>
      <c r="H6726" t="s">
        <v>2539</v>
      </c>
      <c r="I6726" t="s">
        <v>2540</v>
      </c>
      <c r="J6726" t="s">
        <v>1225</v>
      </c>
      <c r="K6726" s="3">
        <v>100725518315</v>
      </c>
      <c r="L6726" s="10">
        <v>40936</v>
      </c>
      <c r="M6726">
        <v>183.33</v>
      </c>
      <c r="N6726" s="11">
        <v>30</v>
      </c>
      <c r="O6726" s="12">
        <v>5.98</v>
      </c>
      <c r="P6726" s="12">
        <v>4.38</v>
      </c>
      <c r="Q6726" s="13">
        <v>-106.54</v>
      </c>
      <c r="R6726" s="36" t="s">
        <v>1449</v>
      </c>
      <c r="S6726" s="7">
        <f t="shared" si="598"/>
        <v>2</v>
      </c>
      <c r="T6726" s="15" t="str">
        <f>VLOOKUP(R6726,产品分类!$C$2:$D$1278,2,0)</f>
        <v>家具产品</v>
      </c>
    </row>
    <row r="6727" spans="1:20">
      <c r="A6727" s="8">
        <f>DATE(2012,12,31)-340</f>
        <v>40934</v>
      </c>
      <c r="B6727" s="8">
        <f>DATE(2012,12,31)-340</f>
        <v>40934</v>
      </c>
      <c r="C6727" s="9" t="s">
        <v>225</v>
      </c>
      <c r="D6727">
        <v>10021577144</v>
      </c>
      <c r="E6727" t="s">
        <v>47</v>
      </c>
      <c r="F6727" t="s">
        <v>66</v>
      </c>
      <c r="G6727" t="s">
        <v>67</v>
      </c>
      <c r="H6727" t="s">
        <v>2467</v>
      </c>
      <c r="I6727" t="s">
        <v>2468</v>
      </c>
      <c r="J6727" t="s">
        <v>1225</v>
      </c>
      <c r="K6727" s="3">
        <v>10087041062</v>
      </c>
      <c r="L6727" s="10">
        <v>40936</v>
      </c>
      <c r="M6727">
        <v>88.06</v>
      </c>
      <c r="N6727" s="11">
        <v>12</v>
      </c>
      <c r="O6727" s="12">
        <v>6.48</v>
      </c>
      <c r="P6727" s="12">
        <v>9.68</v>
      </c>
      <c r="Q6727" s="13">
        <v>-69.05</v>
      </c>
      <c r="R6727" s="36" t="s">
        <v>287</v>
      </c>
      <c r="S6727" s="7">
        <f t="shared" si="598"/>
        <v>2</v>
      </c>
      <c r="T6727" s="15" t="str">
        <f>VLOOKUP(R6727,产品分类!$C$2:$D$1278,2,0)</f>
        <v>办公用品</v>
      </c>
    </row>
    <row r="6728" spans="1:20">
      <c r="A6728" s="8">
        <f>DATE(2012,12,31)-858</f>
        <v>40416</v>
      </c>
      <c r="B6728" s="8">
        <f>DATE(2012,12,31)-858</f>
        <v>40416</v>
      </c>
      <c r="C6728" s="9" t="s">
        <v>225</v>
      </c>
      <c r="D6728">
        <v>10021667650</v>
      </c>
      <c r="E6728" t="s">
        <v>47</v>
      </c>
      <c r="F6728" t="s">
        <v>152</v>
      </c>
      <c r="G6728" t="s">
        <v>153</v>
      </c>
      <c r="H6728" t="s">
        <v>2536</v>
      </c>
      <c r="I6728" t="s">
        <v>2537</v>
      </c>
      <c r="J6728" t="s">
        <v>1225</v>
      </c>
      <c r="K6728" s="3">
        <v>100428271073</v>
      </c>
      <c r="L6728" s="10">
        <v>40417</v>
      </c>
      <c r="M6728">
        <v>309.17</v>
      </c>
      <c r="N6728" s="11">
        <v>42</v>
      </c>
      <c r="O6728" s="12">
        <v>7.77</v>
      </c>
      <c r="P6728" s="12">
        <v>9.23</v>
      </c>
      <c r="Q6728" s="13">
        <v>-283.31</v>
      </c>
      <c r="R6728" s="36" t="s">
        <v>1222</v>
      </c>
      <c r="S6728" s="7">
        <f t="shared" si="598"/>
        <v>1</v>
      </c>
      <c r="T6728" s="15" t="str">
        <f>VLOOKUP(R6728,产品分类!$C$2:$D$1278,2,0)</f>
        <v>数码电子</v>
      </c>
    </row>
    <row r="6729" spans="1:20">
      <c r="A6729" s="8">
        <f>DATE(2012,12,31)-858</f>
        <v>40416</v>
      </c>
      <c r="B6729" s="8">
        <f>DATE(2012,12,31)-858</f>
        <v>40416</v>
      </c>
      <c r="C6729" s="9" t="s">
        <v>225</v>
      </c>
      <c r="D6729">
        <v>10021395072</v>
      </c>
      <c r="E6729" t="s">
        <v>47</v>
      </c>
      <c r="F6729" t="s">
        <v>66</v>
      </c>
      <c r="G6729" t="s">
        <v>67</v>
      </c>
      <c r="H6729" t="s">
        <v>2467</v>
      </c>
      <c r="I6729" t="s">
        <v>2468</v>
      </c>
      <c r="J6729" t="s">
        <v>1225</v>
      </c>
      <c r="K6729" s="3">
        <v>10095721231</v>
      </c>
      <c r="L6729" s="10">
        <v>40417</v>
      </c>
      <c r="M6729">
        <v>412.86</v>
      </c>
      <c r="N6729" s="11">
        <v>29</v>
      </c>
      <c r="O6729" s="12">
        <v>15.14</v>
      </c>
      <c r="P6729" s="12">
        <v>4.53</v>
      </c>
      <c r="Q6729" s="13">
        <v>-104.43</v>
      </c>
      <c r="R6729" s="36" t="s">
        <v>1154</v>
      </c>
      <c r="S6729" s="7">
        <f t="shared" si="598"/>
        <v>1</v>
      </c>
      <c r="T6729" s="15" t="str">
        <f>VLOOKUP(R6729,产品分类!$C$2:$D$1278,2,0)</f>
        <v>办公用品</v>
      </c>
    </row>
    <row r="6730" spans="1:20">
      <c r="A6730" s="8">
        <f>DATE(2012,12,31)-1266</f>
        <v>40008</v>
      </c>
      <c r="B6730" s="8">
        <f>DATE(2012,12,31)-1266</f>
        <v>40008</v>
      </c>
      <c r="C6730" s="9" t="s">
        <v>158</v>
      </c>
      <c r="D6730">
        <v>10021343942</v>
      </c>
      <c r="E6730" t="s">
        <v>47</v>
      </c>
      <c r="F6730" t="s">
        <v>66</v>
      </c>
      <c r="G6730" t="s">
        <v>67</v>
      </c>
      <c r="H6730" t="s">
        <v>2467</v>
      </c>
      <c r="I6730" t="s">
        <v>2468</v>
      </c>
      <c r="J6730" t="s">
        <v>1225</v>
      </c>
      <c r="K6730" s="3">
        <v>100729210385</v>
      </c>
      <c r="L6730" s="10">
        <v>40009</v>
      </c>
      <c r="M6730">
        <v>945.86</v>
      </c>
      <c r="N6730" s="11">
        <v>47</v>
      </c>
      <c r="O6730" s="12">
        <v>22.01</v>
      </c>
      <c r="P6730" s="12">
        <v>5.53</v>
      </c>
      <c r="Q6730" s="13">
        <v>31.59</v>
      </c>
      <c r="R6730" s="36" t="s">
        <v>249</v>
      </c>
      <c r="S6730" s="7">
        <f t="shared" si="598"/>
        <v>1</v>
      </c>
      <c r="T6730" s="15" t="str">
        <f>VLOOKUP(R6730,产品分类!$C$2:$D$1278,2,0)</f>
        <v>办公用品</v>
      </c>
    </row>
    <row r="6731" spans="1:20">
      <c r="A6731" s="8">
        <f>DATE(2012,12,31)-1266</f>
        <v>40008</v>
      </c>
      <c r="B6731" s="8">
        <f>DATE(2012,12,31)-1266</f>
        <v>40008</v>
      </c>
      <c r="C6731" s="9" t="s">
        <v>1039</v>
      </c>
      <c r="D6731">
        <v>10021525631</v>
      </c>
      <c r="E6731" t="s">
        <v>47</v>
      </c>
      <c r="F6731" t="s">
        <v>66</v>
      </c>
      <c r="G6731" t="s">
        <v>67</v>
      </c>
      <c r="H6731" t="s">
        <v>2467</v>
      </c>
      <c r="I6731" t="s">
        <v>2468</v>
      </c>
      <c r="J6731" t="s">
        <v>1225</v>
      </c>
      <c r="K6731" s="3">
        <v>100922424231</v>
      </c>
      <c r="L6731" s="10">
        <v>40008</v>
      </c>
      <c r="M6731">
        <v>2340.504</v>
      </c>
      <c r="N6731" s="11">
        <v>12</v>
      </c>
      <c r="O6731" s="12">
        <v>236.97</v>
      </c>
      <c r="P6731" s="12">
        <v>59.24</v>
      </c>
      <c r="Q6731" s="13">
        <v>243.16</v>
      </c>
      <c r="R6731" s="36" t="s">
        <v>478</v>
      </c>
      <c r="S6731" s="7">
        <f t="shared" si="598"/>
        <v>0</v>
      </c>
      <c r="T6731" s="15" t="str">
        <f>VLOOKUP(R6731,产品分类!$C$2:$D$1278,2,0)</f>
        <v>办公用品</v>
      </c>
    </row>
    <row r="6732" spans="1:20">
      <c r="A6732" s="8">
        <f>DATE(2012,12,31)-1371</f>
        <v>39903</v>
      </c>
      <c r="B6732" s="8">
        <f>DATE(2012,12,31)-1371</f>
        <v>39903</v>
      </c>
      <c r="C6732" s="9" t="s">
        <v>1344</v>
      </c>
      <c r="D6732">
        <v>10021349907</v>
      </c>
      <c r="E6732" t="s">
        <v>47</v>
      </c>
      <c r="F6732" t="s">
        <v>152</v>
      </c>
      <c r="G6732" t="s">
        <v>153</v>
      </c>
      <c r="H6732" t="s">
        <v>2536</v>
      </c>
      <c r="I6732" t="s">
        <v>2537</v>
      </c>
      <c r="J6732" t="s">
        <v>1225</v>
      </c>
      <c r="K6732" s="3">
        <v>100332131659</v>
      </c>
      <c r="L6732" s="10">
        <v>39904</v>
      </c>
      <c r="M6732">
        <v>155.924</v>
      </c>
      <c r="N6732" s="11">
        <v>8</v>
      </c>
      <c r="O6732" s="12">
        <v>20.99</v>
      </c>
      <c r="P6732" s="12">
        <v>4.81</v>
      </c>
      <c r="Q6732" s="13">
        <v>-63.118</v>
      </c>
      <c r="R6732" s="36" t="s">
        <v>509</v>
      </c>
      <c r="S6732" s="7">
        <f t="shared" si="598"/>
        <v>1</v>
      </c>
      <c r="T6732" s="15" t="str">
        <f>VLOOKUP(R6732,产品分类!$C$2:$D$1278,2,0)</f>
        <v>数码电子</v>
      </c>
    </row>
    <row r="6733" spans="1:20">
      <c r="A6733" s="8">
        <f>DATE(2012,12,31)-185</f>
        <v>41089</v>
      </c>
      <c r="B6733" s="8">
        <f>DATE(2012,12,31)-185</f>
        <v>41089</v>
      </c>
      <c r="C6733" s="9" t="s">
        <v>417</v>
      </c>
      <c r="D6733">
        <v>10021250111</v>
      </c>
      <c r="E6733" t="s">
        <v>47</v>
      </c>
      <c r="F6733" t="s">
        <v>152</v>
      </c>
      <c r="G6733" t="s">
        <v>153</v>
      </c>
      <c r="H6733" t="s">
        <v>2536</v>
      </c>
      <c r="I6733" t="s">
        <v>2537</v>
      </c>
      <c r="J6733" t="s">
        <v>1225</v>
      </c>
      <c r="K6733" s="3">
        <v>1001691987</v>
      </c>
      <c r="L6733" s="10">
        <v>41091</v>
      </c>
      <c r="M6733">
        <v>3229.66</v>
      </c>
      <c r="N6733" s="11">
        <v>31</v>
      </c>
      <c r="O6733" s="12">
        <v>125.99</v>
      </c>
      <c r="P6733" s="12">
        <v>3</v>
      </c>
      <c r="Q6733" s="13">
        <v>695.061</v>
      </c>
      <c r="R6733" s="36" t="s">
        <v>634</v>
      </c>
      <c r="S6733" s="7">
        <f t="shared" si="598"/>
        <v>2</v>
      </c>
      <c r="T6733" s="15" t="str">
        <f>VLOOKUP(R6733,产品分类!$C$2:$D$1278,2,0)</f>
        <v>办公用品</v>
      </c>
    </row>
    <row r="6734" spans="1:20">
      <c r="A6734" s="8">
        <f>DATE(2012,12,31)-185</f>
        <v>41089</v>
      </c>
      <c r="B6734" s="8">
        <f>DATE(2012,12,31)-185</f>
        <v>41089</v>
      </c>
      <c r="C6734" s="9" t="s">
        <v>417</v>
      </c>
      <c r="D6734">
        <v>10021661175</v>
      </c>
      <c r="E6734" t="s">
        <v>47</v>
      </c>
      <c r="F6734" t="s">
        <v>48</v>
      </c>
      <c r="G6734" t="s">
        <v>49</v>
      </c>
      <c r="H6734" t="s">
        <v>2539</v>
      </c>
      <c r="I6734" t="s">
        <v>2540</v>
      </c>
      <c r="J6734" t="s">
        <v>668</v>
      </c>
      <c r="K6734" s="3">
        <v>100117636908</v>
      </c>
      <c r="L6734" s="10">
        <v>41089</v>
      </c>
      <c r="M6734">
        <v>4010.9375</v>
      </c>
      <c r="N6734" s="11">
        <v>24</v>
      </c>
      <c r="O6734" s="12">
        <v>195.99</v>
      </c>
      <c r="P6734" s="12">
        <v>8.99</v>
      </c>
      <c r="Q6734" s="13">
        <v>630.702</v>
      </c>
      <c r="R6734" s="36" t="s">
        <v>1031</v>
      </c>
      <c r="S6734" s="7">
        <f t="shared" si="598"/>
        <v>0</v>
      </c>
      <c r="T6734" s="15" t="str">
        <f>VLOOKUP(R6734,产品分类!$C$2:$D$1278,2,0)</f>
        <v>办公用品</v>
      </c>
    </row>
    <row r="6735" spans="1:20">
      <c r="A6735" s="8">
        <f>DATE(2012,12,31)-669</f>
        <v>40605</v>
      </c>
      <c r="B6735" s="8">
        <f>DATE(2012,12,31)-669</f>
        <v>40605</v>
      </c>
      <c r="C6735" s="9" t="s">
        <v>417</v>
      </c>
      <c r="D6735">
        <v>10021694747</v>
      </c>
      <c r="E6735" t="s">
        <v>47</v>
      </c>
      <c r="F6735" t="s">
        <v>208</v>
      </c>
      <c r="G6735" t="s">
        <v>209</v>
      </c>
      <c r="H6735" t="s">
        <v>2300</v>
      </c>
      <c r="I6735" t="s">
        <v>2301</v>
      </c>
      <c r="J6735" t="s">
        <v>668</v>
      </c>
      <c r="K6735" s="3">
        <v>100729951545</v>
      </c>
      <c r="L6735" s="10">
        <v>40614</v>
      </c>
      <c r="M6735">
        <v>22.74</v>
      </c>
      <c r="N6735" s="11">
        <v>1</v>
      </c>
      <c r="O6735" s="12">
        <v>12.64</v>
      </c>
      <c r="P6735" s="12">
        <v>4.98</v>
      </c>
      <c r="Q6735" s="13">
        <v>-13.59</v>
      </c>
      <c r="R6735" s="36" t="s">
        <v>903</v>
      </c>
      <c r="S6735" s="7">
        <f t="shared" si="598"/>
        <v>9</v>
      </c>
      <c r="T6735" s="15" t="str">
        <f>VLOOKUP(R6735,产品分类!$C$2:$D$1278,2,0)</f>
        <v>家具产品</v>
      </c>
    </row>
    <row r="6736" spans="1:20">
      <c r="A6736" s="8">
        <f>DATE(2012,12,31)-1298</f>
        <v>39976</v>
      </c>
      <c r="B6736" s="8">
        <f>DATE(2012,12,31)-1298</f>
        <v>39976</v>
      </c>
      <c r="C6736" s="9" t="s">
        <v>513</v>
      </c>
      <c r="D6736">
        <v>10021418470</v>
      </c>
      <c r="E6736" t="s">
        <v>47</v>
      </c>
      <c r="F6736" t="s">
        <v>78</v>
      </c>
      <c r="G6736" t="s">
        <v>79</v>
      </c>
      <c r="H6736" t="s">
        <v>2489</v>
      </c>
      <c r="I6736" t="s">
        <v>2490</v>
      </c>
      <c r="J6736" t="s">
        <v>668</v>
      </c>
      <c r="K6736" s="3">
        <v>10049407253</v>
      </c>
      <c r="L6736" s="10">
        <v>39977</v>
      </c>
      <c r="M6736">
        <v>34.23</v>
      </c>
      <c r="N6736" s="11">
        <v>3</v>
      </c>
      <c r="O6736" s="12">
        <v>6.48</v>
      </c>
      <c r="P6736" s="12">
        <v>7.86</v>
      </c>
      <c r="Q6736" s="13">
        <v>-9.5</v>
      </c>
      <c r="R6736" s="36" t="s">
        <v>1508</v>
      </c>
      <c r="S6736" s="7">
        <f t="shared" si="598"/>
        <v>1</v>
      </c>
      <c r="T6736" s="15" t="str">
        <f>VLOOKUP(R6736,产品分类!$C$2:$D$1278,2,0)</f>
        <v>办公用品</v>
      </c>
    </row>
    <row r="6737" spans="1:20">
      <c r="A6737" s="8">
        <f>DATE(2012,12,31)-1298</f>
        <v>39976</v>
      </c>
      <c r="B6737" s="8">
        <f>DATE(2012,12,31)-1298</f>
        <v>39976</v>
      </c>
      <c r="C6737" s="9" t="s">
        <v>513</v>
      </c>
      <c r="D6737">
        <v>10021353531</v>
      </c>
      <c r="E6737" t="s">
        <v>47</v>
      </c>
      <c r="F6737" t="s">
        <v>78</v>
      </c>
      <c r="G6737" t="s">
        <v>79</v>
      </c>
      <c r="H6737" t="s">
        <v>2489</v>
      </c>
      <c r="I6737" t="s">
        <v>2490</v>
      </c>
      <c r="J6737" t="s">
        <v>668</v>
      </c>
      <c r="K6737" s="3">
        <v>100132570977</v>
      </c>
      <c r="L6737" s="10">
        <v>39978</v>
      </c>
      <c r="M6737">
        <v>383.33</v>
      </c>
      <c r="N6737" s="11">
        <v>22</v>
      </c>
      <c r="O6737" s="12">
        <v>17.07</v>
      </c>
      <c r="P6737" s="12">
        <v>8.13</v>
      </c>
      <c r="Q6737" s="13">
        <v>27.62</v>
      </c>
      <c r="R6737" s="36" t="s">
        <v>794</v>
      </c>
      <c r="S6737" s="7">
        <f t="shared" si="598"/>
        <v>2</v>
      </c>
      <c r="T6737" s="15" t="str">
        <f>VLOOKUP(R6737,产品分类!$C$2:$D$1278,2,0)</f>
        <v>数码电子</v>
      </c>
    </row>
    <row r="6738" spans="1:20">
      <c r="A6738" s="8">
        <f>DATE(2012,12,31)-476</f>
        <v>40798</v>
      </c>
      <c r="B6738" s="8">
        <f>DATE(2012,12,31)-476</f>
        <v>40798</v>
      </c>
      <c r="C6738" s="9" t="s">
        <v>1987</v>
      </c>
      <c r="D6738">
        <v>10021645460</v>
      </c>
      <c r="E6738" t="s">
        <v>47</v>
      </c>
      <c r="F6738" t="s">
        <v>72</v>
      </c>
      <c r="G6738" t="s">
        <v>73</v>
      </c>
      <c r="H6738" t="s">
        <v>2417</v>
      </c>
      <c r="I6738" t="s">
        <v>2418</v>
      </c>
      <c r="J6738" t="s">
        <v>668</v>
      </c>
      <c r="K6738" s="3">
        <v>10047850343</v>
      </c>
      <c r="L6738" s="10">
        <v>40800</v>
      </c>
      <c r="M6738">
        <v>108.87</v>
      </c>
      <c r="N6738" s="11">
        <v>4</v>
      </c>
      <c r="O6738" s="12">
        <v>22.84</v>
      </c>
      <c r="P6738" s="12">
        <v>16.87</v>
      </c>
      <c r="Q6738" s="13">
        <v>-39.92</v>
      </c>
      <c r="R6738" s="36" t="s">
        <v>1832</v>
      </c>
      <c r="S6738" s="7">
        <f t="shared" si="598"/>
        <v>2</v>
      </c>
      <c r="T6738" s="15" t="str">
        <f>VLOOKUP(R6738,产品分类!$C$2:$D$1278,2,0)</f>
        <v>办公用品</v>
      </c>
    </row>
    <row r="6739" spans="1:20">
      <c r="A6739" s="8">
        <f>DATE(2012,12,31)-264</f>
        <v>41010</v>
      </c>
      <c r="B6739" s="8">
        <f>DATE(2012,12,31)-264</f>
        <v>41010</v>
      </c>
      <c r="C6739" s="9" t="s">
        <v>2034</v>
      </c>
      <c r="D6739">
        <v>10021606691</v>
      </c>
      <c r="E6739" t="s">
        <v>47</v>
      </c>
      <c r="F6739" t="s">
        <v>72</v>
      </c>
      <c r="G6739" t="s">
        <v>73</v>
      </c>
      <c r="H6739" t="s">
        <v>2417</v>
      </c>
      <c r="I6739" t="s">
        <v>2418</v>
      </c>
      <c r="J6739" t="s">
        <v>668</v>
      </c>
      <c r="K6739" s="3">
        <v>100319379759</v>
      </c>
      <c r="L6739" s="10">
        <v>41011</v>
      </c>
      <c r="M6739">
        <v>2600.44</v>
      </c>
      <c r="N6739" s="11">
        <v>5</v>
      </c>
      <c r="O6739" s="12">
        <v>499.99</v>
      </c>
      <c r="P6739" s="12">
        <v>24.49</v>
      </c>
      <c r="Q6739" s="13">
        <v>-921.94</v>
      </c>
      <c r="R6739" s="36" t="s">
        <v>812</v>
      </c>
      <c r="S6739" s="7">
        <f t="shared" si="598"/>
        <v>1</v>
      </c>
      <c r="T6739" s="15" t="str">
        <f>VLOOKUP(R6739,产品分类!$C$2:$D$1278,2,0)</f>
        <v>家具产品</v>
      </c>
    </row>
    <row r="6740" spans="1:20">
      <c r="A6740" s="8">
        <f>DATE(2012,12,31)-1352</f>
        <v>39922</v>
      </c>
      <c r="B6740" s="8">
        <f>DATE(2012,12,31)-1352</f>
        <v>39922</v>
      </c>
      <c r="C6740" s="9" t="s">
        <v>481</v>
      </c>
      <c r="D6740">
        <v>10021663053</v>
      </c>
      <c r="E6740" t="s">
        <v>47</v>
      </c>
      <c r="F6740" t="s">
        <v>78</v>
      </c>
      <c r="G6740" t="s">
        <v>79</v>
      </c>
      <c r="H6740" t="s">
        <v>2489</v>
      </c>
      <c r="I6740" t="s">
        <v>2490</v>
      </c>
      <c r="J6740" t="s">
        <v>668</v>
      </c>
      <c r="K6740" s="3">
        <v>100423309634</v>
      </c>
      <c r="L6740" s="10">
        <v>39924</v>
      </c>
      <c r="M6740">
        <v>3960.99</v>
      </c>
      <c r="N6740" s="11">
        <v>20</v>
      </c>
      <c r="O6740" s="12">
        <v>199.99</v>
      </c>
      <c r="P6740" s="12">
        <v>24.49</v>
      </c>
      <c r="Q6740" s="13">
        <v>631.33</v>
      </c>
      <c r="R6740" s="36" t="s">
        <v>452</v>
      </c>
      <c r="S6740" s="7">
        <f t="shared" si="598"/>
        <v>2</v>
      </c>
      <c r="T6740" s="15" t="str">
        <f>VLOOKUP(R6740,产品分类!$C$2:$D$1278,2,0)</f>
        <v>家具产品</v>
      </c>
    </row>
    <row r="6741" spans="1:20">
      <c r="A6741" s="8">
        <f>DATE(2012,12,31)-1352</f>
        <v>39922</v>
      </c>
      <c r="B6741" s="8">
        <f>DATE(2012,12,31)-1352</f>
        <v>39922</v>
      </c>
      <c r="C6741" s="9" t="s">
        <v>2203</v>
      </c>
      <c r="D6741">
        <v>10021416801</v>
      </c>
      <c r="E6741" t="s">
        <v>47</v>
      </c>
      <c r="F6741" t="s">
        <v>72</v>
      </c>
      <c r="G6741" t="s">
        <v>73</v>
      </c>
      <c r="H6741" t="s">
        <v>2417</v>
      </c>
      <c r="I6741" t="s">
        <v>2418</v>
      </c>
      <c r="J6741" t="s">
        <v>668</v>
      </c>
      <c r="K6741" s="3">
        <v>100312248139</v>
      </c>
      <c r="L6741" s="10">
        <v>39922</v>
      </c>
      <c r="M6741">
        <v>750.14</v>
      </c>
      <c r="N6741" s="11">
        <v>40</v>
      </c>
      <c r="O6741" s="12">
        <v>17.67</v>
      </c>
      <c r="P6741" s="12">
        <v>8.99</v>
      </c>
      <c r="Q6741" s="13">
        <v>93.68</v>
      </c>
      <c r="R6741" s="36" t="s">
        <v>1327</v>
      </c>
      <c r="S6741" s="7">
        <f t="shared" si="598"/>
        <v>0</v>
      </c>
      <c r="T6741" s="15" t="str">
        <f>VLOOKUP(R6741,产品分类!$C$2:$D$1278,2,0)</f>
        <v>数码电子</v>
      </c>
    </row>
    <row r="6742" spans="1:20">
      <c r="A6742" s="8">
        <f>DATE(2012,12,31)-588</f>
        <v>40686</v>
      </c>
      <c r="B6742" s="8">
        <f>DATE(2012,12,31)-588</f>
        <v>40686</v>
      </c>
      <c r="C6742" s="9" t="s">
        <v>1348</v>
      </c>
      <c r="D6742">
        <v>10021496518</v>
      </c>
      <c r="E6742" t="s">
        <v>47</v>
      </c>
      <c r="F6742" t="s">
        <v>78</v>
      </c>
      <c r="G6742" t="s">
        <v>79</v>
      </c>
      <c r="H6742" t="s">
        <v>2489</v>
      </c>
      <c r="I6742" t="s">
        <v>2490</v>
      </c>
      <c r="J6742" t="s">
        <v>668</v>
      </c>
      <c r="K6742" s="3">
        <v>100111689627</v>
      </c>
      <c r="L6742" s="10">
        <v>40688</v>
      </c>
      <c r="M6742">
        <v>139.69</v>
      </c>
      <c r="N6742" s="11">
        <v>16</v>
      </c>
      <c r="O6742" s="12">
        <v>7.77</v>
      </c>
      <c r="P6742" s="12">
        <v>9.23</v>
      </c>
      <c r="Q6742" s="13">
        <v>-95.64</v>
      </c>
      <c r="R6742" s="36" t="s">
        <v>655</v>
      </c>
      <c r="S6742" s="7">
        <f t="shared" si="598"/>
        <v>2</v>
      </c>
      <c r="T6742" s="15" t="str">
        <f>VLOOKUP(R6742,产品分类!$C$2:$D$1278,2,0)</f>
        <v>家具产品</v>
      </c>
    </row>
    <row r="6743" spans="1:20">
      <c r="A6743" s="8">
        <f>DATE(2012,12,31)-588</f>
        <v>40686</v>
      </c>
      <c r="B6743" s="8">
        <f>DATE(2012,12,31)-588</f>
        <v>40686</v>
      </c>
      <c r="C6743" s="9" t="s">
        <v>1348</v>
      </c>
      <c r="D6743">
        <v>10021587607</v>
      </c>
      <c r="E6743" t="s">
        <v>47</v>
      </c>
      <c r="F6743" t="s">
        <v>78</v>
      </c>
      <c r="G6743" t="s">
        <v>79</v>
      </c>
      <c r="H6743" t="s">
        <v>2489</v>
      </c>
      <c r="I6743" t="s">
        <v>2490</v>
      </c>
      <c r="J6743" t="s">
        <v>668</v>
      </c>
      <c r="K6743" s="3">
        <v>100430021653</v>
      </c>
      <c r="L6743" s="10">
        <v>40687</v>
      </c>
      <c r="M6743">
        <v>6030.58</v>
      </c>
      <c r="N6743" s="11">
        <v>39</v>
      </c>
      <c r="O6743" s="12">
        <v>195.99</v>
      </c>
      <c r="P6743" s="12">
        <v>8.99</v>
      </c>
      <c r="Q6743" s="13">
        <v>1197.855</v>
      </c>
      <c r="R6743" s="36" t="s">
        <v>972</v>
      </c>
      <c r="S6743" s="7">
        <f t="shared" si="598"/>
        <v>1</v>
      </c>
      <c r="T6743" s="15" t="str">
        <f>VLOOKUP(R6743,产品分类!$C$2:$D$1278,2,0)</f>
        <v>办公用品</v>
      </c>
    </row>
    <row r="6744" spans="1:20">
      <c r="A6744" s="8">
        <f>DATE(2012,12,31)-429</f>
        <v>40845</v>
      </c>
      <c r="B6744" s="8">
        <f>DATE(2012,12,31)-429</f>
        <v>40845</v>
      </c>
      <c r="C6744" s="9" t="s">
        <v>1882</v>
      </c>
      <c r="D6744">
        <v>10021565017</v>
      </c>
      <c r="E6744" t="s">
        <v>47</v>
      </c>
      <c r="F6744" t="s">
        <v>78</v>
      </c>
      <c r="G6744" t="s">
        <v>79</v>
      </c>
      <c r="H6744" t="s">
        <v>2489</v>
      </c>
      <c r="I6744" t="s">
        <v>2490</v>
      </c>
      <c r="J6744" t="s">
        <v>668</v>
      </c>
      <c r="K6744" s="3">
        <v>100414287224</v>
      </c>
      <c r="L6744" s="10">
        <v>40847</v>
      </c>
      <c r="M6744">
        <v>94.39</v>
      </c>
      <c r="N6744" s="11">
        <v>33</v>
      </c>
      <c r="O6744" s="12">
        <v>2.88</v>
      </c>
      <c r="P6744" s="12">
        <v>0.7</v>
      </c>
      <c r="Q6744" s="13">
        <v>12.31</v>
      </c>
      <c r="R6744" s="36" t="s">
        <v>1440</v>
      </c>
      <c r="S6744" s="7">
        <f t="shared" si="598"/>
        <v>2</v>
      </c>
      <c r="T6744" s="15" t="str">
        <f>VLOOKUP(R6744,产品分类!$C$2:$D$1278,2,0)</f>
        <v>家具产品</v>
      </c>
    </row>
    <row r="6745" spans="1:20">
      <c r="A6745" s="8">
        <f>DATE(2012,12,31)-787</f>
        <v>40487</v>
      </c>
      <c r="B6745" s="8">
        <f>DATE(2012,12,31)-787</f>
        <v>40487</v>
      </c>
      <c r="C6745" s="9" t="s">
        <v>1882</v>
      </c>
      <c r="D6745">
        <v>10021331688</v>
      </c>
      <c r="E6745" t="s">
        <v>47</v>
      </c>
      <c r="F6745" t="s">
        <v>72</v>
      </c>
      <c r="G6745" t="s">
        <v>73</v>
      </c>
      <c r="H6745" t="s">
        <v>2417</v>
      </c>
      <c r="I6745" t="s">
        <v>2418</v>
      </c>
      <c r="J6745" t="s">
        <v>668</v>
      </c>
      <c r="K6745" s="3">
        <v>10084857682</v>
      </c>
      <c r="L6745" s="10">
        <v>40489</v>
      </c>
      <c r="M6745">
        <v>199.94</v>
      </c>
      <c r="N6745" s="11">
        <v>28</v>
      </c>
      <c r="O6745" s="12">
        <v>6.48</v>
      </c>
      <c r="P6745" s="12">
        <v>9.54</v>
      </c>
      <c r="Q6745" s="13">
        <v>-147.27</v>
      </c>
      <c r="R6745" s="36" t="s">
        <v>836</v>
      </c>
      <c r="S6745" s="7">
        <f t="shared" si="598"/>
        <v>2</v>
      </c>
      <c r="T6745" s="15" t="str">
        <f>VLOOKUP(R6745,产品分类!$C$2:$D$1278,2,0)</f>
        <v>办公用品</v>
      </c>
    </row>
    <row r="6746" spans="1:20">
      <c r="A6746" s="8">
        <f t="shared" ref="A6746:B6748" si="599">DATE(2012,12,31)-1212</f>
        <v>40062</v>
      </c>
      <c r="B6746" s="8">
        <f t="shared" si="599"/>
        <v>40062</v>
      </c>
      <c r="C6746" s="9" t="s">
        <v>759</v>
      </c>
      <c r="D6746">
        <v>10021255366</v>
      </c>
      <c r="E6746" t="s">
        <v>47</v>
      </c>
      <c r="F6746" t="s">
        <v>72</v>
      </c>
      <c r="G6746" t="s">
        <v>73</v>
      </c>
      <c r="H6746" t="s">
        <v>2417</v>
      </c>
      <c r="I6746" t="s">
        <v>2418</v>
      </c>
      <c r="J6746" t="s">
        <v>668</v>
      </c>
      <c r="K6746" s="3">
        <v>100823803482</v>
      </c>
      <c r="L6746" s="10">
        <v>40065</v>
      </c>
      <c r="M6746">
        <v>5041.46</v>
      </c>
      <c r="N6746" s="11">
        <v>43</v>
      </c>
      <c r="O6746" s="12">
        <v>122.99</v>
      </c>
      <c r="P6746" s="12">
        <v>70.2</v>
      </c>
      <c r="Q6746" s="13">
        <v>-2136.66</v>
      </c>
      <c r="R6746" s="36" t="s">
        <v>747</v>
      </c>
      <c r="S6746" s="7">
        <f t="shared" si="598"/>
        <v>3</v>
      </c>
      <c r="T6746" s="15" t="str">
        <f>VLOOKUP(R6746,产品分类!$C$2:$D$1278,2,0)</f>
        <v>数码电子</v>
      </c>
    </row>
    <row r="6747" spans="1:20">
      <c r="A6747" s="8">
        <f t="shared" si="599"/>
        <v>40062</v>
      </c>
      <c r="B6747" s="8">
        <f t="shared" si="599"/>
        <v>40062</v>
      </c>
      <c r="C6747" s="9" t="s">
        <v>759</v>
      </c>
      <c r="D6747">
        <v>10021344803</v>
      </c>
      <c r="E6747" t="s">
        <v>47</v>
      </c>
      <c r="F6747" t="s">
        <v>78</v>
      </c>
      <c r="G6747" t="s">
        <v>79</v>
      </c>
      <c r="H6747" t="s">
        <v>2489</v>
      </c>
      <c r="I6747" t="s">
        <v>2490</v>
      </c>
      <c r="J6747" t="s">
        <v>668</v>
      </c>
      <c r="K6747" s="3">
        <v>100929818741</v>
      </c>
      <c r="L6747" s="10">
        <v>40063</v>
      </c>
      <c r="M6747">
        <v>282.98</v>
      </c>
      <c r="N6747" s="11">
        <v>45</v>
      </c>
      <c r="O6747" s="12">
        <v>6.48</v>
      </c>
      <c r="P6747" s="12">
        <v>8.88</v>
      </c>
      <c r="Q6747" s="13">
        <v>-237.47</v>
      </c>
      <c r="R6747" s="36" t="s">
        <v>2188</v>
      </c>
      <c r="S6747" s="7">
        <f t="shared" si="598"/>
        <v>1</v>
      </c>
      <c r="T6747" s="15" t="str">
        <f>VLOOKUP(R6747,产品分类!$C$2:$D$1278,2,0)</f>
        <v>办公用品</v>
      </c>
    </row>
    <row r="6748" spans="1:20">
      <c r="A6748" s="8">
        <f t="shared" si="599"/>
        <v>40062</v>
      </c>
      <c r="B6748" s="8">
        <f t="shared" si="599"/>
        <v>40062</v>
      </c>
      <c r="C6748" s="9" t="s">
        <v>60</v>
      </c>
      <c r="D6748">
        <v>10021431375</v>
      </c>
      <c r="E6748" t="s">
        <v>47</v>
      </c>
      <c r="F6748" t="s">
        <v>230</v>
      </c>
      <c r="G6748" t="s">
        <v>231</v>
      </c>
      <c r="H6748" t="s">
        <v>2549</v>
      </c>
      <c r="I6748" t="s">
        <v>2550</v>
      </c>
      <c r="J6748" t="s">
        <v>668</v>
      </c>
      <c r="K6748" s="3">
        <v>100732229075</v>
      </c>
      <c r="L6748" s="10">
        <v>40063</v>
      </c>
      <c r="M6748">
        <v>8817.71</v>
      </c>
      <c r="N6748" s="11">
        <v>27</v>
      </c>
      <c r="O6748" s="12">
        <v>349.45</v>
      </c>
      <c r="P6748" s="12">
        <v>60</v>
      </c>
      <c r="Q6748" s="13">
        <v>-2946.051</v>
      </c>
      <c r="R6748" s="36" t="s">
        <v>692</v>
      </c>
      <c r="S6748" s="7">
        <f t="shared" si="598"/>
        <v>1</v>
      </c>
      <c r="T6748" s="15" t="str">
        <f>VLOOKUP(R6748,产品分类!$C$2:$D$1278,2,0)</f>
        <v>办公用品</v>
      </c>
    </row>
    <row r="6749" spans="1:20">
      <c r="A6749" s="8">
        <f>DATE(2012,12,31)-1111</f>
        <v>40163</v>
      </c>
      <c r="B6749" s="8">
        <f>DATE(2012,12,31)-1111</f>
        <v>40163</v>
      </c>
      <c r="C6749" s="9" t="s">
        <v>671</v>
      </c>
      <c r="D6749">
        <v>10021498855</v>
      </c>
      <c r="E6749" t="s">
        <v>47</v>
      </c>
      <c r="F6749" t="s">
        <v>230</v>
      </c>
      <c r="G6749" t="s">
        <v>231</v>
      </c>
      <c r="H6749" t="s">
        <v>2549</v>
      </c>
      <c r="I6749" t="s">
        <v>2550</v>
      </c>
      <c r="J6749" t="s">
        <v>668</v>
      </c>
      <c r="K6749" s="3">
        <v>100123592847</v>
      </c>
      <c r="L6749" s="10">
        <v>40164</v>
      </c>
      <c r="M6749">
        <v>2277.67</v>
      </c>
      <c r="N6749" s="11">
        <v>15</v>
      </c>
      <c r="O6749" s="12">
        <v>140.98</v>
      </c>
      <c r="P6749" s="12">
        <v>36.09</v>
      </c>
      <c r="Q6749" s="13">
        <v>-173.96</v>
      </c>
      <c r="R6749" s="36" t="s">
        <v>638</v>
      </c>
      <c r="S6749" s="7">
        <f t="shared" si="598"/>
        <v>1</v>
      </c>
      <c r="T6749" s="15" t="str">
        <f>VLOOKUP(R6749,产品分类!$C$2:$D$1278,2,0)</f>
        <v>数码电子</v>
      </c>
    </row>
    <row r="6750" spans="1:20">
      <c r="A6750" s="8">
        <f t="shared" ref="A6750:B6752" si="600">DATE(2012,12,31)-765</f>
        <v>40509</v>
      </c>
      <c r="B6750" s="8">
        <f t="shared" si="600"/>
        <v>40509</v>
      </c>
      <c r="C6750" s="9" t="s">
        <v>671</v>
      </c>
      <c r="D6750">
        <v>10021350882</v>
      </c>
      <c r="E6750" t="s">
        <v>47</v>
      </c>
      <c r="F6750" t="s">
        <v>230</v>
      </c>
      <c r="G6750" t="s">
        <v>231</v>
      </c>
      <c r="H6750" t="s">
        <v>2549</v>
      </c>
      <c r="I6750" t="s">
        <v>2550</v>
      </c>
      <c r="J6750" t="s">
        <v>668</v>
      </c>
      <c r="K6750" s="3">
        <v>100132189476</v>
      </c>
      <c r="L6750" s="10">
        <v>40510</v>
      </c>
      <c r="M6750">
        <v>3337.5165</v>
      </c>
      <c r="N6750" s="11">
        <v>35</v>
      </c>
      <c r="O6750" s="12">
        <v>115.99</v>
      </c>
      <c r="P6750" s="12">
        <v>2.5</v>
      </c>
      <c r="Q6750" s="13">
        <v>850.536</v>
      </c>
      <c r="R6750" s="36" t="s">
        <v>414</v>
      </c>
      <c r="S6750" s="7">
        <f t="shared" si="598"/>
        <v>1</v>
      </c>
      <c r="T6750" s="15" t="str">
        <f>VLOOKUP(R6750,产品分类!$C$2:$D$1278,2,0)</f>
        <v>数码电子</v>
      </c>
    </row>
    <row r="6751" spans="1:20">
      <c r="A6751" s="8">
        <f t="shared" si="600"/>
        <v>40509</v>
      </c>
      <c r="B6751" s="8">
        <f t="shared" si="600"/>
        <v>40509</v>
      </c>
      <c r="C6751" s="9" t="s">
        <v>2351</v>
      </c>
      <c r="D6751">
        <v>10021660436</v>
      </c>
      <c r="E6751" t="s">
        <v>47</v>
      </c>
      <c r="F6751" t="s">
        <v>230</v>
      </c>
      <c r="G6751" t="s">
        <v>231</v>
      </c>
      <c r="H6751" t="s">
        <v>2549</v>
      </c>
      <c r="I6751" t="s">
        <v>2550</v>
      </c>
      <c r="J6751" t="s">
        <v>668</v>
      </c>
      <c r="K6751" s="3">
        <v>10098322141</v>
      </c>
      <c r="L6751" s="10">
        <v>40509</v>
      </c>
      <c r="M6751">
        <v>1018.402</v>
      </c>
      <c r="N6751" s="11">
        <v>35</v>
      </c>
      <c r="O6751" s="12">
        <v>35.99</v>
      </c>
      <c r="P6751" s="12">
        <v>5.99</v>
      </c>
      <c r="Q6751" s="13">
        <v>296.865</v>
      </c>
      <c r="R6751" s="36" t="s">
        <v>181</v>
      </c>
      <c r="S6751" s="7">
        <f t="shared" si="598"/>
        <v>0</v>
      </c>
      <c r="T6751" s="15" t="str">
        <f>VLOOKUP(R6751,产品分类!$C$2:$D$1278,2,0)</f>
        <v>数码电子</v>
      </c>
    </row>
    <row r="6752" spans="1:20">
      <c r="A6752" s="8">
        <f t="shared" si="600"/>
        <v>40509</v>
      </c>
      <c r="B6752" s="8">
        <f t="shared" si="600"/>
        <v>40509</v>
      </c>
      <c r="C6752" s="9" t="s">
        <v>897</v>
      </c>
      <c r="D6752">
        <v>10021267337</v>
      </c>
      <c r="E6752" t="s">
        <v>47</v>
      </c>
      <c r="F6752" t="s">
        <v>230</v>
      </c>
      <c r="G6752" t="s">
        <v>231</v>
      </c>
      <c r="H6752" t="s">
        <v>2549</v>
      </c>
      <c r="I6752" t="s">
        <v>2550</v>
      </c>
      <c r="J6752" t="s">
        <v>668</v>
      </c>
      <c r="K6752" s="3">
        <v>100332084689</v>
      </c>
      <c r="L6752" s="10">
        <v>40510</v>
      </c>
      <c r="M6752">
        <v>2679.1235</v>
      </c>
      <c r="N6752" s="11">
        <v>47</v>
      </c>
      <c r="O6752" s="12">
        <v>65.99</v>
      </c>
      <c r="P6752" s="12">
        <v>19.99</v>
      </c>
      <c r="Q6752" s="13">
        <v>47.277</v>
      </c>
      <c r="R6752" s="36" t="s">
        <v>957</v>
      </c>
      <c r="S6752" s="7">
        <f t="shared" si="598"/>
        <v>1</v>
      </c>
      <c r="T6752" s="15" t="str">
        <f>VLOOKUP(R6752,产品分类!$C$2:$D$1278,2,0)</f>
        <v>办公用品</v>
      </c>
    </row>
    <row r="6753" spans="1:20">
      <c r="A6753" s="8">
        <f>DATE(2012,12,31)-240</f>
        <v>41034</v>
      </c>
      <c r="B6753" s="8">
        <f>DATE(2012,12,31)-240</f>
        <v>41034</v>
      </c>
      <c r="C6753" s="9" t="s">
        <v>897</v>
      </c>
      <c r="D6753">
        <v>10021501054</v>
      </c>
      <c r="E6753" t="s">
        <v>47</v>
      </c>
      <c r="F6753" t="s">
        <v>230</v>
      </c>
      <c r="G6753" t="s">
        <v>231</v>
      </c>
      <c r="H6753" t="s">
        <v>2549</v>
      </c>
      <c r="I6753" t="s">
        <v>2550</v>
      </c>
      <c r="J6753" t="s">
        <v>668</v>
      </c>
      <c r="K6753" s="3">
        <v>100726916565</v>
      </c>
      <c r="L6753" s="10">
        <v>41036</v>
      </c>
      <c r="M6753">
        <v>1282.49</v>
      </c>
      <c r="N6753" s="11">
        <v>32</v>
      </c>
      <c r="O6753" s="12">
        <v>40.97</v>
      </c>
      <c r="P6753" s="12">
        <v>14.45</v>
      </c>
      <c r="Q6753" s="13">
        <v>154.74</v>
      </c>
      <c r="R6753" s="36" t="s">
        <v>2134</v>
      </c>
      <c r="S6753" s="7">
        <f t="shared" si="598"/>
        <v>2</v>
      </c>
      <c r="T6753" s="15" t="str">
        <f>VLOOKUP(R6753,产品分类!$C$2:$D$1278,2,0)</f>
        <v>办公用品</v>
      </c>
    </row>
    <row r="6754" spans="1:20">
      <c r="A6754" s="8">
        <f>DATE(2012,12,31)-1137</f>
        <v>40137</v>
      </c>
      <c r="B6754" s="8">
        <f>DATE(2012,12,31)-1137</f>
        <v>40137</v>
      </c>
      <c r="C6754" s="9" t="s">
        <v>2123</v>
      </c>
      <c r="D6754">
        <v>10021574559</v>
      </c>
      <c r="E6754" t="s">
        <v>47</v>
      </c>
      <c r="F6754" t="s">
        <v>78</v>
      </c>
      <c r="G6754" t="s">
        <v>79</v>
      </c>
      <c r="H6754" t="s">
        <v>2489</v>
      </c>
      <c r="I6754" t="s">
        <v>2490</v>
      </c>
      <c r="J6754" t="s">
        <v>668</v>
      </c>
      <c r="K6754" s="3">
        <v>10093606221</v>
      </c>
      <c r="L6754" s="10">
        <v>40138</v>
      </c>
      <c r="M6754">
        <v>2813.34</v>
      </c>
      <c r="N6754" s="11">
        <v>7</v>
      </c>
      <c r="O6754" s="12">
        <v>442.14</v>
      </c>
      <c r="P6754" s="12">
        <v>14.7</v>
      </c>
      <c r="Q6754" s="13">
        <v>-688.4397</v>
      </c>
      <c r="R6754" s="36" t="s">
        <v>1958</v>
      </c>
      <c r="S6754" s="7">
        <f t="shared" si="598"/>
        <v>1</v>
      </c>
      <c r="T6754" s="15" t="str">
        <f>VLOOKUP(R6754,产品分类!$C$2:$D$1278,2,0)</f>
        <v>数码电子</v>
      </c>
    </row>
    <row r="6755" spans="1:20">
      <c r="A6755" s="8">
        <f>DATE(2012,12,31)-1137</f>
        <v>40137</v>
      </c>
      <c r="B6755" s="8">
        <f>DATE(2012,12,31)-1137</f>
        <v>40137</v>
      </c>
      <c r="C6755" s="9" t="s">
        <v>1674</v>
      </c>
      <c r="D6755">
        <v>10021495174</v>
      </c>
      <c r="E6755" t="s">
        <v>47</v>
      </c>
      <c r="F6755" t="s">
        <v>434</v>
      </c>
      <c r="G6755" t="s">
        <v>435</v>
      </c>
      <c r="H6755" t="s">
        <v>436</v>
      </c>
      <c r="I6755" t="s">
        <v>437</v>
      </c>
      <c r="J6755" t="s">
        <v>668</v>
      </c>
      <c r="K6755" s="3">
        <v>10092340561</v>
      </c>
      <c r="L6755" s="10">
        <v>40139</v>
      </c>
      <c r="M6755">
        <v>2682.8</v>
      </c>
      <c r="N6755" s="11">
        <v>45</v>
      </c>
      <c r="O6755" s="12">
        <v>60.22</v>
      </c>
      <c r="P6755" s="12">
        <v>3.5</v>
      </c>
      <c r="Q6755" s="13">
        <v>860.22</v>
      </c>
      <c r="R6755" s="36" t="s">
        <v>1171</v>
      </c>
      <c r="S6755" s="7">
        <f t="shared" si="598"/>
        <v>2</v>
      </c>
      <c r="T6755" s="15" t="str">
        <f>VLOOKUP(R6755,产品分类!$C$2:$D$1278,2,0)</f>
        <v>办公用品</v>
      </c>
    </row>
    <row r="6756" spans="1:20">
      <c r="A6756" s="8">
        <f>DATE(2012,12,31)-1443</f>
        <v>39831</v>
      </c>
      <c r="B6756" s="8">
        <f>DATE(2012,12,31)-1443</f>
        <v>39831</v>
      </c>
      <c r="C6756" s="9" t="s">
        <v>805</v>
      </c>
      <c r="D6756">
        <v>10021310795</v>
      </c>
      <c r="E6756" t="s">
        <v>47</v>
      </c>
      <c r="F6756" t="s">
        <v>473</v>
      </c>
      <c r="G6756" t="s">
        <v>474</v>
      </c>
      <c r="H6756" t="s">
        <v>2523</v>
      </c>
      <c r="I6756" t="s">
        <v>2524</v>
      </c>
      <c r="J6756" t="s">
        <v>668</v>
      </c>
      <c r="K6756" s="3">
        <v>10095815001</v>
      </c>
      <c r="L6756" s="10">
        <v>39834</v>
      </c>
      <c r="M6756">
        <v>672.46</v>
      </c>
      <c r="N6756" s="11">
        <v>47</v>
      </c>
      <c r="O6756" s="12">
        <v>15.74</v>
      </c>
      <c r="P6756" s="12">
        <v>1.39</v>
      </c>
      <c r="Q6756" s="13">
        <v>279.74</v>
      </c>
      <c r="R6756" s="36" t="s">
        <v>2092</v>
      </c>
      <c r="S6756" s="7">
        <f t="shared" si="598"/>
        <v>3</v>
      </c>
      <c r="T6756" s="15" t="str">
        <f>VLOOKUP(R6756,产品分类!$C$2:$D$1278,2,0)</f>
        <v>办公用品</v>
      </c>
    </row>
    <row r="6757" spans="1:20">
      <c r="A6757" s="8">
        <f>DATE(2012,12,31)-1455</f>
        <v>39819</v>
      </c>
      <c r="B6757" s="8">
        <f>DATE(2012,12,31)-1455</f>
        <v>39819</v>
      </c>
      <c r="C6757" s="9" t="s">
        <v>805</v>
      </c>
      <c r="D6757">
        <v>10021590021</v>
      </c>
      <c r="E6757" t="s">
        <v>47</v>
      </c>
      <c r="F6757" t="s">
        <v>91</v>
      </c>
      <c r="G6757" t="s">
        <v>92</v>
      </c>
      <c r="H6757" t="s">
        <v>2525</v>
      </c>
      <c r="I6757" t="s">
        <v>2526</v>
      </c>
      <c r="J6757" t="s">
        <v>668</v>
      </c>
      <c r="K6757" s="3">
        <v>10045870703</v>
      </c>
      <c r="L6757" s="10">
        <v>39819</v>
      </c>
      <c r="M6757">
        <v>2357.45</v>
      </c>
      <c r="N6757" s="11">
        <v>23</v>
      </c>
      <c r="O6757" s="12">
        <v>100.98</v>
      </c>
      <c r="P6757" s="12">
        <v>35.84</v>
      </c>
      <c r="Q6757" s="13">
        <v>-108.8</v>
      </c>
      <c r="R6757" s="36" t="s">
        <v>491</v>
      </c>
      <c r="S6757" s="7">
        <f t="shared" si="598"/>
        <v>0</v>
      </c>
      <c r="T6757" s="15" t="str">
        <f>VLOOKUP(R6757,产品分类!$C$2:$D$1278,2,0)</f>
        <v>办公用品</v>
      </c>
    </row>
    <row r="6758" spans="1:20">
      <c r="A6758" s="8">
        <f>DATE(2012,12,31)-1405</f>
        <v>39869</v>
      </c>
      <c r="B6758" s="8">
        <f>DATE(2012,12,31)-1405</f>
        <v>39869</v>
      </c>
      <c r="C6758" s="9" t="s">
        <v>639</v>
      </c>
      <c r="D6758">
        <v>10021443639</v>
      </c>
      <c r="E6758" t="s">
        <v>47</v>
      </c>
      <c r="F6758" t="s">
        <v>91</v>
      </c>
      <c r="G6758" t="s">
        <v>92</v>
      </c>
      <c r="H6758" t="s">
        <v>2525</v>
      </c>
      <c r="I6758" t="s">
        <v>2526</v>
      </c>
      <c r="J6758" t="s">
        <v>668</v>
      </c>
      <c r="K6758" s="3">
        <v>1004670764</v>
      </c>
      <c r="L6758" s="10">
        <v>39871</v>
      </c>
      <c r="M6758">
        <v>1140.26</v>
      </c>
      <c r="N6758" s="11">
        <v>39</v>
      </c>
      <c r="O6758" s="12">
        <v>29.18</v>
      </c>
      <c r="P6758" s="12">
        <v>8.55</v>
      </c>
      <c r="Q6758" s="13">
        <v>387.2</v>
      </c>
      <c r="R6758" s="36" t="s">
        <v>1440</v>
      </c>
      <c r="S6758" s="7">
        <f t="shared" si="598"/>
        <v>2</v>
      </c>
      <c r="T6758" s="15" t="str">
        <f>VLOOKUP(R6758,产品分类!$C$2:$D$1278,2,0)</f>
        <v>家具产品</v>
      </c>
    </row>
    <row r="6759" spans="1:20">
      <c r="A6759" s="8">
        <f>DATE(2012,12,31)-1405</f>
        <v>39869</v>
      </c>
      <c r="B6759" s="8">
        <f>DATE(2012,12,31)-1405</f>
        <v>39869</v>
      </c>
      <c r="C6759" s="9" t="s">
        <v>639</v>
      </c>
      <c r="D6759">
        <v>10021703283</v>
      </c>
      <c r="E6759" t="s">
        <v>47</v>
      </c>
      <c r="F6759" t="s">
        <v>55</v>
      </c>
      <c r="G6759" t="s">
        <v>56</v>
      </c>
      <c r="H6759" t="s">
        <v>2471</v>
      </c>
      <c r="I6759" t="s">
        <v>2472</v>
      </c>
      <c r="J6759" t="s">
        <v>668</v>
      </c>
      <c r="K6759" s="3">
        <v>100711325855</v>
      </c>
      <c r="L6759" s="10">
        <v>39871</v>
      </c>
      <c r="M6759">
        <v>2645.8</v>
      </c>
      <c r="N6759" s="11">
        <v>31</v>
      </c>
      <c r="O6759" s="12">
        <v>80.98</v>
      </c>
      <c r="P6759" s="12">
        <v>35</v>
      </c>
      <c r="Q6759" s="13">
        <v>-684.78</v>
      </c>
      <c r="R6759" s="36" t="s">
        <v>1611</v>
      </c>
      <c r="S6759" s="7">
        <f t="shared" si="598"/>
        <v>2</v>
      </c>
      <c r="T6759" s="15" t="str">
        <f>VLOOKUP(R6759,产品分类!$C$2:$D$1278,2,0)</f>
        <v>数码电子</v>
      </c>
    </row>
    <row r="6760" spans="1:20">
      <c r="A6760" s="8">
        <f>DATE(2012,12,31)-1349</f>
        <v>39925</v>
      </c>
      <c r="B6760" s="8">
        <f>DATE(2012,12,31)-1349</f>
        <v>39925</v>
      </c>
      <c r="C6760" s="9" t="s">
        <v>953</v>
      </c>
      <c r="D6760">
        <v>10021607104</v>
      </c>
      <c r="E6760" t="s">
        <v>47</v>
      </c>
      <c r="F6760" t="s">
        <v>122</v>
      </c>
      <c r="G6760" t="s">
        <v>123</v>
      </c>
      <c r="H6760" t="s">
        <v>2458</v>
      </c>
      <c r="I6760" t="s">
        <v>2459</v>
      </c>
      <c r="J6760" t="s">
        <v>668</v>
      </c>
      <c r="K6760" s="3">
        <v>100117612346</v>
      </c>
      <c r="L6760" s="10">
        <v>39929</v>
      </c>
      <c r="M6760">
        <v>221.06</v>
      </c>
      <c r="N6760" s="11">
        <v>45</v>
      </c>
      <c r="O6760" s="12">
        <v>4.57</v>
      </c>
      <c r="P6760" s="12">
        <v>5.42</v>
      </c>
      <c r="Q6760" s="13">
        <v>-124.2805</v>
      </c>
      <c r="R6760" s="36" t="s">
        <v>100</v>
      </c>
      <c r="S6760" s="7">
        <f t="shared" si="598"/>
        <v>4</v>
      </c>
      <c r="T6760" s="15" t="str">
        <f>VLOOKUP(R6760,产品分类!$C$2:$D$1278,2,0)</f>
        <v>数码电子</v>
      </c>
    </row>
    <row r="6761" spans="1:20">
      <c r="A6761" s="8">
        <f>DATE(2012,12,31)-654</f>
        <v>40620</v>
      </c>
      <c r="B6761" s="8">
        <f>DATE(2012,12,31)-654</f>
        <v>40620</v>
      </c>
      <c r="C6761" s="9" t="s">
        <v>1006</v>
      </c>
      <c r="D6761">
        <v>10021584901</v>
      </c>
      <c r="E6761" t="s">
        <v>47</v>
      </c>
      <c r="F6761" t="s">
        <v>122</v>
      </c>
      <c r="G6761" t="s">
        <v>123</v>
      </c>
      <c r="H6761" t="s">
        <v>2458</v>
      </c>
      <c r="I6761" t="s">
        <v>2459</v>
      </c>
      <c r="J6761" t="s">
        <v>668</v>
      </c>
      <c r="K6761" s="3">
        <v>100827777532</v>
      </c>
      <c r="L6761" s="10">
        <v>40621</v>
      </c>
      <c r="M6761">
        <v>2130.66</v>
      </c>
      <c r="N6761" s="11">
        <v>15</v>
      </c>
      <c r="O6761" s="12">
        <v>130.98</v>
      </c>
      <c r="P6761" s="12">
        <v>30</v>
      </c>
      <c r="Q6761" s="13">
        <v>-113.77</v>
      </c>
      <c r="R6761" s="36" t="s">
        <v>722</v>
      </c>
      <c r="S6761" s="7">
        <f t="shared" si="598"/>
        <v>1</v>
      </c>
      <c r="T6761" s="15" t="str">
        <f>VLOOKUP(R6761,产品分类!$C$2:$D$1278,2,0)</f>
        <v>办公用品</v>
      </c>
    </row>
    <row r="6762" spans="1:20">
      <c r="A6762" s="16">
        <f>DATE(2012,12,31)-1028</f>
        <v>40246</v>
      </c>
      <c r="B6762" s="16">
        <f>DATE(2012,12,31)-1028</f>
        <v>40246</v>
      </c>
      <c r="C6762" s="9" t="s">
        <v>425</v>
      </c>
      <c r="D6762">
        <v>10021256162</v>
      </c>
      <c r="E6762" t="s">
        <v>47</v>
      </c>
      <c r="F6762" t="s">
        <v>122</v>
      </c>
      <c r="G6762" t="s">
        <v>123</v>
      </c>
      <c r="H6762" t="s">
        <v>2458</v>
      </c>
      <c r="I6762" t="s">
        <v>2459</v>
      </c>
      <c r="J6762" t="s">
        <v>668</v>
      </c>
      <c r="K6762" s="3">
        <v>10089756652</v>
      </c>
      <c r="L6762" s="10">
        <v>40247</v>
      </c>
      <c r="M6762">
        <v>164.22</v>
      </c>
      <c r="N6762" s="17">
        <v>28</v>
      </c>
      <c r="O6762" s="5">
        <v>5.98</v>
      </c>
      <c r="P6762" s="5">
        <v>7.5</v>
      </c>
      <c r="Q6762" s="6">
        <v>-124.72</v>
      </c>
      <c r="R6762" s="37" t="s">
        <v>860</v>
      </c>
      <c r="S6762" s="7">
        <f t="shared" si="598"/>
        <v>1</v>
      </c>
      <c r="T6762" s="15" t="str">
        <f>VLOOKUP(R6762,产品分类!$C$2:$D$1278,2,0)</f>
        <v>办公用品</v>
      </c>
    </row>
    <row r="6763" spans="1:20">
      <c r="A6763" s="8">
        <f>DATE(2012,12,31)-1028</f>
        <v>40246</v>
      </c>
      <c r="B6763" s="8">
        <f>DATE(2012,12,31)-1028</f>
        <v>40246</v>
      </c>
      <c r="C6763" s="9" t="s">
        <v>425</v>
      </c>
      <c r="D6763">
        <v>10021671094</v>
      </c>
      <c r="E6763" t="s">
        <v>47</v>
      </c>
      <c r="F6763" t="s">
        <v>55</v>
      </c>
      <c r="G6763" t="s">
        <v>56</v>
      </c>
      <c r="H6763" t="s">
        <v>2471</v>
      </c>
      <c r="I6763" t="s">
        <v>2472</v>
      </c>
      <c r="J6763" t="s">
        <v>668</v>
      </c>
      <c r="K6763" s="3">
        <v>100330916489</v>
      </c>
      <c r="L6763" s="10">
        <v>40247</v>
      </c>
      <c r="M6763">
        <v>135.91</v>
      </c>
      <c r="N6763" s="11">
        <v>25</v>
      </c>
      <c r="O6763" s="12">
        <v>5.68</v>
      </c>
      <c r="P6763" s="12">
        <v>1.21</v>
      </c>
      <c r="Q6763" s="13">
        <v>37.5</v>
      </c>
      <c r="R6763" s="36" t="s">
        <v>793</v>
      </c>
      <c r="S6763" s="7">
        <f t="shared" si="598"/>
        <v>1</v>
      </c>
      <c r="T6763" s="15" t="str">
        <f>VLOOKUP(R6763,产品分类!$C$2:$D$1278,2,0)</f>
        <v>数码电子</v>
      </c>
    </row>
    <row r="6764" spans="1:20">
      <c r="A6764" s="8">
        <f>DATE(2012,12,31)-528</f>
        <v>40746</v>
      </c>
      <c r="B6764" s="8">
        <f>DATE(2012,12,31)-528</f>
        <v>40746</v>
      </c>
      <c r="C6764" s="9" t="s">
        <v>425</v>
      </c>
      <c r="D6764">
        <v>10021587026</v>
      </c>
      <c r="E6764" t="s">
        <v>47</v>
      </c>
      <c r="F6764" t="s">
        <v>91</v>
      </c>
      <c r="G6764" t="s">
        <v>92</v>
      </c>
      <c r="H6764" t="s">
        <v>2525</v>
      </c>
      <c r="I6764" t="s">
        <v>2526</v>
      </c>
      <c r="J6764" t="s">
        <v>668</v>
      </c>
      <c r="K6764" s="3">
        <v>10045333574</v>
      </c>
      <c r="L6764" s="10">
        <v>40748</v>
      </c>
      <c r="M6764">
        <v>3308.28</v>
      </c>
      <c r="N6764" s="11">
        <v>25</v>
      </c>
      <c r="O6764" s="12">
        <v>130.98</v>
      </c>
      <c r="P6764" s="12">
        <v>54.74</v>
      </c>
      <c r="Q6764" s="13">
        <v>-581.59</v>
      </c>
      <c r="R6764" s="36" t="s">
        <v>1081</v>
      </c>
      <c r="S6764" s="7">
        <f t="shared" si="598"/>
        <v>2</v>
      </c>
      <c r="T6764" s="15" t="str">
        <f>VLOOKUP(R6764,产品分类!$C$2:$D$1278,2,0)</f>
        <v>办公用品</v>
      </c>
    </row>
    <row r="6765" spans="1:20">
      <c r="A6765" s="8">
        <f>DATE(2012,12,31)-266</f>
        <v>41008</v>
      </c>
      <c r="B6765" s="8">
        <f>DATE(2012,12,31)-266</f>
        <v>41008</v>
      </c>
      <c r="C6765" s="9" t="s">
        <v>1828</v>
      </c>
      <c r="D6765">
        <v>10021523140</v>
      </c>
      <c r="E6765" t="s">
        <v>47</v>
      </c>
      <c r="F6765" t="s">
        <v>91</v>
      </c>
      <c r="G6765" t="s">
        <v>92</v>
      </c>
      <c r="H6765" t="s">
        <v>2525</v>
      </c>
      <c r="I6765" t="s">
        <v>2526</v>
      </c>
      <c r="J6765" t="s">
        <v>668</v>
      </c>
      <c r="K6765" s="3">
        <v>100414156454</v>
      </c>
      <c r="L6765" s="10">
        <v>41009</v>
      </c>
      <c r="M6765">
        <v>370.6</v>
      </c>
      <c r="N6765" s="11">
        <v>47</v>
      </c>
      <c r="O6765" s="12">
        <v>7.64</v>
      </c>
      <c r="P6765" s="12">
        <v>1.39</v>
      </c>
      <c r="Q6765" s="13">
        <v>160.72</v>
      </c>
      <c r="R6765" s="36" t="s">
        <v>1090</v>
      </c>
      <c r="S6765" s="7">
        <f t="shared" si="598"/>
        <v>1</v>
      </c>
      <c r="T6765" s="15" t="str">
        <f>VLOOKUP(R6765,产品分类!$C$2:$D$1278,2,0)</f>
        <v>办公用品</v>
      </c>
    </row>
    <row r="6766" spans="1:20">
      <c r="A6766" s="8">
        <f>DATE(2012,12,31)-950</f>
        <v>40324</v>
      </c>
      <c r="B6766" s="8">
        <f>DATE(2012,12,31)-950</f>
        <v>40324</v>
      </c>
      <c r="C6766" s="9" t="s">
        <v>1925</v>
      </c>
      <c r="D6766">
        <v>10021414119</v>
      </c>
      <c r="E6766" t="s">
        <v>47</v>
      </c>
      <c r="F6766" t="s">
        <v>91</v>
      </c>
      <c r="G6766" t="s">
        <v>92</v>
      </c>
      <c r="H6766" t="s">
        <v>2525</v>
      </c>
      <c r="I6766" t="s">
        <v>2526</v>
      </c>
      <c r="J6766" t="s">
        <v>668</v>
      </c>
      <c r="K6766" s="3">
        <v>10044850823</v>
      </c>
      <c r="L6766" s="10">
        <v>40324</v>
      </c>
      <c r="M6766">
        <v>4072.01</v>
      </c>
      <c r="N6766" s="11">
        <v>43</v>
      </c>
      <c r="O6766" s="12">
        <v>90.24</v>
      </c>
      <c r="P6766" s="12">
        <v>0.99</v>
      </c>
      <c r="Q6766" s="13">
        <v>1675.98</v>
      </c>
      <c r="R6766" s="36" t="s">
        <v>2221</v>
      </c>
      <c r="S6766" s="7">
        <f t="shared" si="598"/>
        <v>0</v>
      </c>
      <c r="T6766" s="15" t="str">
        <f>VLOOKUP(R6766,产品分类!$C$2:$D$1278,2,0)</f>
        <v>家具产品</v>
      </c>
    </row>
    <row r="6767" spans="1:20">
      <c r="A6767" s="8">
        <f>DATE(2012,12,31)-1134</f>
        <v>40140</v>
      </c>
      <c r="B6767" s="8">
        <f>DATE(2012,12,31)-1134</f>
        <v>40140</v>
      </c>
      <c r="C6767" s="9" t="s">
        <v>1925</v>
      </c>
      <c r="D6767">
        <v>10021269849</v>
      </c>
      <c r="E6767" t="s">
        <v>47</v>
      </c>
      <c r="F6767" t="s">
        <v>91</v>
      </c>
      <c r="G6767" t="s">
        <v>92</v>
      </c>
      <c r="H6767" t="s">
        <v>2525</v>
      </c>
      <c r="I6767" t="s">
        <v>2526</v>
      </c>
      <c r="J6767" t="s">
        <v>668</v>
      </c>
      <c r="K6767" s="3">
        <v>100132463516</v>
      </c>
      <c r="L6767" s="10">
        <v>40142</v>
      </c>
      <c r="M6767">
        <v>10051.52</v>
      </c>
      <c r="N6767" s="11">
        <v>48</v>
      </c>
      <c r="O6767" s="12">
        <v>204.1</v>
      </c>
      <c r="P6767" s="12">
        <v>13.99</v>
      </c>
      <c r="Q6767" s="13">
        <v>4938.78</v>
      </c>
      <c r="R6767" s="36" t="s">
        <v>1664</v>
      </c>
      <c r="S6767" s="7">
        <f t="shared" si="598"/>
        <v>2</v>
      </c>
      <c r="T6767" s="15" t="str">
        <f>VLOOKUP(R6767,产品分类!$C$2:$D$1278,2,0)</f>
        <v>数码电子</v>
      </c>
    </row>
    <row r="6768" spans="1:20">
      <c r="A6768" s="8">
        <f>DATE(2012,12,31)-886</f>
        <v>40388</v>
      </c>
      <c r="B6768" s="8">
        <f>DATE(2012,12,31)-886</f>
        <v>40388</v>
      </c>
      <c r="C6768" s="9" t="s">
        <v>1925</v>
      </c>
      <c r="D6768">
        <v>10021331316</v>
      </c>
      <c r="E6768" t="s">
        <v>47</v>
      </c>
      <c r="F6768" t="s">
        <v>83</v>
      </c>
      <c r="G6768" t="s">
        <v>84</v>
      </c>
      <c r="H6768" t="s">
        <v>2510</v>
      </c>
      <c r="I6768" t="s">
        <v>2511</v>
      </c>
      <c r="J6768" t="s">
        <v>668</v>
      </c>
      <c r="K6768" s="3">
        <v>10032345989</v>
      </c>
      <c r="L6768" s="10">
        <v>40389</v>
      </c>
      <c r="M6768">
        <v>5875.66</v>
      </c>
      <c r="N6768" s="11">
        <v>31</v>
      </c>
      <c r="O6768" s="12">
        <v>178.47</v>
      </c>
      <c r="P6768" s="12">
        <v>19.99</v>
      </c>
      <c r="Q6768" s="13">
        <v>1856.12</v>
      </c>
      <c r="R6768" s="36" t="s">
        <v>257</v>
      </c>
      <c r="S6768" s="7">
        <f t="shared" si="598"/>
        <v>1</v>
      </c>
      <c r="T6768" s="15" t="str">
        <f>VLOOKUP(R6768,产品分类!$C$2:$D$1278,2,0)</f>
        <v>办公用品</v>
      </c>
    </row>
    <row r="6769" spans="1:20">
      <c r="A6769" s="8">
        <f>DATE(2012,12,31)-302</f>
        <v>40972</v>
      </c>
      <c r="B6769" s="8">
        <f>DATE(2012,12,31)-302</f>
        <v>40972</v>
      </c>
      <c r="C6769" s="9" t="s">
        <v>377</v>
      </c>
      <c r="D6769">
        <v>10021574651</v>
      </c>
      <c r="E6769" t="s">
        <v>47</v>
      </c>
      <c r="F6769" t="s">
        <v>122</v>
      </c>
      <c r="G6769" t="s">
        <v>123</v>
      </c>
      <c r="H6769" t="s">
        <v>2458</v>
      </c>
      <c r="I6769" t="s">
        <v>2459</v>
      </c>
      <c r="J6769" t="s">
        <v>668</v>
      </c>
      <c r="K6769" s="3">
        <v>10084094562</v>
      </c>
      <c r="L6769" s="10">
        <v>40973</v>
      </c>
      <c r="M6769">
        <v>41.37</v>
      </c>
      <c r="N6769" s="11">
        <v>14</v>
      </c>
      <c r="O6769" s="12">
        <v>2.94</v>
      </c>
      <c r="P6769" s="12">
        <v>0.7</v>
      </c>
      <c r="Q6769" s="13">
        <v>1.82</v>
      </c>
      <c r="R6769" s="36" t="s">
        <v>542</v>
      </c>
      <c r="S6769" s="7">
        <f t="shared" si="598"/>
        <v>1</v>
      </c>
      <c r="T6769" s="15" t="str">
        <f>VLOOKUP(R6769,产品分类!$C$2:$D$1278,2,0)</f>
        <v>办公用品</v>
      </c>
    </row>
    <row r="6770" spans="1:20">
      <c r="A6770" s="8">
        <f>DATE(2012,12,31)-1239</f>
        <v>40035</v>
      </c>
      <c r="B6770" s="8">
        <f>DATE(2012,12,31)-1239</f>
        <v>40035</v>
      </c>
      <c r="C6770" s="9" t="s">
        <v>534</v>
      </c>
      <c r="D6770">
        <v>10021588575</v>
      </c>
      <c r="E6770" t="s">
        <v>47</v>
      </c>
      <c r="F6770" t="s">
        <v>55</v>
      </c>
      <c r="G6770" t="s">
        <v>56</v>
      </c>
      <c r="H6770" t="s">
        <v>2471</v>
      </c>
      <c r="I6770" t="s">
        <v>2472</v>
      </c>
      <c r="J6770" t="s">
        <v>668</v>
      </c>
      <c r="K6770" s="3">
        <v>100930496431</v>
      </c>
      <c r="L6770" s="10">
        <v>40037</v>
      </c>
      <c r="M6770">
        <v>89.93</v>
      </c>
      <c r="N6770" s="11">
        <v>14</v>
      </c>
      <c r="O6770" s="12">
        <v>5.98</v>
      </c>
      <c r="P6770" s="12">
        <v>3.85</v>
      </c>
      <c r="Q6770" s="13">
        <v>-44.82</v>
      </c>
      <c r="R6770" s="36" t="s">
        <v>1214</v>
      </c>
      <c r="S6770" s="7">
        <f t="shared" si="598"/>
        <v>2</v>
      </c>
      <c r="T6770" s="15" t="str">
        <f>VLOOKUP(R6770,产品分类!$C$2:$D$1278,2,0)</f>
        <v>数码电子</v>
      </c>
    </row>
    <row r="6771" spans="1:20">
      <c r="A6771" s="8">
        <f>DATE(2012,12,31)-16</f>
        <v>41258</v>
      </c>
      <c r="B6771" s="8">
        <f>DATE(2012,12,31)-16</f>
        <v>41258</v>
      </c>
      <c r="C6771" s="9" t="s">
        <v>534</v>
      </c>
      <c r="D6771">
        <v>10021263922</v>
      </c>
      <c r="E6771" t="s">
        <v>47</v>
      </c>
      <c r="F6771" t="s">
        <v>91</v>
      </c>
      <c r="G6771" t="s">
        <v>92</v>
      </c>
      <c r="H6771" t="s">
        <v>2525</v>
      </c>
      <c r="I6771" t="s">
        <v>2526</v>
      </c>
      <c r="J6771" t="s">
        <v>668</v>
      </c>
      <c r="K6771" s="3">
        <v>100730861075</v>
      </c>
      <c r="L6771" s="10">
        <v>41260</v>
      </c>
      <c r="M6771">
        <v>71.22</v>
      </c>
      <c r="N6771" s="11">
        <v>18</v>
      </c>
      <c r="O6771" s="12">
        <v>3.85</v>
      </c>
      <c r="P6771" s="12">
        <v>0.7</v>
      </c>
      <c r="Q6771" s="13">
        <v>20.43</v>
      </c>
      <c r="R6771" s="36" t="s">
        <v>1907</v>
      </c>
      <c r="S6771" s="7">
        <f t="shared" si="598"/>
        <v>2</v>
      </c>
      <c r="T6771" s="15" t="str">
        <f>VLOOKUP(R6771,产品分类!$C$2:$D$1278,2,0)</f>
        <v>办公用品</v>
      </c>
    </row>
    <row r="6772" spans="1:20">
      <c r="A6772" s="8">
        <f>DATE(2012,12,31)-621</f>
        <v>40653</v>
      </c>
      <c r="B6772" s="8">
        <f>DATE(2012,12,31)-621</f>
        <v>40653</v>
      </c>
      <c r="C6772" s="9" t="s">
        <v>989</v>
      </c>
      <c r="D6772">
        <v>10021338646</v>
      </c>
      <c r="E6772" t="s">
        <v>47</v>
      </c>
      <c r="F6772" t="s">
        <v>55</v>
      </c>
      <c r="G6772" t="s">
        <v>56</v>
      </c>
      <c r="H6772" t="s">
        <v>2471</v>
      </c>
      <c r="I6772" t="s">
        <v>2472</v>
      </c>
      <c r="J6772" t="s">
        <v>668</v>
      </c>
      <c r="K6772" s="3">
        <v>100424320153</v>
      </c>
      <c r="L6772" s="10">
        <v>40654</v>
      </c>
      <c r="M6772">
        <v>1387.29</v>
      </c>
      <c r="N6772" s="11">
        <v>25</v>
      </c>
      <c r="O6772" s="12">
        <v>55.48</v>
      </c>
      <c r="P6772" s="12">
        <v>14.3</v>
      </c>
      <c r="Q6772" s="13">
        <v>405.64</v>
      </c>
      <c r="R6772" s="36" t="s">
        <v>404</v>
      </c>
      <c r="S6772" s="7">
        <f t="shared" si="598"/>
        <v>1</v>
      </c>
      <c r="T6772" s="15" t="str">
        <f>VLOOKUP(R6772,产品分类!$C$2:$D$1278,2,0)</f>
        <v>办公用品</v>
      </c>
    </row>
    <row r="6773" spans="1:20">
      <c r="A6773" s="8">
        <f>DATE(2012,12,31)-1374</f>
        <v>39900</v>
      </c>
      <c r="B6773" s="8">
        <f>DATE(2012,12,31)-1374</f>
        <v>39900</v>
      </c>
      <c r="C6773" s="9" t="s">
        <v>1980</v>
      </c>
      <c r="D6773">
        <v>10021333307</v>
      </c>
      <c r="E6773" t="s">
        <v>47</v>
      </c>
      <c r="F6773" t="s">
        <v>91</v>
      </c>
      <c r="G6773" t="s">
        <v>92</v>
      </c>
      <c r="H6773" t="s">
        <v>2525</v>
      </c>
      <c r="I6773" t="s">
        <v>2526</v>
      </c>
      <c r="J6773" t="s">
        <v>668</v>
      </c>
      <c r="K6773" s="3">
        <v>10039466979</v>
      </c>
      <c r="L6773" s="10">
        <v>39900</v>
      </c>
      <c r="M6773">
        <v>2365.43</v>
      </c>
      <c r="N6773" s="11">
        <v>16</v>
      </c>
      <c r="O6773" s="12">
        <v>150.98</v>
      </c>
      <c r="P6773" s="12">
        <v>13.99</v>
      </c>
      <c r="Q6773" s="13">
        <v>619.71</v>
      </c>
      <c r="R6773" s="36" t="s">
        <v>471</v>
      </c>
      <c r="S6773" s="7">
        <f t="shared" si="598"/>
        <v>0</v>
      </c>
      <c r="T6773" s="15" t="str">
        <f>VLOOKUP(R6773,产品分类!$C$2:$D$1278,2,0)</f>
        <v>办公用品</v>
      </c>
    </row>
    <row r="6774" spans="1:20">
      <c r="A6774" s="8">
        <f>DATE(2012,12,31)-1200</f>
        <v>40074</v>
      </c>
      <c r="B6774" s="8">
        <f>DATE(2012,12,31)-1200</f>
        <v>40074</v>
      </c>
      <c r="C6774" s="9" t="s">
        <v>2079</v>
      </c>
      <c r="D6774">
        <v>10021293216</v>
      </c>
      <c r="E6774" t="s">
        <v>47</v>
      </c>
      <c r="F6774" t="s">
        <v>91</v>
      </c>
      <c r="G6774" t="s">
        <v>92</v>
      </c>
      <c r="H6774" t="s">
        <v>2525</v>
      </c>
      <c r="I6774" t="s">
        <v>2526</v>
      </c>
      <c r="J6774" t="s">
        <v>668</v>
      </c>
      <c r="K6774" s="3">
        <v>10015308608</v>
      </c>
      <c r="L6774" s="10">
        <v>40076</v>
      </c>
      <c r="M6774">
        <v>88.24</v>
      </c>
      <c r="N6774" s="11">
        <v>16</v>
      </c>
      <c r="O6774" s="12">
        <v>4.98</v>
      </c>
      <c r="P6774" s="12">
        <v>4.62</v>
      </c>
      <c r="Q6774" s="13">
        <v>-56.6</v>
      </c>
      <c r="R6774" s="36" t="s">
        <v>912</v>
      </c>
      <c r="S6774" s="7">
        <f t="shared" si="598"/>
        <v>2</v>
      </c>
      <c r="T6774" s="15" t="str">
        <f>VLOOKUP(R6774,产品分类!$C$2:$D$1278,2,0)</f>
        <v>办公用品</v>
      </c>
    </row>
    <row r="6775" spans="1:20">
      <c r="A6775" s="8">
        <f>DATE(2012,12,31)-1240</f>
        <v>40034</v>
      </c>
      <c r="B6775" s="8">
        <f>DATE(2012,12,31)-1240</f>
        <v>40034</v>
      </c>
      <c r="C6775" s="9" t="s">
        <v>2079</v>
      </c>
      <c r="D6775">
        <v>10021524227</v>
      </c>
      <c r="E6775" t="s">
        <v>47</v>
      </c>
      <c r="F6775" t="s">
        <v>91</v>
      </c>
      <c r="G6775" t="s">
        <v>92</v>
      </c>
      <c r="H6775" t="s">
        <v>2525</v>
      </c>
      <c r="I6775" t="s">
        <v>2526</v>
      </c>
      <c r="J6775" t="s">
        <v>668</v>
      </c>
      <c r="K6775" s="3">
        <v>100916570461</v>
      </c>
      <c r="L6775" s="10">
        <v>40036</v>
      </c>
      <c r="M6775">
        <v>21.64</v>
      </c>
      <c r="N6775" s="11">
        <v>3</v>
      </c>
      <c r="O6775" s="12">
        <v>5.74</v>
      </c>
      <c r="P6775" s="12">
        <v>5.01</v>
      </c>
      <c r="Q6775" s="13">
        <v>-13.3285</v>
      </c>
      <c r="R6775" s="36" t="s">
        <v>1908</v>
      </c>
      <c r="S6775" s="7">
        <f t="shared" si="598"/>
        <v>2</v>
      </c>
      <c r="T6775" s="15" t="str">
        <f>VLOOKUP(R6775,产品分类!$C$2:$D$1278,2,0)</f>
        <v>办公用品</v>
      </c>
    </row>
    <row r="6776" spans="1:20">
      <c r="A6776" s="8">
        <f>DATE(2012,12,31)-794</f>
        <v>40480</v>
      </c>
      <c r="B6776" s="8">
        <f>DATE(2012,12,31)-794</f>
        <v>40480</v>
      </c>
      <c r="C6776" s="9" t="s">
        <v>1024</v>
      </c>
      <c r="D6776">
        <v>10021574084</v>
      </c>
      <c r="E6776" t="s">
        <v>47</v>
      </c>
      <c r="F6776" t="s">
        <v>122</v>
      </c>
      <c r="G6776" t="s">
        <v>123</v>
      </c>
      <c r="H6776" t="s">
        <v>2458</v>
      </c>
      <c r="I6776" t="s">
        <v>2459</v>
      </c>
      <c r="J6776" t="s">
        <v>668</v>
      </c>
      <c r="K6776" s="3">
        <v>1009641171</v>
      </c>
      <c r="L6776" s="10">
        <v>40481</v>
      </c>
      <c r="M6776">
        <v>254.92</v>
      </c>
      <c r="N6776" s="11">
        <v>45</v>
      </c>
      <c r="O6776" s="12">
        <v>5.98</v>
      </c>
      <c r="P6776" s="12">
        <v>5.46</v>
      </c>
      <c r="Q6776" s="13">
        <v>-99.62</v>
      </c>
      <c r="R6776" s="36" t="s">
        <v>577</v>
      </c>
      <c r="S6776" s="7">
        <f t="shared" si="598"/>
        <v>1</v>
      </c>
      <c r="T6776" s="15" t="str">
        <f>VLOOKUP(R6776,产品分类!$C$2:$D$1278,2,0)</f>
        <v>办公用品</v>
      </c>
    </row>
    <row r="6777" spans="1:20">
      <c r="A6777" s="8">
        <f>DATE(2012,12,31)-1177</f>
        <v>40097</v>
      </c>
      <c r="B6777" s="8">
        <f>DATE(2012,12,31)-1177</f>
        <v>40097</v>
      </c>
      <c r="C6777" s="9" t="s">
        <v>143</v>
      </c>
      <c r="D6777">
        <v>10021258049</v>
      </c>
      <c r="E6777" t="s">
        <v>47</v>
      </c>
      <c r="F6777" t="s">
        <v>91</v>
      </c>
      <c r="G6777" t="s">
        <v>92</v>
      </c>
      <c r="H6777" t="s">
        <v>2525</v>
      </c>
      <c r="I6777" t="s">
        <v>2526</v>
      </c>
      <c r="J6777" t="s">
        <v>668</v>
      </c>
      <c r="K6777" s="3">
        <v>100326946689</v>
      </c>
      <c r="L6777" s="10">
        <v>40099</v>
      </c>
      <c r="M6777">
        <v>863.26</v>
      </c>
      <c r="N6777" s="11">
        <v>46</v>
      </c>
      <c r="O6777" s="12">
        <v>19.23</v>
      </c>
      <c r="P6777" s="12">
        <v>6.15</v>
      </c>
      <c r="Q6777" s="13">
        <v>229.6</v>
      </c>
      <c r="R6777" s="36" t="s">
        <v>1025</v>
      </c>
      <c r="S6777" s="7">
        <f t="shared" si="598"/>
        <v>2</v>
      </c>
      <c r="T6777" s="15" t="str">
        <f>VLOOKUP(R6777,产品分类!$C$2:$D$1278,2,0)</f>
        <v>办公用品</v>
      </c>
    </row>
    <row r="6778" spans="1:20">
      <c r="A6778" s="8">
        <f>DATE(2012,12,31)-61</f>
        <v>41213</v>
      </c>
      <c r="B6778" s="8">
        <f>DATE(2012,12,31)-61</f>
        <v>41213</v>
      </c>
      <c r="C6778" s="9" t="s">
        <v>845</v>
      </c>
      <c r="D6778">
        <v>10021656399</v>
      </c>
      <c r="E6778" t="s">
        <v>47</v>
      </c>
      <c r="F6778" t="s">
        <v>91</v>
      </c>
      <c r="G6778" t="s">
        <v>92</v>
      </c>
      <c r="H6778" t="s">
        <v>2525</v>
      </c>
      <c r="I6778" t="s">
        <v>2526</v>
      </c>
      <c r="J6778" t="s">
        <v>668</v>
      </c>
      <c r="K6778" s="3">
        <v>1009975991</v>
      </c>
      <c r="L6778" s="10">
        <v>41213</v>
      </c>
      <c r="M6778">
        <v>414.11</v>
      </c>
      <c r="N6778" s="11">
        <v>49</v>
      </c>
      <c r="O6778" s="12">
        <v>8.74</v>
      </c>
      <c r="P6778" s="12">
        <v>8.29</v>
      </c>
      <c r="Q6778" s="13">
        <v>-172.32</v>
      </c>
      <c r="R6778" s="36" t="s">
        <v>1903</v>
      </c>
      <c r="S6778" s="7">
        <f t="shared" si="598"/>
        <v>0</v>
      </c>
      <c r="T6778" s="15" t="str">
        <f>VLOOKUP(R6778,产品分类!$C$2:$D$1278,2,0)</f>
        <v>家具产品</v>
      </c>
    </row>
    <row r="6779" spans="1:20">
      <c r="A6779" s="8">
        <f>DATE(2012,12,31)-45</f>
        <v>41229</v>
      </c>
      <c r="B6779" s="8">
        <f>DATE(2012,12,31)-45</f>
        <v>41229</v>
      </c>
      <c r="C6779" s="9" t="s">
        <v>845</v>
      </c>
      <c r="D6779">
        <v>10021268484</v>
      </c>
      <c r="E6779" t="s">
        <v>47</v>
      </c>
      <c r="F6779" t="s">
        <v>122</v>
      </c>
      <c r="G6779" t="s">
        <v>123</v>
      </c>
      <c r="H6779" t="s">
        <v>2458</v>
      </c>
      <c r="I6779" t="s">
        <v>2459</v>
      </c>
      <c r="J6779" t="s">
        <v>668</v>
      </c>
      <c r="K6779" s="3">
        <v>100432398924</v>
      </c>
      <c r="L6779" s="10">
        <v>41229</v>
      </c>
      <c r="M6779">
        <v>340.952</v>
      </c>
      <c r="N6779" s="11">
        <v>20</v>
      </c>
      <c r="O6779" s="12">
        <v>20.99</v>
      </c>
      <c r="P6779" s="12">
        <v>0.99</v>
      </c>
      <c r="Q6779" s="13">
        <v>108.936</v>
      </c>
      <c r="R6779" s="36" t="s">
        <v>2551</v>
      </c>
      <c r="S6779" s="7">
        <f t="shared" si="598"/>
        <v>0</v>
      </c>
      <c r="T6779" s="15" t="str">
        <f>VLOOKUP(R6779,产品分类!$C$2:$D$1278,2,0)</f>
        <v>家具产品</v>
      </c>
    </row>
    <row r="6780" spans="1:20">
      <c r="A6780" s="8">
        <f t="shared" ref="A6780:B6784" si="601">DATE(2012,12,31)-814</f>
        <v>40460</v>
      </c>
      <c r="B6780" s="8">
        <f t="shared" si="601"/>
        <v>40460</v>
      </c>
      <c r="C6780" s="9" t="s">
        <v>446</v>
      </c>
      <c r="D6780">
        <v>10021669179</v>
      </c>
      <c r="E6780" t="s">
        <v>47</v>
      </c>
      <c r="F6780" t="s">
        <v>171</v>
      </c>
      <c r="G6780" t="s">
        <v>172</v>
      </c>
      <c r="H6780" t="s">
        <v>2486</v>
      </c>
      <c r="I6780" t="s">
        <v>2310</v>
      </c>
      <c r="J6780" t="s">
        <v>668</v>
      </c>
      <c r="K6780" s="3">
        <v>100429753734</v>
      </c>
      <c r="L6780" s="10">
        <v>40462</v>
      </c>
      <c r="M6780">
        <v>1859.01</v>
      </c>
      <c r="N6780" s="11">
        <v>32</v>
      </c>
      <c r="O6780" s="12">
        <v>60.98</v>
      </c>
      <c r="P6780" s="12">
        <v>30</v>
      </c>
      <c r="Q6780" s="13">
        <v>-588.9</v>
      </c>
      <c r="R6780" s="36" t="s">
        <v>142</v>
      </c>
      <c r="S6780" s="7">
        <f t="shared" si="598"/>
        <v>2</v>
      </c>
      <c r="T6780" s="15" t="str">
        <f>VLOOKUP(R6780,产品分类!$C$2:$D$1278,2,0)</f>
        <v>数码电子</v>
      </c>
    </row>
    <row r="6781" spans="1:20">
      <c r="A6781" s="8">
        <f t="shared" si="601"/>
        <v>40460</v>
      </c>
      <c r="B6781" s="8">
        <f t="shared" si="601"/>
        <v>40460</v>
      </c>
      <c r="C6781" s="9" t="s">
        <v>987</v>
      </c>
      <c r="D6781">
        <v>10021673827</v>
      </c>
      <c r="E6781" t="s">
        <v>47</v>
      </c>
      <c r="F6781" t="s">
        <v>171</v>
      </c>
      <c r="G6781" t="s">
        <v>172</v>
      </c>
      <c r="H6781" t="s">
        <v>2486</v>
      </c>
      <c r="I6781" t="s">
        <v>2310</v>
      </c>
      <c r="J6781" t="s">
        <v>668</v>
      </c>
      <c r="K6781" s="3">
        <v>100431884574</v>
      </c>
      <c r="L6781" s="10">
        <v>40460</v>
      </c>
      <c r="M6781">
        <v>1781.11</v>
      </c>
      <c r="N6781" s="11">
        <v>19</v>
      </c>
      <c r="O6781" s="12">
        <v>99.99</v>
      </c>
      <c r="P6781" s="12">
        <v>19.99</v>
      </c>
      <c r="Q6781" s="13">
        <v>51.44</v>
      </c>
      <c r="R6781" s="36" t="s">
        <v>1338</v>
      </c>
      <c r="S6781" s="7">
        <f t="shared" si="598"/>
        <v>0</v>
      </c>
      <c r="T6781" s="15" t="str">
        <f>VLOOKUP(R6781,产品分类!$C$2:$D$1278,2,0)</f>
        <v>办公用品</v>
      </c>
    </row>
    <row r="6782" spans="1:20">
      <c r="A6782" s="8">
        <f t="shared" si="601"/>
        <v>40460</v>
      </c>
      <c r="B6782" s="8">
        <f t="shared" si="601"/>
        <v>40460</v>
      </c>
      <c r="C6782" s="9" t="s">
        <v>1609</v>
      </c>
      <c r="D6782">
        <v>10021521349</v>
      </c>
      <c r="E6782" t="s">
        <v>47</v>
      </c>
      <c r="F6782" t="s">
        <v>152</v>
      </c>
      <c r="G6782" t="s">
        <v>153</v>
      </c>
      <c r="H6782" t="s">
        <v>2536</v>
      </c>
      <c r="I6782" t="s">
        <v>2537</v>
      </c>
      <c r="J6782" t="s">
        <v>668</v>
      </c>
      <c r="K6782" s="3">
        <v>10081254422</v>
      </c>
      <c r="L6782" s="10">
        <v>40461</v>
      </c>
      <c r="M6782">
        <v>185.32</v>
      </c>
      <c r="N6782" s="11">
        <v>44</v>
      </c>
      <c r="O6782" s="12">
        <v>4.18</v>
      </c>
      <c r="P6782" s="12">
        <v>6.92</v>
      </c>
      <c r="Q6782" s="13">
        <v>-192.56</v>
      </c>
      <c r="R6782" s="36" t="s">
        <v>735</v>
      </c>
      <c r="S6782" s="7">
        <f t="shared" si="598"/>
        <v>1</v>
      </c>
      <c r="T6782" s="15" t="str">
        <f>VLOOKUP(R6782,产品分类!$C$2:$D$1278,2,0)</f>
        <v>数码电子</v>
      </c>
    </row>
    <row r="6783" spans="1:20">
      <c r="A6783" s="8">
        <f t="shared" si="601"/>
        <v>40460</v>
      </c>
      <c r="B6783" s="8">
        <f t="shared" si="601"/>
        <v>40460</v>
      </c>
      <c r="C6783" s="9" t="s">
        <v>2072</v>
      </c>
      <c r="D6783">
        <v>10021577235</v>
      </c>
      <c r="E6783" t="s">
        <v>47</v>
      </c>
      <c r="F6783" t="s">
        <v>97</v>
      </c>
      <c r="G6783" t="s">
        <v>98</v>
      </c>
      <c r="H6783" t="s">
        <v>99</v>
      </c>
      <c r="I6783" t="s">
        <v>98</v>
      </c>
      <c r="J6783" t="s">
        <v>668</v>
      </c>
      <c r="K6783" s="3">
        <v>10017494196</v>
      </c>
      <c r="L6783" s="10">
        <v>40462</v>
      </c>
      <c r="M6783">
        <v>73.41</v>
      </c>
      <c r="N6783" s="11">
        <v>15</v>
      </c>
      <c r="O6783" s="12">
        <v>4.91</v>
      </c>
      <c r="P6783" s="12">
        <v>4.97</v>
      </c>
      <c r="Q6783" s="13">
        <v>-44.7925</v>
      </c>
      <c r="R6783" s="36" t="s">
        <v>902</v>
      </c>
      <c r="S6783" s="7">
        <f t="shared" si="598"/>
        <v>2</v>
      </c>
      <c r="T6783" s="15" t="str">
        <f>VLOOKUP(R6783,产品分类!$C$2:$D$1278,2,0)</f>
        <v>办公用品</v>
      </c>
    </row>
    <row r="6784" spans="1:20">
      <c r="A6784" s="8">
        <f t="shared" si="601"/>
        <v>40460</v>
      </c>
      <c r="B6784" s="8">
        <f t="shared" si="601"/>
        <v>40460</v>
      </c>
      <c r="C6784" s="9" t="s">
        <v>770</v>
      </c>
      <c r="D6784">
        <v>10021578728</v>
      </c>
      <c r="E6784" t="s">
        <v>47</v>
      </c>
      <c r="F6784" t="s">
        <v>97</v>
      </c>
      <c r="G6784" t="s">
        <v>98</v>
      </c>
      <c r="H6784" t="s">
        <v>99</v>
      </c>
      <c r="I6784" t="s">
        <v>98</v>
      </c>
      <c r="J6784" t="s">
        <v>668</v>
      </c>
      <c r="K6784" s="3">
        <v>100315538279</v>
      </c>
      <c r="L6784" s="10">
        <v>40462</v>
      </c>
      <c r="M6784">
        <v>43.66</v>
      </c>
      <c r="N6784" s="11">
        <v>28</v>
      </c>
      <c r="O6784" s="12">
        <v>1.48</v>
      </c>
      <c r="P6784" s="12">
        <v>0.7</v>
      </c>
      <c r="Q6784" s="13">
        <v>5.77</v>
      </c>
      <c r="R6784" s="36" t="s">
        <v>249</v>
      </c>
      <c r="S6784" s="7">
        <f t="shared" si="598"/>
        <v>2</v>
      </c>
      <c r="T6784" s="15" t="str">
        <f>VLOOKUP(R6784,产品分类!$C$2:$D$1278,2,0)</f>
        <v>办公用品</v>
      </c>
    </row>
    <row r="6785" spans="1:20">
      <c r="A6785" s="8">
        <f>DATE(2012,12,31)-1254</f>
        <v>40020</v>
      </c>
      <c r="B6785" s="8">
        <f>DATE(2012,12,31)-1254</f>
        <v>40020</v>
      </c>
      <c r="C6785" s="9" t="s">
        <v>1947</v>
      </c>
      <c r="D6785">
        <v>10021577423</v>
      </c>
      <c r="E6785" t="s">
        <v>47</v>
      </c>
      <c r="F6785" t="s">
        <v>132</v>
      </c>
      <c r="G6785" t="s">
        <v>133</v>
      </c>
      <c r="H6785" t="s">
        <v>134</v>
      </c>
      <c r="I6785" t="s">
        <v>133</v>
      </c>
      <c r="J6785" t="s">
        <v>668</v>
      </c>
      <c r="K6785" s="3">
        <v>100410954713</v>
      </c>
      <c r="L6785" s="10">
        <v>40020</v>
      </c>
      <c r="M6785">
        <v>387.03</v>
      </c>
      <c r="N6785" s="11">
        <v>50</v>
      </c>
      <c r="O6785" s="12">
        <v>7.96</v>
      </c>
      <c r="P6785" s="12">
        <v>4.95</v>
      </c>
      <c r="Q6785" s="13">
        <v>-7.73</v>
      </c>
      <c r="R6785" s="36" t="s">
        <v>1032</v>
      </c>
      <c r="S6785" s="7">
        <f t="shared" si="598"/>
        <v>0</v>
      </c>
      <c r="T6785" s="15" t="str">
        <f>VLOOKUP(R6785,产品分类!$C$2:$D$1278,2,0)</f>
        <v>办公用品</v>
      </c>
    </row>
    <row r="6786" spans="1:20">
      <c r="A6786" s="8">
        <f t="shared" ref="A6786:B6788" si="602">DATE(2012,12,31)-1308</f>
        <v>39966</v>
      </c>
      <c r="B6786" s="8">
        <f t="shared" si="602"/>
        <v>39966</v>
      </c>
      <c r="C6786" s="9" t="s">
        <v>1761</v>
      </c>
      <c r="D6786">
        <v>10021575331</v>
      </c>
      <c r="E6786" t="s">
        <v>47</v>
      </c>
      <c r="F6786" t="s">
        <v>132</v>
      </c>
      <c r="G6786" t="s">
        <v>133</v>
      </c>
      <c r="H6786" t="s">
        <v>134</v>
      </c>
      <c r="I6786" t="s">
        <v>133</v>
      </c>
      <c r="J6786" t="s">
        <v>668</v>
      </c>
      <c r="K6786" s="3">
        <v>10049586174</v>
      </c>
      <c r="L6786" s="10">
        <v>39967</v>
      </c>
      <c r="M6786">
        <v>817.53</v>
      </c>
      <c r="N6786" s="11">
        <v>34</v>
      </c>
      <c r="O6786" s="12">
        <v>22.84</v>
      </c>
      <c r="P6786" s="12">
        <v>11.54</v>
      </c>
      <c r="Q6786" s="13">
        <v>76.63</v>
      </c>
      <c r="R6786" s="36" t="s">
        <v>1135</v>
      </c>
      <c r="S6786" s="7">
        <f t="shared" si="598"/>
        <v>1</v>
      </c>
      <c r="T6786" s="15" t="str">
        <f>VLOOKUP(R6786,产品分类!$C$2:$D$1278,2,0)</f>
        <v>办公用品</v>
      </c>
    </row>
    <row r="6787" spans="1:20">
      <c r="A6787" s="8">
        <f t="shared" si="602"/>
        <v>39966</v>
      </c>
      <c r="B6787" s="8">
        <f t="shared" si="602"/>
        <v>39966</v>
      </c>
      <c r="C6787" s="9" t="s">
        <v>1488</v>
      </c>
      <c r="D6787">
        <v>10021319322</v>
      </c>
      <c r="E6787" t="s">
        <v>47</v>
      </c>
      <c r="F6787" t="s">
        <v>132</v>
      </c>
      <c r="G6787" t="s">
        <v>133</v>
      </c>
      <c r="H6787" t="s">
        <v>134</v>
      </c>
      <c r="I6787" t="s">
        <v>133</v>
      </c>
      <c r="J6787" t="s">
        <v>668</v>
      </c>
      <c r="K6787" s="3">
        <v>10099999401</v>
      </c>
      <c r="L6787" s="10">
        <v>39967</v>
      </c>
      <c r="M6787">
        <v>25.96</v>
      </c>
      <c r="N6787" s="11">
        <v>2</v>
      </c>
      <c r="O6787" s="12">
        <v>9.99</v>
      </c>
      <c r="P6787" s="12">
        <v>6.24</v>
      </c>
      <c r="Q6787" s="13">
        <v>-29.2929</v>
      </c>
      <c r="R6787" s="36" t="s">
        <v>242</v>
      </c>
      <c r="S6787" s="7">
        <f t="shared" ref="S6787:S6850" si="603">+L6787-B6787</f>
        <v>1</v>
      </c>
      <c r="T6787" s="15" t="str">
        <f>VLOOKUP(R6787,产品分类!$C$2:$D$1278,2,0)</f>
        <v>办公用品</v>
      </c>
    </row>
    <row r="6788" spans="1:20">
      <c r="A6788" s="8">
        <f t="shared" si="602"/>
        <v>39966</v>
      </c>
      <c r="B6788" s="8">
        <f t="shared" si="602"/>
        <v>39966</v>
      </c>
      <c r="C6788" s="9" t="s">
        <v>2347</v>
      </c>
      <c r="D6788">
        <v>10021576274</v>
      </c>
      <c r="E6788" t="s">
        <v>47</v>
      </c>
      <c r="F6788" t="s">
        <v>102</v>
      </c>
      <c r="G6788" t="s">
        <v>103</v>
      </c>
      <c r="H6788" t="s">
        <v>2483</v>
      </c>
      <c r="I6788" t="s">
        <v>2484</v>
      </c>
      <c r="J6788" t="s">
        <v>668</v>
      </c>
      <c r="K6788" s="3">
        <v>10047688074</v>
      </c>
      <c r="L6788" s="10">
        <v>39967</v>
      </c>
      <c r="M6788">
        <v>182.47</v>
      </c>
      <c r="N6788" s="11">
        <v>17</v>
      </c>
      <c r="O6788" s="12">
        <v>10.98</v>
      </c>
      <c r="P6788" s="12">
        <v>3.37</v>
      </c>
      <c r="Q6788" s="13">
        <v>-3.18</v>
      </c>
      <c r="R6788" s="36" t="s">
        <v>429</v>
      </c>
      <c r="S6788" s="7">
        <f t="shared" si="603"/>
        <v>1</v>
      </c>
      <c r="T6788" s="15" t="str">
        <f>VLOOKUP(R6788,产品分类!$C$2:$D$1278,2,0)</f>
        <v>办公用品</v>
      </c>
    </row>
    <row r="6789" spans="1:20">
      <c r="A6789" s="8">
        <f>DATE(2012,12,31)-1094</f>
        <v>40180</v>
      </c>
      <c r="B6789" s="8">
        <f>DATE(2012,12,31)-1094</f>
        <v>40180</v>
      </c>
      <c r="C6789" s="9" t="s">
        <v>710</v>
      </c>
      <c r="D6789">
        <v>10021506045</v>
      </c>
      <c r="E6789" t="s">
        <v>47</v>
      </c>
      <c r="F6789" t="s">
        <v>304</v>
      </c>
      <c r="G6789" t="s">
        <v>305</v>
      </c>
      <c r="H6789" t="s">
        <v>2527</v>
      </c>
      <c r="I6789" t="s">
        <v>2528</v>
      </c>
      <c r="J6789" t="s">
        <v>668</v>
      </c>
      <c r="K6789" s="3">
        <v>100931170261</v>
      </c>
      <c r="L6789" s="10">
        <v>40183</v>
      </c>
      <c r="M6789">
        <v>11103.75</v>
      </c>
      <c r="N6789" s="11">
        <v>32</v>
      </c>
      <c r="O6789" s="12">
        <v>370.98</v>
      </c>
      <c r="P6789" s="12">
        <v>99</v>
      </c>
      <c r="Q6789" s="13">
        <v>-522.59</v>
      </c>
      <c r="R6789" s="36" t="s">
        <v>126</v>
      </c>
      <c r="S6789" s="7">
        <f t="shared" si="603"/>
        <v>3</v>
      </c>
      <c r="T6789" s="15" t="str">
        <f>VLOOKUP(R6789,产品分类!$C$2:$D$1278,2,0)</f>
        <v>家具产品</v>
      </c>
    </row>
    <row r="6790" spans="1:20">
      <c r="A6790" s="8">
        <f>DATE(2012,12,31)-1117</f>
        <v>40157</v>
      </c>
      <c r="B6790" s="8">
        <f>DATE(2012,12,31)-1117</f>
        <v>40157</v>
      </c>
      <c r="C6790" s="9" t="s">
        <v>382</v>
      </c>
      <c r="D6790">
        <v>10021416469</v>
      </c>
      <c r="E6790" t="s">
        <v>47</v>
      </c>
      <c r="F6790" t="s">
        <v>102</v>
      </c>
      <c r="G6790" t="s">
        <v>103</v>
      </c>
      <c r="H6790" t="s">
        <v>2483</v>
      </c>
      <c r="I6790" t="s">
        <v>2484</v>
      </c>
      <c r="J6790" t="s">
        <v>668</v>
      </c>
      <c r="K6790" s="3">
        <v>10075155635</v>
      </c>
      <c r="L6790" s="10">
        <v>40158</v>
      </c>
      <c r="M6790">
        <v>47.55</v>
      </c>
      <c r="N6790" s="11">
        <v>18</v>
      </c>
      <c r="O6790" s="12">
        <v>2.21</v>
      </c>
      <c r="P6790" s="12">
        <v>1</v>
      </c>
      <c r="Q6790" s="13">
        <v>10.01</v>
      </c>
      <c r="R6790" s="36" t="s">
        <v>146</v>
      </c>
      <c r="S6790" s="7">
        <f t="shared" si="603"/>
        <v>1</v>
      </c>
      <c r="T6790" s="15" t="str">
        <f>VLOOKUP(R6790,产品分类!$C$2:$D$1278,2,0)</f>
        <v>办公用品</v>
      </c>
    </row>
    <row r="6791" spans="1:20">
      <c r="A6791" s="8">
        <f t="shared" ref="A6791:B6794" si="604">DATE(2012,12,31)-922</f>
        <v>40352</v>
      </c>
      <c r="B6791" s="8">
        <f t="shared" si="604"/>
        <v>40352</v>
      </c>
      <c r="C6791" s="9" t="s">
        <v>1698</v>
      </c>
      <c r="D6791">
        <v>10021619980</v>
      </c>
      <c r="E6791" t="s">
        <v>47</v>
      </c>
      <c r="F6791" t="s">
        <v>304</v>
      </c>
      <c r="G6791" t="s">
        <v>305</v>
      </c>
      <c r="H6791" t="s">
        <v>2527</v>
      </c>
      <c r="I6791" t="s">
        <v>2528</v>
      </c>
      <c r="J6791" t="s">
        <v>668</v>
      </c>
      <c r="K6791" s="3">
        <v>10043647983</v>
      </c>
      <c r="L6791" s="10">
        <v>40353</v>
      </c>
      <c r="M6791">
        <v>346.42</v>
      </c>
      <c r="N6791" s="11">
        <v>22</v>
      </c>
      <c r="O6791" s="12">
        <v>16.48</v>
      </c>
      <c r="P6791" s="12">
        <v>1.99</v>
      </c>
      <c r="Q6791" s="13">
        <v>67.96</v>
      </c>
      <c r="R6791" s="36" t="s">
        <v>876</v>
      </c>
      <c r="S6791" s="7">
        <f t="shared" si="603"/>
        <v>1</v>
      </c>
      <c r="T6791" s="15" t="str">
        <f>VLOOKUP(R6791,产品分类!$C$2:$D$1278,2,0)</f>
        <v>办公用品</v>
      </c>
    </row>
    <row r="6792" spans="1:20">
      <c r="A6792" s="8">
        <f t="shared" si="604"/>
        <v>40352</v>
      </c>
      <c r="B6792" s="8">
        <f t="shared" si="604"/>
        <v>40352</v>
      </c>
      <c r="C6792" s="9" t="s">
        <v>2002</v>
      </c>
      <c r="D6792">
        <v>10021499126</v>
      </c>
      <c r="E6792" t="s">
        <v>47</v>
      </c>
      <c r="F6792" t="s">
        <v>102</v>
      </c>
      <c r="G6792" t="s">
        <v>103</v>
      </c>
      <c r="H6792" t="s">
        <v>2483</v>
      </c>
      <c r="I6792" t="s">
        <v>2484</v>
      </c>
      <c r="J6792" t="s">
        <v>668</v>
      </c>
      <c r="K6792" s="3">
        <v>100924196991</v>
      </c>
      <c r="L6792" s="10">
        <v>40353</v>
      </c>
      <c r="M6792">
        <v>773.44</v>
      </c>
      <c r="N6792" s="11">
        <v>41</v>
      </c>
      <c r="O6792" s="12">
        <v>20.24</v>
      </c>
      <c r="P6792" s="12">
        <v>6.67</v>
      </c>
      <c r="Q6792" s="13">
        <v>133.83</v>
      </c>
      <c r="R6792" s="36" t="s">
        <v>1990</v>
      </c>
      <c r="S6792" s="7">
        <f t="shared" si="603"/>
        <v>1</v>
      </c>
      <c r="T6792" s="15" t="str">
        <f>VLOOKUP(R6792,产品分类!$C$2:$D$1278,2,0)</f>
        <v>家具产品</v>
      </c>
    </row>
    <row r="6793" spans="1:20">
      <c r="A6793" s="8">
        <f t="shared" si="604"/>
        <v>40352</v>
      </c>
      <c r="B6793" s="8">
        <f t="shared" si="604"/>
        <v>40352</v>
      </c>
      <c r="C6793" s="9" t="s">
        <v>1703</v>
      </c>
      <c r="D6793">
        <v>10021302455</v>
      </c>
      <c r="E6793" t="s">
        <v>47</v>
      </c>
      <c r="F6793" t="s">
        <v>208</v>
      </c>
      <c r="G6793" t="s">
        <v>209</v>
      </c>
      <c r="H6793" t="s">
        <v>2300</v>
      </c>
      <c r="I6793" t="s">
        <v>2301</v>
      </c>
      <c r="J6793" t="s">
        <v>668</v>
      </c>
      <c r="K6793" s="3">
        <v>100331195939</v>
      </c>
      <c r="L6793" s="10">
        <v>40354</v>
      </c>
      <c r="M6793">
        <v>881.84</v>
      </c>
      <c r="N6793" s="11">
        <v>43</v>
      </c>
      <c r="O6793" s="12">
        <v>18.97</v>
      </c>
      <c r="P6793" s="12">
        <v>9.03</v>
      </c>
      <c r="Q6793" s="13">
        <v>153.8</v>
      </c>
      <c r="R6793" s="36" t="s">
        <v>2242</v>
      </c>
      <c r="S6793" s="7">
        <f t="shared" si="603"/>
        <v>2</v>
      </c>
      <c r="T6793" s="15" t="str">
        <f>VLOOKUP(R6793,产品分类!$C$2:$D$1278,2,0)</f>
        <v>数码电子</v>
      </c>
    </row>
    <row r="6794" spans="1:20">
      <c r="A6794" s="8">
        <f t="shared" si="604"/>
        <v>40352</v>
      </c>
      <c r="B6794" s="8">
        <f t="shared" si="604"/>
        <v>40352</v>
      </c>
      <c r="C6794" s="9" t="s">
        <v>1661</v>
      </c>
      <c r="D6794">
        <v>10021660912</v>
      </c>
      <c r="E6794" t="s">
        <v>47</v>
      </c>
      <c r="F6794" t="s">
        <v>102</v>
      </c>
      <c r="G6794" t="s">
        <v>103</v>
      </c>
      <c r="H6794" t="s">
        <v>2483</v>
      </c>
      <c r="I6794" t="s">
        <v>2484</v>
      </c>
      <c r="J6794" t="s">
        <v>668</v>
      </c>
      <c r="K6794" s="3">
        <v>100115501378</v>
      </c>
      <c r="L6794" s="10">
        <v>40354</v>
      </c>
      <c r="M6794">
        <v>5067.5725</v>
      </c>
      <c r="N6794" s="11">
        <v>50</v>
      </c>
      <c r="O6794" s="12">
        <v>125.99</v>
      </c>
      <c r="P6794" s="12">
        <v>8.99</v>
      </c>
      <c r="Q6794" s="13">
        <v>1275.912</v>
      </c>
      <c r="R6794" s="36" t="s">
        <v>1245</v>
      </c>
      <c r="S6794" s="7">
        <f t="shared" si="603"/>
        <v>2</v>
      </c>
      <c r="T6794" s="15" t="str">
        <f>VLOOKUP(R6794,产品分类!$C$2:$D$1278,2,0)</f>
        <v>办公用品</v>
      </c>
    </row>
    <row r="6795" spans="1:20">
      <c r="A6795" s="8">
        <f>DATE(2012,12,31)-599</f>
        <v>40675</v>
      </c>
      <c r="B6795" s="8">
        <f>DATE(2012,12,31)-599</f>
        <v>40675</v>
      </c>
      <c r="C6795" s="9" t="s">
        <v>1859</v>
      </c>
      <c r="D6795">
        <v>10021342652</v>
      </c>
      <c r="E6795" t="s">
        <v>47</v>
      </c>
      <c r="F6795" t="s">
        <v>102</v>
      </c>
      <c r="G6795" t="s">
        <v>103</v>
      </c>
      <c r="H6795" t="s">
        <v>2483</v>
      </c>
      <c r="I6795" t="s">
        <v>2484</v>
      </c>
      <c r="J6795" t="s">
        <v>668</v>
      </c>
      <c r="K6795" s="3">
        <v>100928193431</v>
      </c>
      <c r="L6795" s="10">
        <v>40677</v>
      </c>
      <c r="M6795">
        <v>271.14</v>
      </c>
      <c r="N6795" s="11">
        <v>42</v>
      </c>
      <c r="O6795" s="12">
        <v>6.48</v>
      </c>
      <c r="P6795" s="12">
        <v>7.91</v>
      </c>
      <c r="Q6795" s="13">
        <v>-174.74</v>
      </c>
      <c r="R6795" s="36" t="s">
        <v>618</v>
      </c>
      <c r="S6795" s="7">
        <f t="shared" si="603"/>
        <v>2</v>
      </c>
      <c r="T6795" s="15" t="str">
        <f>VLOOKUP(R6795,产品分类!$C$2:$D$1278,2,0)</f>
        <v>办公用品</v>
      </c>
    </row>
    <row r="6796" spans="1:20">
      <c r="A6796" s="8">
        <f>DATE(2012,12,31)-1085</f>
        <v>40189</v>
      </c>
      <c r="B6796" s="8">
        <f>DATE(2012,12,31)-1085</f>
        <v>40189</v>
      </c>
      <c r="C6796" s="9" t="s">
        <v>1738</v>
      </c>
      <c r="D6796">
        <v>10021584200</v>
      </c>
      <c r="E6796" t="s">
        <v>47</v>
      </c>
      <c r="F6796" t="s">
        <v>171</v>
      </c>
      <c r="G6796" t="s">
        <v>172</v>
      </c>
      <c r="H6796" t="s">
        <v>2486</v>
      </c>
      <c r="I6796" t="s">
        <v>2310</v>
      </c>
      <c r="J6796" t="s">
        <v>668</v>
      </c>
      <c r="K6796" s="3">
        <v>100126903488</v>
      </c>
      <c r="L6796" s="10">
        <v>40191</v>
      </c>
      <c r="M6796">
        <v>360.7</v>
      </c>
      <c r="N6796" s="11">
        <v>27</v>
      </c>
      <c r="O6796" s="12">
        <v>12.97</v>
      </c>
      <c r="P6796" s="12">
        <v>1.49</v>
      </c>
      <c r="Q6796" s="13">
        <v>146.166</v>
      </c>
      <c r="R6796" s="36" t="s">
        <v>1154</v>
      </c>
      <c r="S6796" s="7">
        <f t="shared" si="603"/>
        <v>2</v>
      </c>
      <c r="T6796" s="15" t="str">
        <f>VLOOKUP(R6796,产品分类!$C$2:$D$1278,2,0)</f>
        <v>办公用品</v>
      </c>
    </row>
    <row r="6797" spans="1:20">
      <c r="A6797" s="8">
        <f>DATE(2012,12,31)-516</f>
        <v>40758</v>
      </c>
      <c r="B6797" s="8">
        <f>DATE(2012,12,31)-516</f>
        <v>40758</v>
      </c>
      <c r="C6797" s="9" t="s">
        <v>213</v>
      </c>
      <c r="D6797">
        <v>10021494925</v>
      </c>
      <c r="E6797" t="s">
        <v>47</v>
      </c>
      <c r="F6797" t="s">
        <v>527</v>
      </c>
      <c r="G6797" t="s">
        <v>528</v>
      </c>
      <c r="H6797" t="s">
        <v>2513</v>
      </c>
      <c r="I6797" t="s">
        <v>2514</v>
      </c>
      <c r="J6797" t="s">
        <v>668</v>
      </c>
      <c r="K6797" s="3">
        <v>100913248751</v>
      </c>
      <c r="L6797" s="10">
        <v>40759</v>
      </c>
      <c r="M6797">
        <v>238.79</v>
      </c>
      <c r="N6797" s="11">
        <v>48</v>
      </c>
      <c r="O6797" s="12">
        <v>4.98</v>
      </c>
      <c r="P6797" s="12">
        <v>4.72</v>
      </c>
      <c r="Q6797" s="13">
        <v>-83.78</v>
      </c>
      <c r="R6797" s="36" t="s">
        <v>1631</v>
      </c>
      <c r="S6797" s="7">
        <f t="shared" si="603"/>
        <v>1</v>
      </c>
      <c r="T6797" s="15" t="str">
        <f>VLOOKUP(R6797,产品分类!$C$2:$D$1278,2,0)</f>
        <v>办公用品</v>
      </c>
    </row>
    <row r="6798" spans="1:20">
      <c r="A6798" s="8">
        <f>DATE(2012,12,31)-516</f>
        <v>40758</v>
      </c>
      <c r="B6798" s="8">
        <f>DATE(2012,12,31)-516</f>
        <v>40758</v>
      </c>
      <c r="C6798" s="9" t="s">
        <v>213</v>
      </c>
      <c r="D6798">
        <v>10021623163</v>
      </c>
      <c r="E6798" t="s">
        <v>47</v>
      </c>
      <c r="F6798" t="s">
        <v>171</v>
      </c>
      <c r="G6798" t="s">
        <v>172</v>
      </c>
      <c r="H6798" t="s">
        <v>2486</v>
      </c>
      <c r="I6798" t="s">
        <v>2310</v>
      </c>
      <c r="J6798" t="s">
        <v>668</v>
      </c>
      <c r="K6798" s="3">
        <v>100321179389</v>
      </c>
      <c r="L6798" s="10">
        <v>40758</v>
      </c>
      <c r="M6798">
        <v>148.26</v>
      </c>
      <c r="N6798" s="11">
        <v>47</v>
      </c>
      <c r="O6798" s="12">
        <v>2.94</v>
      </c>
      <c r="P6798" s="12">
        <v>0.81</v>
      </c>
      <c r="Q6798" s="13">
        <v>49.04</v>
      </c>
      <c r="R6798" s="36" t="s">
        <v>1902</v>
      </c>
      <c r="S6798" s="7">
        <f t="shared" si="603"/>
        <v>0</v>
      </c>
      <c r="T6798" s="15" t="str">
        <f>VLOOKUP(R6798,产品分类!$C$2:$D$1278,2,0)</f>
        <v>办公用品</v>
      </c>
    </row>
    <row r="6799" spans="1:20">
      <c r="A6799" s="8">
        <f>DATE(2012,12,31)-377</f>
        <v>40897</v>
      </c>
      <c r="B6799" s="8">
        <f>DATE(2012,12,31)-377</f>
        <v>40897</v>
      </c>
      <c r="C6799" s="9" t="s">
        <v>213</v>
      </c>
      <c r="D6799">
        <v>10021493539</v>
      </c>
      <c r="E6799" t="s">
        <v>47</v>
      </c>
      <c r="F6799" t="s">
        <v>171</v>
      </c>
      <c r="G6799" t="s">
        <v>172</v>
      </c>
      <c r="H6799" t="s">
        <v>2486</v>
      </c>
      <c r="I6799" t="s">
        <v>2310</v>
      </c>
      <c r="J6799" t="s">
        <v>668</v>
      </c>
      <c r="K6799" s="3">
        <v>10092850141</v>
      </c>
      <c r="L6799" s="10">
        <v>40897</v>
      </c>
      <c r="M6799">
        <v>725.8</v>
      </c>
      <c r="N6799" s="11">
        <v>47</v>
      </c>
      <c r="O6799" s="12">
        <v>15.04</v>
      </c>
      <c r="P6799" s="12">
        <v>1.97</v>
      </c>
      <c r="Q6799" s="13">
        <v>327.45</v>
      </c>
      <c r="R6799" s="36" t="s">
        <v>1842</v>
      </c>
      <c r="S6799" s="7">
        <f t="shared" si="603"/>
        <v>0</v>
      </c>
      <c r="T6799" s="15" t="str">
        <f>VLOOKUP(R6799,产品分类!$C$2:$D$1278,2,0)</f>
        <v>办公用品</v>
      </c>
    </row>
    <row r="6800" spans="1:20">
      <c r="A6800" s="8">
        <f>DATE(2012,12,31)-1369</f>
        <v>39905</v>
      </c>
      <c r="B6800" s="8">
        <f>DATE(2012,12,31)-1369</f>
        <v>39905</v>
      </c>
      <c r="C6800" s="9" t="s">
        <v>213</v>
      </c>
      <c r="D6800">
        <v>10021646284</v>
      </c>
      <c r="E6800" t="s">
        <v>47</v>
      </c>
      <c r="F6800" t="s">
        <v>171</v>
      </c>
      <c r="G6800" t="s">
        <v>172</v>
      </c>
      <c r="H6800" t="s">
        <v>2486</v>
      </c>
      <c r="I6800" t="s">
        <v>2310</v>
      </c>
      <c r="J6800" t="s">
        <v>668</v>
      </c>
      <c r="K6800" s="3">
        <v>100416981564</v>
      </c>
      <c r="L6800" s="10">
        <v>39907</v>
      </c>
      <c r="M6800">
        <v>585.47</v>
      </c>
      <c r="N6800" s="11">
        <v>17</v>
      </c>
      <c r="O6800" s="12">
        <v>37.94</v>
      </c>
      <c r="P6800" s="12">
        <v>5.08</v>
      </c>
      <c r="Q6800" s="13">
        <v>178.14</v>
      </c>
      <c r="R6800" s="36" t="s">
        <v>2133</v>
      </c>
      <c r="S6800" s="7">
        <f t="shared" si="603"/>
        <v>2</v>
      </c>
      <c r="T6800" s="15" t="str">
        <f>VLOOKUP(R6800,产品分类!$C$2:$D$1278,2,0)</f>
        <v>数码电子</v>
      </c>
    </row>
    <row r="6801" spans="1:20">
      <c r="A6801" s="8">
        <f>DATE(2012,12,31)-595</f>
        <v>40679</v>
      </c>
      <c r="B6801" s="8">
        <f>DATE(2012,12,31)-595</f>
        <v>40679</v>
      </c>
      <c r="C6801" s="9" t="s">
        <v>213</v>
      </c>
      <c r="D6801">
        <v>10021286477</v>
      </c>
      <c r="E6801" t="s">
        <v>47</v>
      </c>
      <c r="F6801" t="s">
        <v>171</v>
      </c>
      <c r="G6801" t="s">
        <v>172</v>
      </c>
      <c r="H6801" t="s">
        <v>2486</v>
      </c>
      <c r="I6801" t="s">
        <v>2310</v>
      </c>
      <c r="J6801" t="s">
        <v>668</v>
      </c>
      <c r="K6801" s="3">
        <v>10098557321</v>
      </c>
      <c r="L6801" s="10">
        <v>40681</v>
      </c>
      <c r="M6801">
        <v>831.5805</v>
      </c>
      <c r="N6801" s="11">
        <v>44</v>
      </c>
      <c r="O6801" s="12">
        <v>20.99</v>
      </c>
      <c r="P6801" s="12">
        <v>0.99</v>
      </c>
      <c r="Q6801" s="13">
        <v>273.051</v>
      </c>
      <c r="R6801" s="36" t="s">
        <v>1220</v>
      </c>
      <c r="S6801" s="7">
        <f t="shared" si="603"/>
        <v>2</v>
      </c>
      <c r="T6801" s="15" t="str">
        <f>VLOOKUP(R6801,产品分类!$C$2:$D$1278,2,0)</f>
        <v>家具产品</v>
      </c>
    </row>
    <row r="6802" spans="1:20">
      <c r="A6802" s="8">
        <f>DATE(2012,12,31)-646</f>
        <v>40628</v>
      </c>
      <c r="B6802" s="8">
        <f>DATE(2012,12,31)-646</f>
        <v>40628</v>
      </c>
      <c r="C6802" s="9" t="s">
        <v>2324</v>
      </c>
      <c r="D6802">
        <v>10021267121</v>
      </c>
      <c r="E6802" t="s">
        <v>47</v>
      </c>
      <c r="F6802" t="s">
        <v>171</v>
      </c>
      <c r="G6802" t="s">
        <v>172</v>
      </c>
      <c r="H6802" t="s">
        <v>2486</v>
      </c>
      <c r="I6802" t="s">
        <v>2310</v>
      </c>
      <c r="J6802" t="s">
        <v>668</v>
      </c>
      <c r="K6802" s="3">
        <v>10096093391</v>
      </c>
      <c r="L6802" s="10">
        <v>40629</v>
      </c>
      <c r="M6802">
        <v>13.71</v>
      </c>
      <c r="N6802" s="11">
        <v>3</v>
      </c>
      <c r="O6802" s="12">
        <v>3.28</v>
      </c>
      <c r="P6802" s="12">
        <v>3.97</v>
      </c>
      <c r="Q6802" s="13">
        <v>-10.27</v>
      </c>
      <c r="R6802" s="36" t="s">
        <v>1167</v>
      </c>
      <c r="S6802" s="7">
        <f t="shared" si="603"/>
        <v>1</v>
      </c>
      <c r="T6802" s="15" t="str">
        <f>VLOOKUP(R6802,产品分类!$C$2:$D$1278,2,0)</f>
        <v>家具产品</v>
      </c>
    </row>
    <row r="6803" spans="1:20">
      <c r="A6803" s="8">
        <f>DATE(2012,12,31)-30</f>
        <v>41244</v>
      </c>
      <c r="B6803" s="8">
        <f>DATE(2012,12,31)-30</f>
        <v>41244</v>
      </c>
      <c r="C6803" s="9" t="s">
        <v>2045</v>
      </c>
      <c r="D6803">
        <v>10021310734</v>
      </c>
      <c r="E6803" t="s">
        <v>47</v>
      </c>
      <c r="F6803" t="s">
        <v>527</v>
      </c>
      <c r="G6803" t="s">
        <v>528</v>
      </c>
      <c r="H6803" t="s">
        <v>2513</v>
      </c>
      <c r="I6803" t="s">
        <v>2514</v>
      </c>
      <c r="J6803" t="s">
        <v>668</v>
      </c>
      <c r="K6803" s="3">
        <v>10093938061</v>
      </c>
      <c r="L6803" s="10">
        <v>41245</v>
      </c>
      <c r="M6803">
        <v>464.59</v>
      </c>
      <c r="N6803" s="11">
        <v>17</v>
      </c>
      <c r="O6803" s="12">
        <v>28.53</v>
      </c>
      <c r="P6803" s="12">
        <v>1.49</v>
      </c>
      <c r="Q6803" s="13">
        <v>168.215</v>
      </c>
      <c r="R6803" s="36" t="s">
        <v>218</v>
      </c>
      <c r="S6803" s="7">
        <f t="shared" si="603"/>
        <v>1</v>
      </c>
      <c r="T6803" s="15" t="str">
        <f>VLOOKUP(R6803,产品分类!$C$2:$D$1278,2,0)</f>
        <v>数码电子</v>
      </c>
    </row>
    <row r="6804" spans="1:20">
      <c r="A6804" s="8">
        <f>DATE(2012,12,31)-30</f>
        <v>41244</v>
      </c>
      <c r="B6804" s="8">
        <f>DATE(2012,12,31)-30</f>
        <v>41244</v>
      </c>
      <c r="C6804" s="9" t="s">
        <v>2045</v>
      </c>
      <c r="D6804">
        <v>10021318465</v>
      </c>
      <c r="E6804" t="s">
        <v>47</v>
      </c>
      <c r="F6804" t="s">
        <v>527</v>
      </c>
      <c r="G6804" t="s">
        <v>528</v>
      </c>
      <c r="H6804" t="s">
        <v>2513</v>
      </c>
      <c r="I6804" t="s">
        <v>2514</v>
      </c>
      <c r="J6804" t="s">
        <v>668</v>
      </c>
      <c r="K6804" s="3">
        <v>1003558679</v>
      </c>
      <c r="L6804" s="10">
        <v>41246</v>
      </c>
      <c r="M6804">
        <v>316.68</v>
      </c>
      <c r="N6804" s="11">
        <v>47</v>
      </c>
      <c r="O6804" s="12">
        <v>6.48</v>
      </c>
      <c r="P6804" s="12">
        <v>7.49</v>
      </c>
      <c r="Q6804" s="13">
        <v>-161</v>
      </c>
      <c r="R6804" s="36" t="s">
        <v>1463</v>
      </c>
      <c r="S6804" s="7">
        <f t="shared" si="603"/>
        <v>2</v>
      </c>
      <c r="T6804" s="15" t="str">
        <f>VLOOKUP(R6804,产品分类!$C$2:$D$1278,2,0)</f>
        <v>办公用品</v>
      </c>
    </row>
    <row r="6805" spans="1:20">
      <c r="A6805" s="8">
        <f>DATE(2012,12,31)-176</f>
        <v>41098</v>
      </c>
      <c r="B6805" s="8">
        <f>DATE(2012,12,31)-176</f>
        <v>41098</v>
      </c>
      <c r="C6805" s="9" t="s">
        <v>2045</v>
      </c>
      <c r="D6805">
        <v>10021346676</v>
      </c>
      <c r="E6805" t="s">
        <v>47</v>
      </c>
      <c r="F6805" t="s">
        <v>127</v>
      </c>
      <c r="G6805" t="s">
        <v>128</v>
      </c>
      <c r="H6805" t="s">
        <v>2462</v>
      </c>
      <c r="I6805" t="s">
        <v>2463</v>
      </c>
      <c r="J6805" t="s">
        <v>668</v>
      </c>
      <c r="K6805" s="3">
        <v>100830919062</v>
      </c>
      <c r="L6805" s="10">
        <v>41100</v>
      </c>
      <c r="M6805">
        <v>201.83</v>
      </c>
      <c r="N6805" s="11">
        <v>6</v>
      </c>
      <c r="O6805" s="12">
        <v>30.98</v>
      </c>
      <c r="P6805" s="12">
        <v>5.09</v>
      </c>
      <c r="Q6805" s="13">
        <v>34.98</v>
      </c>
      <c r="R6805" s="36" t="s">
        <v>1792</v>
      </c>
      <c r="S6805" s="7">
        <f t="shared" si="603"/>
        <v>2</v>
      </c>
      <c r="T6805" s="15" t="str">
        <f>VLOOKUP(R6805,产品分类!$C$2:$D$1278,2,0)</f>
        <v>办公用品</v>
      </c>
    </row>
    <row r="6806" spans="1:20">
      <c r="A6806" s="8">
        <f>DATE(2012,12,31)-1041</f>
        <v>40233</v>
      </c>
      <c r="B6806" s="8">
        <f>DATE(2012,12,31)-1041</f>
        <v>40233</v>
      </c>
      <c r="C6806" s="9" t="s">
        <v>1069</v>
      </c>
      <c r="D6806">
        <v>10021248999</v>
      </c>
      <c r="E6806" t="s">
        <v>47</v>
      </c>
      <c r="F6806" t="s">
        <v>177</v>
      </c>
      <c r="G6806" t="s">
        <v>178</v>
      </c>
      <c r="H6806" t="s">
        <v>2544</v>
      </c>
      <c r="I6806" t="s">
        <v>2545</v>
      </c>
      <c r="J6806" t="s">
        <v>668</v>
      </c>
      <c r="K6806" s="3">
        <v>10048781024</v>
      </c>
      <c r="L6806" s="10">
        <v>40234</v>
      </c>
      <c r="M6806">
        <v>176.34</v>
      </c>
      <c r="N6806" s="11">
        <v>26</v>
      </c>
      <c r="O6806" s="12">
        <v>6.48</v>
      </c>
      <c r="P6806" s="12">
        <v>7.86</v>
      </c>
      <c r="Q6806" s="13">
        <v>-103.32</v>
      </c>
      <c r="R6806" s="36" t="s">
        <v>566</v>
      </c>
      <c r="S6806" s="7">
        <f t="shared" si="603"/>
        <v>1</v>
      </c>
      <c r="T6806" s="15" t="str">
        <f>VLOOKUP(R6806,产品分类!$C$2:$D$1278,2,0)</f>
        <v>办公用品</v>
      </c>
    </row>
    <row r="6807" spans="1:20">
      <c r="A6807" s="16">
        <f>DATE(2012,12,31)-1041</f>
        <v>40233</v>
      </c>
      <c r="B6807" s="16">
        <f>DATE(2012,12,31)-1041</f>
        <v>40233</v>
      </c>
      <c r="C6807" s="9" t="s">
        <v>853</v>
      </c>
      <c r="D6807">
        <v>10021429210</v>
      </c>
      <c r="E6807" t="s">
        <v>47</v>
      </c>
      <c r="F6807" t="s">
        <v>183</v>
      </c>
      <c r="G6807" t="s">
        <v>184</v>
      </c>
      <c r="H6807" t="s">
        <v>2552</v>
      </c>
      <c r="I6807" t="s">
        <v>2553</v>
      </c>
      <c r="J6807" t="s">
        <v>668</v>
      </c>
      <c r="K6807" s="3">
        <v>100731390545</v>
      </c>
      <c r="L6807" s="10">
        <v>40234</v>
      </c>
      <c r="M6807">
        <v>186.5</v>
      </c>
      <c r="N6807" s="17">
        <v>5</v>
      </c>
      <c r="O6807" s="5">
        <v>37.44</v>
      </c>
      <c r="P6807" s="5">
        <v>4.27</v>
      </c>
      <c r="Q6807" s="6">
        <v>4.16000000000001</v>
      </c>
      <c r="R6807" s="37" t="s">
        <v>226</v>
      </c>
      <c r="S6807" s="7">
        <f t="shared" si="603"/>
        <v>1</v>
      </c>
      <c r="T6807" s="15" t="str">
        <f>VLOOKUP(R6807,产品分类!$C$2:$D$1278,2,0)</f>
        <v>家具产品</v>
      </c>
    </row>
    <row r="6808" spans="1:20">
      <c r="A6808" s="8">
        <f>DATE(2012,12,31)-214</f>
        <v>41060</v>
      </c>
      <c r="B6808" s="8">
        <f>DATE(2012,12,31)-214</f>
        <v>41060</v>
      </c>
      <c r="C6808" s="9" t="s">
        <v>1432</v>
      </c>
      <c r="D6808">
        <v>10021530907</v>
      </c>
      <c r="E6808" t="s">
        <v>47</v>
      </c>
      <c r="F6808" t="s">
        <v>167</v>
      </c>
      <c r="G6808" t="s">
        <v>168</v>
      </c>
      <c r="H6808" t="s">
        <v>169</v>
      </c>
      <c r="I6808" t="s">
        <v>168</v>
      </c>
      <c r="J6808" t="s">
        <v>668</v>
      </c>
      <c r="K6808" s="3">
        <v>100130412307</v>
      </c>
      <c r="L6808" s="10">
        <v>41060</v>
      </c>
      <c r="M6808">
        <v>7965.9025</v>
      </c>
      <c r="N6808" s="11">
        <v>46</v>
      </c>
      <c r="O6808" s="12">
        <v>195.99</v>
      </c>
      <c r="P6808" s="12">
        <v>8.99</v>
      </c>
      <c r="Q6808" s="13">
        <v>2311.956</v>
      </c>
      <c r="R6808" s="36" t="s">
        <v>1675</v>
      </c>
      <c r="S6808" s="7">
        <f t="shared" si="603"/>
        <v>0</v>
      </c>
      <c r="T6808" s="15" t="str">
        <f>VLOOKUP(R6808,产品分类!$C$2:$D$1278,2,0)</f>
        <v>数码电子</v>
      </c>
    </row>
    <row r="6809" spans="1:20">
      <c r="A6809" s="8">
        <f>DATE(2012,12,31)-28</f>
        <v>41246</v>
      </c>
      <c r="B6809" s="8">
        <f>DATE(2012,12,31)-28</f>
        <v>41246</v>
      </c>
      <c r="C6809" s="9" t="s">
        <v>1432</v>
      </c>
      <c r="D6809">
        <v>10021540954</v>
      </c>
      <c r="E6809" t="s">
        <v>47</v>
      </c>
      <c r="F6809" t="s">
        <v>127</v>
      </c>
      <c r="G6809" t="s">
        <v>128</v>
      </c>
      <c r="H6809" t="s">
        <v>2554</v>
      </c>
      <c r="I6809" t="s">
        <v>2555</v>
      </c>
      <c r="J6809" t="s">
        <v>668</v>
      </c>
      <c r="K6809" s="3">
        <v>100921142811</v>
      </c>
      <c r="L6809" s="10">
        <v>41250</v>
      </c>
      <c r="M6809">
        <v>16.91</v>
      </c>
      <c r="N6809" s="11">
        <v>4</v>
      </c>
      <c r="O6809" s="12">
        <v>4.13</v>
      </c>
      <c r="P6809" s="12">
        <v>0.5</v>
      </c>
      <c r="Q6809" s="13">
        <v>0.210000000000001</v>
      </c>
      <c r="R6809" s="36" t="s">
        <v>1005</v>
      </c>
      <c r="S6809" s="7">
        <f t="shared" si="603"/>
        <v>4</v>
      </c>
      <c r="T6809" s="15" t="str">
        <f>VLOOKUP(R6809,产品分类!$C$2:$D$1278,2,0)</f>
        <v>办公用品</v>
      </c>
    </row>
    <row r="6810" spans="1:20">
      <c r="A6810" s="8">
        <f>DATE(2012,12,31)-28</f>
        <v>41246</v>
      </c>
      <c r="B6810" s="8">
        <f>DATE(2012,12,31)-28</f>
        <v>41246</v>
      </c>
      <c r="C6810" s="9" t="s">
        <v>1432</v>
      </c>
      <c r="D6810">
        <v>10021521992</v>
      </c>
      <c r="E6810" t="s">
        <v>47</v>
      </c>
      <c r="F6810" t="s">
        <v>167</v>
      </c>
      <c r="G6810" t="s">
        <v>168</v>
      </c>
      <c r="H6810" t="s">
        <v>169</v>
      </c>
      <c r="I6810" t="s">
        <v>168</v>
      </c>
      <c r="J6810" t="s">
        <v>668</v>
      </c>
      <c r="K6810" s="3">
        <v>10049729814</v>
      </c>
      <c r="L6810" s="10">
        <v>41251</v>
      </c>
      <c r="M6810">
        <v>464.66</v>
      </c>
      <c r="N6810" s="11">
        <v>8</v>
      </c>
      <c r="O6810" s="12">
        <v>54.74</v>
      </c>
      <c r="P6810" s="12">
        <v>14.83</v>
      </c>
      <c r="Q6810" s="13">
        <v>219.02</v>
      </c>
      <c r="R6810" s="36" t="s">
        <v>131</v>
      </c>
      <c r="S6810" s="7">
        <f t="shared" si="603"/>
        <v>5</v>
      </c>
      <c r="T6810" s="15" t="str">
        <f>VLOOKUP(R6810,产品分类!$C$2:$D$1278,2,0)</f>
        <v>家具产品</v>
      </c>
    </row>
    <row r="6811" spans="1:20">
      <c r="A6811" s="8">
        <f>DATE(2012,12,31)-392</f>
        <v>40882</v>
      </c>
      <c r="B6811" s="8">
        <f>DATE(2012,12,31)-392</f>
        <v>40882</v>
      </c>
      <c r="C6811" s="9" t="s">
        <v>1432</v>
      </c>
      <c r="D6811">
        <v>10021657448</v>
      </c>
      <c r="E6811" t="s">
        <v>47</v>
      </c>
      <c r="F6811" t="s">
        <v>61</v>
      </c>
      <c r="G6811" t="s">
        <v>62</v>
      </c>
      <c r="H6811" t="s">
        <v>2546</v>
      </c>
      <c r="I6811" t="s">
        <v>2547</v>
      </c>
      <c r="J6811" t="s">
        <v>668</v>
      </c>
      <c r="K6811" s="3">
        <v>10075337985</v>
      </c>
      <c r="L6811" s="10">
        <v>40883</v>
      </c>
      <c r="M6811">
        <v>66.83</v>
      </c>
      <c r="N6811" s="11">
        <v>13</v>
      </c>
      <c r="O6811" s="12">
        <v>4.98</v>
      </c>
      <c r="P6811" s="12">
        <v>0.8</v>
      </c>
      <c r="Q6811" s="13">
        <v>23.16</v>
      </c>
      <c r="R6811" s="36" t="s">
        <v>1634</v>
      </c>
      <c r="S6811" s="7">
        <f t="shared" si="603"/>
        <v>1</v>
      </c>
      <c r="T6811" s="15" t="str">
        <f>VLOOKUP(R6811,产品分类!$C$2:$D$1278,2,0)</f>
        <v>家具产品</v>
      </c>
    </row>
    <row r="6812" spans="1:20">
      <c r="A6812" s="8">
        <f t="shared" ref="A6812:B6815" si="605">DATE(2012,12,31)-1064</f>
        <v>40210</v>
      </c>
      <c r="B6812" s="8">
        <f t="shared" si="605"/>
        <v>40210</v>
      </c>
      <c r="C6812" s="9" t="s">
        <v>481</v>
      </c>
      <c r="D6812">
        <v>10021595467</v>
      </c>
      <c r="E6812" t="s">
        <v>47</v>
      </c>
      <c r="F6812" t="s">
        <v>253</v>
      </c>
      <c r="G6812" t="s">
        <v>254</v>
      </c>
      <c r="H6812" t="s">
        <v>2508</v>
      </c>
      <c r="I6812" t="s">
        <v>2509</v>
      </c>
      <c r="J6812" t="s">
        <v>668</v>
      </c>
      <c r="K6812" s="3">
        <v>100732799325</v>
      </c>
      <c r="L6812" s="10">
        <v>40210</v>
      </c>
      <c r="M6812">
        <v>111.83</v>
      </c>
      <c r="N6812" s="11">
        <v>36</v>
      </c>
      <c r="O6812" s="12">
        <v>2.94</v>
      </c>
      <c r="P6812" s="12">
        <v>0.7</v>
      </c>
      <c r="Q6812" s="13">
        <v>19.36</v>
      </c>
      <c r="R6812" s="36" t="s">
        <v>581</v>
      </c>
      <c r="S6812" s="7">
        <f t="shared" si="603"/>
        <v>0</v>
      </c>
      <c r="T6812" s="15" t="str">
        <f>VLOOKUP(R6812,产品分类!$C$2:$D$1278,2,0)</f>
        <v>办公用品</v>
      </c>
    </row>
    <row r="6813" spans="1:20">
      <c r="A6813" s="8">
        <f t="shared" si="605"/>
        <v>40210</v>
      </c>
      <c r="B6813" s="8">
        <f t="shared" si="605"/>
        <v>40210</v>
      </c>
      <c r="C6813" s="9" t="s">
        <v>2066</v>
      </c>
      <c r="D6813">
        <v>10021364503</v>
      </c>
      <c r="E6813" t="s">
        <v>47</v>
      </c>
      <c r="F6813" t="s">
        <v>61</v>
      </c>
      <c r="G6813" t="s">
        <v>62</v>
      </c>
      <c r="H6813" t="s">
        <v>2546</v>
      </c>
      <c r="I6813" t="s">
        <v>2547</v>
      </c>
      <c r="J6813" t="s">
        <v>668</v>
      </c>
      <c r="K6813" s="3">
        <v>100714221415</v>
      </c>
      <c r="L6813" s="10">
        <v>40210</v>
      </c>
      <c r="M6813">
        <v>4159.628</v>
      </c>
      <c r="N6813" s="11">
        <v>50</v>
      </c>
      <c r="O6813" s="12">
        <v>95.99</v>
      </c>
      <c r="P6813" s="12">
        <v>4.9</v>
      </c>
      <c r="Q6813" s="13">
        <v>1332.909</v>
      </c>
      <c r="R6813" s="36" t="s">
        <v>917</v>
      </c>
      <c r="S6813" s="7">
        <f t="shared" si="603"/>
        <v>0</v>
      </c>
      <c r="T6813" s="15" t="str">
        <f>VLOOKUP(R6813,产品分类!$C$2:$D$1278,2,0)</f>
        <v>家具产品</v>
      </c>
    </row>
    <row r="6814" spans="1:20">
      <c r="A6814" s="8">
        <f t="shared" si="605"/>
        <v>40210</v>
      </c>
      <c r="B6814" s="8">
        <f t="shared" si="605"/>
        <v>40210</v>
      </c>
      <c r="C6814" s="9" t="s">
        <v>1490</v>
      </c>
      <c r="D6814">
        <v>10021250067</v>
      </c>
      <c r="E6814" t="s">
        <v>47</v>
      </c>
      <c r="F6814" t="s">
        <v>61</v>
      </c>
      <c r="G6814" t="s">
        <v>62</v>
      </c>
      <c r="H6814" t="s">
        <v>2546</v>
      </c>
      <c r="I6814" t="s">
        <v>2547</v>
      </c>
      <c r="J6814" t="s">
        <v>668</v>
      </c>
      <c r="K6814" s="3">
        <v>100413474984</v>
      </c>
      <c r="L6814" s="10">
        <v>40212</v>
      </c>
      <c r="M6814">
        <v>37.73</v>
      </c>
      <c r="N6814" s="11">
        <v>4</v>
      </c>
      <c r="O6814" s="12">
        <v>8.67</v>
      </c>
      <c r="P6814" s="12">
        <v>3.5</v>
      </c>
      <c r="Q6814" s="13">
        <v>-13.72</v>
      </c>
      <c r="R6814" s="36" t="s">
        <v>331</v>
      </c>
      <c r="S6814" s="7">
        <f t="shared" si="603"/>
        <v>2</v>
      </c>
      <c r="T6814" s="15" t="str">
        <f>VLOOKUP(R6814,产品分类!$C$2:$D$1278,2,0)</f>
        <v>数码电子</v>
      </c>
    </row>
    <row r="6815" spans="1:20">
      <c r="A6815" s="8">
        <f t="shared" si="605"/>
        <v>40210</v>
      </c>
      <c r="B6815" s="8">
        <f t="shared" si="605"/>
        <v>40210</v>
      </c>
      <c r="C6815" s="9" t="s">
        <v>1490</v>
      </c>
      <c r="D6815">
        <v>10021347934</v>
      </c>
      <c r="E6815" t="s">
        <v>47</v>
      </c>
      <c r="F6815" t="s">
        <v>61</v>
      </c>
      <c r="G6815" t="s">
        <v>62</v>
      </c>
      <c r="H6815" t="s">
        <v>2546</v>
      </c>
      <c r="I6815" t="s">
        <v>2547</v>
      </c>
      <c r="J6815" t="s">
        <v>668</v>
      </c>
      <c r="K6815" s="3">
        <v>100831324142</v>
      </c>
      <c r="L6815" s="10">
        <v>40211</v>
      </c>
      <c r="M6815">
        <v>519.69</v>
      </c>
      <c r="N6815" s="11">
        <v>5</v>
      </c>
      <c r="O6815" s="12">
        <v>100.98</v>
      </c>
      <c r="P6815" s="12">
        <v>7.18</v>
      </c>
      <c r="Q6815" s="13">
        <v>-122.09</v>
      </c>
      <c r="R6815" s="36" t="s">
        <v>1671</v>
      </c>
      <c r="S6815" s="7">
        <f t="shared" si="603"/>
        <v>1</v>
      </c>
      <c r="T6815" s="15" t="str">
        <f>VLOOKUP(R6815,产品分类!$C$2:$D$1278,2,0)</f>
        <v>办公用品</v>
      </c>
    </row>
    <row r="6816" spans="1:20">
      <c r="A6816" s="8">
        <f t="shared" ref="A6816:B6818" si="606">DATE(2012,12,31)-74</f>
        <v>41200</v>
      </c>
      <c r="B6816" s="8">
        <f t="shared" si="606"/>
        <v>41200</v>
      </c>
      <c r="C6816" s="9" t="s">
        <v>500</v>
      </c>
      <c r="D6816">
        <v>10021251097</v>
      </c>
      <c r="E6816" t="s">
        <v>47</v>
      </c>
      <c r="F6816" t="s">
        <v>61</v>
      </c>
      <c r="G6816" t="s">
        <v>62</v>
      </c>
      <c r="H6816" t="s">
        <v>2546</v>
      </c>
      <c r="I6816" t="s">
        <v>2547</v>
      </c>
      <c r="J6816" t="s">
        <v>668</v>
      </c>
      <c r="K6816" s="3">
        <v>100816961322</v>
      </c>
      <c r="L6816" s="10">
        <v>41202</v>
      </c>
      <c r="M6816">
        <v>9171.71</v>
      </c>
      <c r="N6816" s="11">
        <v>14</v>
      </c>
      <c r="O6816" s="12">
        <v>808.49</v>
      </c>
      <c r="P6816" s="12">
        <v>55.3</v>
      </c>
      <c r="Q6816" s="13">
        <v>2636.01</v>
      </c>
      <c r="R6816" s="36" t="s">
        <v>1755</v>
      </c>
      <c r="S6816" s="7">
        <f t="shared" si="603"/>
        <v>2</v>
      </c>
      <c r="T6816" s="15" t="str">
        <f>VLOOKUP(R6816,产品分类!$C$2:$D$1278,2,0)</f>
        <v>办公用品</v>
      </c>
    </row>
    <row r="6817" spans="1:20">
      <c r="A6817" s="16">
        <f t="shared" si="606"/>
        <v>41200</v>
      </c>
      <c r="B6817" s="16">
        <f t="shared" si="606"/>
        <v>41200</v>
      </c>
      <c r="C6817" s="9" t="s">
        <v>1638</v>
      </c>
      <c r="D6817">
        <v>10021496000</v>
      </c>
      <c r="E6817" t="s">
        <v>47</v>
      </c>
      <c r="F6817" t="s">
        <v>61</v>
      </c>
      <c r="G6817" t="s">
        <v>62</v>
      </c>
      <c r="H6817" t="s">
        <v>2546</v>
      </c>
      <c r="I6817" t="s">
        <v>2547</v>
      </c>
      <c r="J6817" t="s">
        <v>668</v>
      </c>
      <c r="K6817" s="3">
        <v>100914705661</v>
      </c>
      <c r="L6817" s="10">
        <v>41202</v>
      </c>
      <c r="M6817">
        <v>18.05</v>
      </c>
      <c r="N6817" s="17">
        <v>6</v>
      </c>
      <c r="O6817" s="5">
        <v>2.88</v>
      </c>
      <c r="P6817" s="5">
        <v>0.99</v>
      </c>
      <c r="Q6817" s="6">
        <v>0.13</v>
      </c>
      <c r="R6817" s="37" t="s">
        <v>947</v>
      </c>
      <c r="S6817" s="7">
        <f t="shared" si="603"/>
        <v>2</v>
      </c>
      <c r="T6817" s="15" t="str">
        <f>VLOOKUP(R6817,产品分类!$C$2:$D$1278,2,0)</f>
        <v>办公用品</v>
      </c>
    </row>
    <row r="6818" spans="1:20">
      <c r="A6818" s="8">
        <f t="shared" si="606"/>
        <v>41200</v>
      </c>
      <c r="B6818" s="8">
        <f t="shared" si="606"/>
        <v>41200</v>
      </c>
      <c r="C6818" s="9" t="s">
        <v>632</v>
      </c>
      <c r="D6818">
        <v>10021332206</v>
      </c>
      <c r="E6818" t="s">
        <v>47</v>
      </c>
      <c r="F6818" t="s">
        <v>253</v>
      </c>
      <c r="G6818" t="s">
        <v>254</v>
      </c>
      <c r="H6818" t="s">
        <v>2508</v>
      </c>
      <c r="I6818" t="s">
        <v>2509</v>
      </c>
      <c r="J6818" t="s">
        <v>668</v>
      </c>
      <c r="K6818" s="3">
        <v>10045006603</v>
      </c>
      <c r="L6818" s="10">
        <v>41202</v>
      </c>
      <c r="M6818">
        <v>2896.358</v>
      </c>
      <c r="N6818" s="11">
        <v>50</v>
      </c>
      <c r="O6818" s="12">
        <v>65.99</v>
      </c>
      <c r="P6818" s="12">
        <v>8.99</v>
      </c>
      <c r="Q6818" s="13">
        <v>583.497</v>
      </c>
      <c r="R6818" s="36" t="s">
        <v>1707</v>
      </c>
      <c r="S6818" s="7">
        <f t="shared" si="603"/>
        <v>2</v>
      </c>
      <c r="T6818" s="15" t="str">
        <f>VLOOKUP(R6818,产品分类!$C$2:$D$1278,2,0)</f>
        <v>办公用品</v>
      </c>
    </row>
    <row r="6819" spans="1:20">
      <c r="A6819" s="16">
        <f>DATE(2012,12,31)-5</f>
        <v>41269</v>
      </c>
      <c r="B6819" s="16">
        <f>DATE(2012,12,31)-5</f>
        <v>41269</v>
      </c>
      <c r="C6819" s="9" t="s">
        <v>1246</v>
      </c>
      <c r="D6819">
        <v>10021495653</v>
      </c>
      <c r="E6819" t="s">
        <v>47</v>
      </c>
      <c r="F6819" t="s">
        <v>61</v>
      </c>
      <c r="G6819" t="s">
        <v>62</v>
      </c>
      <c r="H6819" t="s">
        <v>2546</v>
      </c>
      <c r="I6819" t="s">
        <v>2547</v>
      </c>
      <c r="J6819" t="s">
        <v>668</v>
      </c>
      <c r="K6819" s="3">
        <v>100410744554</v>
      </c>
      <c r="L6819" s="10">
        <v>41269</v>
      </c>
      <c r="M6819">
        <v>255.7</v>
      </c>
      <c r="N6819" s="17">
        <v>43</v>
      </c>
      <c r="O6819" s="5">
        <v>5.81</v>
      </c>
      <c r="P6819" s="5">
        <v>3.37</v>
      </c>
      <c r="Q6819" s="6">
        <v>-35.74</v>
      </c>
      <c r="R6819" s="37" t="s">
        <v>1396</v>
      </c>
      <c r="S6819" s="7">
        <f t="shared" si="603"/>
        <v>0</v>
      </c>
      <c r="T6819" s="15" t="str">
        <f>VLOOKUP(R6819,产品分类!$C$2:$D$1278,2,0)</f>
        <v>家具产品</v>
      </c>
    </row>
    <row r="6820" spans="1:20">
      <c r="A6820" s="8">
        <f>DATE(2012,12,31)-249</f>
        <v>41025</v>
      </c>
      <c r="B6820" s="8">
        <f>DATE(2012,12,31)-249</f>
        <v>41025</v>
      </c>
      <c r="C6820" s="9" t="s">
        <v>596</v>
      </c>
      <c r="D6820">
        <v>10021302246</v>
      </c>
      <c r="E6820" t="s">
        <v>47</v>
      </c>
      <c r="F6820" t="s">
        <v>61</v>
      </c>
      <c r="G6820" t="s">
        <v>62</v>
      </c>
      <c r="H6820" t="s">
        <v>2546</v>
      </c>
      <c r="I6820" t="s">
        <v>2547</v>
      </c>
      <c r="J6820" t="s">
        <v>668</v>
      </c>
      <c r="K6820" s="3">
        <v>100330899209</v>
      </c>
      <c r="L6820" s="10">
        <v>41026</v>
      </c>
      <c r="M6820">
        <v>570.14</v>
      </c>
      <c r="N6820" s="11">
        <v>36</v>
      </c>
      <c r="O6820" s="12">
        <v>15.31</v>
      </c>
      <c r="P6820" s="12">
        <v>8.78</v>
      </c>
      <c r="Q6820" s="13">
        <v>-90.72</v>
      </c>
      <c r="R6820" s="36" t="s">
        <v>1651</v>
      </c>
      <c r="S6820" s="7">
        <f t="shared" si="603"/>
        <v>1</v>
      </c>
      <c r="T6820" s="15" t="str">
        <f>VLOOKUP(R6820,产品分类!$C$2:$D$1278,2,0)</f>
        <v>数码电子</v>
      </c>
    </row>
    <row r="6821" spans="1:20">
      <c r="A6821" s="8">
        <f>DATE(2012,12,31)-357</f>
        <v>40917</v>
      </c>
      <c r="B6821" s="8">
        <f>DATE(2012,12,31)-357</f>
        <v>40917</v>
      </c>
      <c r="C6821" s="9" t="s">
        <v>596</v>
      </c>
      <c r="D6821">
        <v>10021566960</v>
      </c>
      <c r="E6821" t="s">
        <v>47</v>
      </c>
      <c r="F6821" t="s">
        <v>55</v>
      </c>
      <c r="G6821" t="s">
        <v>56</v>
      </c>
      <c r="H6821" t="s">
        <v>2471</v>
      </c>
      <c r="I6821" t="s">
        <v>2472</v>
      </c>
      <c r="J6821" t="s">
        <v>668</v>
      </c>
      <c r="K6821" s="3">
        <v>100933140811</v>
      </c>
      <c r="L6821" s="10">
        <v>40918</v>
      </c>
      <c r="M6821">
        <v>1247.8595</v>
      </c>
      <c r="N6821" s="11">
        <v>11</v>
      </c>
      <c r="O6821" s="12">
        <v>125.99</v>
      </c>
      <c r="P6821" s="12">
        <v>8.99</v>
      </c>
      <c r="Q6821" s="13">
        <v>-55.803</v>
      </c>
      <c r="R6821" s="36" t="s">
        <v>1030</v>
      </c>
      <c r="S6821" s="7">
        <f t="shared" si="603"/>
        <v>1</v>
      </c>
      <c r="T6821" s="15" t="str">
        <f>VLOOKUP(R6821,产品分类!$C$2:$D$1278,2,0)</f>
        <v>办公用品</v>
      </c>
    </row>
    <row r="6822" spans="1:20">
      <c r="A6822" s="8">
        <f>DATE(2012,12,31)-62</f>
        <v>41212</v>
      </c>
      <c r="B6822" s="8">
        <f>DATE(2012,12,31)-62</f>
        <v>41212</v>
      </c>
      <c r="C6822" s="9" t="s">
        <v>121</v>
      </c>
      <c r="D6822">
        <v>10021733421</v>
      </c>
      <c r="E6822" t="s">
        <v>47</v>
      </c>
      <c r="F6822" t="s">
        <v>2517</v>
      </c>
      <c r="G6822" t="s">
        <v>2518</v>
      </c>
      <c r="H6822" t="s">
        <v>2519</v>
      </c>
      <c r="I6822" t="s">
        <v>2520</v>
      </c>
      <c r="J6822" t="s">
        <v>668</v>
      </c>
      <c r="K6822" s="3">
        <v>100333352789</v>
      </c>
      <c r="L6822" s="10">
        <v>41216</v>
      </c>
      <c r="M6822">
        <v>31.2</v>
      </c>
      <c r="N6822" s="11">
        <v>28</v>
      </c>
      <c r="O6822" s="12">
        <v>1.14</v>
      </c>
      <c r="P6822" s="12">
        <v>0.7</v>
      </c>
      <c r="Q6822" s="13">
        <v>-2.81</v>
      </c>
      <c r="R6822" s="36" t="s">
        <v>1461</v>
      </c>
      <c r="S6822" s="7">
        <f t="shared" si="603"/>
        <v>4</v>
      </c>
      <c r="T6822" s="15" t="str">
        <f>VLOOKUP(R6822,产品分类!$C$2:$D$1278,2,0)</f>
        <v>办公用品</v>
      </c>
    </row>
    <row r="6823" spans="1:20">
      <c r="A6823" s="16">
        <f>DATE(2012,12,31)-62</f>
        <v>41212</v>
      </c>
      <c r="B6823" s="16">
        <f>DATE(2012,12,31)-62</f>
        <v>41212</v>
      </c>
      <c r="C6823" s="9" t="s">
        <v>1601</v>
      </c>
      <c r="D6823">
        <v>10021644207</v>
      </c>
      <c r="E6823" t="s">
        <v>47</v>
      </c>
      <c r="F6823" t="s">
        <v>122</v>
      </c>
      <c r="G6823" t="s">
        <v>123</v>
      </c>
      <c r="H6823" t="s">
        <v>2458</v>
      </c>
      <c r="I6823" t="s">
        <v>2459</v>
      </c>
      <c r="J6823" t="s">
        <v>668</v>
      </c>
      <c r="K6823" s="3">
        <v>100833232232</v>
      </c>
      <c r="L6823" s="10">
        <v>41219</v>
      </c>
      <c r="M6823">
        <v>132.78</v>
      </c>
      <c r="N6823" s="17">
        <v>18</v>
      </c>
      <c r="O6823" s="5">
        <v>7.28</v>
      </c>
      <c r="P6823" s="5">
        <v>11.15</v>
      </c>
      <c r="Q6823" s="6">
        <v>-130.96</v>
      </c>
      <c r="R6823" s="37" t="s">
        <v>957</v>
      </c>
      <c r="S6823" s="7">
        <f t="shared" si="603"/>
        <v>7</v>
      </c>
      <c r="T6823" s="15" t="str">
        <f>VLOOKUP(R6823,产品分类!$C$2:$D$1278,2,0)</f>
        <v>办公用品</v>
      </c>
    </row>
    <row r="6824" spans="1:20">
      <c r="A6824" s="8">
        <f>DATE(2012,12,31)-491</f>
        <v>40783</v>
      </c>
      <c r="B6824" s="8">
        <f>DATE(2012,12,31)-491</f>
        <v>40783</v>
      </c>
      <c r="C6824" s="9" t="s">
        <v>1601</v>
      </c>
      <c r="D6824">
        <v>10021653146</v>
      </c>
      <c r="E6824" t="s">
        <v>47</v>
      </c>
      <c r="F6824" t="s">
        <v>208</v>
      </c>
      <c r="G6824" t="s">
        <v>209</v>
      </c>
      <c r="H6824" t="s">
        <v>2300</v>
      </c>
      <c r="I6824" t="s">
        <v>2301</v>
      </c>
      <c r="J6824" t="s">
        <v>668</v>
      </c>
      <c r="K6824" s="3">
        <v>100333252159</v>
      </c>
      <c r="L6824" s="10">
        <v>40785</v>
      </c>
      <c r="M6824">
        <v>47.12</v>
      </c>
      <c r="N6824" s="11">
        <v>17</v>
      </c>
      <c r="O6824" s="12">
        <v>2.52</v>
      </c>
      <c r="P6824" s="12">
        <v>4.28</v>
      </c>
      <c r="Q6824" s="13">
        <v>-47.01</v>
      </c>
      <c r="R6824" s="36" t="s">
        <v>1073</v>
      </c>
      <c r="S6824" s="7">
        <f t="shared" si="603"/>
        <v>2</v>
      </c>
      <c r="T6824" s="15" t="str">
        <f>VLOOKUP(R6824,产品分类!$C$2:$D$1278,2,0)</f>
        <v>办公用品</v>
      </c>
    </row>
    <row r="6825" spans="1:20">
      <c r="A6825" s="8">
        <f>DATE(2012,12,31)-1132</f>
        <v>40142</v>
      </c>
      <c r="B6825" s="8">
        <f>DATE(2012,12,31)-1132</f>
        <v>40142</v>
      </c>
      <c r="C6825" s="9" t="s">
        <v>1221</v>
      </c>
      <c r="D6825">
        <v>10021511782</v>
      </c>
      <c r="E6825" t="s">
        <v>47</v>
      </c>
      <c r="F6825" t="s">
        <v>132</v>
      </c>
      <c r="G6825" t="s">
        <v>133</v>
      </c>
      <c r="H6825" t="s">
        <v>134</v>
      </c>
      <c r="I6825" t="s">
        <v>133</v>
      </c>
      <c r="J6825" t="s">
        <v>668</v>
      </c>
      <c r="K6825" s="3">
        <v>100132741148</v>
      </c>
      <c r="L6825" s="10">
        <v>40143</v>
      </c>
      <c r="M6825">
        <v>29.24</v>
      </c>
      <c r="N6825" s="11">
        <v>4</v>
      </c>
      <c r="O6825" s="12">
        <v>6.98</v>
      </c>
      <c r="P6825" s="12">
        <v>1.6</v>
      </c>
      <c r="Q6825" s="13">
        <v>-1.73</v>
      </c>
      <c r="R6825" s="36" t="s">
        <v>414</v>
      </c>
      <c r="S6825" s="7">
        <f t="shared" si="603"/>
        <v>1</v>
      </c>
      <c r="T6825" s="15" t="str">
        <f>VLOOKUP(R6825,产品分类!$C$2:$D$1278,2,0)</f>
        <v>数码电子</v>
      </c>
    </row>
    <row r="6826" spans="1:20">
      <c r="A6826" s="8">
        <f>DATE(2012,12,31)-258</f>
        <v>41016</v>
      </c>
      <c r="B6826" s="8">
        <f>DATE(2012,12,31)-258</f>
        <v>41016</v>
      </c>
      <c r="C6826" s="9" t="s">
        <v>2227</v>
      </c>
      <c r="D6826">
        <v>10021478251</v>
      </c>
      <c r="E6826" t="s">
        <v>47</v>
      </c>
      <c r="F6826" t="s">
        <v>48</v>
      </c>
      <c r="G6826" t="s">
        <v>49</v>
      </c>
      <c r="H6826" t="s">
        <v>2539</v>
      </c>
      <c r="I6826" t="s">
        <v>2540</v>
      </c>
      <c r="J6826" t="s">
        <v>668</v>
      </c>
      <c r="K6826" s="3">
        <v>100133016836</v>
      </c>
      <c r="L6826" s="10">
        <v>41018</v>
      </c>
      <c r="M6826">
        <v>825.63</v>
      </c>
      <c r="N6826" s="11">
        <v>42</v>
      </c>
      <c r="O6826" s="12">
        <v>18.94</v>
      </c>
      <c r="P6826" s="12">
        <v>1.49</v>
      </c>
      <c r="Q6826" s="13">
        <v>379.7375</v>
      </c>
      <c r="R6826" s="36" t="s">
        <v>691</v>
      </c>
      <c r="S6826" s="7">
        <f t="shared" si="603"/>
        <v>2</v>
      </c>
      <c r="T6826" s="15" t="str">
        <f>VLOOKUP(R6826,产品分类!$C$2:$D$1278,2,0)</f>
        <v>办公用品</v>
      </c>
    </row>
    <row r="6827" spans="1:20">
      <c r="A6827" s="8">
        <f t="shared" ref="A6827:B6831" si="607">DATE(2012,12,31)-1329</f>
        <v>39945</v>
      </c>
      <c r="B6827" s="8">
        <f t="shared" si="607"/>
        <v>39945</v>
      </c>
      <c r="C6827" s="9" t="s">
        <v>2227</v>
      </c>
      <c r="D6827">
        <v>10021698870</v>
      </c>
      <c r="E6827" t="s">
        <v>47</v>
      </c>
      <c r="F6827" t="s">
        <v>72</v>
      </c>
      <c r="G6827" t="s">
        <v>73</v>
      </c>
      <c r="H6827" t="s">
        <v>2417</v>
      </c>
      <c r="I6827" t="s">
        <v>2418</v>
      </c>
      <c r="J6827" t="s">
        <v>668</v>
      </c>
      <c r="K6827" s="3">
        <v>100833296052</v>
      </c>
      <c r="L6827" s="10">
        <v>39947</v>
      </c>
      <c r="M6827">
        <v>3202.25</v>
      </c>
      <c r="N6827" s="11">
        <v>44</v>
      </c>
      <c r="O6827" s="12">
        <v>78.69</v>
      </c>
      <c r="P6827" s="12">
        <v>19.99</v>
      </c>
      <c r="Q6827" s="13">
        <v>991.26</v>
      </c>
      <c r="R6827" s="36" t="s">
        <v>2093</v>
      </c>
      <c r="S6827" s="7">
        <f t="shared" si="603"/>
        <v>2</v>
      </c>
      <c r="T6827" s="15" t="str">
        <f>VLOOKUP(R6827,产品分类!$C$2:$D$1278,2,0)</f>
        <v>办公用品</v>
      </c>
    </row>
    <row r="6828" spans="1:20">
      <c r="A6828" s="8">
        <f t="shared" si="607"/>
        <v>39945</v>
      </c>
      <c r="B6828" s="8">
        <f t="shared" si="607"/>
        <v>39945</v>
      </c>
      <c r="C6828" s="9" t="s">
        <v>582</v>
      </c>
      <c r="D6828">
        <v>10021618112</v>
      </c>
      <c r="E6828" t="s">
        <v>47</v>
      </c>
      <c r="F6828" t="s">
        <v>91</v>
      </c>
      <c r="G6828" t="s">
        <v>92</v>
      </c>
      <c r="H6828" t="s">
        <v>2525</v>
      </c>
      <c r="I6828" t="s">
        <v>2526</v>
      </c>
      <c r="J6828" t="s">
        <v>668</v>
      </c>
      <c r="K6828" s="3">
        <v>100733197755</v>
      </c>
      <c r="L6828" s="10">
        <v>39946</v>
      </c>
      <c r="M6828">
        <v>81.25</v>
      </c>
      <c r="N6828" s="11">
        <v>11</v>
      </c>
      <c r="O6828" s="12">
        <v>6.48</v>
      </c>
      <c r="P6828" s="12">
        <v>7.86</v>
      </c>
      <c r="Q6828" s="13">
        <v>-44.54</v>
      </c>
      <c r="R6828" s="36" t="s">
        <v>521</v>
      </c>
      <c r="S6828" s="7">
        <f t="shared" si="603"/>
        <v>1</v>
      </c>
      <c r="T6828" s="15" t="str">
        <f>VLOOKUP(R6828,产品分类!$C$2:$D$1278,2,0)</f>
        <v>家具产品</v>
      </c>
    </row>
    <row r="6829" spans="1:20">
      <c r="A6829" s="8">
        <f t="shared" si="607"/>
        <v>39945</v>
      </c>
      <c r="B6829" s="8">
        <f t="shared" si="607"/>
        <v>39945</v>
      </c>
      <c r="C6829" s="9" t="s">
        <v>805</v>
      </c>
      <c r="D6829">
        <v>10021292063</v>
      </c>
      <c r="E6829" t="s">
        <v>47</v>
      </c>
      <c r="F6829" t="s">
        <v>171</v>
      </c>
      <c r="G6829" t="s">
        <v>172</v>
      </c>
      <c r="H6829" t="s">
        <v>2486</v>
      </c>
      <c r="I6829" t="s">
        <v>2310</v>
      </c>
      <c r="J6829" t="s">
        <v>668</v>
      </c>
      <c r="K6829" s="3">
        <v>100132791288</v>
      </c>
      <c r="L6829" s="10">
        <v>39946</v>
      </c>
      <c r="M6829">
        <v>57.17</v>
      </c>
      <c r="N6829" s="11">
        <v>18</v>
      </c>
      <c r="O6829" s="12">
        <v>3.28</v>
      </c>
      <c r="P6829" s="12">
        <v>2.31</v>
      </c>
      <c r="Q6829" s="13">
        <v>-24.03</v>
      </c>
      <c r="R6829" s="36" t="s">
        <v>1032</v>
      </c>
      <c r="S6829" s="7">
        <f t="shared" si="603"/>
        <v>1</v>
      </c>
      <c r="T6829" s="15" t="str">
        <f>VLOOKUP(R6829,产品分类!$C$2:$D$1278,2,0)</f>
        <v>办公用品</v>
      </c>
    </row>
    <row r="6830" spans="1:20">
      <c r="A6830" s="8">
        <f t="shared" si="607"/>
        <v>39945</v>
      </c>
      <c r="B6830" s="8">
        <f t="shared" si="607"/>
        <v>39945</v>
      </c>
      <c r="C6830" s="9" t="s">
        <v>805</v>
      </c>
      <c r="D6830">
        <v>10021654972</v>
      </c>
      <c r="E6830" t="s">
        <v>47</v>
      </c>
      <c r="F6830" t="s">
        <v>61</v>
      </c>
      <c r="G6830" t="s">
        <v>62</v>
      </c>
      <c r="H6830" t="s">
        <v>2546</v>
      </c>
      <c r="I6830" t="s">
        <v>2547</v>
      </c>
      <c r="J6830" t="s">
        <v>668</v>
      </c>
      <c r="K6830" s="3">
        <v>100133257767</v>
      </c>
      <c r="L6830" s="10">
        <v>39946</v>
      </c>
      <c r="M6830">
        <v>41.97</v>
      </c>
      <c r="N6830" s="11">
        <v>12</v>
      </c>
      <c r="O6830" s="12">
        <v>3.28</v>
      </c>
      <c r="P6830" s="12">
        <v>4.2</v>
      </c>
      <c r="Q6830" s="13">
        <v>-37.03</v>
      </c>
      <c r="R6830" s="36" t="s">
        <v>509</v>
      </c>
      <c r="S6830" s="7">
        <f t="shared" si="603"/>
        <v>1</v>
      </c>
      <c r="T6830" s="15" t="str">
        <f>VLOOKUP(R6830,产品分类!$C$2:$D$1278,2,0)</f>
        <v>数码电子</v>
      </c>
    </row>
    <row r="6831" spans="1:20">
      <c r="A6831" s="8">
        <f t="shared" si="607"/>
        <v>39945</v>
      </c>
      <c r="B6831" s="8">
        <f t="shared" si="607"/>
        <v>39945</v>
      </c>
      <c r="C6831" s="9" t="s">
        <v>805</v>
      </c>
      <c r="D6831">
        <v>10021289532</v>
      </c>
      <c r="E6831" t="s">
        <v>47</v>
      </c>
      <c r="F6831" t="s">
        <v>61</v>
      </c>
      <c r="G6831" t="s">
        <v>62</v>
      </c>
      <c r="H6831" t="s">
        <v>2546</v>
      </c>
      <c r="I6831" t="s">
        <v>2547</v>
      </c>
      <c r="J6831" t="s">
        <v>668</v>
      </c>
      <c r="K6831" s="3">
        <v>100332785799</v>
      </c>
      <c r="L6831" s="10">
        <v>39946</v>
      </c>
      <c r="M6831">
        <v>35.64</v>
      </c>
      <c r="N6831" s="11">
        <v>10</v>
      </c>
      <c r="O6831" s="12">
        <v>3.58</v>
      </c>
      <c r="P6831" s="12">
        <v>1.63</v>
      </c>
      <c r="Q6831" s="13">
        <v>-0.71</v>
      </c>
      <c r="R6831" s="36" t="s">
        <v>884</v>
      </c>
      <c r="S6831" s="7">
        <f t="shared" si="603"/>
        <v>1</v>
      </c>
      <c r="T6831" s="15" t="str">
        <f>VLOOKUP(R6831,产品分类!$C$2:$D$1278,2,0)</f>
        <v>办公用品</v>
      </c>
    </row>
    <row r="6832" spans="1:20">
      <c r="A6832" s="8">
        <f>DATE(2012,12,31)-1446</f>
        <v>39828</v>
      </c>
      <c r="B6832" s="8">
        <f>DATE(2012,12,31)-1446</f>
        <v>39828</v>
      </c>
      <c r="C6832" s="9" t="s">
        <v>805</v>
      </c>
      <c r="D6832">
        <v>10021305947</v>
      </c>
      <c r="E6832" t="s">
        <v>47</v>
      </c>
      <c r="F6832" t="s">
        <v>72</v>
      </c>
      <c r="G6832" t="s">
        <v>73</v>
      </c>
      <c r="H6832" t="s">
        <v>2417</v>
      </c>
      <c r="I6832" t="s">
        <v>2418</v>
      </c>
      <c r="J6832" t="s">
        <v>668</v>
      </c>
      <c r="K6832" s="3">
        <v>100332798489</v>
      </c>
      <c r="L6832" s="10">
        <v>39830</v>
      </c>
      <c r="M6832">
        <v>51.27</v>
      </c>
      <c r="N6832" s="11">
        <v>7</v>
      </c>
      <c r="O6832" s="12">
        <v>7.04</v>
      </c>
      <c r="P6832" s="12">
        <v>2.17</v>
      </c>
      <c r="Q6832" s="13">
        <v>3.27</v>
      </c>
      <c r="R6832" s="36" t="s">
        <v>1779</v>
      </c>
      <c r="S6832" s="7">
        <f t="shared" si="603"/>
        <v>2</v>
      </c>
      <c r="T6832" s="15" t="str">
        <f>VLOOKUP(R6832,产品分类!$C$2:$D$1278,2,0)</f>
        <v>家具产品</v>
      </c>
    </row>
    <row r="6833" spans="1:20">
      <c r="A6833" s="8">
        <f>DATE(2012,12,31)-144</f>
        <v>41130</v>
      </c>
      <c r="B6833" s="8">
        <f>DATE(2012,12,31)-144</f>
        <v>41130</v>
      </c>
      <c r="C6833" s="9" t="s">
        <v>1774</v>
      </c>
      <c r="D6833">
        <v>10021399586</v>
      </c>
      <c r="E6833" t="s">
        <v>47</v>
      </c>
      <c r="F6833" t="s">
        <v>91</v>
      </c>
      <c r="G6833" t="s">
        <v>92</v>
      </c>
      <c r="H6833" t="s">
        <v>2556</v>
      </c>
      <c r="I6833" t="s">
        <v>2557</v>
      </c>
      <c r="J6833" t="s">
        <v>668</v>
      </c>
      <c r="K6833" s="3">
        <v>100332927629</v>
      </c>
      <c r="L6833" s="10">
        <v>41132</v>
      </c>
      <c r="M6833">
        <v>7323.78</v>
      </c>
      <c r="N6833" s="11">
        <v>31</v>
      </c>
      <c r="O6833" s="12">
        <v>243.98</v>
      </c>
      <c r="P6833" s="12">
        <v>62.94</v>
      </c>
      <c r="Q6833" s="13">
        <v>573.55</v>
      </c>
      <c r="R6833" s="36" t="s">
        <v>2171</v>
      </c>
      <c r="S6833" s="7">
        <f t="shared" si="603"/>
        <v>2</v>
      </c>
      <c r="T6833" s="15" t="str">
        <f>VLOOKUP(R6833,产品分类!$C$2:$D$1278,2,0)</f>
        <v>数码电子</v>
      </c>
    </row>
    <row r="6834" spans="1:20">
      <c r="A6834" s="8">
        <f>DATE(2012,12,31)-1212</f>
        <v>40062</v>
      </c>
      <c r="B6834" s="8">
        <f>DATE(2012,12,31)-1212</f>
        <v>40062</v>
      </c>
      <c r="C6834" s="9" t="s">
        <v>1774</v>
      </c>
      <c r="D6834">
        <v>10021318051</v>
      </c>
      <c r="E6834" t="s">
        <v>47</v>
      </c>
      <c r="F6834" t="s">
        <v>91</v>
      </c>
      <c r="G6834" t="s">
        <v>92</v>
      </c>
      <c r="H6834" t="s">
        <v>2556</v>
      </c>
      <c r="I6834" t="s">
        <v>2557</v>
      </c>
      <c r="J6834" t="s">
        <v>668</v>
      </c>
      <c r="K6834" s="3">
        <v>100332829169</v>
      </c>
      <c r="L6834" s="10">
        <v>40064</v>
      </c>
      <c r="M6834">
        <v>108.11</v>
      </c>
      <c r="N6834" s="11">
        <v>17</v>
      </c>
      <c r="O6834" s="12">
        <v>6.48</v>
      </c>
      <c r="P6834" s="12">
        <v>6.86</v>
      </c>
      <c r="Q6834" s="13">
        <v>-62.23</v>
      </c>
      <c r="R6834" s="36" t="s">
        <v>1207</v>
      </c>
      <c r="S6834" s="7">
        <f t="shared" si="603"/>
        <v>2</v>
      </c>
      <c r="T6834" s="15" t="str">
        <f>VLOOKUP(R6834,产品分类!$C$2:$D$1278,2,0)</f>
        <v>数码电子</v>
      </c>
    </row>
    <row r="6835" spans="1:20">
      <c r="A6835" s="8">
        <f>DATE(2012,12,31)-801</f>
        <v>40473</v>
      </c>
      <c r="B6835" s="8">
        <f>DATE(2012,12,31)-801</f>
        <v>40473</v>
      </c>
      <c r="C6835" s="9" t="s">
        <v>1774</v>
      </c>
      <c r="D6835">
        <v>10021514593</v>
      </c>
      <c r="E6835" t="s">
        <v>47</v>
      </c>
      <c r="F6835" t="s">
        <v>55</v>
      </c>
      <c r="G6835" t="s">
        <v>56</v>
      </c>
      <c r="H6835" t="s">
        <v>2471</v>
      </c>
      <c r="I6835" t="s">
        <v>2472</v>
      </c>
      <c r="J6835" t="s">
        <v>668</v>
      </c>
      <c r="K6835" s="3">
        <v>100833064392</v>
      </c>
      <c r="L6835" s="10">
        <v>40474</v>
      </c>
      <c r="M6835">
        <v>28761.52</v>
      </c>
      <c r="N6835" s="11">
        <v>8</v>
      </c>
      <c r="O6835" s="12">
        <v>3499.99</v>
      </c>
      <c r="P6835" s="12">
        <v>24.49</v>
      </c>
      <c r="Q6835" s="13">
        <v>285.113</v>
      </c>
      <c r="R6835" s="36" t="s">
        <v>2164</v>
      </c>
      <c r="S6835" s="7">
        <f t="shared" si="603"/>
        <v>1</v>
      </c>
      <c r="T6835" s="15" t="str">
        <f>VLOOKUP(R6835,产品分类!$C$2:$D$1278,2,0)</f>
        <v>办公用品</v>
      </c>
    </row>
    <row r="6836" spans="1:20">
      <c r="A6836" s="8">
        <f>DATE(2012,12,31)-79</f>
        <v>41195</v>
      </c>
      <c r="B6836" s="8">
        <f>DATE(2012,12,31)-79</f>
        <v>41195</v>
      </c>
      <c r="C6836" s="9" t="s">
        <v>617</v>
      </c>
      <c r="D6836">
        <v>10021484488</v>
      </c>
      <c r="E6836" t="s">
        <v>47</v>
      </c>
      <c r="F6836" t="s">
        <v>97</v>
      </c>
      <c r="G6836" t="s">
        <v>98</v>
      </c>
      <c r="H6836" t="s">
        <v>99</v>
      </c>
      <c r="I6836" t="s">
        <v>98</v>
      </c>
      <c r="J6836" t="s">
        <v>668</v>
      </c>
      <c r="K6836" s="3">
        <v>100333030939</v>
      </c>
      <c r="L6836" s="10">
        <v>41195</v>
      </c>
      <c r="M6836">
        <v>2387.61</v>
      </c>
      <c r="N6836" s="11">
        <v>43</v>
      </c>
      <c r="O6836" s="12">
        <v>54.2</v>
      </c>
      <c r="P6836" s="12">
        <v>11.1</v>
      </c>
      <c r="Q6836" s="13">
        <v>527.13</v>
      </c>
      <c r="R6836" s="36" t="s">
        <v>224</v>
      </c>
      <c r="S6836" s="7">
        <f t="shared" si="603"/>
        <v>0</v>
      </c>
      <c r="T6836" s="15" t="str">
        <f>VLOOKUP(R6836,产品分类!$C$2:$D$1278,2,0)</f>
        <v>办公用品</v>
      </c>
    </row>
    <row r="6837" spans="1:20">
      <c r="A6837" s="8">
        <f>DATE(2012,12,31)-52</f>
        <v>41222</v>
      </c>
      <c r="B6837" s="8">
        <f>DATE(2012,12,31)-52</f>
        <v>41222</v>
      </c>
      <c r="C6837" s="9" t="s">
        <v>160</v>
      </c>
      <c r="D6837">
        <v>10021715482</v>
      </c>
      <c r="E6837" t="s">
        <v>47</v>
      </c>
      <c r="F6837" t="s">
        <v>527</v>
      </c>
      <c r="G6837" t="s">
        <v>528</v>
      </c>
      <c r="H6837" t="s">
        <v>2513</v>
      </c>
      <c r="I6837" t="s">
        <v>2514</v>
      </c>
      <c r="J6837" t="s">
        <v>668</v>
      </c>
      <c r="K6837" s="3">
        <v>100133313548</v>
      </c>
      <c r="L6837" s="10">
        <v>41223</v>
      </c>
      <c r="M6837">
        <v>200.41</v>
      </c>
      <c r="N6837" s="11">
        <v>19</v>
      </c>
      <c r="O6837" s="12">
        <v>10.23</v>
      </c>
      <c r="P6837" s="12">
        <v>4.68</v>
      </c>
      <c r="Q6837" s="13">
        <v>-23.65</v>
      </c>
      <c r="R6837" s="36" t="s">
        <v>1131</v>
      </c>
      <c r="S6837" s="7">
        <f t="shared" si="603"/>
        <v>1</v>
      </c>
      <c r="T6837" s="15" t="str">
        <f>VLOOKUP(R6837,产品分类!$C$2:$D$1278,2,0)</f>
        <v>数码电子</v>
      </c>
    </row>
    <row r="6838" spans="1:20">
      <c r="A6838" s="8">
        <f>DATE(2012,12,31)-971</f>
        <v>40303</v>
      </c>
      <c r="B6838" s="8">
        <f>DATE(2012,12,31)-971</f>
        <v>40303</v>
      </c>
      <c r="C6838" s="9" t="s">
        <v>984</v>
      </c>
      <c r="D6838">
        <v>10021278762</v>
      </c>
      <c r="E6838" t="s">
        <v>47</v>
      </c>
      <c r="F6838" t="s">
        <v>171</v>
      </c>
      <c r="G6838" t="s">
        <v>172</v>
      </c>
      <c r="H6838" t="s">
        <v>2486</v>
      </c>
      <c r="I6838" t="s">
        <v>2310</v>
      </c>
      <c r="J6838" t="s">
        <v>668</v>
      </c>
      <c r="K6838" s="3">
        <v>100932779571</v>
      </c>
      <c r="L6838" s="10">
        <v>40303</v>
      </c>
      <c r="M6838">
        <v>4480.89</v>
      </c>
      <c r="N6838" s="11">
        <v>48</v>
      </c>
      <c r="O6838" s="12">
        <v>90.98</v>
      </c>
      <c r="P6838" s="12">
        <v>30</v>
      </c>
      <c r="Q6838" s="13">
        <v>195.04</v>
      </c>
      <c r="R6838" s="36" t="s">
        <v>1772</v>
      </c>
      <c r="S6838" s="7">
        <f t="shared" si="603"/>
        <v>0</v>
      </c>
      <c r="T6838" s="15" t="str">
        <f>VLOOKUP(R6838,产品分类!$C$2:$D$1278,2,0)</f>
        <v>家具产品</v>
      </c>
    </row>
    <row r="6839" spans="1:20">
      <c r="A6839" s="8">
        <f>DATE(2012,12,31)-1416</f>
        <v>39858</v>
      </c>
      <c r="B6839" s="8">
        <f>DATE(2012,12,31)-1416</f>
        <v>39858</v>
      </c>
      <c r="C6839" s="9" t="s">
        <v>1885</v>
      </c>
      <c r="D6839">
        <v>10021442650</v>
      </c>
      <c r="E6839" t="s">
        <v>47</v>
      </c>
      <c r="F6839" t="s">
        <v>177</v>
      </c>
      <c r="G6839" t="s">
        <v>178</v>
      </c>
      <c r="H6839" t="s">
        <v>2544</v>
      </c>
      <c r="I6839" t="s">
        <v>2545</v>
      </c>
      <c r="J6839" t="s">
        <v>668</v>
      </c>
      <c r="K6839" s="3">
        <v>100432983834</v>
      </c>
      <c r="L6839" s="10">
        <v>39860</v>
      </c>
      <c r="M6839">
        <v>2651.21</v>
      </c>
      <c r="N6839" s="11">
        <v>8</v>
      </c>
      <c r="O6839" s="12">
        <v>348.21</v>
      </c>
      <c r="P6839" s="12">
        <v>40.19</v>
      </c>
      <c r="Q6839" s="13">
        <v>-93.8499999999999</v>
      </c>
      <c r="R6839" s="36" t="s">
        <v>1635</v>
      </c>
      <c r="S6839" s="7">
        <f t="shared" si="603"/>
        <v>2</v>
      </c>
      <c r="T6839" s="15" t="str">
        <f>VLOOKUP(R6839,产品分类!$C$2:$D$1278,2,0)</f>
        <v>家具产品</v>
      </c>
    </row>
    <row r="6840" spans="1:20">
      <c r="A6840" s="8">
        <f>DATE(2012,12,31)-532</f>
        <v>40742</v>
      </c>
      <c r="B6840" s="8">
        <f>DATE(2012,12,31)-532</f>
        <v>40742</v>
      </c>
      <c r="C6840" s="9" t="s">
        <v>1885</v>
      </c>
      <c r="D6840">
        <v>10021405350</v>
      </c>
      <c r="E6840" t="s">
        <v>47</v>
      </c>
      <c r="F6840" t="s">
        <v>61</v>
      </c>
      <c r="G6840" t="s">
        <v>62</v>
      </c>
      <c r="H6840" t="s">
        <v>2546</v>
      </c>
      <c r="I6840" t="s">
        <v>2547</v>
      </c>
      <c r="J6840" t="s">
        <v>668</v>
      </c>
      <c r="K6840" s="3">
        <v>100932939121</v>
      </c>
      <c r="L6840" s="10">
        <v>40744</v>
      </c>
      <c r="M6840">
        <v>4799.7885</v>
      </c>
      <c r="N6840" s="11">
        <v>39</v>
      </c>
      <c r="O6840" s="12">
        <v>155.99</v>
      </c>
      <c r="P6840" s="12">
        <v>3.9</v>
      </c>
      <c r="Q6840" s="13">
        <v>1231.893</v>
      </c>
      <c r="R6840" s="36" t="s">
        <v>1394</v>
      </c>
      <c r="S6840" s="7">
        <f t="shared" si="603"/>
        <v>2</v>
      </c>
      <c r="T6840" s="15" t="str">
        <f>VLOOKUP(R6840,产品分类!$C$2:$D$1278,2,0)</f>
        <v>办公用品</v>
      </c>
    </row>
    <row r="6841" spans="1:20">
      <c r="A6841" s="8">
        <f>DATE(2012,12,31)-905</f>
        <v>40369</v>
      </c>
      <c r="B6841" s="8">
        <f>DATE(2012,12,31)-905</f>
        <v>40369</v>
      </c>
      <c r="C6841" s="9" t="s">
        <v>800</v>
      </c>
      <c r="D6841">
        <v>10021492093</v>
      </c>
      <c r="E6841" t="s">
        <v>47</v>
      </c>
      <c r="F6841" t="s">
        <v>61</v>
      </c>
      <c r="G6841" t="s">
        <v>62</v>
      </c>
      <c r="H6841" t="s">
        <v>2546</v>
      </c>
      <c r="I6841" t="s">
        <v>2547</v>
      </c>
      <c r="J6841" t="s">
        <v>668</v>
      </c>
      <c r="K6841" s="3">
        <v>100733053655</v>
      </c>
      <c r="L6841" s="10">
        <v>40371</v>
      </c>
      <c r="M6841">
        <v>97.13</v>
      </c>
      <c r="N6841" s="11">
        <v>1</v>
      </c>
      <c r="O6841" s="12">
        <v>98.31</v>
      </c>
      <c r="P6841" s="12">
        <v>0.49</v>
      </c>
      <c r="Q6841" s="13">
        <v>-37.06</v>
      </c>
      <c r="R6841" s="36" t="s">
        <v>1653</v>
      </c>
      <c r="S6841" s="7">
        <f t="shared" si="603"/>
        <v>2</v>
      </c>
      <c r="T6841" s="15" t="str">
        <f>VLOOKUP(R6841,产品分类!$C$2:$D$1278,2,0)</f>
        <v>办公用品</v>
      </c>
    </row>
    <row r="6842" spans="1:20">
      <c r="A6842" s="8">
        <f>DATE(2012,12,31)-201</f>
        <v>41073</v>
      </c>
      <c r="B6842" s="8">
        <f>DATE(2012,12,31)-201</f>
        <v>41073</v>
      </c>
      <c r="C6842" s="9" t="s">
        <v>1233</v>
      </c>
      <c r="D6842">
        <v>10021599580</v>
      </c>
      <c r="E6842" t="s">
        <v>47</v>
      </c>
      <c r="F6842" t="s">
        <v>61</v>
      </c>
      <c r="G6842" t="s">
        <v>62</v>
      </c>
      <c r="H6842" t="s">
        <v>2546</v>
      </c>
      <c r="I6842" t="s">
        <v>2547</v>
      </c>
      <c r="J6842" t="s">
        <v>668</v>
      </c>
      <c r="K6842" s="3">
        <v>100128081498</v>
      </c>
      <c r="L6842" s="10">
        <v>41075</v>
      </c>
      <c r="M6842">
        <v>7647.97</v>
      </c>
      <c r="N6842" s="11">
        <v>47</v>
      </c>
      <c r="O6842" s="12">
        <v>167.27</v>
      </c>
      <c r="P6842" s="12">
        <v>35</v>
      </c>
      <c r="Q6842" s="13">
        <v>-1014.01</v>
      </c>
      <c r="R6842" s="36" t="s">
        <v>1417</v>
      </c>
      <c r="S6842" s="7">
        <f t="shared" si="603"/>
        <v>2</v>
      </c>
      <c r="T6842" s="15" t="str">
        <f>VLOOKUP(R6842,产品分类!$C$2:$D$1278,2,0)</f>
        <v>数码电子</v>
      </c>
    </row>
    <row r="6843" spans="1:20">
      <c r="A6843" s="8">
        <f>DATE(2012,12,31)-201</f>
        <v>41073</v>
      </c>
      <c r="B6843" s="8">
        <f>DATE(2012,12,31)-201</f>
        <v>41073</v>
      </c>
      <c r="C6843" s="9" t="s">
        <v>1339</v>
      </c>
      <c r="D6843">
        <v>10021591458</v>
      </c>
      <c r="E6843" t="s">
        <v>47</v>
      </c>
      <c r="F6843" t="s">
        <v>152</v>
      </c>
      <c r="G6843" t="s">
        <v>153</v>
      </c>
      <c r="H6843" t="s">
        <v>2536</v>
      </c>
      <c r="I6843" t="s">
        <v>2537</v>
      </c>
      <c r="J6843" t="s">
        <v>668</v>
      </c>
      <c r="K6843" s="3">
        <v>100131795366</v>
      </c>
      <c r="L6843" s="10">
        <v>41074</v>
      </c>
      <c r="M6843">
        <v>6861.8545</v>
      </c>
      <c r="N6843" s="11">
        <v>43</v>
      </c>
      <c r="O6843" s="12">
        <v>195.99</v>
      </c>
      <c r="P6843" s="12">
        <v>3.99</v>
      </c>
      <c r="Q6843" s="13">
        <v>1754.082</v>
      </c>
      <c r="R6843" s="36" t="s">
        <v>1311</v>
      </c>
      <c r="S6843" s="7">
        <f t="shared" si="603"/>
        <v>1</v>
      </c>
      <c r="T6843" s="15" t="str">
        <f>VLOOKUP(R6843,产品分类!$C$2:$D$1278,2,0)</f>
        <v>家具产品</v>
      </c>
    </row>
    <row r="6844" spans="1:20">
      <c r="A6844" s="8">
        <f>DATE(2012,12,31)-1160</f>
        <v>40114</v>
      </c>
      <c r="B6844" s="8">
        <f>DATE(2012,12,31)-1160</f>
        <v>40114</v>
      </c>
      <c r="C6844" s="9" t="s">
        <v>431</v>
      </c>
      <c r="D6844">
        <v>10021511778</v>
      </c>
      <c r="E6844" t="s">
        <v>47</v>
      </c>
      <c r="F6844" t="s">
        <v>230</v>
      </c>
      <c r="G6844" t="s">
        <v>231</v>
      </c>
      <c r="H6844" t="s">
        <v>2549</v>
      </c>
      <c r="I6844" t="s">
        <v>2550</v>
      </c>
      <c r="J6844" t="s">
        <v>668</v>
      </c>
      <c r="K6844" s="3">
        <v>100132741067</v>
      </c>
      <c r="L6844" s="10">
        <v>40116</v>
      </c>
      <c r="M6844">
        <v>856.9</v>
      </c>
      <c r="N6844" s="11">
        <v>43</v>
      </c>
      <c r="O6844" s="12">
        <v>18.97</v>
      </c>
      <c r="P6844" s="12">
        <v>9.54</v>
      </c>
      <c r="Q6844" s="13">
        <v>106.93</v>
      </c>
      <c r="R6844" s="36" t="s">
        <v>2041</v>
      </c>
      <c r="S6844" s="7">
        <f t="shared" si="603"/>
        <v>2</v>
      </c>
      <c r="T6844" s="15" t="str">
        <f>VLOOKUP(R6844,产品分类!$C$2:$D$1278,2,0)</f>
        <v>办公用品</v>
      </c>
    </row>
    <row r="6845" spans="1:20">
      <c r="A6845" s="16">
        <f>DATE(2012,12,31)-1380</f>
        <v>39894</v>
      </c>
      <c r="B6845" s="16">
        <f>DATE(2012,12,31)-1380</f>
        <v>39894</v>
      </c>
      <c r="C6845" s="9" t="s">
        <v>431</v>
      </c>
      <c r="D6845">
        <v>10021264969</v>
      </c>
      <c r="E6845" t="s">
        <v>47</v>
      </c>
      <c r="F6845" t="s">
        <v>434</v>
      </c>
      <c r="G6845" t="s">
        <v>435</v>
      </c>
      <c r="H6845" t="s">
        <v>436</v>
      </c>
      <c r="I6845" t="s">
        <v>437</v>
      </c>
      <c r="J6845" t="s">
        <v>668</v>
      </c>
      <c r="K6845" s="3">
        <v>100131246176</v>
      </c>
      <c r="L6845" s="10">
        <v>39896</v>
      </c>
      <c r="M6845">
        <v>337.61</v>
      </c>
      <c r="N6845" s="17">
        <v>27</v>
      </c>
      <c r="O6845" s="5">
        <v>12.28</v>
      </c>
      <c r="P6845" s="5">
        <v>6.35</v>
      </c>
      <c r="Q6845" s="6">
        <v>15.61</v>
      </c>
      <c r="R6845" s="37" t="s">
        <v>957</v>
      </c>
      <c r="S6845" s="7">
        <f t="shared" si="603"/>
        <v>2</v>
      </c>
      <c r="T6845" s="15" t="str">
        <f>VLOOKUP(R6845,产品分类!$C$2:$D$1278,2,0)</f>
        <v>办公用品</v>
      </c>
    </row>
    <row r="6846" spans="1:20">
      <c r="A6846" s="8">
        <f>DATE(2012,12,31)-1380</f>
        <v>39894</v>
      </c>
      <c r="B6846" s="8">
        <f>DATE(2012,12,31)-1380</f>
        <v>39894</v>
      </c>
      <c r="C6846" s="9" t="s">
        <v>431</v>
      </c>
      <c r="D6846">
        <v>10021678120</v>
      </c>
      <c r="E6846" t="s">
        <v>47</v>
      </c>
      <c r="F6846" t="s">
        <v>122</v>
      </c>
      <c r="G6846" t="s">
        <v>123</v>
      </c>
      <c r="H6846" t="s">
        <v>2458</v>
      </c>
      <c r="I6846" t="s">
        <v>2459</v>
      </c>
      <c r="J6846" t="s">
        <v>668</v>
      </c>
      <c r="K6846" s="3">
        <v>100432931534</v>
      </c>
      <c r="L6846" s="10">
        <v>39895</v>
      </c>
      <c r="M6846">
        <v>636.34</v>
      </c>
      <c r="N6846" s="11">
        <v>42</v>
      </c>
      <c r="O6846" s="12">
        <v>15.14</v>
      </c>
      <c r="P6846" s="12">
        <v>4.53</v>
      </c>
      <c r="Q6846" s="13">
        <v>-99.26</v>
      </c>
      <c r="R6846" s="36" t="s">
        <v>2443</v>
      </c>
      <c r="S6846" s="7">
        <f t="shared" si="603"/>
        <v>1</v>
      </c>
      <c r="T6846" s="15" t="str">
        <f>VLOOKUP(R6846,产品分类!$C$2:$D$1278,2,0)</f>
        <v>家具产品</v>
      </c>
    </row>
    <row r="6847" spans="1:20">
      <c r="A6847" s="8">
        <f>DATE(2012,12,31)-69</f>
        <v>41205</v>
      </c>
      <c r="B6847" s="8">
        <f>DATE(2012,12,31)-69</f>
        <v>41205</v>
      </c>
      <c r="C6847" s="9" t="s">
        <v>431</v>
      </c>
      <c r="D6847">
        <v>10021269926</v>
      </c>
      <c r="E6847" t="s">
        <v>47</v>
      </c>
      <c r="F6847" t="s">
        <v>91</v>
      </c>
      <c r="G6847" t="s">
        <v>92</v>
      </c>
      <c r="H6847" t="s">
        <v>2556</v>
      </c>
      <c r="I6847" t="s">
        <v>2557</v>
      </c>
      <c r="J6847" t="s">
        <v>668</v>
      </c>
      <c r="K6847" s="3">
        <v>100932469511</v>
      </c>
      <c r="L6847" s="10">
        <v>41207</v>
      </c>
      <c r="M6847">
        <v>53.29</v>
      </c>
      <c r="N6847" s="11">
        <v>7</v>
      </c>
      <c r="O6847" s="12">
        <v>6.48</v>
      </c>
      <c r="P6847" s="12">
        <v>7.49</v>
      </c>
      <c r="Q6847" s="13">
        <v>-28.88</v>
      </c>
      <c r="R6847" s="36" t="s">
        <v>2423</v>
      </c>
      <c r="S6847" s="7">
        <f t="shared" si="603"/>
        <v>2</v>
      </c>
      <c r="T6847" s="15" t="str">
        <f>VLOOKUP(R6847,产品分类!$C$2:$D$1278,2,0)</f>
        <v>办公用品</v>
      </c>
    </row>
    <row r="6848" spans="1:20">
      <c r="A6848" s="16">
        <f>DATE(2012,12,31)-1166</f>
        <v>40108</v>
      </c>
      <c r="B6848" s="16">
        <f>DATE(2012,12,31)-1166</f>
        <v>40108</v>
      </c>
      <c r="C6848" s="9" t="s">
        <v>431</v>
      </c>
      <c r="D6848">
        <v>10021596002</v>
      </c>
      <c r="E6848" t="s">
        <v>47</v>
      </c>
      <c r="F6848" t="s">
        <v>171</v>
      </c>
      <c r="G6848" t="s">
        <v>172</v>
      </c>
      <c r="H6848" t="s">
        <v>2486</v>
      </c>
      <c r="I6848" t="s">
        <v>2310</v>
      </c>
      <c r="J6848" t="s">
        <v>668</v>
      </c>
      <c r="K6848" s="3">
        <v>100932829791</v>
      </c>
      <c r="L6848" s="10">
        <v>40111</v>
      </c>
      <c r="M6848">
        <v>2096.7</v>
      </c>
      <c r="N6848" s="17">
        <v>45</v>
      </c>
      <c r="O6848" s="5">
        <v>47.9</v>
      </c>
      <c r="P6848" s="5">
        <v>5.86</v>
      </c>
      <c r="Q6848" s="6">
        <v>939.67</v>
      </c>
      <c r="R6848" s="37" t="s">
        <v>401</v>
      </c>
      <c r="S6848" s="7">
        <f t="shared" si="603"/>
        <v>3</v>
      </c>
      <c r="T6848" s="15" t="str">
        <f>VLOOKUP(R6848,产品分类!$C$2:$D$1278,2,0)</f>
        <v>办公用品</v>
      </c>
    </row>
    <row r="6849" spans="1:20">
      <c r="A6849" s="8">
        <f>DATE(2012,12,31)-1166</f>
        <v>40108</v>
      </c>
      <c r="B6849" s="8">
        <f>DATE(2012,12,31)-1166</f>
        <v>40108</v>
      </c>
      <c r="C6849" s="9" t="s">
        <v>2045</v>
      </c>
      <c r="D6849">
        <v>10021682578</v>
      </c>
      <c r="E6849" t="s">
        <v>47</v>
      </c>
      <c r="F6849" t="s">
        <v>152</v>
      </c>
      <c r="G6849" t="s">
        <v>153</v>
      </c>
      <c r="H6849" t="s">
        <v>2536</v>
      </c>
      <c r="I6849" t="s">
        <v>2537</v>
      </c>
      <c r="J6849" t="s">
        <v>668</v>
      </c>
      <c r="K6849" s="3">
        <v>100732087145</v>
      </c>
      <c r="L6849" s="10">
        <v>40109</v>
      </c>
      <c r="M6849">
        <v>55.43</v>
      </c>
      <c r="N6849" s="11">
        <v>1</v>
      </c>
      <c r="O6849" s="12">
        <v>35.44</v>
      </c>
      <c r="P6849" s="12">
        <v>19.99</v>
      </c>
      <c r="Q6849" s="13">
        <v>-48.91</v>
      </c>
      <c r="R6849" s="36" t="s">
        <v>1920</v>
      </c>
      <c r="S6849" s="7">
        <f t="shared" si="603"/>
        <v>1</v>
      </c>
      <c r="T6849" s="15" t="str">
        <f>VLOOKUP(R6849,产品分类!$C$2:$D$1278,2,0)</f>
        <v>家具产品</v>
      </c>
    </row>
    <row r="6850" spans="1:20">
      <c r="A6850" s="8">
        <f t="shared" ref="A6850:B6852" si="608">DATE(2012,12,31)-1293</f>
        <v>39981</v>
      </c>
      <c r="B6850" s="8">
        <f t="shared" si="608"/>
        <v>39981</v>
      </c>
      <c r="C6850" s="9" t="s">
        <v>2256</v>
      </c>
      <c r="D6850">
        <v>10021363384</v>
      </c>
      <c r="E6850" t="s">
        <v>47</v>
      </c>
      <c r="F6850" t="s">
        <v>78</v>
      </c>
      <c r="G6850" t="s">
        <v>79</v>
      </c>
      <c r="H6850" t="s">
        <v>2489</v>
      </c>
      <c r="I6850" t="s">
        <v>2490</v>
      </c>
      <c r="J6850" t="s">
        <v>668</v>
      </c>
      <c r="K6850" s="3">
        <v>100116357486</v>
      </c>
      <c r="L6850" s="10">
        <v>39988</v>
      </c>
      <c r="M6850">
        <v>750.66</v>
      </c>
      <c r="N6850" s="11">
        <v>33</v>
      </c>
      <c r="O6850" s="12">
        <v>20.95</v>
      </c>
      <c r="P6850" s="12">
        <v>4</v>
      </c>
      <c r="Q6850" s="13">
        <v>120.05</v>
      </c>
      <c r="R6850" s="36" t="s">
        <v>1386</v>
      </c>
      <c r="S6850" s="7">
        <f t="shared" si="603"/>
        <v>7</v>
      </c>
      <c r="T6850" s="15" t="str">
        <f>VLOOKUP(R6850,产品分类!$C$2:$D$1278,2,0)</f>
        <v>家具产品</v>
      </c>
    </row>
    <row r="6851" spans="1:20">
      <c r="A6851" s="8">
        <f t="shared" si="608"/>
        <v>39981</v>
      </c>
      <c r="B6851" s="8">
        <f t="shared" si="608"/>
        <v>39981</v>
      </c>
      <c r="C6851" s="9" t="s">
        <v>440</v>
      </c>
      <c r="D6851">
        <v>10021596883</v>
      </c>
      <c r="E6851" t="s">
        <v>47</v>
      </c>
      <c r="F6851" t="s">
        <v>72</v>
      </c>
      <c r="G6851" t="s">
        <v>73</v>
      </c>
      <c r="H6851" t="s">
        <v>2417</v>
      </c>
      <c r="I6851" t="s">
        <v>2418</v>
      </c>
      <c r="J6851" t="s">
        <v>668</v>
      </c>
      <c r="K6851" s="3">
        <v>100130880227</v>
      </c>
      <c r="L6851" s="10">
        <v>39983</v>
      </c>
      <c r="M6851">
        <v>254.32</v>
      </c>
      <c r="N6851" s="11">
        <v>8</v>
      </c>
      <c r="O6851" s="12">
        <v>30.98</v>
      </c>
      <c r="P6851" s="12">
        <v>6.5</v>
      </c>
      <c r="Q6851" s="13">
        <v>-117.39</v>
      </c>
      <c r="R6851" s="36" t="s">
        <v>557</v>
      </c>
      <c r="S6851" s="7">
        <f t="shared" ref="S6851:S6914" si="609">+L6851-B6851</f>
        <v>2</v>
      </c>
      <c r="T6851" s="15" t="str">
        <f>VLOOKUP(R6851,产品分类!$C$2:$D$1278,2,0)</f>
        <v>家具产品</v>
      </c>
    </row>
    <row r="6852" spans="1:20">
      <c r="A6852" s="8">
        <f t="shared" si="608"/>
        <v>39981</v>
      </c>
      <c r="B6852" s="8">
        <f t="shared" si="608"/>
        <v>39981</v>
      </c>
      <c r="C6852" s="9" t="s">
        <v>2334</v>
      </c>
      <c r="D6852">
        <v>10021270532</v>
      </c>
      <c r="E6852" t="s">
        <v>47</v>
      </c>
      <c r="F6852" t="s">
        <v>72</v>
      </c>
      <c r="G6852" t="s">
        <v>73</v>
      </c>
      <c r="H6852" t="s">
        <v>2558</v>
      </c>
      <c r="I6852" t="s">
        <v>2559</v>
      </c>
      <c r="J6852" t="s">
        <v>668</v>
      </c>
      <c r="K6852" s="3">
        <v>100832536092</v>
      </c>
      <c r="L6852" s="10">
        <v>39986</v>
      </c>
      <c r="M6852">
        <v>2149.37</v>
      </c>
      <c r="N6852" s="11">
        <v>42</v>
      </c>
      <c r="O6852" s="12">
        <v>51.75</v>
      </c>
      <c r="P6852" s="12">
        <v>19.99</v>
      </c>
      <c r="Q6852" s="13">
        <v>217.87</v>
      </c>
      <c r="R6852" s="36" t="s">
        <v>1863</v>
      </c>
      <c r="S6852" s="7">
        <f t="shared" si="609"/>
        <v>5</v>
      </c>
      <c r="T6852" s="15" t="str">
        <f>VLOOKUP(R6852,产品分类!$C$2:$D$1278,2,0)</f>
        <v>办公用品</v>
      </c>
    </row>
    <row r="6853" spans="1:20">
      <c r="A6853" s="8">
        <f>DATE(2012,12,31)-1089</f>
        <v>40185</v>
      </c>
      <c r="B6853" s="8">
        <f>DATE(2012,12,31)-1089</f>
        <v>40185</v>
      </c>
      <c r="C6853" s="9" t="s">
        <v>2038</v>
      </c>
      <c r="D6853">
        <v>10021758593</v>
      </c>
      <c r="E6853" t="s">
        <v>47</v>
      </c>
      <c r="F6853" t="s">
        <v>473</v>
      </c>
      <c r="G6853" t="s">
        <v>474</v>
      </c>
      <c r="H6853" t="s">
        <v>2523</v>
      </c>
      <c r="I6853" t="s">
        <v>2524</v>
      </c>
      <c r="J6853" t="s">
        <v>668</v>
      </c>
      <c r="K6853" s="3">
        <v>100112271737</v>
      </c>
      <c r="L6853" s="10">
        <v>40187</v>
      </c>
      <c r="M6853">
        <v>106.2</v>
      </c>
      <c r="N6853" s="11">
        <v>21</v>
      </c>
      <c r="O6853" s="12">
        <v>4.91</v>
      </c>
      <c r="P6853" s="12">
        <v>0.5</v>
      </c>
      <c r="Q6853" s="13">
        <v>48.76</v>
      </c>
      <c r="R6853" s="36" t="s">
        <v>1291</v>
      </c>
      <c r="S6853" s="7">
        <f t="shared" si="609"/>
        <v>2</v>
      </c>
      <c r="T6853" s="15" t="str">
        <f>VLOOKUP(R6853,产品分类!$C$2:$D$1278,2,0)</f>
        <v>家具产品</v>
      </c>
    </row>
    <row r="6854" spans="1:20">
      <c r="A6854" s="8">
        <f>DATE(2012,12,31)-1259</f>
        <v>40015</v>
      </c>
      <c r="B6854" s="8">
        <f>DATE(2012,12,31)-1259</f>
        <v>40015</v>
      </c>
      <c r="C6854" s="9" t="s">
        <v>726</v>
      </c>
      <c r="D6854">
        <v>10021405191</v>
      </c>
      <c r="E6854" t="s">
        <v>47</v>
      </c>
      <c r="F6854" t="s">
        <v>55</v>
      </c>
      <c r="G6854" t="s">
        <v>56</v>
      </c>
      <c r="H6854" t="s">
        <v>2471</v>
      </c>
      <c r="I6854" t="s">
        <v>2472</v>
      </c>
      <c r="J6854" t="s">
        <v>668</v>
      </c>
      <c r="K6854" s="3">
        <v>100832510522</v>
      </c>
      <c r="L6854" s="10">
        <v>40017</v>
      </c>
      <c r="M6854">
        <v>520.68</v>
      </c>
      <c r="N6854" s="11">
        <v>24</v>
      </c>
      <c r="O6854" s="12">
        <v>22.84</v>
      </c>
      <c r="P6854" s="12">
        <v>16.87</v>
      </c>
      <c r="Q6854" s="13">
        <v>-143.66</v>
      </c>
      <c r="R6854" s="36" t="s">
        <v>1222</v>
      </c>
      <c r="S6854" s="7">
        <f t="shared" si="609"/>
        <v>2</v>
      </c>
      <c r="T6854" s="15" t="str">
        <f>VLOOKUP(R6854,产品分类!$C$2:$D$1278,2,0)</f>
        <v>数码电子</v>
      </c>
    </row>
    <row r="6855" spans="1:20">
      <c r="A6855" s="16">
        <f>DATE(2012,12,31)-1259</f>
        <v>40015</v>
      </c>
      <c r="B6855" s="16">
        <f>DATE(2012,12,31)-1259</f>
        <v>40015</v>
      </c>
      <c r="C6855" s="9" t="s">
        <v>1846</v>
      </c>
      <c r="D6855">
        <v>10021355000</v>
      </c>
      <c r="E6855" t="s">
        <v>47</v>
      </c>
      <c r="F6855" t="s">
        <v>91</v>
      </c>
      <c r="G6855" t="s">
        <v>92</v>
      </c>
      <c r="H6855" t="s">
        <v>2556</v>
      </c>
      <c r="I6855" t="s">
        <v>2557</v>
      </c>
      <c r="J6855" t="s">
        <v>668</v>
      </c>
      <c r="K6855" s="3">
        <v>1001816438</v>
      </c>
      <c r="L6855" s="10">
        <v>40017</v>
      </c>
      <c r="M6855">
        <v>358.78</v>
      </c>
      <c r="N6855" s="17">
        <v>25</v>
      </c>
      <c r="O6855" s="5">
        <v>14.98</v>
      </c>
      <c r="P6855" s="5">
        <v>7.69</v>
      </c>
      <c r="Q6855" s="6">
        <v>-76.9</v>
      </c>
      <c r="R6855" s="37" t="s">
        <v>658</v>
      </c>
      <c r="S6855" s="7">
        <f t="shared" si="609"/>
        <v>2</v>
      </c>
      <c r="T6855" s="15" t="str">
        <f>VLOOKUP(R6855,产品分类!$C$2:$D$1278,2,0)</f>
        <v>办公用品</v>
      </c>
    </row>
    <row r="6856" spans="1:20">
      <c r="A6856" s="16">
        <f>DATE(2012,12,31)-804</f>
        <v>40470</v>
      </c>
      <c r="B6856" s="16">
        <f>DATE(2012,12,31)-804</f>
        <v>40470</v>
      </c>
      <c r="C6856" s="9" t="s">
        <v>446</v>
      </c>
      <c r="D6856">
        <v>10021729255</v>
      </c>
      <c r="E6856" t="s">
        <v>47</v>
      </c>
      <c r="F6856" t="s">
        <v>91</v>
      </c>
      <c r="G6856" t="s">
        <v>92</v>
      </c>
      <c r="H6856" t="s">
        <v>2556</v>
      </c>
      <c r="I6856" t="s">
        <v>2557</v>
      </c>
      <c r="J6856" t="s">
        <v>668</v>
      </c>
      <c r="K6856" s="3">
        <v>100832522312</v>
      </c>
      <c r="L6856" s="10">
        <v>40472</v>
      </c>
      <c r="M6856">
        <v>81.87</v>
      </c>
      <c r="N6856" s="17">
        <v>12</v>
      </c>
      <c r="O6856" s="5">
        <v>6.48</v>
      </c>
      <c r="P6856" s="5">
        <v>5.94</v>
      </c>
      <c r="Q6856" s="6">
        <v>-31.14</v>
      </c>
      <c r="R6856" s="37" t="s">
        <v>1195</v>
      </c>
      <c r="S6856" s="7">
        <f t="shared" si="609"/>
        <v>2</v>
      </c>
      <c r="T6856" s="15" t="str">
        <f>VLOOKUP(R6856,产品分类!$C$2:$D$1278,2,0)</f>
        <v>办公用品</v>
      </c>
    </row>
    <row r="6857" spans="1:20">
      <c r="A6857" s="8">
        <f>DATE(2012,12,31)-214</f>
        <v>41060</v>
      </c>
      <c r="B6857" s="8">
        <f>DATE(2012,12,31)-214</f>
        <v>41060</v>
      </c>
      <c r="C6857" s="9" t="s">
        <v>448</v>
      </c>
      <c r="D6857">
        <v>10021484681</v>
      </c>
      <c r="E6857" t="s">
        <v>47</v>
      </c>
      <c r="F6857" t="s">
        <v>83</v>
      </c>
      <c r="G6857" t="s">
        <v>84</v>
      </c>
      <c r="H6857" t="s">
        <v>2510</v>
      </c>
      <c r="I6857" t="s">
        <v>2511</v>
      </c>
      <c r="J6857" t="s">
        <v>668</v>
      </c>
      <c r="K6857" s="3">
        <v>10013422847</v>
      </c>
      <c r="L6857" s="10">
        <v>41060</v>
      </c>
      <c r="M6857">
        <v>122.42</v>
      </c>
      <c r="N6857" s="11">
        <v>17</v>
      </c>
      <c r="O6857" s="12">
        <v>6.48</v>
      </c>
      <c r="P6857" s="12">
        <v>6.22</v>
      </c>
      <c r="Q6857" s="13">
        <v>-37.04</v>
      </c>
      <c r="R6857" s="36" t="s">
        <v>724</v>
      </c>
      <c r="S6857" s="7">
        <f t="shared" si="609"/>
        <v>0</v>
      </c>
      <c r="T6857" s="15" t="str">
        <f>VLOOKUP(R6857,产品分类!$C$2:$D$1278,2,0)</f>
        <v>家具产品</v>
      </c>
    </row>
    <row r="6858" spans="1:20">
      <c r="A6858" s="8">
        <f>DATE(2012,12,31)-801</f>
        <v>40473</v>
      </c>
      <c r="B6858" s="8">
        <f>DATE(2012,12,31)-801</f>
        <v>40473</v>
      </c>
      <c r="C6858" s="9" t="s">
        <v>361</v>
      </c>
      <c r="D6858">
        <v>10021570833</v>
      </c>
      <c r="E6858" t="s">
        <v>47</v>
      </c>
      <c r="F6858" t="s">
        <v>55</v>
      </c>
      <c r="G6858" t="s">
        <v>56</v>
      </c>
      <c r="H6858" t="s">
        <v>2471</v>
      </c>
      <c r="I6858" t="s">
        <v>2472</v>
      </c>
      <c r="J6858" t="s">
        <v>668</v>
      </c>
      <c r="K6858" s="3">
        <v>100332660139</v>
      </c>
      <c r="L6858" s="10">
        <v>40475</v>
      </c>
      <c r="M6858">
        <v>1086.39</v>
      </c>
      <c r="N6858" s="11">
        <v>6</v>
      </c>
      <c r="O6858" s="12">
        <v>167.27</v>
      </c>
      <c r="P6858" s="12">
        <v>35</v>
      </c>
      <c r="Q6858" s="13">
        <v>-311.23</v>
      </c>
      <c r="R6858" s="36" t="s">
        <v>2466</v>
      </c>
      <c r="S6858" s="7">
        <f t="shared" si="609"/>
        <v>2</v>
      </c>
      <c r="T6858" s="15" t="str">
        <f>VLOOKUP(R6858,产品分类!$C$2:$D$1278,2,0)</f>
        <v>数码电子</v>
      </c>
    </row>
    <row r="6859" spans="1:20">
      <c r="A6859" s="16">
        <f>DATE(2012,12,31)-1414</f>
        <v>39860</v>
      </c>
      <c r="B6859" s="16">
        <f>DATE(2012,12,31)-1414</f>
        <v>39860</v>
      </c>
      <c r="C6859" s="9" t="s">
        <v>2325</v>
      </c>
      <c r="D6859">
        <v>10021274342</v>
      </c>
      <c r="E6859" t="s">
        <v>47</v>
      </c>
      <c r="F6859" t="s">
        <v>91</v>
      </c>
      <c r="G6859" t="s">
        <v>92</v>
      </c>
      <c r="H6859" t="s">
        <v>2556</v>
      </c>
      <c r="I6859" t="s">
        <v>2557</v>
      </c>
      <c r="J6859" t="s">
        <v>668</v>
      </c>
      <c r="K6859" s="3">
        <v>100916927871</v>
      </c>
      <c r="L6859" s="10">
        <v>39862</v>
      </c>
      <c r="M6859">
        <v>180.39</v>
      </c>
      <c r="N6859" s="17">
        <v>15</v>
      </c>
      <c r="O6859" s="5">
        <v>11.58</v>
      </c>
      <c r="P6859" s="5">
        <v>6.97</v>
      </c>
      <c r="Q6859" s="6">
        <v>-8.11</v>
      </c>
      <c r="R6859" s="37" t="s">
        <v>1552</v>
      </c>
      <c r="S6859" s="7">
        <f t="shared" si="609"/>
        <v>2</v>
      </c>
      <c r="T6859" s="15" t="str">
        <f>VLOOKUP(R6859,产品分类!$C$2:$D$1278,2,0)</f>
        <v>数码电子</v>
      </c>
    </row>
    <row r="6860" spans="1:20">
      <c r="A6860" s="8">
        <f>DATE(2012,12,31)-665</f>
        <v>40609</v>
      </c>
      <c r="B6860" s="8">
        <f>DATE(2012,12,31)-665</f>
        <v>40609</v>
      </c>
      <c r="C6860" s="9" t="s">
        <v>2325</v>
      </c>
      <c r="D6860">
        <v>10021551591</v>
      </c>
      <c r="E6860" t="s">
        <v>47</v>
      </c>
      <c r="F6860" t="s">
        <v>55</v>
      </c>
      <c r="G6860" t="s">
        <v>56</v>
      </c>
      <c r="H6860" t="s">
        <v>2471</v>
      </c>
      <c r="I6860" t="s">
        <v>2472</v>
      </c>
      <c r="J6860" t="s">
        <v>668</v>
      </c>
      <c r="K6860" s="3">
        <v>100925367981</v>
      </c>
      <c r="L6860" s="10">
        <v>40614</v>
      </c>
      <c r="M6860">
        <v>411.75</v>
      </c>
      <c r="N6860" s="11">
        <v>36</v>
      </c>
      <c r="O6860" s="12">
        <v>11.66</v>
      </c>
      <c r="P6860" s="12">
        <v>8.99</v>
      </c>
      <c r="Q6860" s="13">
        <v>-182.87</v>
      </c>
      <c r="R6860" s="36" t="s">
        <v>2168</v>
      </c>
      <c r="S6860" s="7">
        <f t="shared" si="609"/>
        <v>5</v>
      </c>
      <c r="T6860" s="15" t="str">
        <f>VLOOKUP(R6860,产品分类!$C$2:$D$1278,2,0)</f>
        <v>办公用品</v>
      </c>
    </row>
    <row r="6861" spans="1:20">
      <c r="A6861" s="8">
        <f>DATE(2012,12,31)-630</f>
        <v>40644</v>
      </c>
      <c r="B6861" s="8">
        <f>DATE(2012,12,31)-630</f>
        <v>40644</v>
      </c>
      <c r="C6861" s="9" t="s">
        <v>864</v>
      </c>
      <c r="D6861">
        <v>10021513785</v>
      </c>
      <c r="E6861" t="s">
        <v>47</v>
      </c>
      <c r="F6861" t="s">
        <v>97</v>
      </c>
      <c r="G6861" t="s">
        <v>98</v>
      </c>
      <c r="H6861" t="s">
        <v>99</v>
      </c>
      <c r="I6861" t="s">
        <v>98</v>
      </c>
      <c r="J6861" t="s">
        <v>668</v>
      </c>
      <c r="K6861" s="3">
        <v>10035757989</v>
      </c>
      <c r="L6861" s="10">
        <v>40645</v>
      </c>
      <c r="M6861">
        <v>708.83</v>
      </c>
      <c r="N6861" s="11">
        <v>41</v>
      </c>
      <c r="O6861" s="12">
        <v>17.67</v>
      </c>
      <c r="P6861" s="12">
        <v>8.99</v>
      </c>
      <c r="Q6861" s="13">
        <v>35.08</v>
      </c>
      <c r="R6861" s="36" t="s">
        <v>302</v>
      </c>
      <c r="S6861" s="7">
        <f t="shared" si="609"/>
        <v>1</v>
      </c>
      <c r="T6861" s="15" t="str">
        <f>VLOOKUP(R6861,产品分类!$C$2:$D$1278,2,0)</f>
        <v>家具产品</v>
      </c>
    </row>
    <row r="6862" spans="1:20">
      <c r="A6862" s="8">
        <f>DATE(2012,12,31)-225</f>
        <v>41049</v>
      </c>
      <c r="B6862" s="8">
        <f>DATE(2012,12,31)-225</f>
        <v>41049</v>
      </c>
      <c r="C6862" s="9" t="s">
        <v>632</v>
      </c>
      <c r="D6862">
        <v>10021438233</v>
      </c>
      <c r="E6862" t="s">
        <v>47</v>
      </c>
      <c r="F6862" t="s">
        <v>102</v>
      </c>
      <c r="G6862" t="s">
        <v>103</v>
      </c>
      <c r="H6862" t="s">
        <v>2560</v>
      </c>
      <c r="I6862" t="s">
        <v>2561</v>
      </c>
      <c r="J6862" t="s">
        <v>668</v>
      </c>
      <c r="K6862" s="3">
        <v>100332569429</v>
      </c>
      <c r="L6862" s="10">
        <v>41051</v>
      </c>
      <c r="M6862">
        <v>8223.07</v>
      </c>
      <c r="N6862" s="11">
        <v>49</v>
      </c>
      <c r="O6862" s="12">
        <v>195.99</v>
      </c>
      <c r="P6862" s="12">
        <v>3.99</v>
      </c>
      <c r="Q6862" s="13">
        <v>2549.403</v>
      </c>
      <c r="R6862" s="36" t="s">
        <v>2562</v>
      </c>
      <c r="S6862" s="7">
        <f t="shared" si="609"/>
        <v>2</v>
      </c>
      <c r="T6862" s="15" t="str">
        <f>VLOOKUP(R6862,产品分类!$C$2:$D$1278,2,0)</f>
        <v>办公用品</v>
      </c>
    </row>
    <row r="6863" spans="1:20">
      <c r="A6863" s="16">
        <f>DATE(2012,12,31)-1187</f>
        <v>40087</v>
      </c>
      <c r="B6863" s="16">
        <f>DATE(2012,12,31)-1187</f>
        <v>40087</v>
      </c>
      <c r="C6863" s="9" t="s">
        <v>632</v>
      </c>
      <c r="D6863">
        <v>10021357803</v>
      </c>
      <c r="E6863" t="s">
        <v>47</v>
      </c>
      <c r="F6863" t="s">
        <v>171</v>
      </c>
      <c r="G6863" t="s">
        <v>172</v>
      </c>
      <c r="H6863" t="s">
        <v>2486</v>
      </c>
      <c r="I6863" t="s">
        <v>2310</v>
      </c>
      <c r="J6863" t="s">
        <v>668</v>
      </c>
      <c r="K6863" s="3">
        <v>100131130516</v>
      </c>
      <c r="L6863" s="10">
        <v>40089</v>
      </c>
      <c r="M6863">
        <v>300.07</v>
      </c>
      <c r="N6863" s="17">
        <v>46</v>
      </c>
      <c r="O6863" s="5">
        <v>6.48</v>
      </c>
      <c r="P6863" s="5">
        <v>8.4</v>
      </c>
      <c r="Q6863" s="6">
        <v>-209.58</v>
      </c>
      <c r="R6863" s="37" t="s">
        <v>836</v>
      </c>
      <c r="S6863" s="7">
        <f t="shared" si="609"/>
        <v>2</v>
      </c>
      <c r="T6863" s="15" t="str">
        <f>VLOOKUP(R6863,产品分类!$C$2:$D$1278,2,0)</f>
        <v>办公用品</v>
      </c>
    </row>
    <row r="6864" spans="1:20">
      <c r="A6864" s="8">
        <f>DATE(2012,12,31)-1198</f>
        <v>40076</v>
      </c>
      <c r="B6864" s="8">
        <f>DATE(2012,12,31)-1198</f>
        <v>40076</v>
      </c>
      <c r="C6864" s="9" t="s">
        <v>2060</v>
      </c>
      <c r="D6864">
        <v>10021652827</v>
      </c>
      <c r="E6864" t="s">
        <v>47</v>
      </c>
      <c r="F6864" t="s">
        <v>171</v>
      </c>
      <c r="G6864" t="s">
        <v>172</v>
      </c>
      <c r="H6864" t="s">
        <v>2486</v>
      </c>
      <c r="I6864" t="s">
        <v>2310</v>
      </c>
      <c r="J6864" t="s">
        <v>668</v>
      </c>
      <c r="K6864" s="3">
        <v>100127763807</v>
      </c>
      <c r="L6864" s="10">
        <v>40078</v>
      </c>
      <c r="M6864">
        <v>128</v>
      </c>
      <c r="N6864" s="11">
        <v>48</v>
      </c>
      <c r="O6864" s="12">
        <v>2.89</v>
      </c>
      <c r="P6864" s="12">
        <v>0.5</v>
      </c>
      <c r="Q6864" s="13">
        <v>45.51</v>
      </c>
      <c r="R6864" s="36" t="s">
        <v>1030</v>
      </c>
      <c r="S6864" s="7">
        <f t="shared" si="609"/>
        <v>2</v>
      </c>
      <c r="T6864" s="15" t="str">
        <f>VLOOKUP(R6864,产品分类!$C$2:$D$1278,2,0)</f>
        <v>办公用品</v>
      </c>
    </row>
    <row r="6865" spans="1:20">
      <c r="A6865" s="8">
        <f>DATE(2012,12,31)-1198</f>
        <v>40076</v>
      </c>
      <c r="B6865" s="8">
        <f>DATE(2012,12,31)-1198</f>
        <v>40076</v>
      </c>
      <c r="C6865" s="9" t="s">
        <v>673</v>
      </c>
      <c r="D6865">
        <v>10021563763</v>
      </c>
      <c r="E6865" t="s">
        <v>47</v>
      </c>
      <c r="F6865" t="s">
        <v>171</v>
      </c>
      <c r="G6865" t="s">
        <v>172</v>
      </c>
      <c r="H6865" t="s">
        <v>2486</v>
      </c>
      <c r="I6865" t="s">
        <v>2310</v>
      </c>
      <c r="J6865" t="s">
        <v>668</v>
      </c>
      <c r="K6865" s="3">
        <v>100932294181</v>
      </c>
      <c r="L6865" s="10">
        <v>40077</v>
      </c>
      <c r="M6865">
        <v>252.66</v>
      </c>
      <c r="N6865" s="11">
        <v>5</v>
      </c>
      <c r="O6865" s="12">
        <v>48.91</v>
      </c>
      <c r="P6865" s="12">
        <v>5.81</v>
      </c>
      <c r="Q6865" s="13">
        <v>32.86</v>
      </c>
      <c r="R6865" s="36" t="s">
        <v>736</v>
      </c>
      <c r="S6865" s="7">
        <f t="shared" si="609"/>
        <v>1</v>
      </c>
      <c r="T6865" s="15" t="str">
        <f>VLOOKUP(R6865,产品分类!$C$2:$D$1278,2,0)</f>
        <v>数码电子</v>
      </c>
    </row>
    <row r="6866" spans="1:20">
      <c r="A6866" s="8">
        <f>DATE(2012,12,31)-264</f>
        <v>41010</v>
      </c>
      <c r="B6866" s="8">
        <f>DATE(2012,12,31)-264</f>
        <v>41010</v>
      </c>
      <c r="C6866" s="9" t="s">
        <v>673</v>
      </c>
      <c r="D6866">
        <v>10021569804</v>
      </c>
      <c r="E6866" t="s">
        <v>47</v>
      </c>
      <c r="F6866" t="s">
        <v>171</v>
      </c>
      <c r="G6866" t="s">
        <v>172</v>
      </c>
      <c r="H6866" t="s">
        <v>2486</v>
      </c>
      <c r="I6866" t="s">
        <v>2310</v>
      </c>
      <c r="J6866" t="s">
        <v>668</v>
      </c>
      <c r="K6866" s="3">
        <v>100918733441</v>
      </c>
      <c r="L6866" s="10">
        <v>41017</v>
      </c>
      <c r="M6866">
        <v>103.32</v>
      </c>
      <c r="N6866" s="11">
        <v>33</v>
      </c>
      <c r="O6866" s="12">
        <v>2.98</v>
      </c>
      <c r="P6866" s="12">
        <v>2.03</v>
      </c>
      <c r="Q6866" s="13">
        <v>-25.68</v>
      </c>
      <c r="R6866" s="36" t="s">
        <v>1146</v>
      </c>
      <c r="S6866" s="7">
        <f t="shared" si="609"/>
        <v>7</v>
      </c>
      <c r="T6866" s="15" t="str">
        <f>VLOOKUP(R6866,产品分类!$C$2:$D$1278,2,0)</f>
        <v>数码电子</v>
      </c>
    </row>
    <row r="6867" spans="1:20">
      <c r="A6867" s="8">
        <f t="shared" ref="A6867:B6869" si="610">DATE(2012,12,31)-1195</f>
        <v>40079</v>
      </c>
      <c r="B6867" s="8">
        <f t="shared" si="610"/>
        <v>40079</v>
      </c>
      <c r="C6867" s="9" t="s">
        <v>628</v>
      </c>
      <c r="D6867">
        <v>10021731160</v>
      </c>
      <c r="E6867" t="s">
        <v>47</v>
      </c>
      <c r="F6867" t="s">
        <v>61</v>
      </c>
      <c r="G6867" t="s">
        <v>62</v>
      </c>
      <c r="H6867" t="s">
        <v>2546</v>
      </c>
      <c r="I6867" t="s">
        <v>2547</v>
      </c>
      <c r="J6867" t="s">
        <v>668</v>
      </c>
      <c r="K6867" s="3">
        <v>10096733641</v>
      </c>
      <c r="L6867" s="10">
        <v>40080</v>
      </c>
      <c r="M6867">
        <v>130.11</v>
      </c>
      <c r="N6867" s="11">
        <v>16</v>
      </c>
      <c r="O6867" s="12">
        <v>8.12</v>
      </c>
      <c r="P6867" s="12">
        <v>2.83</v>
      </c>
      <c r="Q6867" s="13">
        <v>-47.69</v>
      </c>
      <c r="R6867" s="36" t="s">
        <v>1324</v>
      </c>
      <c r="S6867" s="7">
        <f t="shared" si="609"/>
        <v>1</v>
      </c>
      <c r="T6867" s="15" t="str">
        <f>VLOOKUP(R6867,产品分类!$C$2:$D$1278,2,0)</f>
        <v>家具产品</v>
      </c>
    </row>
    <row r="6868" spans="1:20">
      <c r="A6868" s="8">
        <f t="shared" si="610"/>
        <v>40079</v>
      </c>
      <c r="B6868" s="8">
        <f t="shared" si="610"/>
        <v>40079</v>
      </c>
      <c r="C6868" s="9" t="s">
        <v>628</v>
      </c>
      <c r="D6868">
        <v>10021536318</v>
      </c>
      <c r="E6868" t="s">
        <v>47</v>
      </c>
      <c r="F6868" t="s">
        <v>61</v>
      </c>
      <c r="G6868" t="s">
        <v>62</v>
      </c>
      <c r="H6868" t="s">
        <v>2546</v>
      </c>
      <c r="I6868" t="s">
        <v>2547</v>
      </c>
      <c r="J6868" t="s">
        <v>668</v>
      </c>
      <c r="K6868" s="3">
        <v>100832656242</v>
      </c>
      <c r="L6868" s="10">
        <v>40080</v>
      </c>
      <c r="M6868">
        <v>4012.58</v>
      </c>
      <c r="N6868" s="11">
        <v>15</v>
      </c>
      <c r="O6868" s="12">
        <v>279.48</v>
      </c>
      <c r="P6868" s="12">
        <v>35</v>
      </c>
      <c r="Q6868" s="13">
        <v>-425.14</v>
      </c>
      <c r="R6868" s="36" t="s">
        <v>1418</v>
      </c>
      <c r="S6868" s="7">
        <f t="shared" si="609"/>
        <v>1</v>
      </c>
      <c r="T6868" s="15" t="str">
        <f>VLOOKUP(R6868,产品分类!$C$2:$D$1278,2,0)</f>
        <v>家具产品</v>
      </c>
    </row>
    <row r="6869" spans="1:20">
      <c r="A6869" s="8">
        <f t="shared" si="610"/>
        <v>40079</v>
      </c>
      <c r="B6869" s="8">
        <f t="shared" si="610"/>
        <v>40079</v>
      </c>
      <c r="C6869" s="9" t="s">
        <v>628</v>
      </c>
      <c r="D6869">
        <v>10021680269</v>
      </c>
      <c r="E6869" t="s">
        <v>47</v>
      </c>
      <c r="F6869" t="s">
        <v>61</v>
      </c>
      <c r="G6869" t="s">
        <v>62</v>
      </c>
      <c r="H6869" t="s">
        <v>2546</v>
      </c>
      <c r="I6869" t="s">
        <v>2547</v>
      </c>
      <c r="J6869" t="s">
        <v>668</v>
      </c>
      <c r="K6869" s="3">
        <v>100913614691</v>
      </c>
      <c r="L6869" s="10">
        <v>40081</v>
      </c>
      <c r="M6869">
        <v>1295.54</v>
      </c>
      <c r="N6869" s="11">
        <v>31</v>
      </c>
      <c r="O6869" s="12">
        <v>40.99</v>
      </c>
      <c r="P6869" s="12">
        <v>17.48</v>
      </c>
      <c r="Q6869" s="13">
        <v>214.23</v>
      </c>
      <c r="R6869" s="36" t="s">
        <v>2132</v>
      </c>
      <c r="S6869" s="7">
        <f t="shared" si="609"/>
        <v>2</v>
      </c>
      <c r="T6869" s="15" t="str">
        <f>VLOOKUP(R6869,产品分类!$C$2:$D$1278,2,0)</f>
        <v>办公用品</v>
      </c>
    </row>
    <row r="6870" spans="1:20">
      <c r="A6870" s="8">
        <f>DATE(2012,12,31)-119</f>
        <v>41155</v>
      </c>
      <c r="B6870" s="8">
        <f>DATE(2012,12,31)-119</f>
        <v>41155</v>
      </c>
      <c r="C6870" s="9" t="s">
        <v>1828</v>
      </c>
      <c r="D6870">
        <v>10021492596</v>
      </c>
      <c r="E6870" t="s">
        <v>47</v>
      </c>
      <c r="F6870" t="s">
        <v>61</v>
      </c>
      <c r="G6870" t="s">
        <v>62</v>
      </c>
      <c r="H6870" t="s">
        <v>2546</v>
      </c>
      <c r="I6870" t="s">
        <v>2547</v>
      </c>
      <c r="J6870" t="s">
        <v>668</v>
      </c>
      <c r="K6870" s="3">
        <v>10019591907</v>
      </c>
      <c r="L6870" s="10">
        <v>41157</v>
      </c>
      <c r="M6870">
        <v>846.85</v>
      </c>
      <c r="N6870" s="11">
        <v>31</v>
      </c>
      <c r="O6870" s="12">
        <v>27.48</v>
      </c>
      <c r="P6870" s="12">
        <v>4</v>
      </c>
      <c r="Q6870" s="13">
        <v>-25.98</v>
      </c>
      <c r="R6870" s="36" t="s">
        <v>827</v>
      </c>
      <c r="S6870" s="7">
        <f t="shared" si="609"/>
        <v>2</v>
      </c>
      <c r="T6870" s="15" t="str">
        <f>VLOOKUP(R6870,产品分类!$C$2:$D$1278,2,0)</f>
        <v>家具产品</v>
      </c>
    </row>
    <row r="6871" spans="1:20">
      <c r="A6871" s="8">
        <f>DATE(2012,12,31)-1405</f>
        <v>39869</v>
      </c>
      <c r="B6871" s="8">
        <f>DATE(2012,12,31)-1405</f>
        <v>39869</v>
      </c>
      <c r="C6871" s="9" t="s">
        <v>536</v>
      </c>
      <c r="D6871">
        <v>10021636241</v>
      </c>
      <c r="E6871" t="s">
        <v>47</v>
      </c>
      <c r="F6871" t="s">
        <v>83</v>
      </c>
      <c r="G6871" t="s">
        <v>84</v>
      </c>
      <c r="H6871" t="s">
        <v>2510</v>
      </c>
      <c r="I6871" t="s">
        <v>2511</v>
      </c>
      <c r="J6871" t="s">
        <v>668</v>
      </c>
      <c r="K6871" s="3">
        <v>100413634184</v>
      </c>
      <c r="L6871" s="10">
        <v>39870</v>
      </c>
      <c r="M6871">
        <v>305.76</v>
      </c>
      <c r="N6871" s="11">
        <v>31</v>
      </c>
      <c r="O6871" s="12">
        <v>10.44</v>
      </c>
      <c r="P6871" s="12">
        <v>5.75</v>
      </c>
      <c r="Q6871" s="13">
        <v>-22.5285</v>
      </c>
      <c r="R6871" s="36" t="s">
        <v>1958</v>
      </c>
      <c r="S6871" s="7">
        <f t="shared" si="609"/>
        <v>1</v>
      </c>
      <c r="T6871" s="15" t="str">
        <f>VLOOKUP(R6871,产品分类!$C$2:$D$1278,2,0)</f>
        <v>数码电子</v>
      </c>
    </row>
    <row r="6872" spans="1:20">
      <c r="A6872" s="8">
        <f>DATE(2012,12,31)-1405</f>
        <v>39869</v>
      </c>
      <c r="B6872" s="8">
        <f>DATE(2012,12,31)-1405</f>
        <v>39869</v>
      </c>
      <c r="C6872" s="9" t="s">
        <v>536</v>
      </c>
      <c r="D6872">
        <v>10021377872</v>
      </c>
      <c r="E6872" t="s">
        <v>47</v>
      </c>
      <c r="F6872" t="s">
        <v>253</v>
      </c>
      <c r="G6872" t="s">
        <v>254</v>
      </c>
      <c r="H6872" t="s">
        <v>2508</v>
      </c>
      <c r="I6872" t="s">
        <v>2509</v>
      </c>
      <c r="J6872" t="s">
        <v>668</v>
      </c>
      <c r="K6872" s="3">
        <v>100112811106</v>
      </c>
      <c r="L6872" s="10">
        <v>39870</v>
      </c>
      <c r="M6872">
        <v>25.48</v>
      </c>
      <c r="N6872" s="11">
        <v>3</v>
      </c>
      <c r="O6872" s="12">
        <v>8.33</v>
      </c>
      <c r="P6872" s="12">
        <v>1.99</v>
      </c>
      <c r="Q6872" s="13">
        <v>-26.8</v>
      </c>
      <c r="R6872" s="36" t="s">
        <v>1142</v>
      </c>
      <c r="S6872" s="7">
        <f t="shared" si="609"/>
        <v>1</v>
      </c>
      <c r="T6872" s="15" t="str">
        <f>VLOOKUP(R6872,产品分类!$C$2:$D$1278,2,0)</f>
        <v>办公用品</v>
      </c>
    </row>
    <row r="6873" spans="1:20">
      <c r="A6873" s="8">
        <f>DATE(2012,12,31)-1373</f>
        <v>39901</v>
      </c>
      <c r="B6873" s="8">
        <f>DATE(2012,12,31)-1373</f>
        <v>39901</v>
      </c>
      <c r="C6873" s="9" t="s">
        <v>1917</v>
      </c>
      <c r="D6873">
        <v>10021435867</v>
      </c>
      <c r="E6873" t="s">
        <v>47</v>
      </c>
      <c r="F6873" t="s">
        <v>61</v>
      </c>
      <c r="G6873" t="s">
        <v>62</v>
      </c>
      <c r="H6873" t="s">
        <v>2546</v>
      </c>
      <c r="I6873" t="s">
        <v>2547</v>
      </c>
      <c r="J6873" t="s">
        <v>668</v>
      </c>
      <c r="K6873" s="3">
        <v>10039812299</v>
      </c>
      <c r="L6873" s="10">
        <v>39903</v>
      </c>
      <c r="M6873">
        <v>177.41</v>
      </c>
      <c r="N6873" s="11">
        <v>29</v>
      </c>
      <c r="O6873" s="12">
        <v>5.78</v>
      </c>
      <c r="P6873" s="12">
        <v>7.64</v>
      </c>
      <c r="Q6873" s="13">
        <v>-116.05</v>
      </c>
      <c r="R6873" s="36" t="s">
        <v>1284</v>
      </c>
      <c r="S6873" s="7">
        <f t="shared" si="609"/>
        <v>2</v>
      </c>
      <c r="T6873" s="15" t="str">
        <f>VLOOKUP(R6873,产品分类!$C$2:$D$1278,2,0)</f>
        <v>家具产品</v>
      </c>
    </row>
    <row r="6874" spans="1:20">
      <c r="A6874" s="8">
        <f>DATE(2012,12,31)-540</f>
        <v>40734</v>
      </c>
      <c r="B6874" s="8">
        <f>DATE(2012,12,31)-540</f>
        <v>40734</v>
      </c>
      <c r="C6874" s="9" t="s">
        <v>1390</v>
      </c>
      <c r="D6874">
        <v>10021488899</v>
      </c>
      <c r="E6874" t="s">
        <v>47</v>
      </c>
      <c r="F6874" t="s">
        <v>72</v>
      </c>
      <c r="G6874" t="s">
        <v>73</v>
      </c>
      <c r="H6874" t="s">
        <v>2558</v>
      </c>
      <c r="I6874" t="s">
        <v>2559</v>
      </c>
      <c r="J6874" t="s">
        <v>668</v>
      </c>
      <c r="K6874" s="3">
        <v>100730662175</v>
      </c>
      <c r="L6874" s="10">
        <v>40741</v>
      </c>
      <c r="M6874">
        <v>5661.08</v>
      </c>
      <c r="N6874" s="11">
        <v>33</v>
      </c>
      <c r="O6874" s="12">
        <v>160.98</v>
      </c>
      <c r="P6874" s="12">
        <v>30</v>
      </c>
      <c r="Q6874" s="13">
        <v>1055.47</v>
      </c>
      <c r="R6874" s="36" t="s">
        <v>1393</v>
      </c>
      <c r="S6874" s="7">
        <f t="shared" si="609"/>
        <v>7</v>
      </c>
      <c r="T6874" s="15" t="str">
        <f>VLOOKUP(R6874,产品分类!$C$2:$D$1278,2,0)</f>
        <v>家具产品</v>
      </c>
    </row>
    <row r="6875" spans="1:20">
      <c r="A6875" s="8">
        <f>DATE(2012,12,31)-156</f>
        <v>41118</v>
      </c>
      <c r="B6875" s="8">
        <f>DATE(2012,12,31)-156</f>
        <v>41118</v>
      </c>
      <c r="C6875" s="9" t="s">
        <v>785</v>
      </c>
      <c r="D6875">
        <v>10021701165</v>
      </c>
      <c r="E6875" t="s">
        <v>47</v>
      </c>
      <c r="F6875" t="s">
        <v>55</v>
      </c>
      <c r="G6875" t="s">
        <v>56</v>
      </c>
      <c r="H6875" t="s">
        <v>2471</v>
      </c>
      <c r="I6875" t="s">
        <v>2472</v>
      </c>
      <c r="J6875" t="s">
        <v>668</v>
      </c>
      <c r="K6875" s="3">
        <v>100120238636</v>
      </c>
      <c r="L6875" s="10">
        <v>41118</v>
      </c>
      <c r="M6875">
        <v>2245.78</v>
      </c>
      <c r="N6875" s="11">
        <v>31</v>
      </c>
      <c r="O6875" s="12">
        <v>70.98</v>
      </c>
      <c r="P6875" s="12">
        <v>30</v>
      </c>
      <c r="Q6875" s="13">
        <v>-432.46</v>
      </c>
      <c r="R6875" s="36" t="s">
        <v>1552</v>
      </c>
      <c r="S6875" s="7">
        <f t="shared" si="609"/>
        <v>0</v>
      </c>
      <c r="T6875" s="15" t="str">
        <f>VLOOKUP(R6875,产品分类!$C$2:$D$1278,2,0)</f>
        <v>数码电子</v>
      </c>
    </row>
    <row r="6876" spans="1:20">
      <c r="A6876" s="8">
        <f>DATE(2012,12,31)-1396</f>
        <v>39878</v>
      </c>
      <c r="B6876" s="8">
        <f>DATE(2012,12,31)-1396</f>
        <v>39878</v>
      </c>
      <c r="C6876" s="9" t="s">
        <v>2563</v>
      </c>
      <c r="D6876">
        <v>10021564420</v>
      </c>
      <c r="E6876" t="s">
        <v>47</v>
      </c>
      <c r="F6876" t="s">
        <v>171</v>
      </c>
      <c r="G6876" t="s">
        <v>172</v>
      </c>
      <c r="H6876" t="s">
        <v>2486</v>
      </c>
      <c r="I6876" t="s">
        <v>2310</v>
      </c>
      <c r="J6876" t="s">
        <v>668</v>
      </c>
      <c r="K6876" s="3">
        <v>100112265257</v>
      </c>
      <c r="L6876" s="10">
        <v>39879</v>
      </c>
      <c r="M6876">
        <v>1523.5</v>
      </c>
      <c r="N6876" s="11">
        <v>26</v>
      </c>
      <c r="O6876" s="12">
        <v>60.98</v>
      </c>
      <c r="P6876" s="12">
        <v>49</v>
      </c>
      <c r="Q6876" s="13">
        <v>-807.89</v>
      </c>
      <c r="R6876" s="36" t="s">
        <v>1022</v>
      </c>
      <c r="S6876" s="7">
        <f t="shared" si="609"/>
        <v>1</v>
      </c>
      <c r="T6876" s="15" t="str">
        <f>VLOOKUP(R6876,产品分类!$C$2:$D$1278,2,0)</f>
        <v>办公用品</v>
      </c>
    </row>
    <row r="6877" spans="1:20">
      <c r="A6877" s="8">
        <f>DATE(2012,12,31)-835</f>
        <v>40439</v>
      </c>
      <c r="B6877" s="8">
        <f>DATE(2012,12,31)-835</f>
        <v>40439</v>
      </c>
      <c r="C6877" s="9" t="s">
        <v>695</v>
      </c>
      <c r="D6877">
        <v>10021495573</v>
      </c>
      <c r="E6877" t="s">
        <v>47</v>
      </c>
      <c r="F6877" t="s">
        <v>66</v>
      </c>
      <c r="G6877" t="s">
        <v>67</v>
      </c>
      <c r="H6877" t="s">
        <v>2467</v>
      </c>
      <c r="I6877" t="s">
        <v>2468</v>
      </c>
      <c r="J6877" t="s">
        <v>668</v>
      </c>
      <c r="K6877" s="3">
        <v>100110486416</v>
      </c>
      <c r="L6877" s="10">
        <v>40444</v>
      </c>
      <c r="M6877">
        <v>3760.3065</v>
      </c>
      <c r="N6877" s="11">
        <v>22</v>
      </c>
      <c r="O6877" s="12">
        <v>195.99</v>
      </c>
      <c r="P6877" s="12">
        <v>8.99</v>
      </c>
      <c r="Q6877" s="13">
        <v>593.181</v>
      </c>
      <c r="R6877" s="36" t="s">
        <v>963</v>
      </c>
      <c r="S6877" s="7">
        <f t="shared" si="609"/>
        <v>5</v>
      </c>
      <c r="T6877" s="15" t="str">
        <f>VLOOKUP(R6877,产品分类!$C$2:$D$1278,2,0)</f>
        <v>家具产品</v>
      </c>
    </row>
    <row r="6878" spans="1:20">
      <c r="A6878" s="8">
        <f>DATE(2012,12,31)-716</f>
        <v>40558</v>
      </c>
      <c r="B6878" s="8">
        <f>DATE(2012,12,31)-716</f>
        <v>40558</v>
      </c>
      <c r="C6878" s="9" t="s">
        <v>669</v>
      </c>
      <c r="D6878">
        <v>10021255235</v>
      </c>
      <c r="E6878" t="s">
        <v>47</v>
      </c>
      <c r="F6878" t="s">
        <v>48</v>
      </c>
      <c r="G6878" t="s">
        <v>49</v>
      </c>
      <c r="H6878" t="s">
        <v>2539</v>
      </c>
      <c r="I6878" t="s">
        <v>2540</v>
      </c>
      <c r="J6878" t="s">
        <v>668</v>
      </c>
      <c r="K6878" s="3">
        <v>100723725885</v>
      </c>
      <c r="L6878" s="10">
        <v>40561</v>
      </c>
      <c r="M6878">
        <v>249.59</v>
      </c>
      <c r="N6878" s="11">
        <v>32</v>
      </c>
      <c r="O6878" s="12">
        <v>7.64</v>
      </c>
      <c r="P6878" s="12">
        <v>1.39</v>
      </c>
      <c r="Q6878" s="13">
        <v>101.82</v>
      </c>
      <c r="R6878" s="36" t="s">
        <v>491</v>
      </c>
      <c r="S6878" s="7">
        <f t="shared" si="609"/>
        <v>3</v>
      </c>
      <c r="T6878" s="15" t="str">
        <f>VLOOKUP(R6878,产品分类!$C$2:$D$1278,2,0)</f>
        <v>办公用品</v>
      </c>
    </row>
    <row r="6879" spans="1:20">
      <c r="A6879" s="8">
        <f t="shared" ref="A6879:B6882" si="611">DATE(2012,12,31)-1383</f>
        <v>39891</v>
      </c>
      <c r="B6879" s="8">
        <f t="shared" si="611"/>
        <v>39891</v>
      </c>
      <c r="C6879" s="9" t="s">
        <v>2043</v>
      </c>
      <c r="D6879">
        <v>10021673762</v>
      </c>
      <c r="E6879" t="s">
        <v>47</v>
      </c>
      <c r="F6879" t="s">
        <v>152</v>
      </c>
      <c r="G6879" t="s">
        <v>153</v>
      </c>
      <c r="H6879" t="s">
        <v>2536</v>
      </c>
      <c r="I6879" t="s">
        <v>2537</v>
      </c>
      <c r="J6879" t="s">
        <v>668</v>
      </c>
      <c r="K6879" s="3">
        <v>100431875844</v>
      </c>
      <c r="L6879" s="10">
        <v>39891</v>
      </c>
      <c r="M6879">
        <v>96.71</v>
      </c>
      <c r="N6879" s="11">
        <v>28</v>
      </c>
      <c r="O6879" s="12">
        <v>3.28</v>
      </c>
      <c r="P6879" s="12">
        <v>3.97</v>
      </c>
      <c r="Q6879" s="13">
        <v>-72.44</v>
      </c>
      <c r="R6879" s="36" t="s">
        <v>2168</v>
      </c>
      <c r="S6879" s="7">
        <f t="shared" si="609"/>
        <v>0</v>
      </c>
      <c r="T6879" s="15" t="str">
        <f>VLOOKUP(R6879,产品分类!$C$2:$D$1278,2,0)</f>
        <v>办公用品</v>
      </c>
    </row>
    <row r="6880" spans="1:20">
      <c r="A6880" s="8">
        <f t="shared" si="611"/>
        <v>39891</v>
      </c>
      <c r="B6880" s="8">
        <f t="shared" si="611"/>
        <v>39891</v>
      </c>
      <c r="C6880" s="9" t="s">
        <v>2320</v>
      </c>
      <c r="D6880">
        <v>10021663073</v>
      </c>
      <c r="E6880" t="s">
        <v>47</v>
      </c>
      <c r="F6880" t="s">
        <v>132</v>
      </c>
      <c r="G6880" t="s">
        <v>133</v>
      </c>
      <c r="H6880" t="s">
        <v>134</v>
      </c>
      <c r="I6880" t="s">
        <v>133</v>
      </c>
      <c r="J6880" t="s">
        <v>668</v>
      </c>
      <c r="K6880" s="3">
        <v>100123327346</v>
      </c>
      <c r="L6880" s="10">
        <v>39891</v>
      </c>
      <c r="M6880">
        <v>259.69</v>
      </c>
      <c r="N6880" s="11">
        <v>11</v>
      </c>
      <c r="O6880" s="12">
        <v>24.92</v>
      </c>
      <c r="P6880" s="12">
        <v>12.98</v>
      </c>
      <c r="Q6880" s="13">
        <v>-45.816</v>
      </c>
      <c r="R6880" s="36" t="s">
        <v>767</v>
      </c>
      <c r="S6880" s="7">
        <f t="shared" si="609"/>
        <v>0</v>
      </c>
      <c r="T6880" s="15" t="str">
        <f>VLOOKUP(R6880,产品分类!$C$2:$D$1278,2,0)</f>
        <v>家具产品</v>
      </c>
    </row>
    <row r="6881" spans="1:20">
      <c r="A6881" s="8">
        <f t="shared" si="611"/>
        <v>39891</v>
      </c>
      <c r="B6881" s="8">
        <f t="shared" si="611"/>
        <v>39891</v>
      </c>
      <c r="C6881" s="9" t="s">
        <v>2320</v>
      </c>
      <c r="D6881">
        <v>10021293414</v>
      </c>
      <c r="E6881" t="s">
        <v>47</v>
      </c>
      <c r="F6881" t="s">
        <v>152</v>
      </c>
      <c r="G6881" t="s">
        <v>153</v>
      </c>
      <c r="H6881" t="s">
        <v>2536</v>
      </c>
      <c r="I6881" t="s">
        <v>2537</v>
      </c>
      <c r="J6881" t="s">
        <v>668</v>
      </c>
      <c r="K6881" s="3">
        <v>10099249501</v>
      </c>
      <c r="L6881" s="10">
        <v>39891</v>
      </c>
      <c r="M6881">
        <v>2503.86</v>
      </c>
      <c r="N6881" s="11">
        <v>9</v>
      </c>
      <c r="O6881" s="12">
        <v>270.97</v>
      </c>
      <c r="P6881" s="12">
        <v>28.06</v>
      </c>
      <c r="Q6881" s="13">
        <v>-172.4775</v>
      </c>
      <c r="R6881" s="36" t="s">
        <v>1020</v>
      </c>
      <c r="S6881" s="7">
        <f t="shared" si="609"/>
        <v>0</v>
      </c>
      <c r="T6881" s="15" t="str">
        <f>VLOOKUP(R6881,产品分类!$C$2:$D$1278,2,0)</f>
        <v>办公用品</v>
      </c>
    </row>
    <row r="6882" spans="1:20">
      <c r="A6882" s="16">
        <f t="shared" si="611"/>
        <v>39891</v>
      </c>
      <c r="B6882" s="16">
        <f t="shared" si="611"/>
        <v>39891</v>
      </c>
      <c r="C6882" s="9" t="s">
        <v>943</v>
      </c>
      <c r="D6882">
        <v>10021260556</v>
      </c>
      <c r="E6882" t="s">
        <v>47</v>
      </c>
      <c r="F6882" t="s">
        <v>152</v>
      </c>
      <c r="G6882" t="s">
        <v>153</v>
      </c>
      <c r="H6882" t="s">
        <v>2536</v>
      </c>
      <c r="I6882" t="s">
        <v>2537</v>
      </c>
      <c r="J6882" t="s">
        <v>668</v>
      </c>
      <c r="K6882" s="3">
        <v>100428657714</v>
      </c>
      <c r="L6882" s="10">
        <v>39892</v>
      </c>
      <c r="M6882">
        <v>374.67</v>
      </c>
      <c r="N6882" s="17">
        <v>29</v>
      </c>
      <c r="O6882" s="5">
        <v>12.28</v>
      </c>
      <c r="P6882" s="5">
        <v>6.35</v>
      </c>
      <c r="Q6882" s="6">
        <v>30.63</v>
      </c>
      <c r="R6882" s="37" t="s">
        <v>118</v>
      </c>
      <c r="S6882" s="7">
        <f t="shared" si="609"/>
        <v>1</v>
      </c>
      <c r="T6882" s="15" t="str">
        <f>VLOOKUP(R6882,产品分类!$C$2:$D$1278,2,0)</f>
        <v>办公用品</v>
      </c>
    </row>
    <row r="6883" spans="1:20">
      <c r="A6883" s="16">
        <f>DATE(2012,12,31)-941</f>
        <v>40333</v>
      </c>
      <c r="B6883" s="16">
        <f>DATE(2012,12,31)-941</f>
        <v>40333</v>
      </c>
      <c r="C6883" s="9" t="s">
        <v>943</v>
      </c>
      <c r="D6883">
        <v>10021578470</v>
      </c>
      <c r="E6883" t="s">
        <v>47</v>
      </c>
      <c r="F6883" t="s">
        <v>66</v>
      </c>
      <c r="G6883" t="s">
        <v>67</v>
      </c>
      <c r="H6883" t="s">
        <v>2467</v>
      </c>
      <c r="I6883" t="s">
        <v>2468</v>
      </c>
      <c r="J6883" t="s">
        <v>668</v>
      </c>
      <c r="K6883" s="3">
        <v>100412577044</v>
      </c>
      <c r="L6883" s="10">
        <v>40333</v>
      </c>
      <c r="M6883">
        <v>86.64</v>
      </c>
      <c r="N6883" s="17">
        <v>21</v>
      </c>
      <c r="O6883" s="5">
        <v>3.98</v>
      </c>
      <c r="P6883" s="5">
        <v>5.26</v>
      </c>
      <c r="Q6883" s="6">
        <v>-73.071</v>
      </c>
      <c r="R6883" s="37" t="s">
        <v>700</v>
      </c>
      <c r="S6883" s="7">
        <f t="shared" si="609"/>
        <v>0</v>
      </c>
      <c r="T6883" s="15" t="str">
        <f>VLOOKUP(R6883,产品分类!$C$2:$D$1278,2,0)</f>
        <v>家具产品</v>
      </c>
    </row>
    <row r="6884" spans="1:20">
      <c r="A6884" s="8">
        <f>DATE(2012,12,31)-506</f>
        <v>40768</v>
      </c>
      <c r="B6884" s="8">
        <f>DATE(2012,12,31)-506</f>
        <v>40768</v>
      </c>
      <c r="C6884" s="9" t="s">
        <v>421</v>
      </c>
      <c r="D6884">
        <v>10021605391</v>
      </c>
      <c r="E6884" t="s">
        <v>47</v>
      </c>
      <c r="F6884" t="s">
        <v>152</v>
      </c>
      <c r="G6884" t="s">
        <v>153</v>
      </c>
      <c r="H6884" t="s">
        <v>2536</v>
      </c>
      <c r="I6884" t="s">
        <v>2537</v>
      </c>
      <c r="J6884" t="s">
        <v>668</v>
      </c>
      <c r="K6884" s="3">
        <v>10016393478</v>
      </c>
      <c r="L6884" s="10">
        <v>40769</v>
      </c>
      <c r="M6884">
        <v>409.97</v>
      </c>
      <c r="N6884" s="11">
        <v>13</v>
      </c>
      <c r="O6884" s="12">
        <v>33.62</v>
      </c>
      <c r="P6884" s="12">
        <v>3.5</v>
      </c>
      <c r="Q6884" s="13">
        <v>39.36</v>
      </c>
      <c r="R6884" s="36" t="s">
        <v>2097</v>
      </c>
      <c r="S6884" s="7">
        <f t="shared" si="609"/>
        <v>1</v>
      </c>
      <c r="T6884" s="15" t="str">
        <f>VLOOKUP(R6884,产品分类!$C$2:$D$1278,2,0)</f>
        <v>数码电子</v>
      </c>
    </row>
    <row r="6885" spans="1:20">
      <c r="A6885" s="8">
        <f>DATE(2012,12,31)-912</f>
        <v>40362</v>
      </c>
      <c r="B6885" s="8">
        <f>DATE(2012,12,31)-912</f>
        <v>40362</v>
      </c>
      <c r="C6885" s="9" t="s">
        <v>1139</v>
      </c>
      <c r="D6885">
        <v>10021256215</v>
      </c>
      <c r="E6885" t="s">
        <v>47</v>
      </c>
      <c r="F6885" t="s">
        <v>78</v>
      </c>
      <c r="G6885" t="s">
        <v>79</v>
      </c>
      <c r="H6885" t="s">
        <v>2489</v>
      </c>
      <c r="I6885" t="s">
        <v>2490</v>
      </c>
      <c r="J6885" t="s">
        <v>668</v>
      </c>
      <c r="K6885" s="3">
        <v>100118347827</v>
      </c>
      <c r="L6885" s="10">
        <v>40363</v>
      </c>
      <c r="M6885">
        <v>399.64</v>
      </c>
      <c r="N6885" s="11">
        <v>22</v>
      </c>
      <c r="O6885" s="12">
        <v>17.98</v>
      </c>
      <c r="P6885" s="12">
        <v>8.51</v>
      </c>
      <c r="Q6885" s="13">
        <v>-15.4164</v>
      </c>
      <c r="R6885" s="36" t="s">
        <v>923</v>
      </c>
      <c r="S6885" s="7">
        <f t="shared" si="609"/>
        <v>1</v>
      </c>
      <c r="T6885" s="15" t="str">
        <f>VLOOKUP(R6885,产品分类!$C$2:$D$1278,2,0)</f>
        <v>办公用品</v>
      </c>
    </row>
    <row r="6886" spans="1:20">
      <c r="A6886" s="16">
        <f>DATE(2012,12,31)-912</f>
        <v>40362</v>
      </c>
      <c r="B6886" s="16">
        <f>DATE(2012,12,31)-912</f>
        <v>40362</v>
      </c>
      <c r="C6886" s="9" t="s">
        <v>1139</v>
      </c>
      <c r="D6886">
        <v>10021579021</v>
      </c>
      <c r="E6886" t="s">
        <v>47</v>
      </c>
      <c r="F6886" t="s">
        <v>72</v>
      </c>
      <c r="G6886" t="s">
        <v>73</v>
      </c>
      <c r="H6886" t="s">
        <v>2558</v>
      </c>
      <c r="I6886" t="s">
        <v>2559</v>
      </c>
      <c r="J6886" t="s">
        <v>668</v>
      </c>
      <c r="K6886" s="3">
        <v>10042237943</v>
      </c>
      <c r="L6886" s="10">
        <v>40363</v>
      </c>
      <c r="M6886">
        <v>277.35</v>
      </c>
      <c r="N6886" s="17">
        <v>41</v>
      </c>
      <c r="O6886" s="5">
        <v>6.48</v>
      </c>
      <c r="P6886" s="5">
        <v>6.57</v>
      </c>
      <c r="Q6886" s="6">
        <v>-103.28</v>
      </c>
      <c r="R6886" s="37" t="s">
        <v>950</v>
      </c>
      <c r="S6886" s="7">
        <f t="shared" si="609"/>
        <v>1</v>
      </c>
      <c r="T6886" s="15" t="str">
        <f>VLOOKUP(R6886,产品分类!$C$2:$D$1278,2,0)</f>
        <v>数码电子</v>
      </c>
    </row>
    <row r="6887" spans="1:20">
      <c r="A6887" s="16">
        <f>DATE(2012,12,31)-456</f>
        <v>40818</v>
      </c>
      <c r="B6887" s="16">
        <f>DATE(2012,12,31)-456</f>
        <v>40818</v>
      </c>
      <c r="C6887" s="9" t="s">
        <v>1139</v>
      </c>
      <c r="D6887">
        <v>10021554861</v>
      </c>
      <c r="E6887" t="s">
        <v>47</v>
      </c>
      <c r="F6887" t="s">
        <v>72</v>
      </c>
      <c r="G6887" t="s">
        <v>73</v>
      </c>
      <c r="H6887" t="s">
        <v>2558</v>
      </c>
      <c r="I6887" t="s">
        <v>2559</v>
      </c>
      <c r="J6887" t="s">
        <v>668</v>
      </c>
      <c r="K6887" s="3">
        <v>10017712346</v>
      </c>
      <c r="L6887" s="10">
        <v>40818</v>
      </c>
      <c r="M6887">
        <v>238.25</v>
      </c>
      <c r="N6887" s="17">
        <v>24</v>
      </c>
      <c r="O6887" s="5">
        <v>9.38</v>
      </c>
      <c r="P6887" s="5">
        <v>7.28</v>
      </c>
      <c r="Q6887" s="6">
        <v>-83.55</v>
      </c>
      <c r="R6887" s="37" t="s">
        <v>620</v>
      </c>
      <c r="S6887" s="7">
        <f t="shared" si="609"/>
        <v>0</v>
      </c>
      <c r="T6887" s="15" t="str">
        <f>VLOOKUP(R6887,产品分类!$C$2:$D$1278,2,0)</f>
        <v>数码电子</v>
      </c>
    </row>
    <row r="6888" spans="1:20">
      <c r="A6888" s="8">
        <f>DATE(2012,12,31)-192</f>
        <v>41082</v>
      </c>
      <c r="B6888" s="8">
        <f>DATE(2012,12,31)-192</f>
        <v>41082</v>
      </c>
      <c r="C6888" s="9" t="s">
        <v>1560</v>
      </c>
      <c r="D6888">
        <v>10021283936</v>
      </c>
      <c r="E6888" t="s">
        <v>47</v>
      </c>
      <c r="F6888" t="s">
        <v>78</v>
      </c>
      <c r="G6888" t="s">
        <v>79</v>
      </c>
      <c r="H6888" t="s">
        <v>2489</v>
      </c>
      <c r="I6888" t="s">
        <v>2490</v>
      </c>
      <c r="J6888" t="s">
        <v>668</v>
      </c>
      <c r="K6888" s="3">
        <v>100927626161</v>
      </c>
      <c r="L6888" s="10">
        <v>41083</v>
      </c>
      <c r="M6888">
        <v>1357.44</v>
      </c>
      <c r="N6888" s="11">
        <v>20</v>
      </c>
      <c r="O6888" s="12">
        <v>70.98</v>
      </c>
      <c r="P6888" s="12">
        <v>26.85</v>
      </c>
      <c r="Q6888" s="13">
        <v>-102.3</v>
      </c>
      <c r="R6888" s="36" t="s">
        <v>1392</v>
      </c>
      <c r="S6888" s="7">
        <f t="shared" si="609"/>
        <v>1</v>
      </c>
      <c r="T6888" s="15" t="str">
        <f>VLOOKUP(R6888,产品分类!$C$2:$D$1278,2,0)</f>
        <v>办公用品</v>
      </c>
    </row>
    <row r="6889" spans="1:20">
      <c r="A6889" s="16">
        <f>DATE(2012,12,31)-1116</f>
        <v>40158</v>
      </c>
      <c r="B6889" s="16">
        <f>DATE(2012,12,31)-1116</f>
        <v>40158</v>
      </c>
      <c r="C6889" s="9" t="s">
        <v>859</v>
      </c>
      <c r="D6889">
        <v>10021672584</v>
      </c>
      <c r="E6889" t="s">
        <v>47</v>
      </c>
      <c r="F6889" t="s">
        <v>72</v>
      </c>
      <c r="G6889" t="s">
        <v>73</v>
      </c>
      <c r="H6889" t="s">
        <v>2558</v>
      </c>
      <c r="I6889" t="s">
        <v>2559</v>
      </c>
      <c r="J6889" t="s">
        <v>668</v>
      </c>
      <c r="K6889" s="3">
        <v>100431531674</v>
      </c>
      <c r="L6889" s="10">
        <v>40159</v>
      </c>
      <c r="M6889">
        <v>334.71</v>
      </c>
      <c r="N6889" s="17">
        <v>25</v>
      </c>
      <c r="O6889" s="5">
        <v>12.28</v>
      </c>
      <c r="P6889" s="5">
        <v>6.47</v>
      </c>
      <c r="Q6889" s="6">
        <v>31.74</v>
      </c>
      <c r="R6889" s="37" t="s">
        <v>2319</v>
      </c>
      <c r="S6889" s="7">
        <f t="shared" si="609"/>
        <v>1</v>
      </c>
      <c r="T6889" s="15" t="str">
        <f>VLOOKUP(R6889,产品分类!$C$2:$D$1278,2,0)</f>
        <v>数码电子</v>
      </c>
    </row>
    <row r="6890" spans="1:20">
      <c r="A6890" s="8">
        <f>DATE(2012,12,31)-679</f>
        <v>40595</v>
      </c>
      <c r="B6890" s="8">
        <f>DATE(2012,12,31)-679</f>
        <v>40595</v>
      </c>
      <c r="C6890" s="9" t="s">
        <v>859</v>
      </c>
      <c r="D6890">
        <v>10021433202</v>
      </c>
      <c r="E6890" t="s">
        <v>47</v>
      </c>
      <c r="F6890" t="s">
        <v>78</v>
      </c>
      <c r="G6890" t="s">
        <v>79</v>
      </c>
      <c r="H6890" t="s">
        <v>2489</v>
      </c>
      <c r="I6890" t="s">
        <v>2490</v>
      </c>
      <c r="J6890" t="s">
        <v>668</v>
      </c>
      <c r="K6890" s="3">
        <v>100132602746</v>
      </c>
      <c r="L6890" s="10">
        <v>40596</v>
      </c>
      <c r="M6890">
        <v>164.41</v>
      </c>
      <c r="N6890" s="11">
        <v>30</v>
      </c>
      <c r="O6890" s="12">
        <v>4.98</v>
      </c>
      <c r="P6890" s="12">
        <v>7.54</v>
      </c>
      <c r="Q6890" s="13">
        <v>-128.52</v>
      </c>
      <c r="R6890" s="36" t="s">
        <v>1011</v>
      </c>
      <c r="S6890" s="7">
        <f t="shared" si="609"/>
        <v>1</v>
      </c>
      <c r="T6890" s="15" t="str">
        <f>VLOOKUP(R6890,产品分类!$C$2:$D$1278,2,0)</f>
        <v>家具产品</v>
      </c>
    </row>
    <row r="6891" spans="1:20">
      <c r="A6891" s="8">
        <f>DATE(2012,12,31)-679</f>
        <v>40595</v>
      </c>
      <c r="B6891" s="8">
        <f>DATE(2012,12,31)-679</f>
        <v>40595</v>
      </c>
      <c r="C6891" s="9" t="s">
        <v>820</v>
      </c>
      <c r="D6891">
        <v>10021263402</v>
      </c>
      <c r="E6891" t="s">
        <v>47</v>
      </c>
      <c r="F6891" t="s">
        <v>78</v>
      </c>
      <c r="G6891" t="s">
        <v>79</v>
      </c>
      <c r="H6891" t="s">
        <v>2489</v>
      </c>
      <c r="I6891" t="s">
        <v>2490</v>
      </c>
      <c r="J6891" t="s">
        <v>668</v>
      </c>
      <c r="K6891" s="3">
        <v>100330506079</v>
      </c>
      <c r="L6891" s="10">
        <v>40597</v>
      </c>
      <c r="M6891">
        <v>1882.18</v>
      </c>
      <c r="N6891" s="11">
        <v>19</v>
      </c>
      <c r="O6891" s="12">
        <v>107.53</v>
      </c>
      <c r="P6891" s="12">
        <v>5.81</v>
      </c>
      <c r="Q6891" s="13">
        <v>336.26</v>
      </c>
      <c r="R6891" s="36" t="s">
        <v>1107</v>
      </c>
      <c r="S6891" s="7">
        <f t="shared" si="609"/>
        <v>2</v>
      </c>
      <c r="T6891" s="15" t="str">
        <f>VLOOKUP(R6891,产品分类!$C$2:$D$1278,2,0)</f>
        <v>家具产品</v>
      </c>
    </row>
    <row r="6892" spans="1:20">
      <c r="A6892" s="8">
        <f>DATE(2012,12,31)-494</f>
        <v>40780</v>
      </c>
      <c r="B6892" s="8">
        <f>DATE(2012,12,31)-494</f>
        <v>40780</v>
      </c>
      <c r="C6892" s="9" t="s">
        <v>1696</v>
      </c>
      <c r="D6892">
        <v>10021387973</v>
      </c>
      <c r="E6892" t="s">
        <v>47</v>
      </c>
      <c r="F6892" t="s">
        <v>78</v>
      </c>
      <c r="G6892" t="s">
        <v>79</v>
      </c>
      <c r="H6892" t="s">
        <v>2489</v>
      </c>
      <c r="I6892" t="s">
        <v>2490</v>
      </c>
      <c r="J6892" t="s">
        <v>668</v>
      </c>
      <c r="K6892" s="3">
        <v>100722630665</v>
      </c>
      <c r="L6892" s="10">
        <v>40782</v>
      </c>
      <c r="M6892">
        <v>98.82</v>
      </c>
      <c r="N6892" s="11">
        <v>13</v>
      </c>
      <c r="O6892" s="12">
        <v>7.37</v>
      </c>
      <c r="P6892" s="12">
        <v>5.53</v>
      </c>
      <c r="Q6892" s="13">
        <v>-68.66</v>
      </c>
      <c r="R6892" s="36" t="s">
        <v>764</v>
      </c>
      <c r="S6892" s="7">
        <f t="shared" si="609"/>
        <v>2</v>
      </c>
      <c r="T6892" s="15" t="str">
        <f>VLOOKUP(R6892,产品分类!$C$2:$D$1278,2,0)</f>
        <v>家具产品</v>
      </c>
    </row>
    <row r="6893" spans="1:20">
      <c r="A6893" s="8">
        <f>DATE(2012,12,31)-494</f>
        <v>40780</v>
      </c>
      <c r="B6893" s="8">
        <f>DATE(2012,12,31)-494</f>
        <v>40780</v>
      </c>
      <c r="C6893" s="9" t="s">
        <v>1432</v>
      </c>
      <c r="D6893">
        <v>10021747653</v>
      </c>
      <c r="E6893" t="s">
        <v>47</v>
      </c>
      <c r="F6893" t="s">
        <v>78</v>
      </c>
      <c r="G6893" t="s">
        <v>79</v>
      </c>
      <c r="H6893" t="s">
        <v>2489</v>
      </c>
      <c r="I6893" t="s">
        <v>2490</v>
      </c>
      <c r="J6893" t="s">
        <v>668</v>
      </c>
      <c r="K6893" s="3">
        <v>100929627951</v>
      </c>
      <c r="L6893" s="10">
        <v>40782</v>
      </c>
      <c r="M6893">
        <v>289.19</v>
      </c>
      <c r="N6893" s="11">
        <v>40</v>
      </c>
      <c r="O6893" s="12">
        <v>6.68</v>
      </c>
      <c r="P6893" s="12">
        <v>6.15</v>
      </c>
      <c r="Q6893" s="13">
        <v>-69.03</v>
      </c>
      <c r="R6893" s="36" t="s">
        <v>1009</v>
      </c>
      <c r="S6893" s="7">
        <f t="shared" si="609"/>
        <v>2</v>
      </c>
      <c r="T6893" s="15" t="str">
        <f>VLOOKUP(R6893,产品分类!$C$2:$D$1278,2,0)</f>
        <v>数码电子</v>
      </c>
    </row>
    <row r="6894" spans="1:20">
      <c r="A6894" s="8">
        <f>DATE(2012,12,31)-1</f>
        <v>41273</v>
      </c>
      <c r="B6894" s="8">
        <f>DATE(2012,12,31)-1</f>
        <v>41273</v>
      </c>
      <c r="C6894" s="9" t="s">
        <v>1163</v>
      </c>
      <c r="D6894">
        <v>10021340583</v>
      </c>
      <c r="E6894" t="s">
        <v>47</v>
      </c>
      <c r="F6894" t="s">
        <v>72</v>
      </c>
      <c r="G6894" t="s">
        <v>73</v>
      </c>
      <c r="H6894" t="s">
        <v>2558</v>
      </c>
      <c r="I6894" t="s">
        <v>2559</v>
      </c>
      <c r="J6894" t="s">
        <v>668</v>
      </c>
      <c r="K6894" s="3">
        <v>100126189518</v>
      </c>
      <c r="L6894" s="10">
        <v>41273</v>
      </c>
      <c r="M6894">
        <v>672.93</v>
      </c>
      <c r="N6894" s="11">
        <v>31</v>
      </c>
      <c r="O6894" s="12">
        <v>19.98</v>
      </c>
      <c r="P6894" s="12">
        <v>4</v>
      </c>
      <c r="Q6894" s="13">
        <v>27.85</v>
      </c>
      <c r="R6894" s="36" t="s">
        <v>568</v>
      </c>
      <c r="S6894" s="7">
        <f t="shared" si="609"/>
        <v>0</v>
      </c>
      <c r="T6894" s="15" t="str">
        <f>VLOOKUP(R6894,产品分类!$C$2:$D$1278,2,0)</f>
        <v>家具产品</v>
      </c>
    </row>
    <row r="6895" spans="1:20">
      <c r="A6895" s="8">
        <f>DATE(2012,12,31)-1</f>
        <v>41273</v>
      </c>
      <c r="B6895" s="8">
        <f>DATE(2012,12,31)-1</f>
        <v>41273</v>
      </c>
      <c r="C6895" s="9" t="s">
        <v>1359</v>
      </c>
      <c r="D6895">
        <v>10021673269</v>
      </c>
      <c r="E6895" t="s">
        <v>47</v>
      </c>
      <c r="F6895" t="s">
        <v>72</v>
      </c>
      <c r="G6895" t="s">
        <v>73</v>
      </c>
      <c r="H6895" t="s">
        <v>2558</v>
      </c>
      <c r="I6895" t="s">
        <v>2559</v>
      </c>
      <c r="J6895" t="s">
        <v>668</v>
      </c>
      <c r="K6895" s="3">
        <v>10011126857</v>
      </c>
      <c r="L6895" s="10">
        <v>41273</v>
      </c>
      <c r="M6895">
        <v>803.33</v>
      </c>
      <c r="N6895" s="11">
        <v>1</v>
      </c>
      <c r="O6895" s="12">
        <v>832.81</v>
      </c>
      <c r="P6895" s="12">
        <v>24.49</v>
      </c>
      <c r="Q6895" s="13">
        <v>-745.2</v>
      </c>
      <c r="R6895" s="36" t="s">
        <v>414</v>
      </c>
      <c r="S6895" s="7">
        <f t="shared" si="609"/>
        <v>0</v>
      </c>
      <c r="T6895" s="15" t="str">
        <f>VLOOKUP(R6895,产品分类!$C$2:$D$1278,2,0)</f>
        <v>数码电子</v>
      </c>
    </row>
    <row r="6896" spans="1:20">
      <c r="A6896" s="8">
        <f>DATE(2012,12,31)-606</f>
        <v>40668</v>
      </c>
      <c r="B6896" s="8">
        <f>DATE(2012,12,31)-606</f>
        <v>40668</v>
      </c>
      <c r="C6896" s="9" t="s">
        <v>1924</v>
      </c>
      <c r="D6896">
        <v>10021756296</v>
      </c>
      <c r="E6896" t="s">
        <v>47</v>
      </c>
      <c r="F6896" t="s">
        <v>72</v>
      </c>
      <c r="G6896" t="s">
        <v>73</v>
      </c>
      <c r="H6896" t="s">
        <v>2558</v>
      </c>
      <c r="I6896" t="s">
        <v>2559</v>
      </c>
      <c r="J6896" t="s">
        <v>668</v>
      </c>
      <c r="K6896" s="3">
        <v>100333011589</v>
      </c>
      <c r="L6896" s="10">
        <v>40671</v>
      </c>
      <c r="M6896">
        <v>94.35</v>
      </c>
      <c r="N6896" s="11">
        <v>8</v>
      </c>
      <c r="O6896" s="12">
        <v>12.22</v>
      </c>
      <c r="P6896" s="12">
        <v>2.85</v>
      </c>
      <c r="Q6896" s="13">
        <v>42.22</v>
      </c>
      <c r="R6896" s="36" t="s">
        <v>1814</v>
      </c>
      <c r="S6896" s="7">
        <f t="shared" si="609"/>
        <v>3</v>
      </c>
      <c r="T6896" s="15" t="str">
        <f>VLOOKUP(R6896,产品分类!$C$2:$D$1278,2,0)</f>
        <v>办公用品</v>
      </c>
    </row>
    <row r="6897" spans="1:20">
      <c r="A6897" s="8">
        <f>DATE(2012,12,31)-606</f>
        <v>40668</v>
      </c>
      <c r="B6897" s="8">
        <f>DATE(2012,12,31)-606</f>
        <v>40668</v>
      </c>
      <c r="C6897" s="9" t="s">
        <v>904</v>
      </c>
      <c r="D6897">
        <v>10021343065</v>
      </c>
      <c r="E6897" t="s">
        <v>47</v>
      </c>
      <c r="F6897" t="s">
        <v>230</v>
      </c>
      <c r="G6897" t="s">
        <v>231</v>
      </c>
      <c r="H6897" t="s">
        <v>2549</v>
      </c>
      <c r="I6897" t="s">
        <v>2550</v>
      </c>
      <c r="J6897" t="s">
        <v>668</v>
      </c>
      <c r="K6897" s="3">
        <v>100124364588</v>
      </c>
      <c r="L6897" s="10">
        <v>40669</v>
      </c>
      <c r="M6897">
        <v>276.75</v>
      </c>
      <c r="N6897" s="11">
        <v>50</v>
      </c>
      <c r="O6897" s="12">
        <v>5.28</v>
      </c>
      <c r="P6897" s="12">
        <v>5.57</v>
      </c>
      <c r="Q6897" s="13">
        <v>-117.91</v>
      </c>
      <c r="R6897" s="36" t="s">
        <v>383</v>
      </c>
      <c r="S6897" s="7">
        <f t="shared" si="609"/>
        <v>1</v>
      </c>
      <c r="T6897" s="15" t="str">
        <f>VLOOKUP(R6897,产品分类!$C$2:$D$1278,2,0)</f>
        <v>办公用品</v>
      </c>
    </row>
    <row r="6898" spans="1:20">
      <c r="A6898" s="8">
        <f>DATE(2012,12,31)-579</f>
        <v>40695</v>
      </c>
      <c r="B6898" s="8">
        <f>DATE(2012,12,31)-579</f>
        <v>40695</v>
      </c>
      <c r="C6898" s="9" t="s">
        <v>1838</v>
      </c>
      <c r="D6898">
        <v>10021751633</v>
      </c>
      <c r="E6898" t="s">
        <v>47</v>
      </c>
      <c r="F6898" t="s">
        <v>78</v>
      </c>
      <c r="G6898" t="s">
        <v>79</v>
      </c>
      <c r="H6898" t="s">
        <v>2489</v>
      </c>
      <c r="I6898" t="s">
        <v>2490</v>
      </c>
      <c r="J6898" t="s">
        <v>668</v>
      </c>
      <c r="K6898" s="3">
        <v>100131901358</v>
      </c>
      <c r="L6898" s="10">
        <v>40695</v>
      </c>
      <c r="M6898">
        <v>123.34</v>
      </c>
      <c r="N6898" s="11">
        <v>11</v>
      </c>
      <c r="O6898" s="12">
        <v>11.34</v>
      </c>
      <c r="P6898" s="12">
        <v>5.01</v>
      </c>
      <c r="Q6898" s="13">
        <v>0.640000000000001</v>
      </c>
      <c r="R6898" s="36" t="s">
        <v>1756</v>
      </c>
      <c r="S6898" s="7">
        <f t="shared" si="609"/>
        <v>0</v>
      </c>
      <c r="T6898" s="15" t="str">
        <f>VLOOKUP(R6898,产品分类!$C$2:$D$1278,2,0)</f>
        <v>办公用品</v>
      </c>
    </row>
    <row r="6899" spans="1:20">
      <c r="A6899" s="8">
        <f>DATE(2012,12,31)-579</f>
        <v>40695</v>
      </c>
      <c r="B6899" s="8">
        <f>DATE(2012,12,31)-579</f>
        <v>40695</v>
      </c>
      <c r="C6899" s="9" t="s">
        <v>1838</v>
      </c>
      <c r="D6899">
        <v>10021353381</v>
      </c>
      <c r="E6899" t="s">
        <v>47</v>
      </c>
      <c r="F6899" t="s">
        <v>230</v>
      </c>
      <c r="G6899" t="s">
        <v>231</v>
      </c>
      <c r="H6899" t="s">
        <v>2549</v>
      </c>
      <c r="I6899" t="s">
        <v>2550</v>
      </c>
      <c r="J6899" t="s">
        <v>668</v>
      </c>
      <c r="K6899" s="3">
        <v>100432565153</v>
      </c>
      <c r="L6899" s="10">
        <v>40697</v>
      </c>
      <c r="M6899">
        <v>1642.47</v>
      </c>
      <c r="N6899" s="11">
        <v>23</v>
      </c>
      <c r="O6899" s="12">
        <v>68.81</v>
      </c>
      <c r="P6899" s="12">
        <v>60</v>
      </c>
      <c r="Q6899" s="13">
        <v>-524.03</v>
      </c>
      <c r="R6899" s="36" t="s">
        <v>187</v>
      </c>
      <c r="S6899" s="7">
        <f t="shared" si="609"/>
        <v>2</v>
      </c>
      <c r="T6899" s="15" t="str">
        <f>VLOOKUP(R6899,产品分类!$C$2:$D$1278,2,0)</f>
        <v>数码电子</v>
      </c>
    </row>
    <row r="6900" spans="1:20">
      <c r="A6900" s="8">
        <f>DATE(2012,12,31)-131</f>
        <v>41143</v>
      </c>
      <c r="B6900" s="8">
        <f>DATE(2012,12,31)-131</f>
        <v>41143</v>
      </c>
      <c r="C6900" s="9" t="s">
        <v>1838</v>
      </c>
      <c r="D6900">
        <v>10021658313</v>
      </c>
      <c r="E6900" t="s">
        <v>47</v>
      </c>
      <c r="F6900" t="s">
        <v>473</v>
      </c>
      <c r="G6900" t="s">
        <v>474</v>
      </c>
      <c r="H6900" t="s">
        <v>2523</v>
      </c>
      <c r="I6900" t="s">
        <v>2524</v>
      </c>
      <c r="J6900" t="s">
        <v>668</v>
      </c>
      <c r="K6900" s="3">
        <v>10015921436</v>
      </c>
      <c r="L6900" s="10">
        <v>41145</v>
      </c>
      <c r="M6900">
        <v>375.11</v>
      </c>
      <c r="N6900" s="11">
        <v>50</v>
      </c>
      <c r="O6900" s="12">
        <v>7.28</v>
      </c>
      <c r="P6900" s="12">
        <v>11.15</v>
      </c>
      <c r="Q6900" s="13">
        <v>-331.63</v>
      </c>
      <c r="R6900" s="36" t="s">
        <v>1975</v>
      </c>
      <c r="S6900" s="7">
        <f t="shared" si="609"/>
        <v>2</v>
      </c>
      <c r="T6900" s="15" t="str">
        <f>VLOOKUP(R6900,产品分类!$C$2:$D$1278,2,0)</f>
        <v>办公用品</v>
      </c>
    </row>
    <row r="6901" spans="1:20">
      <c r="A6901" s="16">
        <f>DATE(2012,12,31)-276</f>
        <v>40998</v>
      </c>
      <c r="B6901" s="16">
        <f>DATE(2012,12,31)-276</f>
        <v>40998</v>
      </c>
      <c r="C6901" s="9" t="s">
        <v>1838</v>
      </c>
      <c r="D6901">
        <v>10021416858</v>
      </c>
      <c r="E6901" t="s">
        <v>47</v>
      </c>
      <c r="F6901" t="s">
        <v>473</v>
      </c>
      <c r="G6901" t="s">
        <v>474</v>
      </c>
      <c r="H6901" t="s">
        <v>2523</v>
      </c>
      <c r="I6901" t="s">
        <v>2524</v>
      </c>
      <c r="J6901" t="s">
        <v>668</v>
      </c>
      <c r="K6901" s="3">
        <v>100112347977</v>
      </c>
      <c r="L6901" s="10">
        <v>41002</v>
      </c>
      <c r="M6901">
        <v>109.92</v>
      </c>
      <c r="N6901" s="17">
        <v>27</v>
      </c>
      <c r="O6901" s="5">
        <v>3.98</v>
      </c>
      <c r="P6901" s="5">
        <v>0.83</v>
      </c>
      <c r="Q6901" s="6">
        <v>24.75</v>
      </c>
      <c r="R6901" s="37" t="s">
        <v>2562</v>
      </c>
      <c r="S6901" s="7">
        <f t="shared" si="609"/>
        <v>4</v>
      </c>
      <c r="T6901" s="15" t="str">
        <f>VLOOKUP(R6901,产品分类!$C$2:$D$1278,2,0)</f>
        <v>办公用品</v>
      </c>
    </row>
    <row r="6902" spans="1:20">
      <c r="A6902" s="8">
        <f>DATE(2012,12,31)-241</f>
        <v>41033</v>
      </c>
      <c r="B6902" s="8">
        <f>DATE(2012,12,31)-241</f>
        <v>41033</v>
      </c>
      <c r="C6902" s="9" t="s">
        <v>1714</v>
      </c>
      <c r="D6902">
        <v>10021662321</v>
      </c>
      <c r="E6902" t="s">
        <v>47</v>
      </c>
      <c r="F6902" t="s">
        <v>122</v>
      </c>
      <c r="G6902" t="s">
        <v>123</v>
      </c>
      <c r="H6902" t="s">
        <v>2458</v>
      </c>
      <c r="I6902" t="s">
        <v>2459</v>
      </c>
      <c r="J6902" t="s">
        <v>668</v>
      </c>
      <c r="K6902" s="3">
        <v>100413144223</v>
      </c>
      <c r="L6902" s="10">
        <v>41035</v>
      </c>
      <c r="M6902">
        <v>22145.37</v>
      </c>
      <c r="N6902" s="11">
        <v>11</v>
      </c>
      <c r="O6902" s="12">
        <v>1938.02</v>
      </c>
      <c r="P6902" s="12">
        <v>13.99</v>
      </c>
      <c r="Q6902" s="13">
        <v>6138.48</v>
      </c>
      <c r="R6902" s="36" t="s">
        <v>479</v>
      </c>
      <c r="S6902" s="7">
        <f t="shared" si="609"/>
        <v>2</v>
      </c>
      <c r="T6902" s="15" t="str">
        <f>VLOOKUP(R6902,产品分类!$C$2:$D$1278,2,0)</f>
        <v>办公用品</v>
      </c>
    </row>
    <row r="6903" spans="1:20">
      <c r="A6903" s="16">
        <f>DATE(2012,12,31)-18</f>
        <v>41256</v>
      </c>
      <c r="B6903" s="16">
        <f>DATE(2012,12,31)-18</f>
        <v>41256</v>
      </c>
      <c r="C6903" s="9" t="s">
        <v>1344</v>
      </c>
      <c r="D6903">
        <v>10021344251</v>
      </c>
      <c r="E6903" t="s">
        <v>47</v>
      </c>
      <c r="F6903" t="s">
        <v>122</v>
      </c>
      <c r="G6903" t="s">
        <v>123</v>
      </c>
      <c r="H6903" t="s">
        <v>2458</v>
      </c>
      <c r="I6903" t="s">
        <v>2459</v>
      </c>
      <c r="J6903" t="s">
        <v>668</v>
      </c>
      <c r="K6903" s="3">
        <v>100429493634</v>
      </c>
      <c r="L6903" s="10">
        <v>41257</v>
      </c>
      <c r="M6903">
        <v>1537.5</v>
      </c>
      <c r="N6903" s="17">
        <v>21</v>
      </c>
      <c r="O6903" s="5">
        <v>70.98</v>
      </c>
      <c r="P6903" s="5">
        <v>35</v>
      </c>
      <c r="Q6903" s="6">
        <v>-531.92</v>
      </c>
      <c r="R6903" s="37" t="s">
        <v>2564</v>
      </c>
      <c r="S6903" s="7">
        <f t="shared" si="609"/>
        <v>1</v>
      </c>
      <c r="T6903" s="15" t="str">
        <f>VLOOKUP(R6903,产品分类!$C$2:$D$1278,2,0)</f>
        <v>办公用品</v>
      </c>
    </row>
    <row r="6904" spans="1:20">
      <c r="A6904" s="8">
        <f>DATE(2012,12,31)-503</f>
        <v>40771</v>
      </c>
      <c r="B6904" s="8">
        <f>DATE(2012,12,31)-503</f>
        <v>40771</v>
      </c>
      <c r="C6904" s="9" t="s">
        <v>1185</v>
      </c>
      <c r="D6904">
        <v>10021591488</v>
      </c>
      <c r="E6904" t="s">
        <v>47</v>
      </c>
      <c r="F6904" t="s">
        <v>91</v>
      </c>
      <c r="G6904" t="s">
        <v>92</v>
      </c>
      <c r="H6904" t="s">
        <v>2556</v>
      </c>
      <c r="I6904" t="s">
        <v>2557</v>
      </c>
      <c r="J6904" t="s">
        <v>668</v>
      </c>
      <c r="K6904" s="3">
        <v>100831798732</v>
      </c>
      <c r="L6904" s="10">
        <v>40772</v>
      </c>
      <c r="M6904">
        <v>1457.78</v>
      </c>
      <c r="N6904" s="11">
        <v>28</v>
      </c>
      <c r="O6904" s="12">
        <v>49.99</v>
      </c>
      <c r="P6904" s="12">
        <v>19.99</v>
      </c>
      <c r="Q6904" s="13">
        <v>68.23</v>
      </c>
      <c r="R6904" s="36" t="s">
        <v>1430</v>
      </c>
      <c r="S6904" s="7">
        <f t="shared" si="609"/>
        <v>1</v>
      </c>
      <c r="T6904" s="15" t="str">
        <f>VLOOKUP(R6904,产品分类!$C$2:$D$1278,2,0)</f>
        <v>办公用品</v>
      </c>
    </row>
    <row r="6905" spans="1:20">
      <c r="A6905" s="8">
        <f>DATE(2012,12,31)-1395</f>
        <v>39879</v>
      </c>
      <c r="B6905" s="8">
        <f>DATE(2012,12,31)-1395</f>
        <v>39879</v>
      </c>
      <c r="C6905" s="9" t="s">
        <v>1185</v>
      </c>
      <c r="D6905">
        <v>10021425194</v>
      </c>
      <c r="E6905" t="s">
        <v>47</v>
      </c>
      <c r="F6905" t="s">
        <v>83</v>
      </c>
      <c r="G6905" t="s">
        <v>84</v>
      </c>
      <c r="H6905" t="s">
        <v>2510</v>
      </c>
      <c r="I6905" t="s">
        <v>2511</v>
      </c>
      <c r="J6905" t="s">
        <v>668</v>
      </c>
      <c r="K6905" s="3">
        <v>100829296552</v>
      </c>
      <c r="L6905" s="10">
        <v>39879</v>
      </c>
      <c r="M6905">
        <v>9418.14</v>
      </c>
      <c r="N6905" s="11">
        <v>20</v>
      </c>
      <c r="O6905" s="12">
        <v>517.48</v>
      </c>
      <c r="P6905" s="12">
        <v>16.63</v>
      </c>
      <c r="Q6905" s="13">
        <v>909.36</v>
      </c>
      <c r="R6905" s="36" t="s">
        <v>1945</v>
      </c>
      <c r="S6905" s="7">
        <f t="shared" si="609"/>
        <v>0</v>
      </c>
      <c r="T6905" s="15" t="str">
        <f>VLOOKUP(R6905,产品分类!$C$2:$D$1278,2,0)</f>
        <v>办公用品</v>
      </c>
    </row>
    <row r="6906" spans="1:20">
      <c r="A6906" s="8">
        <f>DATE(2012,12,31)-1191</f>
        <v>40083</v>
      </c>
      <c r="B6906" s="8">
        <f>DATE(2012,12,31)-1191</f>
        <v>40083</v>
      </c>
      <c r="C6906" s="9" t="s">
        <v>1258</v>
      </c>
      <c r="D6906">
        <v>10021577963</v>
      </c>
      <c r="E6906" t="s">
        <v>47</v>
      </c>
      <c r="F6906" t="s">
        <v>55</v>
      </c>
      <c r="G6906" t="s">
        <v>56</v>
      </c>
      <c r="H6906" t="s">
        <v>2471</v>
      </c>
      <c r="I6906" t="s">
        <v>2472</v>
      </c>
      <c r="J6906" t="s">
        <v>668</v>
      </c>
      <c r="K6906" s="3">
        <v>100117390668</v>
      </c>
      <c r="L6906" s="10">
        <v>40084</v>
      </c>
      <c r="M6906">
        <v>1981.26</v>
      </c>
      <c r="N6906" s="11">
        <v>49</v>
      </c>
      <c r="O6906" s="12">
        <v>41.32</v>
      </c>
      <c r="P6906" s="12">
        <v>8.66</v>
      </c>
      <c r="Q6906" s="13">
        <v>100.8</v>
      </c>
      <c r="R6906" s="36" t="s">
        <v>1970</v>
      </c>
      <c r="S6906" s="7">
        <f t="shared" si="609"/>
        <v>1</v>
      </c>
      <c r="T6906" s="15" t="str">
        <f>VLOOKUP(R6906,产品分类!$C$2:$D$1278,2,0)</f>
        <v>办公用品</v>
      </c>
    </row>
    <row r="6907" spans="1:20">
      <c r="A6907" s="8">
        <f>DATE(2012,12,31)-144</f>
        <v>41130</v>
      </c>
      <c r="B6907" s="8">
        <f>DATE(2012,12,31)-144</f>
        <v>41130</v>
      </c>
      <c r="C6907" s="9" t="s">
        <v>1696</v>
      </c>
      <c r="D6907">
        <v>10021637308</v>
      </c>
      <c r="E6907" t="s">
        <v>47</v>
      </c>
      <c r="F6907" t="s">
        <v>91</v>
      </c>
      <c r="G6907" t="s">
        <v>92</v>
      </c>
      <c r="H6907" t="s">
        <v>2556</v>
      </c>
      <c r="I6907" t="s">
        <v>2557</v>
      </c>
      <c r="J6907" t="s">
        <v>668</v>
      </c>
      <c r="K6907" s="3">
        <v>10092303841</v>
      </c>
      <c r="L6907" s="10">
        <v>41130</v>
      </c>
      <c r="M6907">
        <v>131.12</v>
      </c>
      <c r="N6907" s="11">
        <v>11</v>
      </c>
      <c r="O6907" s="12">
        <v>11.5</v>
      </c>
      <c r="P6907" s="12">
        <v>7.19</v>
      </c>
      <c r="Q6907" s="13">
        <v>-24.8055</v>
      </c>
      <c r="R6907" s="36" t="s">
        <v>2315</v>
      </c>
      <c r="S6907" s="7">
        <f t="shared" si="609"/>
        <v>0</v>
      </c>
      <c r="T6907" s="15" t="str">
        <f>VLOOKUP(R6907,产品分类!$C$2:$D$1278,2,0)</f>
        <v>家具产品</v>
      </c>
    </row>
    <row r="6908" spans="1:20">
      <c r="A6908" s="8">
        <f>DATE(2012,12,31)-708</f>
        <v>40566</v>
      </c>
      <c r="B6908" s="8">
        <f>DATE(2012,12,31)-708</f>
        <v>40566</v>
      </c>
      <c r="C6908" s="9" t="s">
        <v>1286</v>
      </c>
      <c r="D6908">
        <v>10021416104</v>
      </c>
      <c r="E6908" t="s">
        <v>47</v>
      </c>
      <c r="F6908" t="s">
        <v>55</v>
      </c>
      <c r="G6908" t="s">
        <v>56</v>
      </c>
      <c r="H6908" t="s">
        <v>2471</v>
      </c>
      <c r="I6908" t="s">
        <v>2472</v>
      </c>
      <c r="J6908" t="s">
        <v>668</v>
      </c>
      <c r="K6908" s="3">
        <v>100113796158</v>
      </c>
      <c r="L6908" s="10">
        <v>40567</v>
      </c>
      <c r="M6908">
        <v>396.15</v>
      </c>
      <c r="N6908" s="11">
        <v>41</v>
      </c>
      <c r="O6908" s="12">
        <v>9.85</v>
      </c>
      <c r="P6908" s="12">
        <v>4.82</v>
      </c>
      <c r="Q6908" s="13">
        <v>-10.98</v>
      </c>
      <c r="R6908" s="36" t="s">
        <v>874</v>
      </c>
      <c r="S6908" s="7">
        <f t="shared" si="609"/>
        <v>1</v>
      </c>
      <c r="T6908" s="15" t="str">
        <f>VLOOKUP(R6908,产品分类!$C$2:$D$1278,2,0)</f>
        <v>办公用品</v>
      </c>
    </row>
    <row r="6909" spans="1:20">
      <c r="A6909" s="16">
        <f t="shared" ref="A6909:B6911" si="612">DATE(2012,12,31)-899</f>
        <v>40375</v>
      </c>
      <c r="B6909" s="16">
        <f t="shared" si="612"/>
        <v>40375</v>
      </c>
      <c r="C6909" s="9" t="s">
        <v>553</v>
      </c>
      <c r="D6909">
        <v>10021498771</v>
      </c>
      <c r="E6909" t="s">
        <v>47</v>
      </c>
      <c r="F6909" t="s">
        <v>55</v>
      </c>
      <c r="G6909" t="s">
        <v>56</v>
      </c>
      <c r="H6909" t="s">
        <v>2471</v>
      </c>
      <c r="I6909" t="s">
        <v>2472</v>
      </c>
      <c r="J6909" t="s">
        <v>668</v>
      </c>
      <c r="K6909" s="3">
        <v>100923452771</v>
      </c>
      <c r="L6909" s="10">
        <v>40380</v>
      </c>
      <c r="M6909">
        <v>103.2</v>
      </c>
      <c r="N6909" s="17">
        <v>23</v>
      </c>
      <c r="O6909" s="5">
        <v>4.28</v>
      </c>
      <c r="P6909" s="5">
        <v>0.94</v>
      </c>
      <c r="Q6909" s="6">
        <v>17.89</v>
      </c>
      <c r="R6909" s="37" t="s">
        <v>2261</v>
      </c>
      <c r="S6909" s="7">
        <f t="shared" si="609"/>
        <v>5</v>
      </c>
      <c r="T6909" s="15" t="str">
        <f>VLOOKUP(R6909,产品分类!$C$2:$D$1278,2,0)</f>
        <v>办公用品</v>
      </c>
    </row>
    <row r="6910" spans="1:20">
      <c r="A6910" s="8">
        <f t="shared" si="612"/>
        <v>40375</v>
      </c>
      <c r="B6910" s="8">
        <f t="shared" si="612"/>
        <v>40375</v>
      </c>
      <c r="C6910" s="9" t="s">
        <v>553</v>
      </c>
      <c r="D6910">
        <v>10021493952</v>
      </c>
      <c r="E6910" t="s">
        <v>47</v>
      </c>
      <c r="F6910" t="s">
        <v>91</v>
      </c>
      <c r="G6910" t="s">
        <v>92</v>
      </c>
      <c r="H6910" t="s">
        <v>2556</v>
      </c>
      <c r="I6910" t="s">
        <v>2557</v>
      </c>
      <c r="J6910" t="s">
        <v>668</v>
      </c>
      <c r="K6910" s="3">
        <v>10049137893</v>
      </c>
      <c r="L6910" s="10">
        <v>40380</v>
      </c>
      <c r="M6910">
        <v>144.14</v>
      </c>
      <c r="N6910" s="11">
        <v>15</v>
      </c>
      <c r="O6910" s="12">
        <v>9.78</v>
      </c>
      <c r="P6910" s="12">
        <v>1.99</v>
      </c>
      <c r="Q6910" s="13">
        <v>12.09</v>
      </c>
      <c r="R6910" s="36" t="s">
        <v>65</v>
      </c>
      <c r="S6910" s="7">
        <f t="shared" si="609"/>
        <v>5</v>
      </c>
      <c r="T6910" s="15" t="str">
        <f>VLOOKUP(R6910,产品分类!$C$2:$D$1278,2,0)</f>
        <v>家具产品</v>
      </c>
    </row>
    <row r="6911" spans="1:20">
      <c r="A6911" s="8">
        <f t="shared" si="612"/>
        <v>40375</v>
      </c>
      <c r="B6911" s="8">
        <f t="shared" si="612"/>
        <v>40375</v>
      </c>
      <c r="C6911" s="9" t="s">
        <v>653</v>
      </c>
      <c r="D6911">
        <v>10021743103</v>
      </c>
      <c r="E6911" t="s">
        <v>47</v>
      </c>
      <c r="F6911" t="s">
        <v>122</v>
      </c>
      <c r="G6911" t="s">
        <v>123</v>
      </c>
      <c r="H6911" t="s">
        <v>2458</v>
      </c>
      <c r="I6911" t="s">
        <v>2459</v>
      </c>
      <c r="J6911" t="s">
        <v>668</v>
      </c>
      <c r="K6911" s="3">
        <v>100325238749</v>
      </c>
      <c r="L6911" s="10">
        <v>40379</v>
      </c>
      <c r="M6911">
        <v>30.65</v>
      </c>
      <c r="N6911" s="11">
        <v>9</v>
      </c>
      <c r="O6911" s="12">
        <v>3.29</v>
      </c>
      <c r="P6911" s="12">
        <v>1.35</v>
      </c>
      <c r="Q6911" s="13">
        <v>0.0800000000000001</v>
      </c>
      <c r="R6911" s="36" t="s">
        <v>627</v>
      </c>
      <c r="S6911" s="7">
        <f t="shared" si="609"/>
        <v>4</v>
      </c>
      <c r="T6911" s="15" t="str">
        <f>VLOOKUP(R6911,产品分类!$C$2:$D$1278,2,0)</f>
        <v>家具产品</v>
      </c>
    </row>
    <row r="6912" spans="1:20">
      <c r="A6912" s="8">
        <f>DATE(2012,12,31)-523</f>
        <v>40751</v>
      </c>
      <c r="B6912" s="8">
        <f>DATE(2012,12,31)-523</f>
        <v>40751</v>
      </c>
      <c r="C6912" s="9" t="s">
        <v>653</v>
      </c>
      <c r="D6912">
        <v>10021386234</v>
      </c>
      <c r="E6912" t="s">
        <v>47</v>
      </c>
      <c r="F6912" t="s">
        <v>55</v>
      </c>
      <c r="G6912" t="s">
        <v>56</v>
      </c>
      <c r="H6912" t="s">
        <v>2471</v>
      </c>
      <c r="I6912" t="s">
        <v>2472</v>
      </c>
      <c r="J6912" t="s">
        <v>668</v>
      </c>
      <c r="K6912" s="3">
        <v>10047594753</v>
      </c>
      <c r="L6912" s="10">
        <v>40753</v>
      </c>
      <c r="M6912">
        <v>5615.4</v>
      </c>
      <c r="N6912" s="11">
        <v>46</v>
      </c>
      <c r="O6912" s="12">
        <v>120.97</v>
      </c>
      <c r="P6912" s="12">
        <v>26.3</v>
      </c>
      <c r="Q6912" s="13">
        <v>1807.16</v>
      </c>
      <c r="R6912" s="36" t="s">
        <v>1822</v>
      </c>
      <c r="S6912" s="7">
        <f t="shared" si="609"/>
        <v>2</v>
      </c>
      <c r="T6912" s="15" t="str">
        <f>VLOOKUP(R6912,产品分类!$C$2:$D$1278,2,0)</f>
        <v>家具产品</v>
      </c>
    </row>
    <row r="6913" spans="1:20">
      <c r="A6913" s="8">
        <f>DATE(2012,12,31)-1141</f>
        <v>40133</v>
      </c>
      <c r="B6913" s="8">
        <f>DATE(2012,12,31)-1141</f>
        <v>40133</v>
      </c>
      <c r="C6913" s="9" t="s">
        <v>2403</v>
      </c>
      <c r="D6913">
        <v>10021493338</v>
      </c>
      <c r="E6913" t="s">
        <v>47</v>
      </c>
      <c r="F6913" t="s">
        <v>91</v>
      </c>
      <c r="G6913" t="s">
        <v>92</v>
      </c>
      <c r="H6913" t="s">
        <v>2556</v>
      </c>
      <c r="I6913" t="s">
        <v>2557</v>
      </c>
      <c r="J6913" t="s">
        <v>668</v>
      </c>
      <c r="K6913" s="3">
        <v>10071527285</v>
      </c>
      <c r="L6913" s="10">
        <v>40133</v>
      </c>
      <c r="M6913">
        <v>318.94</v>
      </c>
      <c r="N6913" s="11">
        <v>45</v>
      </c>
      <c r="O6913" s="12">
        <v>7.37</v>
      </c>
      <c r="P6913" s="12">
        <v>5.53</v>
      </c>
      <c r="Q6913" s="13">
        <v>-195.6</v>
      </c>
      <c r="R6913" s="36" t="s">
        <v>1121</v>
      </c>
      <c r="S6913" s="7">
        <f t="shared" si="609"/>
        <v>0</v>
      </c>
      <c r="T6913" s="15" t="str">
        <f>VLOOKUP(R6913,产品分类!$C$2:$D$1278,2,0)</f>
        <v>家具产品</v>
      </c>
    </row>
    <row r="6914" spans="1:20">
      <c r="A6914" s="8">
        <f>DATE(2012,12,31)-1440</f>
        <v>39834</v>
      </c>
      <c r="B6914" s="8">
        <f>DATE(2012,12,31)-1440</f>
        <v>39834</v>
      </c>
      <c r="C6914" s="9" t="s">
        <v>2403</v>
      </c>
      <c r="D6914">
        <v>10021590051</v>
      </c>
      <c r="E6914" t="s">
        <v>47</v>
      </c>
      <c r="F6914" t="s">
        <v>91</v>
      </c>
      <c r="G6914" t="s">
        <v>92</v>
      </c>
      <c r="H6914" t="s">
        <v>2556</v>
      </c>
      <c r="I6914" t="s">
        <v>2557</v>
      </c>
      <c r="J6914" t="s">
        <v>668</v>
      </c>
      <c r="K6914" s="3">
        <v>100414834703</v>
      </c>
      <c r="L6914" s="10">
        <v>39836</v>
      </c>
      <c r="M6914">
        <v>97.74</v>
      </c>
      <c r="N6914" s="11">
        <v>12</v>
      </c>
      <c r="O6914" s="12">
        <v>7.84</v>
      </c>
      <c r="P6914" s="12">
        <v>4.71</v>
      </c>
      <c r="Q6914" s="13">
        <v>-8.4985</v>
      </c>
      <c r="R6914" s="36" t="s">
        <v>2411</v>
      </c>
      <c r="S6914" s="7">
        <f t="shared" si="609"/>
        <v>2</v>
      </c>
      <c r="T6914" s="15" t="str">
        <f>VLOOKUP(R6914,产品分类!$C$2:$D$1278,2,0)</f>
        <v>家具产品</v>
      </c>
    </row>
    <row r="6915" spans="1:20">
      <c r="A6915" s="8">
        <f>DATE(2012,12,31)-1440</f>
        <v>39834</v>
      </c>
      <c r="B6915" s="8">
        <f>DATE(2012,12,31)-1440</f>
        <v>39834</v>
      </c>
      <c r="C6915" s="9" t="s">
        <v>2049</v>
      </c>
      <c r="D6915">
        <v>10021263479</v>
      </c>
      <c r="E6915" t="s">
        <v>47</v>
      </c>
      <c r="F6915" t="s">
        <v>91</v>
      </c>
      <c r="G6915" t="s">
        <v>92</v>
      </c>
      <c r="H6915" t="s">
        <v>2556</v>
      </c>
      <c r="I6915" t="s">
        <v>2557</v>
      </c>
      <c r="J6915" t="s">
        <v>668</v>
      </c>
      <c r="K6915" s="3">
        <v>100930540711</v>
      </c>
      <c r="L6915" s="10">
        <v>39835</v>
      </c>
      <c r="M6915">
        <v>335.59</v>
      </c>
      <c r="N6915" s="11">
        <v>34</v>
      </c>
      <c r="O6915" s="12">
        <v>9.78</v>
      </c>
      <c r="P6915" s="12">
        <v>1.99</v>
      </c>
      <c r="Q6915" s="13">
        <v>85.83</v>
      </c>
      <c r="R6915" s="36" t="s">
        <v>846</v>
      </c>
      <c r="S6915" s="7">
        <f t="shared" ref="S6915:S6978" si="613">+L6915-B6915</f>
        <v>1</v>
      </c>
      <c r="T6915" s="15" t="str">
        <f>VLOOKUP(R6915,产品分类!$C$2:$D$1278,2,0)</f>
        <v>数码电子</v>
      </c>
    </row>
    <row r="6916" spans="1:20">
      <c r="A6916" s="16">
        <f>DATE(2012,12,31)-286</f>
        <v>40988</v>
      </c>
      <c r="B6916" s="16">
        <f>DATE(2012,12,31)-286</f>
        <v>40988</v>
      </c>
      <c r="C6916" s="9" t="s">
        <v>2049</v>
      </c>
      <c r="D6916">
        <v>10021462398</v>
      </c>
      <c r="E6916" t="s">
        <v>47</v>
      </c>
      <c r="F6916" t="s">
        <v>91</v>
      </c>
      <c r="G6916" t="s">
        <v>92</v>
      </c>
      <c r="H6916" t="s">
        <v>2556</v>
      </c>
      <c r="I6916" t="s">
        <v>2557</v>
      </c>
      <c r="J6916" t="s">
        <v>668</v>
      </c>
      <c r="K6916" s="3">
        <v>10014564948</v>
      </c>
      <c r="L6916" s="10">
        <v>40989</v>
      </c>
      <c r="M6916">
        <v>44.1</v>
      </c>
      <c r="N6916" s="17">
        <v>16</v>
      </c>
      <c r="O6916" s="5">
        <v>2.58</v>
      </c>
      <c r="P6916" s="5">
        <v>1.3</v>
      </c>
      <c r="Q6916" s="6">
        <v>-6.22</v>
      </c>
      <c r="R6916" s="37" t="s">
        <v>2565</v>
      </c>
      <c r="S6916" s="7">
        <f t="shared" si="613"/>
        <v>1</v>
      </c>
      <c r="T6916" s="15" t="str">
        <f>VLOOKUP(R6916,产品分类!$C$2:$D$1278,2,0)</f>
        <v>家具产品</v>
      </c>
    </row>
    <row r="6917" spans="1:20">
      <c r="A6917" s="8">
        <f>DATE(2012,12,31)-1351</f>
        <v>39923</v>
      </c>
      <c r="B6917" s="8">
        <f>DATE(2012,12,31)-1351</f>
        <v>39923</v>
      </c>
      <c r="C6917" s="9" t="s">
        <v>1122</v>
      </c>
      <c r="D6917">
        <v>10021606423</v>
      </c>
      <c r="E6917" t="s">
        <v>47</v>
      </c>
      <c r="F6917" t="s">
        <v>122</v>
      </c>
      <c r="G6917" t="s">
        <v>123</v>
      </c>
      <c r="H6917" t="s">
        <v>2458</v>
      </c>
      <c r="I6917" t="s">
        <v>2459</v>
      </c>
      <c r="J6917" t="s">
        <v>668</v>
      </c>
      <c r="K6917" s="3">
        <v>100116683907</v>
      </c>
      <c r="L6917" s="10">
        <v>39923</v>
      </c>
      <c r="M6917">
        <v>150.29</v>
      </c>
      <c r="N6917" s="11">
        <v>35</v>
      </c>
      <c r="O6917" s="12">
        <v>3.69</v>
      </c>
      <c r="P6917" s="12">
        <v>2.5</v>
      </c>
      <c r="Q6917" s="13">
        <v>5.04</v>
      </c>
      <c r="R6917" s="36" t="s">
        <v>1125</v>
      </c>
      <c r="S6917" s="7">
        <f t="shared" si="613"/>
        <v>0</v>
      </c>
      <c r="T6917" s="15" t="str">
        <f>VLOOKUP(R6917,产品分类!$C$2:$D$1278,2,0)</f>
        <v>家具产品</v>
      </c>
    </row>
    <row r="6918" spans="1:20">
      <c r="A6918" s="8">
        <f>DATE(2012,12,31)-1020</f>
        <v>40254</v>
      </c>
      <c r="B6918" s="8">
        <f>DATE(2012,12,31)-1020</f>
        <v>40254</v>
      </c>
      <c r="C6918" s="9" t="s">
        <v>1122</v>
      </c>
      <c r="D6918">
        <v>10021334339</v>
      </c>
      <c r="E6918" t="s">
        <v>47</v>
      </c>
      <c r="F6918" t="s">
        <v>55</v>
      </c>
      <c r="G6918" t="s">
        <v>56</v>
      </c>
      <c r="H6918" t="s">
        <v>2471</v>
      </c>
      <c r="I6918" t="s">
        <v>2472</v>
      </c>
      <c r="J6918" t="s">
        <v>668</v>
      </c>
      <c r="K6918" s="3">
        <v>100911202591</v>
      </c>
      <c r="L6918" s="10">
        <v>40258</v>
      </c>
      <c r="M6918">
        <v>730.51</v>
      </c>
      <c r="N6918" s="11">
        <v>29</v>
      </c>
      <c r="O6918" s="12">
        <v>26.38</v>
      </c>
      <c r="P6918" s="12">
        <v>5.58</v>
      </c>
      <c r="Q6918" s="13">
        <v>217.57</v>
      </c>
      <c r="R6918" s="36" t="s">
        <v>447</v>
      </c>
      <c r="S6918" s="7">
        <f t="shared" si="613"/>
        <v>4</v>
      </c>
      <c r="T6918" s="15" t="str">
        <f>VLOOKUP(R6918,产品分类!$C$2:$D$1278,2,0)</f>
        <v>数码电子</v>
      </c>
    </row>
    <row r="6919" spans="1:20">
      <c r="A6919" s="8">
        <f>DATE(2012,12,31)-1445</f>
        <v>39829</v>
      </c>
      <c r="B6919" s="8">
        <f>DATE(2012,12,31)-1445</f>
        <v>39829</v>
      </c>
      <c r="C6919" s="9" t="s">
        <v>356</v>
      </c>
      <c r="D6919">
        <v>10021364466</v>
      </c>
      <c r="E6919" t="s">
        <v>47</v>
      </c>
      <c r="F6919" t="s">
        <v>91</v>
      </c>
      <c r="G6919" t="s">
        <v>92</v>
      </c>
      <c r="H6919" t="s">
        <v>2556</v>
      </c>
      <c r="I6919" t="s">
        <v>2557</v>
      </c>
      <c r="J6919" t="s">
        <v>668</v>
      </c>
      <c r="K6919" s="3">
        <v>100412778014</v>
      </c>
      <c r="L6919" s="10">
        <v>39830</v>
      </c>
      <c r="M6919">
        <v>503.75</v>
      </c>
      <c r="N6919" s="11">
        <v>35</v>
      </c>
      <c r="O6919" s="12">
        <v>13.43</v>
      </c>
      <c r="P6919" s="12">
        <v>5.5</v>
      </c>
      <c r="Q6919" s="13">
        <v>16.46</v>
      </c>
      <c r="R6919" s="36" t="s">
        <v>1504</v>
      </c>
      <c r="S6919" s="7">
        <f t="shared" si="613"/>
        <v>1</v>
      </c>
      <c r="T6919" s="15" t="str">
        <f>VLOOKUP(R6919,产品分类!$C$2:$D$1278,2,0)</f>
        <v>家具产品</v>
      </c>
    </row>
    <row r="6920" spans="1:20">
      <c r="A6920" s="8">
        <f>DATE(2012,12,31)-746</f>
        <v>40528</v>
      </c>
      <c r="B6920" s="8">
        <f>DATE(2012,12,31)-746</f>
        <v>40528</v>
      </c>
      <c r="C6920" s="9" t="s">
        <v>356</v>
      </c>
      <c r="D6920">
        <v>10021346764</v>
      </c>
      <c r="E6920" t="s">
        <v>47</v>
      </c>
      <c r="F6920" t="s">
        <v>91</v>
      </c>
      <c r="G6920" t="s">
        <v>92</v>
      </c>
      <c r="H6920" t="s">
        <v>2556</v>
      </c>
      <c r="I6920" t="s">
        <v>2557</v>
      </c>
      <c r="J6920" t="s">
        <v>668</v>
      </c>
      <c r="K6920" s="3">
        <v>100130932698</v>
      </c>
      <c r="L6920" s="10">
        <v>40529</v>
      </c>
      <c r="M6920">
        <v>507.44</v>
      </c>
      <c r="N6920" s="11">
        <v>12</v>
      </c>
      <c r="O6920" s="12">
        <v>42.8</v>
      </c>
      <c r="P6920" s="12">
        <v>2.99</v>
      </c>
      <c r="Q6920" s="13">
        <v>170.901</v>
      </c>
      <c r="R6920" s="36" t="s">
        <v>390</v>
      </c>
      <c r="S6920" s="7">
        <f t="shared" si="613"/>
        <v>1</v>
      </c>
      <c r="T6920" s="15" t="str">
        <f>VLOOKUP(R6920,产品分类!$C$2:$D$1278,2,0)</f>
        <v>办公用品</v>
      </c>
    </row>
    <row r="6921" spans="1:20">
      <c r="A6921" s="16">
        <f>DATE(2012,12,31)-665</f>
        <v>40609</v>
      </c>
      <c r="B6921" s="16">
        <f>DATE(2012,12,31)-665</f>
        <v>40609</v>
      </c>
      <c r="C6921" s="9" t="s">
        <v>2005</v>
      </c>
      <c r="D6921">
        <v>10021286853</v>
      </c>
      <c r="E6921" t="s">
        <v>47</v>
      </c>
      <c r="F6921" t="s">
        <v>91</v>
      </c>
      <c r="G6921" t="s">
        <v>92</v>
      </c>
      <c r="H6921" t="s">
        <v>2556</v>
      </c>
      <c r="I6921" t="s">
        <v>2557</v>
      </c>
      <c r="J6921" t="s">
        <v>668</v>
      </c>
      <c r="K6921" s="3">
        <v>100131170468</v>
      </c>
      <c r="L6921" s="10">
        <v>40614</v>
      </c>
      <c r="M6921">
        <v>1692.03</v>
      </c>
      <c r="N6921" s="17">
        <v>33</v>
      </c>
      <c r="O6921" s="5">
        <v>54.96</v>
      </c>
      <c r="P6921" s="5">
        <v>10.75</v>
      </c>
      <c r="Q6921" s="6">
        <v>574.44</v>
      </c>
      <c r="R6921" s="37" t="s">
        <v>1394</v>
      </c>
      <c r="S6921" s="7">
        <f t="shared" si="613"/>
        <v>5</v>
      </c>
      <c r="T6921" s="15" t="str">
        <f>VLOOKUP(R6921,产品分类!$C$2:$D$1278,2,0)</f>
        <v>办公用品</v>
      </c>
    </row>
    <row r="6922" spans="1:20">
      <c r="A6922" s="8">
        <f>DATE(2012,12,31)-705</f>
        <v>40569</v>
      </c>
      <c r="B6922" s="8">
        <f>DATE(2012,12,31)-705</f>
        <v>40569</v>
      </c>
      <c r="C6922" s="9" t="s">
        <v>1342</v>
      </c>
      <c r="D6922">
        <v>10021678268</v>
      </c>
      <c r="E6922" t="s">
        <v>47</v>
      </c>
      <c r="F6922" t="s">
        <v>91</v>
      </c>
      <c r="G6922" t="s">
        <v>92</v>
      </c>
      <c r="H6922" t="s">
        <v>2556</v>
      </c>
      <c r="I6922" t="s">
        <v>2557</v>
      </c>
      <c r="J6922" t="s">
        <v>668</v>
      </c>
      <c r="K6922" s="3">
        <v>1004990174</v>
      </c>
      <c r="L6922" s="10">
        <v>40576</v>
      </c>
      <c r="M6922">
        <v>1756.46</v>
      </c>
      <c r="N6922" s="11">
        <v>15</v>
      </c>
      <c r="O6922" s="12">
        <v>113.98</v>
      </c>
      <c r="P6922" s="12">
        <v>30</v>
      </c>
      <c r="Q6922" s="13">
        <v>-101.19</v>
      </c>
      <c r="R6922" s="36" t="s">
        <v>1553</v>
      </c>
      <c r="S6922" s="7">
        <f t="shared" si="613"/>
        <v>7</v>
      </c>
      <c r="T6922" s="15" t="str">
        <f>VLOOKUP(R6922,产品分类!$C$2:$D$1278,2,0)</f>
        <v>办公用品</v>
      </c>
    </row>
    <row r="6923" spans="1:20">
      <c r="A6923" s="8">
        <f>DATE(2012,12,31)-298</f>
        <v>40976</v>
      </c>
      <c r="B6923" s="8">
        <f>DATE(2012,12,31)-298</f>
        <v>40976</v>
      </c>
      <c r="C6923" s="9" t="s">
        <v>1608</v>
      </c>
      <c r="D6923">
        <v>10021672938</v>
      </c>
      <c r="E6923" t="s">
        <v>47</v>
      </c>
      <c r="F6923" t="s">
        <v>171</v>
      </c>
      <c r="G6923" t="s">
        <v>172</v>
      </c>
      <c r="H6923" t="s">
        <v>2486</v>
      </c>
      <c r="I6923" t="s">
        <v>2310</v>
      </c>
      <c r="J6923" t="s">
        <v>668</v>
      </c>
      <c r="K6923" s="3">
        <v>100931612881</v>
      </c>
      <c r="L6923" s="10">
        <v>40977</v>
      </c>
      <c r="M6923">
        <v>4878.64</v>
      </c>
      <c r="N6923" s="11">
        <v>31</v>
      </c>
      <c r="O6923" s="12">
        <v>150.98</v>
      </c>
      <c r="P6923" s="12">
        <v>66.27</v>
      </c>
      <c r="Q6923" s="13">
        <v>-519.94</v>
      </c>
      <c r="R6923" s="36" t="s">
        <v>1737</v>
      </c>
      <c r="S6923" s="7">
        <f t="shared" si="613"/>
        <v>1</v>
      </c>
      <c r="T6923" s="15" t="str">
        <f>VLOOKUP(R6923,产品分类!$C$2:$D$1278,2,0)</f>
        <v>数码电子</v>
      </c>
    </row>
    <row r="6924" spans="1:20">
      <c r="A6924" s="8">
        <f>DATE(2012,12,31)-1337</f>
        <v>39937</v>
      </c>
      <c r="B6924" s="8">
        <f>DATE(2012,12,31)-1337</f>
        <v>39937</v>
      </c>
      <c r="C6924" s="9" t="s">
        <v>1249</v>
      </c>
      <c r="D6924">
        <v>10021745124</v>
      </c>
      <c r="E6924" t="s">
        <v>47</v>
      </c>
      <c r="F6924" t="s">
        <v>171</v>
      </c>
      <c r="G6924" t="s">
        <v>172</v>
      </c>
      <c r="H6924" t="s">
        <v>2486</v>
      </c>
      <c r="I6924" t="s">
        <v>2310</v>
      </c>
      <c r="J6924" t="s">
        <v>668</v>
      </c>
      <c r="K6924" s="3">
        <v>100827519132</v>
      </c>
      <c r="L6924" s="10">
        <v>39938</v>
      </c>
      <c r="M6924">
        <v>1056.6435</v>
      </c>
      <c r="N6924" s="11">
        <v>6</v>
      </c>
      <c r="O6924" s="12">
        <v>205.99</v>
      </c>
      <c r="P6924" s="12">
        <v>8.99</v>
      </c>
      <c r="Q6924" s="13">
        <v>-586.201</v>
      </c>
      <c r="R6924" s="36" t="s">
        <v>2543</v>
      </c>
      <c r="S6924" s="7">
        <f t="shared" si="613"/>
        <v>1</v>
      </c>
      <c r="T6924" s="15" t="str">
        <f>VLOOKUP(R6924,产品分类!$C$2:$D$1278,2,0)</f>
        <v>办公用品</v>
      </c>
    </row>
    <row r="6925" spans="1:20">
      <c r="A6925" s="16">
        <f t="shared" ref="A6925:B6927" si="614">DATE(2012,12,31)-283</f>
        <v>40991</v>
      </c>
      <c r="B6925" s="16">
        <f t="shared" si="614"/>
        <v>40991</v>
      </c>
      <c r="C6925" s="9" t="s">
        <v>1247</v>
      </c>
      <c r="D6925">
        <v>10021496374</v>
      </c>
      <c r="E6925" t="s">
        <v>47</v>
      </c>
      <c r="F6925" t="s">
        <v>97</v>
      </c>
      <c r="G6925" t="s">
        <v>98</v>
      </c>
      <c r="H6925" t="s">
        <v>99</v>
      </c>
      <c r="I6925" t="s">
        <v>98</v>
      </c>
      <c r="J6925" t="s">
        <v>668</v>
      </c>
      <c r="K6925" s="3">
        <v>100910034291</v>
      </c>
      <c r="L6925" s="10">
        <v>40992</v>
      </c>
      <c r="M6925">
        <v>403.73</v>
      </c>
      <c r="N6925" s="17">
        <v>39</v>
      </c>
      <c r="O6925" s="5">
        <v>10.89</v>
      </c>
      <c r="P6925" s="5">
        <v>4.5</v>
      </c>
      <c r="Q6925" s="6">
        <v>-44.13</v>
      </c>
      <c r="R6925" s="37" t="s">
        <v>1328</v>
      </c>
      <c r="S6925" s="7">
        <f t="shared" si="613"/>
        <v>1</v>
      </c>
      <c r="T6925" s="15" t="str">
        <f>VLOOKUP(R6925,产品分类!$C$2:$D$1278,2,0)</f>
        <v>家具产品</v>
      </c>
    </row>
    <row r="6926" spans="1:20">
      <c r="A6926" s="8">
        <f t="shared" si="614"/>
        <v>40991</v>
      </c>
      <c r="B6926" s="8">
        <f t="shared" si="614"/>
        <v>40991</v>
      </c>
      <c r="C6926" s="9" t="s">
        <v>1006</v>
      </c>
      <c r="D6926">
        <v>10021418633</v>
      </c>
      <c r="E6926" t="s">
        <v>47</v>
      </c>
      <c r="F6926" t="s">
        <v>97</v>
      </c>
      <c r="G6926" t="s">
        <v>98</v>
      </c>
      <c r="H6926" t="s">
        <v>99</v>
      </c>
      <c r="I6926" t="s">
        <v>98</v>
      </c>
      <c r="J6926" t="s">
        <v>668</v>
      </c>
      <c r="K6926" s="3">
        <v>100121602577</v>
      </c>
      <c r="L6926" s="10">
        <v>40993</v>
      </c>
      <c r="M6926">
        <v>86.85</v>
      </c>
      <c r="N6926" s="11">
        <v>3</v>
      </c>
      <c r="O6926" s="12">
        <v>28.48</v>
      </c>
      <c r="P6926" s="12">
        <v>1.99</v>
      </c>
      <c r="Q6926" s="13">
        <v>-67.22</v>
      </c>
      <c r="R6926" s="36" t="s">
        <v>2321</v>
      </c>
      <c r="S6926" s="7">
        <f t="shared" si="613"/>
        <v>2</v>
      </c>
      <c r="T6926" s="15" t="str">
        <f>VLOOKUP(R6926,产品分类!$C$2:$D$1278,2,0)</f>
        <v>数码电子</v>
      </c>
    </row>
    <row r="6927" spans="1:20">
      <c r="A6927" s="8">
        <f t="shared" si="614"/>
        <v>40991</v>
      </c>
      <c r="B6927" s="8">
        <f t="shared" si="614"/>
        <v>40991</v>
      </c>
      <c r="C6927" s="9" t="s">
        <v>2394</v>
      </c>
      <c r="D6927">
        <v>10021506098</v>
      </c>
      <c r="E6927" t="s">
        <v>47</v>
      </c>
      <c r="F6927" t="s">
        <v>132</v>
      </c>
      <c r="G6927" t="s">
        <v>133</v>
      </c>
      <c r="H6927" t="s">
        <v>134</v>
      </c>
      <c r="I6927" t="s">
        <v>133</v>
      </c>
      <c r="J6927" t="s">
        <v>668</v>
      </c>
      <c r="K6927" s="3">
        <v>100931178451</v>
      </c>
      <c r="L6927" s="10">
        <v>40993</v>
      </c>
      <c r="M6927">
        <v>132.31</v>
      </c>
      <c r="N6927" s="11">
        <v>45</v>
      </c>
      <c r="O6927" s="12">
        <v>2.88</v>
      </c>
      <c r="P6927" s="12">
        <v>1.49</v>
      </c>
      <c r="Q6927" s="13">
        <v>10.914</v>
      </c>
      <c r="R6927" s="36" t="s">
        <v>321</v>
      </c>
      <c r="S6927" s="7">
        <f t="shared" si="613"/>
        <v>2</v>
      </c>
      <c r="T6927" s="15" t="str">
        <f>VLOOKUP(R6927,产品分类!$C$2:$D$1278,2,0)</f>
        <v>数码电子</v>
      </c>
    </row>
    <row r="6928" spans="1:20">
      <c r="A6928" s="8">
        <f>DATE(2012,12,31)-877</f>
        <v>40397</v>
      </c>
      <c r="B6928" s="8">
        <f>DATE(2012,12,31)-877</f>
        <v>40397</v>
      </c>
      <c r="C6928" s="9" t="s">
        <v>1686</v>
      </c>
      <c r="D6928">
        <v>10021266629</v>
      </c>
      <c r="E6928" t="s">
        <v>47</v>
      </c>
      <c r="F6928" t="s">
        <v>208</v>
      </c>
      <c r="G6928" t="s">
        <v>209</v>
      </c>
      <c r="H6928" t="s">
        <v>2300</v>
      </c>
      <c r="I6928" t="s">
        <v>2301</v>
      </c>
      <c r="J6928" t="s">
        <v>668</v>
      </c>
      <c r="K6928" s="3">
        <v>100331809379</v>
      </c>
      <c r="L6928" s="10">
        <v>40398</v>
      </c>
      <c r="M6928">
        <v>196.07</v>
      </c>
      <c r="N6928" s="11">
        <v>17</v>
      </c>
      <c r="O6928" s="12">
        <v>10.97</v>
      </c>
      <c r="P6928" s="12">
        <v>6.5</v>
      </c>
      <c r="Q6928" s="13">
        <v>-77.66</v>
      </c>
      <c r="R6928" s="36" t="s">
        <v>633</v>
      </c>
      <c r="S6928" s="7">
        <f t="shared" si="613"/>
        <v>1</v>
      </c>
      <c r="T6928" s="15" t="str">
        <f>VLOOKUP(R6928,产品分类!$C$2:$D$1278,2,0)</f>
        <v>家具产品</v>
      </c>
    </row>
    <row r="6929" spans="1:20">
      <c r="A6929" s="8">
        <f>DATE(2012,12,31)-1243</f>
        <v>40031</v>
      </c>
      <c r="B6929" s="8">
        <f>DATE(2012,12,31)-1243</f>
        <v>40031</v>
      </c>
      <c r="C6929" s="9" t="s">
        <v>446</v>
      </c>
      <c r="D6929">
        <v>10021423390</v>
      </c>
      <c r="E6929" t="s">
        <v>47</v>
      </c>
      <c r="F6929" t="s">
        <v>102</v>
      </c>
      <c r="G6929" t="s">
        <v>103</v>
      </c>
      <c r="H6929" t="s">
        <v>2560</v>
      </c>
      <c r="I6929" t="s">
        <v>2561</v>
      </c>
      <c r="J6929" t="s">
        <v>668</v>
      </c>
      <c r="K6929" s="3">
        <v>100127808096</v>
      </c>
      <c r="L6929" s="10">
        <v>40035</v>
      </c>
      <c r="M6929">
        <v>259.25</v>
      </c>
      <c r="N6929" s="11">
        <v>46</v>
      </c>
      <c r="O6929" s="12">
        <v>5.68</v>
      </c>
      <c r="P6929" s="12">
        <v>3.6</v>
      </c>
      <c r="Q6929" s="13">
        <v>-64.03</v>
      </c>
      <c r="R6929" s="36" t="s">
        <v>2229</v>
      </c>
      <c r="S6929" s="7">
        <f t="shared" si="613"/>
        <v>4</v>
      </c>
      <c r="T6929" s="15" t="str">
        <f>VLOOKUP(R6929,产品分类!$C$2:$D$1278,2,0)</f>
        <v>办公用品</v>
      </c>
    </row>
    <row r="6930" spans="1:20">
      <c r="A6930" s="8">
        <f>DATE(2012,12,31)-1125</f>
        <v>40149</v>
      </c>
      <c r="B6930" s="8">
        <f>DATE(2012,12,31)-1125</f>
        <v>40149</v>
      </c>
      <c r="C6930" s="9" t="s">
        <v>247</v>
      </c>
      <c r="D6930">
        <v>10021578138</v>
      </c>
      <c r="E6930" t="s">
        <v>47</v>
      </c>
      <c r="F6930" t="s">
        <v>137</v>
      </c>
      <c r="G6930" t="s">
        <v>138</v>
      </c>
      <c r="H6930" t="s">
        <v>2504</v>
      </c>
      <c r="I6930" t="s">
        <v>2505</v>
      </c>
      <c r="J6930" t="s">
        <v>668</v>
      </c>
      <c r="K6930" s="3">
        <v>10018416678</v>
      </c>
      <c r="L6930" s="10">
        <v>40156</v>
      </c>
      <c r="M6930">
        <v>93.22</v>
      </c>
      <c r="N6930" s="11">
        <v>25</v>
      </c>
      <c r="O6930" s="12">
        <v>3.74</v>
      </c>
      <c r="P6930" s="12">
        <v>0.94</v>
      </c>
      <c r="Q6930" s="13">
        <v>-15.37</v>
      </c>
      <c r="R6930" s="36" t="s">
        <v>637</v>
      </c>
      <c r="S6930" s="7">
        <f t="shared" si="613"/>
        <v>7</v>
      </c>
      <c r="T6930" s="15" t="str">
        <f>VLOOKUP(R6930,产品分类!$C$2:$D$1278,2,0)</f>
        <v>数码电子</v>
      </c>
    </row>
    <row r="6931" spans="1:20">
      <c r="A6931" s="8">
        <f>DATE(2012,12,31)-1457</f>
        <v>39817</v>
      </c>
      <c r="B6931" s="8">
        <f>DATE(2012,12,31)-1457</f>
        <v>39817</v>
      </c>
      <c r="C6931" s="9" t="s">
        <v>247</v>
      </c>
      <c r="D6931">
        <v>10021253724</v>
      </c>
      <c r="E6931" t="s">
        <v>47</v>
      </c>
      <c r="F6931" t="s">
        <v>603</v>
      </c>
      <c r="G6931" t="s">
        <v>604</v>
      </c>
      <c r="H6931" t="s">
        <v>605</v>
      </c>
      <c r="I6931" t="s">
        <v>606</v>
      </c>
      <c r="J6931" t="s">
        <v>668</v>
      </c>
      <c r="K6931" s="3">
        <v>100820383392</v>
      </c>
      <c r="L6931" s="10">
        <v>39818</v>
      </c>
      <c r="M6931">
        <v>1039.56</v>
      </c>
      <c r="N6931" s="11">
        <v>3</v>
      </c>
      <c r="O6931" s="12">
        <v>350.98</v>
      </c>
      <c r="P6931" s="12">
        <v>30</v>
      </c>
      <c r="Q6931" s="13">
        <v>-394.69</v>
      </c>
      <c r="R6931" s="36" t="s">
        <v>1567</v>
      </c>
      <c r="S6931" s="7">
        <f t="shared" si="613"/>
        <v>1</v>
      </c>
      <c r="T6931" s="15" t="str">
        <f>VLOOKUP(R6931,产品分类!$C$2:$D$1278,2,0)</f>
        <v>办公用品</v>
      </c>
    </row>
    <row r="6932" spans="1:20">
      <c r="A6932" s="8">
        <f>DATE(2012,12,31)-1195</f>
        <v>40079</v>
      </c>
      <c r="B6932" s="8">
        <f>DATE(2012,12,31)-1195</f>
        <v>40079</v>
      </c>
      <c r="C6932" s="9" t="s">
        <v>247</v>
      </c>
      <c r="D6932">
        <v>10021370896</v>
      </c>
      <c r="E6932" t="s">
        <v>47</v>
      </c>
      <c r="F6932" t="s">
        <v>208</v>
      </c>
      <c r="G6932" t="s">
        <v>209</v>
      </c>
      <c r="H6932" t="s">
        <v>2300</v>
      </c>
      <c r="I6932" t="s">
        <v>2301</v>
      </c>
      <c r="J6932" t="s">
        <v>668</v>
      </c>
      <c r="K6932" s="3">
        <v>100331466019</v>
      </c>
      <c r="L6932" s="10">
        <v>40080</v>
      </c>
      <c r="M6932">
        <v>1929.19</v>
      </c>
      <c r="N6932" s="11">
        <v>32</v>
      </c>
      <c r="O6932" s="12">
        <v>60.97</v>
      </c>
      <c r="P6932" s="12">
        <v>4.5</v>
      </c>
      <c r="Q6932" s="13">
        <v>570.67</v>
      </c>
      <c r="R6932" s="36" t="s">
        <v>908</v>
      </c>
      <c r="S6932" s="7">
        <f t="shared" si="613"/>
        <v>1</v>
      </c>
      <c r="T6932" s="15" t="str">
        <f>VLOOKUP(R6932,产品分类!$C$2:$D$1278,2,0)</f>
        <v>办公用品</v>
      </c>
    </row>
    <row r="6933" spans="1:20">
      <c r="A6933" s="8">
        <f t="shared" ref="A6933:B6935" si="615">DATE(2012,12,31)-457</f>
        <v>40817</v>
      </c>
      <c r="B6933" s="8">
        <f t="shared" si="615"/>
        <v>40817</v>
      </c>
      <c r="C6933" s="9" t="s">
        <v>653</v>
      </c>
      <c r="D6933">
        <v>10021657332</v>
      </c>
      <c r="E6933" t="s">
        <v>47</v>
      </c>
      <c r="F6933" t="s">
        <v>304</v>
      </c>
      <c r="G6933" t="s">
        <v>305</v>
      </c>
      <c r="H6933" t="s">
        <v>2527</v>
      </c>
      <c r="I6933" t="s">
        <v>2528</v>
      </c>
      <c r="J6933" t="s">
        <v>668</v>
      </c>
      <c r="K6933" s="3">
        <v>10082903682</v>
      </c>
      <c r="L6933" s="10">
        <v>40818</v>
      </c>
      <c r="M6933">
        <v>44.84</v>
      </c>
      <c r="N6933" s="11">
        <v>3</v>
      </c>
      <c r="O6933" s="12">
        <v>14.2</v>
      </c>
      <c r="P6933" s="12">
        <v>5.3</v>
      </c>
      <c r="Q6933" s="13">
        <v>37.74</v>
      </c>
      <c r="R6933" s="36" t="s">
        <v>202</v>
      </c>
      <c r="S6933" s="7">
        <f t="shared" si="613"/>
        <v>1</v>
      </c>
      <c r="T6933" s="15" t="str">
        <f>VLOOKUP(R6933,产品分类!$C$2:$D$1278,2,0)</f>
        <v>办公用品</v>
      </c>
    </row>
    <row r="6934" spans="1:20">
      <c r="A6934" s="8">
        <f t="shared" si="615"/>
        <v>40817</v>
      </c>
      <c r="B6934" s="8">
        <f t="shared" si="615"/>
        <v>40817</v>
      </c>
      <c r="C6934" s="9" t="s">
        <v>1261</v>
      </c>
      <c r="D6934">
        <v>10021507710</v>
      </c>
      <c r="E6934" t="s">
        <v>47</v>
      </c>
      <c r="F6934" t="s">
        <v>102</v>
      </c>
      <c r="G6934" t="s">
        <v>103</v>
      </c>
      <c r="H6934" t="s">
        <v>2560</v>
      </c>
      <c r="I6934" t="s">
        <v>2561</v>
      </c>
      <c r="J6934" t="s">
        <v>668</v>
      </c>
      <c r="K6934" s="3">
        <v>100132009277</v>
      </c>
      <c r="L6934" s="10">
        <v>40819</v>
      </c>
      <c r="M6934">
        <v>1281.1795</v>
      </c>
      <c r="N6934" s="11">
        <v>13</v>
      </c>
      <c r="O6934" s="12">
        <v>115.99</v>
      </c>
      <c r="P6934" s="12">
        <v>5.92</v>
      </c>
      <c r="Q6934" s="13">
        <v>-26.62</v>
      </c>
      <c r="R6934" s="36" t="s">
        <v>1989</v>
      </c>
      <c r="S6934" s="7">
        <f t="shared" si="613"/>
        <v>2</v>
      </c>
      <c r="T6934" s="15" t="str">
        <f>VLOOKUP(R6934,产品分类!$C$2:$D$1278,2,0)</f>
        <v>家具产品</v>
      </c>
    </row>
    <row r="6935" spans="1:20">
      <c r="A6935" s="8">
        <f t="shared" si="615"/>
        <v>40817</v>
      </c>
      <c r="B6935" s="8">
        <f t="shared" si="615"/>
        <v>40817</v>
      </c>
      <c r="C6935" s="9" t="s">
        <v>2131</v>
      </c>
      <c r="D6935">
        <v>10021505182</v>
      </c>
      <c r="E6935" t="s">
        <v>47</v>
      </c>
      <c r="F6935" t="s">
        <v>102</v>
      </c>
      <c r="G6935" t="s">
        <v>103</v>
      </c>
      <c r="H6935" t="s">
        <v>2560</v>
      </c>
      <c r="I6935" t="s">
        <v>2561</v>
      </c>
      <c r="J6935" t="s">
        <v>668</v>
      </c>
      <c r="K6935" s="3">
        <v>100110848667</v>
      </c>
      <c r="L6935" s="10">
        <v>40819</v>
      </c>
      <c r="M6935">
        <v>710.33</v>
      </c>
      <c r="N6935" s="11">
        <v>38</v>
      </c>
      <c r="O6935" s="12">
        <v>18.97</v>
      </c>
      <c r="P6935" s="12">
        <v>9.03</v>
      </c>
      <c r="Q6935" s="13">
        <v>62.53</v>
      </c>
      <c r="R6935" s="36" t="s">
        <v>1121</v>
      </c>
      <c r="S6935" s="7">
        <f t="shared" si="613"/>
        <v>2</v>
      </c>
      <c r="T6935" s="15" t="str">
        <f>VLOOKUP(R6935,产品分类!$C$2:$D$1278,2,0)</f>
        <v>家具产品</v>
      </c>
    </row>
    <row r="6936" spans="1:20">
      <c r="A6936" s="8">
        <f>DATE(2012,12,31)-707</f>
        <v>40567</v>
      </c>
      <c r="B6936" s="8">
        <f>DATE(2012,12,31)-707</f>
        <v>40567</v>
      </c>
      <c r="C6936" s="9" t="s">
        <v>504</v>
      </c>
      <c r="D6936">
        <v>10021419932</v>
      </c>
      <c r="E6936" t="s">
        <v>47</v>
      </c>
      <c r="F6936" t="s">
        <v>171</v>
      </c>
      <c r="G6936" t="s">
        <v>172</v>
      </c>
      <c r="H6936" t="s">
        <v>2486</v>
      </c>
      <c r="I6936" t="s">
        <v>2310</v>
      </c>
      <c r="J6936" t="s">
        <v>668</v>
      </c>
      <c r="K6936" s="3">
        <v>100424211604</v>
      </c>
      <c r="L6936" s="10">
        <v>40568</v>
      </c>
      <c r="M6936">
        <v>1090.6</v>
      </c>
      <c r="N6936" s="11">
        <v>45</v>
      </c>
      <c r="O6936" s="12">
        <v>23.99</v>
      </c>
      <c r="P6936" s="12">
        <v>6.3</v>
      </c>
      <c r="Q6936" s="13">
        <v>300.91</v>
      </c>
      <c r="R6936" s="36" t="s">
        <v>817</v>
      </c>
      <c r="S6936" s="7">
        <f t="shared" si="613"/>
        <v>1</v>
      </c>
      <c r="T6936" s="15" t="str">
        <f>VLOOKUP(R6936,产品分类!$C$2:$D$1278,2,0)</f>
        <v>办公用品</v>
      </c>
    </row>
    <row r="6937" spans="1:20">
      <c r="A6937" s="8">
        <f>DATE(2012,12,31)-565</f>
        <v>40709</v>
      </c>
      <c r="B6937" s="8">
        <f>DATE(2012,12,31)-565</f>
        <v>40709</v>
      </c>
      <c r="C6937" s="9" t="s">
        <v>504</v>
      </c>
      <c r="D6937">
        <v>10021293702</v>
      </c>
      <c r="E6937" t="s">
        <v>47</v>
      </c>
      <c r="F6937" t="s">
        <v>171</v>
      </c>
      <c r="G6937" t="s">
        <v>172</v>
      </c>
      <c r="H6937" t="s">
        <v>2486</v>
      </c>
      <c r="I6937" t="s">
        <v>2310</v>
      </c>
      <c r="J6937" t="s">
        <v>668</v>
      </c>
      <c r="K6937" s="3">
        <v>10036387259</v>
      </c>
      <c r="L6937" s="10">
        <v>40711</v>
      </c>
      <c r="M6937">
        <v>99.13</v>
      </c>
      <c r="N6937" s="11">
        <v>35</v>
      </c>
      <c r="O6937" s="12">
        <v>2.94</v>
      </c>
      <c r="P6937" s="12">
        <v>0.81</v>
      </c>
      <c r="Q6937" s="13">
        <v>23.74</v>
      </c>
      <c r="R6937" s="36" t="s">
        <v>1567</v>
      </c>
      <c r="S6937" s="7">
        <f t="shared" si="613"/>
        <v>2</v>
      </c>
      <c r="T6937" s="15" t="str">
        <f>VLOOKUP(R6937,产品分类!$C$2:$D$1278,2,0)</f>
        <v>办公用品</v>
      </c>
    </row>
    <row r="6938" spans="1:20">
      <c r="A6938" s="8">
        <f>DATE(2012,12,31)-687</f>
        <v>40587</v>
      </c>
      <c r="B6938" s="8">
        <f>DATE(2012,12,31)-687</f>
        <v>40587</v>
      </c>
      <c r="C6938" s="9" t="s">
        <v>2077</v>
      </c>
      <c r="D6938">
        <v>10021371448</v>
      </c>
      <c r="E6938" t="s">
        <v>47</v>
      </c>
      <c r="F6938" t="s">
        <v>171</v>
      </c>
      <c r="G6938" t="s">
        <v>172</v>
      </c>
      <c r="H6938" t="s">
        <v>2486</v>
      </c>
      <c r="I6938" t="s">
        <v>2310</v>
      </c>
      <c r="J6938" t="s">
        <v>668</v>
      </c>
      <c r="K6938" s="3">
        <v>100312451809</v>
      </c>
      <c r="L6938" s="10">
        <v>40588</v>
      </c>
      <c r="M6938">
        <v>49.04</v>
      </c>
      <c r="N6938" s="11">
        <v>8</v>
      </c>
      <c r="O6938" s="12">
        <v>5.68</v>
      </c>
      <c r="P6938" s="12">
        <v>1.39</v>
      </c>
      <c r="Q6938" s="13">
        <v>9.29</v>
      </c>
      <c r="R6938" s="36" t="s">
        <v>1113</v>
      </c>
      <c r="S6938" s="7">
        <f t="shared" si="613"/>
        <v>1</v>
      </c>
      <c r="T6938" s="15" t="str">
        <f>VLOOKUP(R6938,产品分类!$C$2:$D$1278,2,0)</f>
        <v>办公用品</v>
      </c>
    </row>
    <row r="6939" spans="1:20">
      <c r="A6939" s="8">
        <f>DATE(2012,12,31)-687</f>
        <v>40587</v>
      </c>
      <c r="B6939" s="8">
        <f>DATE(2012,12,31)-687</f>
        <v>40587</v>
      </c>
      <c r="C6939" s="9" t="s">
        <v>358</v>
      </c>
      <c r="D6939">
        <v>10021336784</v>
      </c>
      <c r="E6939" t="s">
        <v>47</v>
      </c>
      <c r="F6939" t="s">
        <v>171</v>
      </c>
      <c r="G6939" t="s">
        <v>172</v>
      </c>
      <c r="H6939" t="s">
        <v>2486</v>
      </c>
      <c r="I6939" t="s">
        <v>2310</v>
      </c>
      <c r="J6939" t="s">
        <v>668</v>
      </c>
      <c r="K6939" s="3">
        <v>100320466039</v>
      </c>
      <c r="L6939" s="10">
        <v>40587</v>
      </c>
      <c r="M6939">
        <v>2320.35</v>
      </c>
      <c r="N6939" s="11">
        <v>6</v>
      </c>
      <c r="O6939" s="12">
        <v>348.21</v>
      </c>
      <c r="P6939" s="12">
        <v>84.84</v>
      </c>
      <c r="Q6939" s="13">
        <v>-237.618</v>
      </c>
      <c r="R6939" s="36" t="s">
        <v>1982</v>
      </c>
      <c r="S6939" s="7">
        <f t="shared" si="613"/>
        <v>0</v>
      </c>
      <c r="T6939" s="15" t="str">
        <f>VLOOKUP(R6939,产品分类!$C$2:$D$1278,2,0)</f>
        <v>办公用品</v>
      </c>
    </row>
    <row r="6940" spans="1:20">
      <c r="A6940" s="8">
        <f>DATE(2012,12,31)-820</f>
        <v>40454</v>
      </c>
      <c r="B6940" s="8">
        <f>DATE(2012,12,31)-820</f>
        <v>40454</v>
      </c>
      <c r="C6940" s="9" t="s">
        <v>1348</v>
      </c>
      <c r="D6940">
        <v>10021299787</v>
      </c>
      <c r="E6940" t="s">
        <v>47</v>
      </c>
      <c r="F6940" t="s">
        <v>171</v>
      </c>
      <c r="G6940" t="s">
        <v>172</v>
      </c>
      <c r="H6940" t="s">
        <v>2486</v>
      </c>
      <c r="I6940" t="s">
        <v>2310</v>
      </c>
      <c r="J6940" t="s">
        <v>668</v>
      </c>
      <c r="K6940" s="3">
        <v>100127338296</v>
      </c>
      <c r="L6940" s="10">
        <v>40458</v>
      </c>
      <c r="M6940">
        <v>395.37</v>
      </c>
      <c r="N6940" s="11">
        <v>37</v>
      </c>
      <c r="O6940" s="12">
        <v>10.98</v>
      </c>
      <c r="P6940" s="12">
        <v>3.37</v>
      </c>
      <c r="Q6940" s="13">
        <v>17.15</v>
      </c>
      <c r="R6940" s="36" t="s">
        <v>2100</v>
      </c>
      <c r="S6940" s="7">
        <f t="shared" si="613"/>
        <v>4</v>
      </c>
      <c r="T6940" s="15" t="str">
        <f>VLOOKUP(R6940,产品分类!$C$2:$D$1278,2,0)</f>
        <v>家具产品</v>
      </c>
    </row>
    <row r="6941" spans="1:20">
      <c r="A6941" s="8">
        <f t="shared" ref="A6941:B6943" si="616">DATE(2012,12,31)-784</f>
        <v>40490</v>
      </c>
      <c r="B6941" s="8">
        <f t="shared" si="616"/>
        <v>40490</v>
      </c>
      <c r="C6941" s="9" t="s">
        <v>288</v>
      </c>
      <c r="D6941">
        <v>10021261883</v>
      </c>
      <c r="E6941" t="s">
        <v>47</v>
      </c>
      <c r="F6941" t="s">
        <v>177</v>
      </c>
      <c r="G6941" t="s">
        <v>178</v>
      </c>
      <c r="H6941" t="s">
        <v>2544</v>
      </c>
      <c r="I6941" t="s">
        <v>2545</v>
      </c>
      <c r="J6941" t="s">
        <v>668</v>
      </c>
      <c r="K6941" s="3">
        <v>100929740431</v>
      </c>
      <c r="L6941" s="10">
        <v>40490</v>
      </c>
      <c r="M6941">
        <v>634.38</v>
      </c>
      <c r="N6941" s="11">
        <v>43</v>
      </c>
      <c r="O6941" s="12">
        <v>15.74</v>
      </c>
      <c r="P6941" s="12">
        <v>1.39</v>
      </c>
      <c r="Q6941" s="13">
        <v>272.4</v>
      </c>
      <c r="R6941" s="36" t="s">
        <v>1162</v>
      </c>
      <c r="S6941" s="7">
        <f t="shared" si="613"/>
        <v>0</v>
      </c>
      <c r="T6941" s="15" t="str">
        <f>VLOOKUP(R6941,产品分类!$C$2:$D$1278,2,0)</f>
        <v>办公用品</v>
      </c>
    </row>
    <row r="6942" spans="1:20">
      <c r="A6942" s="8">
        <f t="shared" si="616"/>
        <v>40490</v>
      </c>
      <c r="B6942" s="8">
        <f t="shared" si="616"/>
        <v>40490</v>
      </c>
      <c r="C6942" s="9" t="s">
        <v>1652</v>
      </c>
      <c r="D6942">
        <v>10021253268</v>
      </c>
      <c r="E6942" t="s">
        <v>47</v>
      </c>
      <c r="F6942" t="s">
        <v>177</v>
      </c>
      <c r="G6942" t="s">
        <v>178</v>
      </c>
      <c r="H6942" t="s">
        <v>2544</v>
      </c>
      <c r="I6942" t="s">
        <v>2545</v>
      </c>
      <c r="J6942" t="s">
        <v>668</v>
      </c>
      <c r="K6942" s="3">
        <v>100418131394</v>
      </c>
      <c r="L6942" s="10">
        <v>40491</v>
      </c>
      <c r="M6942">
        <v>5196.19</v>
      </c>
      <c r="N6942" s="11">
        <v>39</v>
      </c>
      <c r="O6942" s="12">
        <v>140.99</v>
      </c>
      <c r="P6942" s="12">
        <v>13.99</v>
      </c>
      <c r="Q6942" s="13">
        <v>2052.13</v>
      </c>
      <c r="R6942" s="36" t="s">
        <v>1468</v>
      </c>
      <c r="S6942" s="7">
        <f t="shared" si="613"/>
        <v>1</v>
      </c>
      <c r="T6942" s="15" t="str">
        <f>VLOOKUP(R6942,产品分类!$C$2:$D$1278,2,0)</f>
        <v>数码电子</v>
      </c>
    </row>
    <row r="6943" spans="1:20">
      <c r="A6943" s="8">
        <f t="shared" si="616"/>
        <v>40490</v>
      </c>
      <c r="B6943" s="8">
        <f t="shared" si="616"/>
        <v>40490</v>
      </c>
      <c r="C6943" s="9" t="s">
        <v>719</v>
      </c>
      <c r="D6943">
        <v>10021417520</v>
      </c>
      <c r="E6943" t="s">
        <v>47</v>
      </c>
      <c r="F6943" t="s">
        <v>167</v>
      </c>
      <c r="G6943" t="s">
        <v>168</v>
      </c>
      <c r="H6943" t="s">
        <v>169</v>
      </c>
      <c r="I6943" t="s">
        <v>168</v>
      </c>
      <c r="J6943" t="s">
        <v>668</v>
      </c>
      <c r="K6943" s="3">
        <v>100912165051</v>
      </c>
      <c r="L6943" s="10">
        <v>40492</v>
      </c>
      <c r="M6943">
        <v>50.47</v>
      </c>
      <c r="N6943" s="11">
        <v>7</v>
      </c>
      <c r="O6943" s="12">
        <v>6.48</v>
      </c>
      <c r="P6943" s="12">
        <v>7.49</v>
      </c>
      <c r="Q6943" s="13">
        <v>-31.7</v>
      </c>
      <c r="R6943" s="36" t="s">
        <v>1702</v>
      </c>
      <c r="S6943" s="7">
        <f t="shared" si="613"/>
        <v>2</v>
      </c>
      <c r="T6943" s="15" t="str">
        <f>VLOOKUP(R6943,产品分类!$C$2:$D$1278,2,0)</f>
        <v>办公用品</v>
      </c>
    </row>
    <row r="6944" spans="1:20">
      <c r="A6944" s="8">
        <f>DATE(2012,12,31)-664</f>
        <v>40610</v>
      </c>
      <c r="B6944" s="8">
        <f>DATE(2012,12,31)-664</f>
        <v>40610</v>
      </c>
      <c r="C6944" s="9" t="s">
        <v>1696</v>
      </c>
      <c r="D6944">
        <v>10021253638</v>
      </c>
      <c r="E6944" t="s">
        <v>47</v>
      </c>
      <c r="F6944" t="s">
        <v>127</v>
      </c>
      <c r="G6944" t="s">
        <v>128</v>
      </c>
      <c r="H6944" t="s">
        <v>2554</v>
      </c>
      <c r="I6944" t="s">
        <v>2555</v>
      </c>
      <c r="J6944" t="s">
        <v>668</v>
      </c>
      <c r="K6944" s="3">
        <v>100720187435</v>
      </c>
      <c r="L6944" s="10">
        <v>40611</v>
      </c>
      <c r="M6944">
        <v>341.1</v>
      </c>
      <c r="N6944" s="11">
        <v>27</v>
      </c>
      <c r="O6944" s="12">
        <v>11.97</v>
      </c>
      <c r="P6944" s="12">
        <v>4.98</v>
      </c>
      <c r="Q6944" s="13">
        <v>-4.75</v>
      </c>
      <c r="R6944" s="36" t="s">
        <v>556</v>
      </c>
      <c r="S6944" s="7">
        <f t="shared" si="613"/>
        <v>1</v>
      </c>
      <c r="T6944" s="15" t="str">
        <f>VLOOKUP(R6944,产品分类!$C$2:$D$1278,2,0)</f>
        <v>办公用品</v>
      </c>
    </row>
    <row r="6945" spans="1:20">
      <c r="A6945" s="8">
        <f>DATE(2012,12,31)-1225</f>
        <v>40049</v>
      </c>
      <c r="B6945" s="8">
        <f>DATE(2012,12,31)-1225</f>
        <v>40049</v>
      </c>
      <c r="C6945" s="9" t="s">
        <v>1523</v>
      </c>
      <c r="D6945">
        <v>10021747726</v>
      </c>
      <c r="E6945" t="s">
        <v>47</v>
      </c>
      <c r="F6945" t="s">
        <v>177</v>
      </c>
      <c r="G6945" t="s">
        <v>178</v>
      </c>
      <c r="H6945" t="s">
        <v>2566</v>
      </c>
      <c r="I6945" t="s">
        <v>2396</v>
      </c>
      <c r="J6945" t="s">
        <v>668</v>
      </c>
      <c r="K6945" s="3">
        <v>100129837786</v>
      </c>
      <c r="L6945" s="10">
        <v>40051</v>
      </c>
      <c r="M6945">
        <v>1614.97</v>
      </c>
      <c r="N6945" s="11">
        <v>4</v>
      </c>
      <c r="O6945" s="12">
        <v>376.13</v>
      </c>
      <c r="P6945" s="12">
        <v>85.63</v>
      </c>
      <c r="Q6945" s="13">
        <v>-593.15</v>
      </c>
      <c r="R6945" s="36" t="s">
        <v>1166</v>
      </c>
      <c r="S6945" s="7">
        <f t="shared" si="613"/>
        <v>2</v>
      </c>
      <c r="T6945" s="15" t="str">
        <f>VLOOKUP(R6945,产品分类!$C$2:$D$1278,2,0)</f>
        <v>办公用品</v>
      </c>
    </row>
    <row r="6946" spans="1:20">
      <c r="A6946" s="8">
        <f>DATE(2012,12,31)-1225</f>
        <v>40049</v>
      </c>
      <c r="B6946" s="8">
        <f>DATE(2012,12,31)-1225</f>
        <v>40049</v>
      </c>
      <c r="C6946" s="9" t="s">
        <v>1282</v>
      </c>
      <c r="D6946">
        <v>10021508268</v>
      </c>
      <c r="E6946" t="s">
        <v>47</v>
      </c>
      <c r="F6946" t="s">
        <v>183</v>
      </c>
      <c r="G6946" t="s">
        <v>184</v>
      </c>
      <c r="H6946" t="s">
        <v>2552</v>
      </c>
      <c r="I6946" t="s">
        <v>2553</v>
      </c>
      <c r="J6946" t="s">
        <v>668</v>
      </c>
      <c r="K6946" s="3">
        <v>100427396643</v>
      </c>
      <c r="L6946" s="10">
        <v>40050</v>
      </c>
      <c r="M6946">
        <v>2119.0415</v>
      </c>
      <c r="N6946" s="11">
        <v>12</v>
      </c>
      <c r="O6946" s="12">
        <v>195.99</v>
      </c>
      <c r="P6946" s="12">
        <v>8.99</v>
      </c>
      <c r="Q6946" s="13">
        <v>-6.567</v>
      </c>
      <c r="R6946" s="36" t="s">
        <v>1543</v>
      </c>
      <c r="S6946" s="7">
        <f t="shared" si="613"/>
        <v>1</v>
      </c>
      <c r="T6946" s="15" t="str">
        <f>VLOOKUP(R6946,产品分类!$C$2:$D$1278,2,0)</f>
        <v>家具产品</v>
      </c>
    </row>
    <row r="6947" spans="1:20">
      <c r="A6947" s="8">
        <f>DATE(2012,12,31)-650</f>
        <v>40624</v>
      </c>
      <c r="B6947" s="8">
        <f>DATE(2012,12,31)-650</f>
        <v>40624</v>
      </c>
      <c r="C6947" s="9" t="s">
        <v>1537</v>
      </c>
      <c r="D6947">
        <v>10021740532</v>
      </c>
      <c r="E6947" t="s">
        <v>47</v>
      </c>
      <c r="F6947" t="s">
        <v>177</v>
      </c>
      <c r="G6947" t="s">
        <v>178</v>
      </c>
      <c r="H6947" t="s">
        <v>2566</v>
      </c>
      <c r="I6947" t="s">
        <v>2396</v>
      </c>
      <c r="J6947" t="s">
        <v>668</v>
      </c>
      <c r="K6947" s="3">
        <v>100920697691</v>
      </c>
      <c r="L6947" s="10">
        <v>40625</v>
      </c>
      <c r="M6947">
        <v>1900.226</v>
      </c>
      <c r="N6947" s="11">
        <v>33</v>
      </c>
      <c r="O6947" s="12">
        <v>65.99</v>
      </c>
      <c r="P6947" s="12">
        <v>5.31</v>
      </c>
      <c r="Q6947" s="13">
        <v>440.199</v>
      </c>
      <c r="R6947" s="36" t="s">
        <v>269</v>
      </c>
      <c r="S6947" s="7">
        <f t="shared" si="613"/>
        <v>1</v>
      </c>
      <c r="T6947" s="15" t="str">
        <f>VLOOKUP(R6947,产品分类!$C$2:$D$1278,2,0)</f>
        <v>办公用品</v>
      </c>
    </row>
    <row r="6948" spans="1:20">
      <c r="A6948" s="16">
        <f>DATE(2012,12,31)-489</f>
        <v>40785</v>
      </c>
      <c r="B6948" s="16">
        <f>DATE(2012,12,31)-489</f>
        <v>40785</v>
      </c>
      <c r="C6948" s="9" t="s">
        <v>1537</v>
      </c>
      <c r="D6948">
        <v>10021263784</v>
      </c>
      <c r="E6948" t="s">
        <v>47</v>
      </c>
      <c r="F6948" t="s">
        <v>177</v>
      </c>
      <c r="G6948" t="s">
        <v>178</v>
      </c>
      <c r="H6948" t="s">
        <v>2566</v>
      </c>
      <c r="I6948" t="s">
        <v>2396</v>
      </c>
      <c r="J6948" t="s">
        <v>668</v>
      </c>
      <c r="K6948" s="3">
        <v>100930837361</v>
      </c>
      <c r="L6948" s="10">
        <v>40786</v>
      </c>
      <c r="M6948">
        <v>272.39</v>
      </c>
      <c r="N6948" s="17">
        <v>39</v>
      </c>
      <c r="O6948" s="5">
        <v>6.48</v>
      </c>
      <c r="P6948" s="5">
        <v>6.6</v>
      </c>
      <c r="Q6948" s="6">
        <v>-91.48</v>
      </c>
      <c r="R6948" s="37" t="s">
        <v>409</v>
      </c>
      <c r="S6948" s="7">
        <f t="shared" si="613"/>
        <v>1</v>
      </c>
      <c r="T6948" s="15" t="str">
        <f>VLOOKUP(R6948,产品分类!$C$2:$D$1278,2,0)</f>
        <v>办公用品</v>
      </c>
    </row>
    <row r="6949" spans="1:20">
      <c r="A6949" s="8">
        <f>DATE(2012,12,31)-1271</f>
        <v>40003</v>
      </c>
      <c r="B6949" s="8">
        <f>DATE(2012,12,31)-1271</f>
        <v>40003</v>
      </c>
      <c r="C6949" s="9" t="s">
        <v>1537</v>
      </c>
      <c r="D6949">
        <v>10021677839</v>
      </c>
      <c r="E6949" t="s">
        <v>47</v>
      </c>
      <c r="F6949" t="s">
        <v>177</v>
      </c>
      <c r="G6949" t="s">
        <v>178</v>
      </c>
      <c r="H6949" t="s">
        <v>2566</v>
      </c>
      <c r="I6949" t="s">
        <v>2396</v>
      </c>
      <c r="J6949" t="s">
        <v>668</v>
      </c>
      <c r="K6949" s="3">
        <v>100832916612</v>
      </c>
      <c r="L6949" s="10">
        <v>40005</v>
      </c>
      <c r="M6949">
        <v>519.65</v>
      </c>
      <c r="N6949" s="11">
        <v>16</v>
      </c>
      <c r="O6949" s="12">
        <v>30.98</v>
      </c>
      <c r="P6949" s="12">
        <v>8.99</v>
      </c>
      <c r="Q6949" s="13">
        <v>26.36</v>
      </c>
      <c r="R6949" s="36" t="s">
        <v>847</v>
      </c>
      <c r="S6949" s="7">
        <f t="shared" si="613"/>
        <v>2</v>
      </c>
      <c r="T6949" s="15" t="str">
        <f>VLOOKUP(R6949,产品分类!$C$2:$D$1278,2,0)</f>
        <v>数码电子</v>
      </c>
    </row>
    <row r="6950" spans="1:20">
      <c r="A6950" s="16">
        <f>DATE(2012,12,31)-1271</f>
        <v>40003</v>
      </c>
      <c r="B6950" s="16">
        <f>DATE(2012,12,31)-1271</f>
        <v>40003</v>
      </c>
      <c r="C6950" s="9" t="s">
        <v>632</v>
      </c>
      <c r="D6950">
        <v>10021343802</v>
      </c>
      <c r="E6950" t="s">
        <v>47</v>
      </c>
      <c r="F6950" t="s">
        <v>177</v>
      </c>
      <c r="G6950" t="s">
        <v>178</v>
      </c>
      <c r="H6950" t="s">
        <v>2566</v>
      </c>
      <c r="I6950" t="s">
        <v>2396</v>
      </c>
      <c r="J6950" t="s">
        <v>668</v>
      </c>
      <c r="K6950" s="3">
        <v>100129174458</v>
      </c>
      <c r="L6950" s="10">
        <v>40005</v>
      </c>
      <c r="M6950">
        <v>16949.44</v>
      </c>
      <c r="N6950" s="17">
        <v>31</v>
      </c>
      <c r="O6950" s="5">
        <v>525.98</v>
      </c>
      <c r="P6950" s="5">
        <v>19.99</v>
      </c>
      <c r="Q6950" s="6">
        <v>7858.08</v>
      </c>
      <c r="R6950" s="37" t="s">
        <v>381</v>
      </c>
      <c r="S6950" s="7">
        <f t="shared" si="613"/>
        <v>2</v>
      </c>
      <c r="T6950" s="15" t="str">
        <f>VLOOKUP(R6950,产品分类!$C$2:$D$1278,2,0)</f>
        <v>数码电子</v>
      </c>
    </row>
    <row r="6951" spans="1:20">
      <c r="A6951" s="8">
        <f>DATE(2012,12,31)-861</f>
        <v>40413</v>
      </c>
      <c r="B6951" s="8">
        <f>DATE(2012,12,31)-861</f>
        <v>40413</v>
      </c>
      <c r="C6951" s="9" t="s">
        <v>786</v>
      </c>
      <c r="D6951">
        <v>10021460637</v>
      </c>
      <c r="E6951" t="s">
        <v>47</v>
      </c>
      <c r="F6951" t="s">
        <v>177</v>
      </c>
      <c r="G6951" t="s">
        <v>178</v>
      </c>
      <c r="H6951" t="s">
        <v>2566</v>
      </c>
      <c r="I6951" t="s">
        <v>2396</v>
      </c>
      <c r="J6951" t="s">
        <v>668</v>
      </c>
      <c r="K6951" s="3">
        <v>100110451928</v>
      </c>
      <c r="L6951" s="10">
        <v>40415</v>
      </c>
      <c r="M6951">
        <v>274.32</v>
      </c>
      <c r="N6951" s="11">
        <v>18</v>
      </c>
      <c r="O6951" s="12">
        <v>15.14</v>
      </c>
      <c r="P6951" s="12">
        <v>4.53</v>
      </c>
      <c r="Q6951" s="13">
        <v>-58.24</v>
      </c>
      <c r="R6951" s="36" t="s">
        <v>1538</v>
      </c>
      <c r="S6951" s="7">
        <f t="shared" si="613"/>
        <v>2</v>
      </c>
      <c r="T6951" s="15" t="str">
        <f>VLOOKUP(R6951,产品分类!$C$2:$D$1278,2,0)</f>
        <v>办公用品</v>
      </c>
    </row>
    <row r="6952" spans="1:20">
      <c r="A6952" s="8">
        <f>DATE(2012,12,31)-110</f>
        <v>41164</v>
      </c>
      <c r="B6952" s="8">
        <f>DATE(2012,12,31)-110</f>
        <v>41164</v>
      </c>
      <c r="C6952" s="9" t="s">
        <v>1380</v>
      </c>
      <c r="D6952">
        <v>10021301353</v>
      </c>
      <c r="E6952" t="s">
        <v>47</v>
      </c>
      <c r="F6952" t="s">
        <v>167</v>
      </c>
      <c r="G6952" t="s">
        <v>168</v>
      </c>
      <c r="H6952" t="s">
        <v>169</v>
      </c>
      <c r="I6952" t="s">
        <v>168</v>
      </c>
      <c r="J6952" t="s">
        <v>668</v>
      </c>
      <c r="K6952" s="3">
        <v>100130244467</v>
      </c>
      <c r="L6952" s="10">
        <v>41166</v>
      </c>
      <c r="M6952">
        <v>75.73</v>
      </c>
      <c r="N6952" s="11">
        <v>24</v>
      </c>
      <c r="O6952" s="12">
        <v>3.15</v>
      </c>
      <c r="P6952" s="12">
        <v>0.5</v>
      </c>
      <c r="Q6952" s="13">
        <v>29.46</v>
      </c>
      <c r="R6952" s="36" t="s">
        <v>2456</v>
      </c>
      <c r="S6952" s="7">
        <f t="shared" si="613"/>
        <v>2</v>
      </c>
      <c r="T6952" s="15" t="str">
        <f>VLOOKUP(R6952,产品分类!$C$2:$D$1278,2,0)</f>
        <v>办公用品</v>
      </c>
    </row>
    <row r="6953" spans="1:20">
      <c r="A6953" s="16">
        <f>DATE(2012,12,31)-1206</f>
        <v>40068</v>
      </c>
      <c r="B6953" s="16">
        <f>DATE(2012,12,31)-1206</f>
        <v>40068</v>
      </c>
      <c r="C6953" s="9" t="s">
        <v>297</v>
      </c>
      <c r="D6953">
        <v>10021645075</v>
      </c>
      <c r="E6953" t="s">
        <v>47</v>
      </c>
      <c r="F6953" t="s">
        <v>61</v>
      </c>
      <c r="G6953" t="s">
        <v>62</v>
      </c>
      <c r="H6953" t="s">
        <v>2546</v>
      </c>
      <c r="I6953" t="s">
        <v>2547</v>
      </c>
      <c r="J6953" t="s">
        <v>668</v>
      </c>
      <c r="K6953" s="3">
        <v>10041266654</v>
      </c>
      <c r="L6953" s="10">
        <v>40068</v>
      </c>
      <c r="M6953">
        <v>88.4</v>
      </c>
      <c r="N6953" s="17">
        <v>19</v>
      </c>
      <c r="O6953" s="5">
        <v>4.91</v>
      </c>
      <c r="P6953" s="5">
        <v>0.5</v>
      </c>
      <c r="Q6953" s="6">
        <v>35.5</v>
      </c>
      <c r="R6953" s="37" t="s">
        <v>2139</v>
      </c>
      <c r="S6953" s="7">
        <f t="shared" si="613"/>
        <v>0</v>
      </c>
      <c r="T6953" s="15" t="str">
        <f>VLOOKUP(R6953,产品分类!$C$2:$D$1278,2,0)</f>
        <v>数码电子</v>
      </c>
    </row>
    <row r="6954" spans="1:20">
      <c r="A6954" s="8">
        <f>DATE(2012,12,31)-1206</f>
        <v>40068</v>
      </c>
      <c r="B6954" s="8">
        <f>DATE(2012,12,31)-1206</f>
        <v>40068</v>
      </c>
      <c r="C6954" s="9" t="s">
        <v>460</v>
      </c>
      <c r="D6954">
        <v>10021656659</v>
      </c>
      <c r="E6954" t="s">
        <v>47</v>
      </c>
      <c r="F6954" t="s">
        <v>61</v>
      </c>
      <c r="G6954" t="s">
        <v>62</v>
      </c>
      <c r="H6954" t="s">
        <v>2546</v>
      </c>
      <c r="I6954" t="s">
        <v>2547</v>
      </c>
      <c r="J6954" t="s">
        <v>668</v>
      </c>
      <c r="K6954" s="3">
        <v>10092638461</v>
      </c>
      <c r="L6954" s="10">
        <v>40070</v>
      </c>
      <c r="M6954">
        <v>259.83</v>
      </c>
      <c r="N6954" s="11">
        <v>40</v>
      </c>
      <c r="O6954" s="12">
        <v>5.98</v>
      </c>
      <c r="P6954" s="12">
        <v>1.49</v>
      </c>
      <c r="Q6954" s="13">
        <v>80.733</v>
      </c>
      <c r="R6954" s="36" t="s">
        <v>608</v>
      </c>
      <c r="S6954" s="7">
        <f t="shared" si="613"/>
        <v>2</v>
      </c>
      <c r="T6954" s="15" t="str">
        <f>VLOOKUP(R6954,产品分类!$C$2:$D$1278,2,0)</f>
        <v>家具产品</v>
      </c>
    </row>
    <row r="6955" spans="1:20">
      <c r="A6955" s="8">
        <f>DATE(2012,12,31)-690</f>
        <v>40584</v>
      </c>
      <c r="B6955" s="8">
        <f>DATE(2012,12,31)-690</f>
        <v>40584</v>
      </c>
      <c r="C6955" s="9" t="s">
        <v>897</v>
      </c>
      <c r="D6955">
        <v>10021663439</v>
      </c>
      <c r="E6955" t="s">
        <v>47</v>
      </c>
      <c r="F6955" t="s">
        <v>61</v>
      </c>
      <c r="G6955" t="s">
        <v>62</v>
      </c>
      <c r="H6955" t="s">
        <v>2546</v>
      </c>
      <c r="I6955" t="s">
        <v>2547</v>
      </c>
      <c r="J6955" t="s">
        <v>668</v>
      </c>
      <c r="K6955" s="3">
        <v>100123912247</v>
      </c>
      <c r="L6955" s="10">
        <v>40584</v>
      </c>
      <c r="M6955">
        <v>171.14</v>
      </c>
      <c r="N6955" s="11">
        <v>26</v>
      </c>
      <c r="O6955" s="12">
        <v>4.48</v>
      </c>
      <c r="P6955" s="12">
        <v>49</v>
      </c>
      <c r="Q6955" s="13">
        <v>-1172.75</v>
      </c>
      <c r="R6955" s="36" t="s">
        <v>975</v>
      </c>
      <c r="S6955" s="7">
        <f t="shared" si="613"/>
        <v>0</v>
      </c>
      <c r="T6955" s="15" t="str">
        <f>VLOOKUP(R6955,产品分类!$C$2:$D$1278,2,0)</f>
        <v>家具产品</v>
      </c>
    </row>
    <row r="6956" spans="1:20">
      <c r="A6956" s="8">
        <f>DATE(2012,12,31)-683</f>
        <v>40591</v>
      </c>
      <c r="B6956" s="8">
        <f>DATE(2012,12,31)-683</f>
        <v>40591</v>
      </c>
      <c r="C6956" s="9" t="s">
        <v>897</v>
      </c>
      <c r="D6956">
        <v>10021423930</v>
      </c>
      <c r="E6956" t="s">
        <v>47</v>
      </c>
      <c r="F6956" t="s">
        <v>342</v>
      </c>
      <c r="G6956" t="s">
        <v>343</v>
      </c>
      <c r="H6956" t="s">
        <v>2515</v>
      </c>
      <c r="I6956" t="s">
        <v>2516</v>
      </c>
      <c r="J6956" t="s">
        <v>668</v>
      </c>
      <c r="K6956" s="3">
        <v>100128342218</v>
      </c>
      <c r="L6956" s="10">
        <v>40595</v>
      </c>
      <c r="M6956">
        <v>756.15</v>
      </c>
      <c r="N6956" s="11">
        <v>5</v>
      </c>
      <c r="O6956" s="12">
        <v>145.45</v>
      </c>
      <c r="P6956" s="12">
        <v>17.85</v>
      </c>
      <c r="Q6956" s="13">
        <v>-280.2792</v>
      </c>
      <c r="R6956" s="36" t="s">
        <v>1104</v>
      </c>
      <c r="S6956" s="7">
        <f t="shared" si="613"/>
        <v>4</v>
      </c>
      <c r="T6956" s="15" t="str">
        <f>VLOOKUP(R6956,产品分类!$C$2:$D$1278,2,0)</f>
        <v>办公用品</v>
      </c>
    </row>
    <row r="6957" spans="1:20">
      <c r="A6957" s="8">
        <f>DATE(2012,12,31)-683</f>
        <v>40591</v>
      </c>
      <c r="B6957" s="8">
        <f>DATE(2012,12,31)-683</f>
        <v>40591</v>
      </c>
      <c r="C6957" s="9" t="s">
        <v>897</v>
      </c>
      <c r="D6957">
        <v>10021608629</v>
      </c>
      <c r="E6957" t="s">
        <v>47</v>
      </c>
      <c r="F6957" t="s">
        <v>127</v>
      </c>
      <c r="G6957" t="s">
        <v>128</v>
      </c>
      <c r="H6957" t="s">
        <v>2554</v>
      </c>
      <c r="I6957" t="s">
        <v>2555</v>
      </c>
      <c r="J6957" t="s">
        <v>668</v>
      </c>
      <c r="K6957" s="3">
        <v>100426489533</v>
      </c>
      <c r="L6957" s="10">
        <v>40593</v>
      </c>
      <c r="M6957">
        <v>18.15</v>
      </c>
      <c r="N6957" s="11">
        <v>1</v>
      </c>
      <c r="O6957" s="12">
        <v>12.28</v>
      </c>
      <c r="P6957" s="12">
        <v>6.13</v>
      </c>
      <c r="Q6957" s="13">
        <v>-7.26</v>
      </c>
      <c r="R6957" s="36" t="s">
        <v>131</v>
      </c>
      <c r="S6957" s="7">
        <f t="shared" si="613"/>
        <v>2</v>
      </c>
      <c r="T6957" s="15" t="str">
        <f>VLOOKUP(R6957,产品分类!$C$2:$D$1278,2,0)</f>
        <v>家具产品</v>
      </c>
    </row>
    <row r="6958" spans="1:20">
      <c r="A6958" s="8">
        <f>DATE(2012,12,31)-586</f>
        <v>40688</v>
      </c>
      <c r="B6958" s="8">
        <f>DATE(2012,12,31)-586</f>
        <v>40688</v>
      </c>
      <c r="C6958" s="9" t="s">
        <v>849</v>
      </c>
      <c r="D6958">
        <v>10021331551</v>
      </c>
      <c r="E6958" t="s">
        <v>47</v>
      </c>
      <c r="F6958" t="s">
        <v>61</v>
      </c>
      <c r="G6958" t="s">
        <v>62</v>
      </c>
      <c r="H6958" t="s">
        <v>2546</v>
      </c>
      <c r="I6958" t="s">
        <v>2547</v>
      </c>
      <c r="J6958" t="s">
        <v>668</v>
      </c>
      <c r="K6958" s="3">
        <v>10043917613</v>
      </c>
      <c r="L6958" s="10">
        <v>40690</v>
      </c>
      <c r="M6958">
        <v>204.15</v>
      </c>
      <c r="N6958" s="11">
        <v>48</v>
      </c>
      <c r="O6958" s="12">
        <v>4.24</v>
      </c>
      <c r="P6958" s="12">
        <v>5.41</v>
      </c>
      <c r="Q6958" s="13">
        <v>-155.526</v>
      </c>
      <c r="R6958" s="36" t="s">
        <v>1267</v>
      </c>
      <c r="S6958" s="7">
        <f t="shared" si="613"/>
        <v>2</v>
      </c>
      <c r="T6958" s="15" t="str">
        <f>VLOOKUP(R6958,产品分类!$C$2:$D$1278,2,0)</f>
        <v>数码电子</v>
      </c>
    </row>
    <row r="6959" spans="1:20">
      <c r="A6959" s="8">
        <f>DATE(2012,12,31)-586</f>
        <v>40688</v>
      </c>
      <c r="B6959" s="8">
        <f>DATE(2012,12,31)-586</f>
        <v>40688</v>
      </c>
      <c r="C6959" s="9" t="s">
        <v>1117</v>
      </c>
      <c r="D6959">
        <v>10021739642</v>
      </c>
      <c r="E6959" t="s">
        <v>47</v>
      </c>
      <c r="F6959" t="s">
        <v>61</v>
      </c>
      <c r="G6959" t="s">
        <v>62</v>
      </c>
      <c r="H6959" t="s">
        <v>2546</v>
      </c>
      <c r="I6959" t="s">
        <v>2547</v>
      </c>
      <c r="J6959" t="s">
        <v>668</v>
      </c>
      <c r="K6959" s="3">
        <v>100916376161</v>
      </c>
      <c r="L6959" s="10">
        <v>40690</v>
      </c>
      <c r="M6959">
        <v>33.11</v>
      </c>
      <c r="N6959" s="11">
        <v>13</v>
      </c>
      <c r="O6959" s="12">
        <v>2.23</v>
      </c>
      <c r="P6959" s="12">
        <v>4.57</v>
      </c>
      <c r="Q6959" s="13">
        <v>-35.96</v>
      </c>
      <c r="R6959" s="36" t="s">
        <v>1671</v>
      </c>
      <c r="S6959" s="7">
        <f t="shared" si="613"/>
        <v>2</v>
      </c>
      <c r="T6959" s="15" t="str">
        <f>VLOOKUP(R6959,产品分类!$C$2:$D$1278,2,0)</f>
        <v>办公用品</v>
      </c>
    </row>
    <row r="6960" spans="1:20">
      <c r="A6960" s="8">
        <f>DATE(2012,12,31)-1074</f>
        <v>40200</v>
      </c>
      <c r="B6960" s="8">
        <f>DATE(2012,12,31)-1074</f>
        <v>40200</v>
      </c>
      <c r="C6960" s="9" t="s">
        <v>1725</v>
      </c>
      <c r="D6960">
        <v>10021260798</v>
      </c>
      <c r="E6960" t="s">
        <v>47</v>
      </c>
      <c r="F6960" t="s">
        <v>61</v>
      </c>
      <c r="G6960" t="s">
        <v>62</v>
      </c>
      <c r="H6960" t="s">
        <v>2546</v>
      </c>
      <c r="I6960" t="s">
        <v>2547</v>
      </c>
      <c r="J6960" t="s">
        <v>668</v>
      </c>
      <c r="K6960" s="3">
        <v>100129046117</v>
      </c>
      <c r="L6960" s="10">
        <v>40201</v>
      </c>
      <c r="M6960">
        <v>3.41</v>
      </c>
      <c r="N6960" s="11">
        <v>1</v>
      </c>
      <c r="O6960" s="12">
        <v>2.88</v>
      </c>
      <c r="P6960" s="12">
        <v>0.7</v>
      </c>
      <c r="Q6960" s="13">
        <v>-1.78</v>
      </c>
      <c r="R6960" s="36" t="s">
        <v>217</v>
      </c>
      <c r="S6960" s="7">
        <f t="shared" si="613"/>
        <v>1</v>
      </c>
      <c r="T6960" s="15" t="str">
        <f>VLOOKUP(R6960,产品分类!$C$2:$D$1278,2,0)</f>
        <v>办公用品</v>
      </c>
    </row>
    <row r="6961" spans="1:20">
      <c r="A6961" s="8">
        <f t="shared" ref="A6961:B6963" si="617">DATE(2012,12,31)-164</f>
        <v>41110</v>
      </c>
      <c r="B6961" s="8">
        <f t="shared" si="617"/>
        <v>41110</v>
      </c>
      <c r="C6961" s="9" t="s">
        <v>1725</v>
      </c>
      <c r="D6961">
        <v>10021594888</v>
      </c>
      <c r="E6961" t="s">
        <v>47</v>
      </c>
      <c r="F6961" t="s">
        <v>253</v>
      </c>
      <c r="G6961" t="s">
        <v>254</v>
      </c>
      <c r="H6961" t="s">
        <v>2508</v>
      </c>
      <c r="I6961" t="s">
        <v>2509</v>
      </c>
      <c r="J6961" t="s">
        <v>668</v>
      </c>
      <c r="K6961" s="3">
        <v>100432777914</v>
      </c>
      <c r="L6961" s="10">
        <v>41110</v>
      </c>
      <c r="M6961">
        <v>139.54</v>
      </c>
      <c r="N6961" s="11">
        <v>26</v>
      </c>
      <c r="O6961" s="12">
        <v>4.98</v>
      </c>
      <c r="P6961" s="12">
        <v>4.95</v>
      </c>
      <c r="Q6961" s="13">
        <v>-54.0845</v>
      </c>
      <c r="R6961" s="36" t="s">
        <v>1195</v>
      </c>
      <c r="S6961" s="7">
        <f t="shared" si="613"/>
        <v>0</v>
      </c>
      <c r="T6961" s="15" t="str">
        <f>VLOOKUP(R6961,产品分类!$C$2:$D$1278,2,0)</f>
        <v>办公用品</v>
      </c>
    </row>
    <row r="6962" spans="1:20">
      <c r="A6962" s="8">
        <f t="shared" si="617"/>
        <v>41110</v>
      </c>
      <c r="B6962" s="8">
        <f t="shared" si="617"/>
        <v>41110</v>
      </c>
      <c r="C6962" s="9" t="s">
        <v>1391</v>
      </c>
      <c r="D6962">
        <v>10021663326</v>
      </c>
      <c r="E6962" t="s">
        <v>47</v>
      </c>
      <c r="F6962" t="s">
        <v>61</v>
      </c>
      <c r="G6962" t="s">
        <v>62</v>
      </c>
      <c r="H6962" t="s">
        <v>2546</v>
      </c>
      <c r="I6962" t="s">
        <v>2547</v>
      </c>
      <c r="J6962" t="s">
        <v>668</v>
      </c>
      <c r="K6962" s="3">
        <v>100916460581</v>
      </c>
      <c r="L6962" s="10">
        <v>41112</v>
      </c>
      <c r="M6962">
        <v>199.52</v>
      </c>
      <c r="N6962" s="11">
        <v>28</v>
      </c>
      <c r="O6962" s="12">
        <v>7.59</v>
      </c>
      <c r="P6962" s="12">
        <v>4</v>
      </c>
      <c r="Q6962" s="13">
        <v>13.44</v>
      </c>
      <c r="R6962" s="36" t="s">
        <v>1792</v>
      </c>
      <c r="S6962" s="7">
        <f t="shared" si="613"/>
        <v>2</v>
      </c>
      <c r="T6962" s="15" t="str">
        <f>VLOOKUP(R6962,产品分类!$C$2:$D$1278,2,0)</f>
        <v>办公用品</v>
      </c>
    </row>
    <row r="6963" spans="1:20">
      <c r="A6963" s="8">
        <f t="shared" si="617"/>
        <v>41110</v>
      </c>
      <c r="B6963" s="8">
        <f t="shared" si="617"/>
        <v>41110</v>
      </c>
      <c r="C6963" s="9" t="s">
        <v>1819</v>
      </c>
      <c r="D6963">
        <v>10021414585</v>
      </c>
      <c r="E6963" t="s">
        <v>47</v>
      </c>
      <c r="F6963" t="s">
        <v>61</v>
      </c>
      <c r="G6963" t="s">
        <v>62</v>
      </c>
      <c r="H6963" t="s">
        <v>2546</v>
      </c>
      <c r="I6963" t="s">
        <v>2547</v>
      </c>
      <c r="J6963" t="s">
        <v>668</v>
      </c>
      <c r="K6963" s="3">
        <v>10085110652</v>
      </c>
      <c r="L6963" s="10">
        <v>41111</v>
      </c>
      <c r="M6963">
        <v>85.66</v>
      </c>
      <c r="N6963" s="11">
        <v>39</v>
      </c>
      <c r="O6963" s="12">
        <v>2.18</v>
      </c>
      <c r="P6963" s="12">
        <v>0.78</v>
      </c>
      <c r="Q6963" s="13">
        <v>6.67</v>
      </c>
      <c r="R6963" s="36" t="s">
        <v>404</v>
      </c>
      <c r="S6963" s="7">
        <f t="shared" si="613"/>
        <v>1</v>
      </c>
      <c r="T6963" s="15" t="str">
        <f>VLOOKUP(R6963,产品分类!$C$2:$D$1278,2,0)</f>
        <v>办公用品</v>
      </c>
    </row>
    <row r="6964" spans="1:20">
      <c r="A6964" s="8">
        <f>DATE(2012,12,31)-408</f>
        <v>40866</v>
      </c>
      <c r="B6964" s="8">
        <f>DATE(2012,12,31)-408</f>
        <v>40866</v>
      </c>
      <c r="C6964" s="9" t="s">
        <v>1819</v>
      </c>
      <c r="D6964">
        <v>10021588355</v>
      </c>
      <c r="E6964" t="s">
        <v>47</v>
      </c>
      <c r="F6964" t="s">
        <v>61</v>
      </c>
      <c r="G6964" t="s">
        <v>62</v>
      </c>
      <c r="H6964" t="s">
        <v>2546</v>
      </c>
      <c r="I6964" t="s">
        <v>2547</v>
      </c>
      <c r="J6964" t="s">
        <v>668</v>
      </c>
      <c r="K6964" s="3">
        <v>100930449541</v>
      </c>
      <c r="L6964" s="10">
        <v>40867</v>
      </c>
      <c r="M6964">
        <v>1323.67</v>
      </c>
      <c r="N6964" s="11">
        <v>12</v>
      </c>
      <c r="O6964" s="12">
        <v>107.53</v>
      </c>
      <c r="P6964" s="12">
        <v>5.81</v>
      </c>
      <c r="Q6964" s="13">
        <v>630.28</v>
      </c>
      <c r="R6964" s="36" t="s">
        <v>2099</v>
      </c>
      <c r="S6964" s="7">
        <f t="shared" si="613"/>
        <v>1</v>
      </c>
      <c r="T6964" s="15" t="str">
        <f>VLOOKUP(R6964,产品分类!$C$2:$D$1278,2,0)</f>
        <v>办公用品</v>
      </c>
    </row>
    <row r="6965" spans="1:20">
      <c r="A6965" s="8">
        <f>DATE(2012,12,31)-289</f>
        <v>40985</v>
      </c>
      <c r="B6965" s="8">
        <f>DATE(2012,12,31)-289</f>
        <v>40985</v>
      </c>
      <c r="C6965" s="9" t="s">
        <v>1819</v>
      </c>
      <c r="D6965">
        <v>10021387264</v>
      </c>
      <c r="E6965" t="s">
        <v>47</v>
      </c>
      <c r="F6965" t="s">
        <v>55</v>
      </c>
      <c r="G6965" t="s">
        <v>56</v>
      </c>
      <c r="H6965" t="s">
        <v>2471</v>
      </c>
      <c r="I6965" t="s">
        <v>2472</v>
      </c>
      <c r="J6965" t="s">
        <v>668</v>
      </c>
      <c r="K6965" s="3">
        <v>100317900689</v>
      </c>
      <c r="L6965" s="10">
        <v>40986</v>
      </c>
      <c r="M6965">
        <v>283.5</v>
      </c>
      <c r="N6965" s="11">
        <v>18</v>
      </c>
      <c r="O6965" s="12">
        <v>15.98</v>
      </c>
      <c r="P6965" s="12">
        <v>6.5</v>
      </c>
      <c r="Q6965" s="13">
        <v>-51.47</v>
      </c>
      <c r="R6965" s="36" t="s">
        <v>1030</v>
      </c>
      <c r="S6965" s="7">
        <f t="shared" si="613"/>
        <v>1</v>
      </c>
      <c r="T6965" s="15" t="str">
        <f>VLOOKUP(R6965,产品分类!$C$2:$D$1278,2,0)</f>
        <v>办公用品</v>
      </c>
    </row>
    <row r="6966" spans="1:20">
      <c r="A6966" s="8">
        <f>DATE(2012,12,31)-289</f>
        <v>40985</v>
      </c>
      <c r="B6966" s="8">
        <f>DATE(2012,12,31)-289</f>
        <v>40985</v>
      </c>
      <c r="C6966" s="9" t="s">
        <v>518</v>
      </c>
      <c r="D6966">
        <v>10021584038</v>
      </c>
      <c r="E6966" t="s">
        <v>47</v>
      </c>
      <c r="F6966" t="s">
        <v>61</v>
      </c>
      <c r="G6966" t="s">
        <v>62</v>
      </c>
      <c r="H6966" t="s">
        <v>2546</v>
      </c>
      <c r="I6966" t="s">
        <v>2547</v>
      </c>
      <c r="J6966" t="s">
        <v>668</v>
      </c>
      <c r="K6966" s="3">
        <v>10017102037</v>
      </c>
      <c r="L6966" s="10">
        <v>40985</v>
      </c>
      <c r="M6966">
        <v>242.13</v>
      </c>
      <c r="N6966" s="11">
        <v>36</v>
      </c>
      <c r="O6966" s="12">
        <v>6.48</v>
      </c>
      <c r="P6966" s="12">
        <v>6.6</v>
      </c>
      <c r="Q6966" s="13">
        <v>-94.74</v>
      </c>
      <c r="R6966" s="36" t="s">
        <v>1833</v>
      </c>
      <c r="S6966" s="7">
        <f t="shared" si="613"/>
        <v>0</v>
      </c>
      <c r="T6966" s="15" t="str">
        <f>VLOOKUP(R6966,产品分类!$C$2:$D$1278,2,0)</f>
        <v>办公用品</v>
      </c>
    </row>
    <row r="6967" spans="1:20">
      <c r="A6967" s="8">
        <f>DATE(2012,12,31)-308</f>
        <v>40966</v>
      </c>
      <c r="B6967" s="8">
        <f>DATE(2012,12,31)-308</f>
        <v>40966</v>
      </c>
      <c r="C6967" s="9" t="s">
        <v>518</v>
      </c>
      <c r="D6967">
        <v>10021495712</v>
      </c>
      <c r="E6967" t="s">
        <v>47</v>
      </c>
      <c r="F6967" t="s">
        <v>61</v>
      </c>
      <c r="G6967" t="s">
        <v>62</v>
      </c>
      <c r="H6967" t="s">
        <v>2546</v>
      </c>
      <c r="I6967" t="s">
        <v>2547</v>
      </c>
      <c r="J6967" t="s">
        <v>668</v>
      </c>
      <c r="K6967" s="3">
        <v>100310812819</v>
      </c>
      <c r="L6967" s="10">
        <v>40968</v>
      </c>
      <c r="M6967">
        <v>1921.1275</v>
      </c>
      <c r="N6967" s="11">
        <v>36</v>
      </c>
      <c r="O6967" s="12">
        <v>65.99</v>
      </c>
      <c r="P6967" s="12">
        <v>8.99</v>
      </c>
      <c r="Q6967" s="13">
        <v>248.58</v>
      </c>
      <c r="R6967" s="36" t="s">
        <v>120</v>
      </c>
      <c r="S6967" s="7">
        <f t="shared" si="613"/>
        <v>2</v>
      </c>
      <c r="T6967" s="15" t="str">
        <f>VLOOKUP(R6967,产品分类!$C$2:$D$1278,2,0)</f>
        <v>家具产品</v>
      </c>
    </row>
    <row r="6968" spans="1:20">
      <c r="A6968" s="8">
        <f>DATE(2012,12,31)-1330</f>
        <v>39944</v>
      </c>
      <c r="B6968" s="8">
        <f>DATE(2012,12,31)-1330</f>
        <v>39944</v>
      </c>
      <c r="C6968" s="9" t="s">
        <v>2347</v>
      </c>
      <c r="D6968">
        <v>10021365582</v>
      </c>
      <c r="E6968" t="s">
        <v>47</v>
      </c>
      <c r="F6968" t="s">
        <v>61</v>
      </c>
      <c r="G6968" t="s">
        <v>62</v>
      </c>
      <c r="H6968" t="s">
        <v>2546</v>
      </c>
      <c r="I6968" t="s">
        <v>2547</v>
      </c>
      <c r="J6968" t="s">
        <v>668</v>
      </c>
      <c r="K6968" s="3">
        <v>100922971721</v>
      </c>
      <c r="L6968" s="10">
        <v>39948</v>
      </c>
      <c r="M6968">
        <v>57.28</v>
      </c>
      <c r="N6968" s="11">
        <v>14</v>
      </c>
      <c r="O6968" s="12">
        <v>3.8</v>
      </c>
      <c r="P6968" s="12">
        <v>1.49</v>
      </c>
      <c r="Q6968" s="13">
        <v>7.31</v>
      </c>
      <c r="R6968" s="36" t="s">
        <v>1283</v>
      </c>
      <c r="S6968" s="7">
        <f t="shared" si="613"/>
        <v>4</v>
      </c>
      <c r="T6968" s="15" t="str">
        <f>VLOOKUP(R6968,产品分类!$C$2:$D$1278,2,0)</f>
        <v>办公用品</v>
      </c>
    </row>
    <row r="6969" spans="1:20">
      <c r="A6969" s="8">
        <f>DATE(2012,12,31)-1330</f>
        <v>39944</v>
      </c>
      <c r="B6969" s="8">
        <f>DATE(2012,12,31)-1330</f>
        <v>39944</v>
      </c>
      <c r="C6969" s="9" t="s">
        <v>2347</v>
      </c>
      <c r="D6969">
        <v>10021338892</v>
      </c>
      <c r="E6969" t="s">
        <v>47</v>
      </c>
      <c r="F6969" t="s">
        <v>61</v>
      </c>
      <c r="G6969" t="s">
        <v>62</v>
      </c>
      <c r="H6969" t="s">
        <v>2546</v>
      </c>
      <c r="I6969" t="s">
        <v>2547</v>
      </c>
      <c r="J6969" t="s">
        <v>668</v>
      </c>
      <c r="K6969" s="3">
        <v>100124540186</v>
      </c>
      <c r="L6969" s="10">
        <v>39944</v>
      </c>
      <c r="M6969">
        <v>227.87</v>
      </c>
      <c r="N6969" s="11">
        <v>32</v>
      </c>
      <c r="O6969" s="12">
        <v>6.48</v>
      </c>
      <c r="P6969" s="12">
        <v>8.4</v>
      </c>
      <c r="Q6969" s="13">
        <v>-130.61</v>
      </c>
      <c r="R6969" s="36" t="s">
        <v>1792</v>
      </c>
      <c r="S6969" s="7">
        <f t="shared" si="613"/>
        <v>0</v>
      </c>
      <c r="T6969" s="15" t="str">
        <f>VLOOKUP(R6969,产品分类!$C$2:$D$1278,2,0)</f>
        <v>办公用品</v>
      </c>
    </row>
    <row r="6970" spans="1:20">
      <c r="A6970" s="8">
        <f>DATE(2012,12,31)-809</f>
        <v>40465</v>
      </c>
      <c r="B6970" s="8">
        <f>DATE(2012,12,31)-809</f>
        <v>40465</v>
      </c>
      <c r="C6970" s="9" t="s">
        <v>111</v>
      </c>
      <c r="D6970">
        <v>10021511175</v>
      </c>
      <c r="E6970" t="s">
        <v>47</v>
      </c>
      <c r="F6970" t="s">
        <v>61</v>
      </c>
      <c r="G6970" t="s">
        <v>62</v>
      </c>
      <c r="H6970" t="s">
        <v>2546</v>
      </c>
      <c r="I6970" t="s">
        <v>2547</v>
      </c>
      <c r="J6970" t="s">
        <v>668</v>
      </c>
      <c r="K6970" s="3">
        <v>10074611585</v>
      </c>
      <c r="L6970" s="10">
        <v>40467</v>
      </c>
      <c r="M6970">
        <v>110.36</v>
      </c>
      <c r="N6970" s="11">
        <v>39</v>
      </c>
      <c r="O6970" s="12">
        <v>2.84</v>
      </c>
      <c r="P6970" s="12">
        <v>0.93</v>
      </c>
      <c r="Q6970" s="13">
        <v>8.6</v>
      </c>
      <c r="R6970" s="36" t="s">
        <v>1213</v>
      </c>
      <c r="S6970" s="7">
        <f t="shared" si="613"/>
        <v>2</v>
      </c>
      <c r="T6970" s="15" t="str">
        <f>VLOOKUP(R6970,产品分类!$C$2:$D$1278,2,0)</f>
        <v>办公用品</v>
      </c>
    </row>
    <row r="6971" spans="1:20">
      <c r="A6971" s="8">
        <f t="shared" ref="A6971:B6973" si="618">DATE(2012,12,31)-712</f>
        <v>40562</v>
      </c>
      <c r="B6971" s="8">
        <f t="shared" si="618"/>
        <v>40562</v>
      </c>
      <c r="C6971" s="9" t="s">
        <v>111</v>
      </c>
      <c r="D6971">
        <v>10021620423</v>
      </c>
      <c r="E6971" t="s">
        <v>47</v>
      </c>
      <c r="F6971" t="s">
        <v>61</v>
      </c>
      <c r="G6971" t="s">
        <v>62</v>
      </c>
      <c r="H6971" t="s">
        <v>2546</v>
      </c>
      <c r="I6971" t="s">
        <v>2547</v>
      </c>
      <c r="J6971" t="s">
        <v>668</v>
      </c>
      <c r="K6971" s="3">
        <v>10039335109</v>
      </c>
      <c r="L6971" s="10">
        <v>40564</v>
      </c>
      <c r="M6971">
        <v>242.284</v>
      </c>
      <c r="N6971" s="11">
        <v>14</v>
      </c>
      <c r="O6971" s="12">
        <v>20.99</v>
      </c>
      <c r="P6971" s="12">
        <v>0.99</v>
      </c>
      <c r="Q6971" s="13">
        <v>51.75</v>
      </c>
      <c r="R6971" s="36" t="s">
        <v>414</v>
      </c>
      <c r="S6971" s="7">
        <f t="shared" si="613"/>
        <v>2</v>
      </c>
      <c r="T6971" s="15" t="str">
        <f>VLOOKUP(R6971,产品分类!$C$2:$D$1278,2,0)</f>
        <v>数码电子</v>
      </c>
    </row>
    <row r="6972" spans="1:20">
      <c r="A6972" s="8">
        <f t="shared" si="618"/>
        <v>40562</v>
      </c>
      <c r="B6972" s="8">
        <f t="shared" si="618"/>
        <v>40562</v>
      </c>
      <c r="C6972" s="9" t="s">
        <v>1885</v>
      </c>
      <c r="D6972">
        <v>10021459482</v>
      </c>
      <c r="E6972" t="s">
        <v>47</v>
      </c>
      <c r="F6972" t="s">
        <v>61</v>
      </c>
      <c r="G6972" t="s">
        <v>62</v>
      </c>
      <c r="H6972" t="s">
        <v>2546</v>
      </c>
      <c r="I6972" t="s">
        <v>2547</v>
      </c>
      <c r="J6972" t="s">
        <v>668</v>
      </c>
      <c r="K6972" s="3">
        <v>10081500112</v>
      </c>
      <c r="L6972" s="10">
        <v>40565</v>
      </c>
      <c r="M6972">
        <v>1795.49</v>
      </c>
      <c r="N6972" s="11">
        <v>15</v>
      </c>
      <c r="O6972" s="12">
        <v>114.98</v>
      </c>
      <c r="P6972" s="12">
        <v>58.72</v>
      </c>
      <c r="Q6972" s="13">
        <v>-626.04</v>
      </c>
      <c r="R6972" s="36" t="s">
        <v>1452</v>
      </c>
      <c r="S6972" s="7">
        <f t="shared" si="613"/>
        <v>3</v>
      </c>
      <c r="T6972" s="15" t="str">
        <f>VLOOKUP(R6972,产品分类!$C$2:$D$1278,2,0)</f>
        <v>办公用品</v>
      </c>
    </row>
    <row r="6973" spans="1:20">
      <c r="A6973" s="8">
        <f t="shared" si="618"/>
        <v>40562</v>
      </c>
      <c r="B6973" s="8">
        <f t="shared" si="618"/>
        <v>40562</v>
      </c>
      <c r="C6973" s="9" t="s">
        <v>421</v>
      </c>
      <c r="D6973">
        <v>10021262592</v>
      </c>
      <c r="E6973" t="s">
        <v>47</v>
      </c>
      <c r="F6973" t="s">
        <v>55</v>
      </c>
      <c r="G6973" t="s">
        <v>56</v>
      </c>
      <c r="H6973" t="s">
        <v>2471</v>
      </c>
      <c r="I6973" t="s">
        <v>2472</v>
      </c>
      <c r="J6973" t="s">
        <v>668</v>
      </c>
      <c r="K6973" s="3">
        <v>100130097966</v>
      </c>
      <c r="L6973" s="10">
        <v>40565</v>
      </c>
      <c r="M6973">
        <v>926.58</v>
      </c>
      <c r="N6973" s="11">
        <v>4</v>
      </c>
      <c r="O6973" s="12">
        <v>212.6</v>
      </c>
      <c r="P6973" s="12">
        <v>52.2</v>
      </c>
      <c r="Q6973" s="13">
        <v>-226.512</v>
      </c>
      <c r="R6973" s="36" t="s">
        <v>784</v>
      </c>
      <c r="S6973" s="7">
        <f t="shared" si="613"/>
        <v>3</v>
      </c>
      <c r="T6973" s="15" t="str">
        <f>VLOOKUP(R6973,产品分类!$C$2:$D$1278,2,0)</f>
        <v>数码电子</v>
      </c>
    </row>
    <row r="6974" spans="1:20">
      <c r="A6974" s="8">
        <f t="shared" ref="A6974:B6976" si="619">DATE(2012,12,31)-742</f>
        <v>40532</v>
      </c>
      <c r="B6974" s="8">
        <f t="shared" si="619"/>
        <v>40532</v>
      </c>
      <c r="C6974" s="9" t="s">
        <v>428</v>
      </c>
      <c r="D6974">
        <v>10021340101</v>
      </c>
      <c r="E6974" t="s">
        <v>47</v>
      </c>
      <c r="F6974" t="s">
        <v>61</v>
      </c>
      <c r="G6974" t="s">
        <v>62</v>
      </c>
      <c r="H6974" t="s">
        <v>2546</v>
      </c>
      <c r="I6974" t="s">
        <v>2547</v>
      </c>
      <c r="J6974" t="s">
        <v>668</v>
      </c>
      <c r="K6974" s="3">
        <v>100121398368</v>
      </c>
      <c r="L6974" s="10">
        <v>40535</v>
      </c>
      <c r="M6974">
        <v>7731.09</v>
      </c>
      <c r="N6974" s="11">
        <v>43</v>
      </c>
      <c r="O6974" s="12">
        <v>167.27</v>
      </c>
      <c r="P6974" s="12">
        <v>35</v>
      </c>
      <c r="Q6974" s="13">
        <v>-222.17</v>
      </c>
      <c r="R6974" s="36" t="s">
        <v>533</v>
      </c>
      <c r="S6974" s="7">
        <f t="shared" si="613"/>
        <v>3</v>
      </c>
      <c r="T6974" s="15" t="str">
        <f>VLOOKUP(R6974,产品分类!$C$2:$D$1278,2,0)</f>
        <v>办公用品</v>
      </c>
    </row>
    <row r="6975" spans="1:20">
      <c r="A6975" s="8">
        <f t="shared" si="619"/>
        <v>40532</v>
      </c>
      <c r="B6975" s="8">
        <f t="shared" si="619"/>
        <v>40532</v>
      </c>
      <c r="C6975" s="9" t="s">
        <v>428</v>
      </c>
      <c r="D6975">
        <v>10021485185</v>
      </c>
      <c r="E6975" t="s">
        <v>47</v>
      </c>
      <c r="F6975" t="s">
        <v>61</v>
      </c>
      <c r="G6975" t="s">
        <v>62</v>
      </c>
      <c r="H6975" t="s">
        <v>2546</v>
      </c>
      <c r="I6975" t="s">
        <v>2547</v>
      </c>
      <c r="J6975" t="s">
        <v>668</v>
      </c>
      <c r="K6975" s="3">
        <v>100922685701</v>
      </c>
      <c r="L6975" s="10">
        <v>40534</v>
      </c>
      <c r="M6975">
        <v>10162.576</v>
      </c>
      <c r="N6975" s="11">
        <v>33</v>
      </c>
      <c r="O6975" s="12">
        <v>400.98</v>
      </c>
      <c r="P6975" s="12">
        <v>42.52</v>
      </c>
      <c r="Q6975" s="13">
        <v>-969.048366</v>
      </c>
      <c r="R6975" s="36" t="s">
        <v>1133</v>
      </c>
      <c r="S6975" s="7">
        <f t="shared" si="613"/>
        <v>2</v>
      </c>
      <c r="T6975" s="15" t="str">
        <f>VLOOKUP(R6975,产品分类!$C$2:$D$1278,2,0)</f>
        <v>家具产品</v>
      </c>
    </row>
    <row r="6976" spans="1:20">
      <c r="A6976" s="8">
        <f t="shared" si="619"/>
        <v>40532</v>
      </c>
      <c r="B6976" s="8">
        <f t="shared" si="619"/>
        <v>40532</v>
      </c>
      <c r="C6976" s="9" t="s">
        <v>701</v>
      </c>
      <c r="D6976">
        <v>10021431462</v>
      </c>
      <c r="E6976" t="s">
        <v>47</v>
      </c>
      <c r="F6976" t="s">
        <v>48</v>
      </c>
      <c r="G6976" t="s">
        <v>49</v>
      </c>
      <c r="H6976" t="s">
        <v>2539</v>
      </c>
      <c r="I6976" t="s">
        <v>2540</v>
      </c>
      <c r="J6976" t="s">
        <v>668</v>
      </c>
      <c r="K6976" s="3">
        <v>100130948556</v>
      </c>
      <c r="L6976" s="10">
        <v>40535</v>
      </c>
      <c r="M6976">
        <v>5834.6465</v>
      </c>
      <c r="N6976" s="11">
        <v>33</v>
      </c>
      <c r="O6976" s="12">
        <v>205.99</v>
      </c>
      <c r="P6976" s="12">
        <v>2.79</v>
      </c>
      <c r="Q6976" s="13">
        <v>1619.658</v>
      </c>
      <c r="R6976" s="36" t="s">
        <v>836</v>
      </c>
      <c r="S6976" s="7">
        <f t="shared" si="613"/>
        <v>3</v>
      </c>
      <c r="T6976" s="15" t="str">
        <f>VLOOKUP(R6976,产品分类!$C$2:$D$1278,2,0)</f>
        <v>办公用品</v>
      </c>
    </row>
    <row r="6977" spans="1:20">
      <c r="A6977" s="8">
        <f>DATE(2012,12,31)-980</f>
        <v>40294</v>
      </c>
      <c r="B6977" s="8">
        <f>DATE(2012,12,31)-980</f>
        <v>40294</v>
      </c>
      <c r="C6977" s="9" t="s">
        <v>766</v>
      </c>
      <c r="D6977">
        <v>10021266155</v>
      </c>
      <c r="E6977" t="s">
        <v>47</v>
      </c>
      <c r="F6977" t="s">
        <v>97</v>
      </c>
      <c r="G6977" t="s">
        <v>98</v>
      </c>
      <c r="H6977" t="s">
        <v>99</v>
      </c>
      <c r="I6977" t="s">
        <v>98</v>
      </c>
      <c r="J6977" t="s">
        <v>668</v>
      </c>
      <c r="K6977" s="3">
        <v>100926458771</v>
      </c>
      <c r="L6977" s="10">
        <v>40295</v>
      </c>
      <c r="M6977">
        <v>1854.94</v>
      </c>
      <c r="N6977" s="11">
        <v>6</v>
      </c>
      <c r="O6977" s="12">
        <v>300.97</v>
      </c>
      <c r="P6977" s="12">
        <v>7.18</v>
      </c>
      <c r="Q6977" s="13">
        <v>-559.78</v>
      </c>
      <c r="R6977" s="36" t="s">
        <v>1815</v>
      </c>
      <c r="S6977" s="7">
        <f t="shared" si="613"/>
        <v>1</v>
      </c>
      <c r="T6977" s="15" t="str">
        <f>VLOOKUP(R6977,产品分类!$C$2:$D$1278,2,0)</f>
        <v>办公用品</v>
      </c>
    </row>
    <row r="6978" spans="1:20">
      <c r="A6978" s="8">
        <f>DATE(2012,12,31)-1213</f>
        <v>40061</v>
      </c>
      <c r="B6978" s="8">
        <f>DATE(2012,12,31)-1213</f>
        <v>40061</v>
      </c>
      <c r="C6978" s="9" t="s">
        <v>1768</v>
      </c>
      <c r="D6978">
        <v>10021344336</v>
      </c>
      <c r="E6978" t="s">
        <v>47</v>
      </c>
      <c r="F6978" t="s">
        <v>177</v>
      </c>
      <c r="G6978" t="s">
        <v>178</v>
      </c>
      <c r="H6978" t="s">
        <v>2566</v>
      </c>
      <c r="I6978" t="s">
        <v>2396</v>
      </c>
      <c r="J6978" t="s">
        <v>668</v>
      </c>
      <c r="K6978" s="3">
        <v>100429512443</v>
      </c>
      <c r="L6978" s="10">
        <v>40061</v>
      </c>
      <c r="M6978">
        <v>5155.35</v>
      </c>
      <c r="N6978" s="11">
        <v>11</v>
      </c>
      <c r="O6978" s="12">
        <v>442.14</v>
      </c>
      <c r="P6978" s="12">
        <v>14.7</v>
      </c>
      <c r="Q6978" s="13">
        <v>501.51</v>
      </c>
      <c r="R6978" s="36" t="s">
        <v>633</v>
      </c>
      <c r="S6978" s="7">
        <f t="shared" si="613"/>
        <v>0</v>
      </c>
      <c r="T6978" s="15" t="str">
        <f>VLOOKUP(R6978,产品分类!$C$2:$D$1278,2,0)</f>
        <v>家具产品</v>
      </c>
    </row>
    <row r="6979" spans="1:20">
      <c r="A6979" s="8">
        <f>DATE(2012,12,31)-1366</f>
        <v>39908</v>
      </c>
      <c r="B6979" s="8">
        <f>DATE(2012,12,31)-1366</f>
        <v>39908</v>
      </c>
      <c r="C6979" s="9" t="s">
        <v>1768</v>
      </c>
      <c r="D6979">
        <v>10021327071</v>
      </c>
      <c r="E6979" t="s">
        <v>47</v>
      </c>
      <c r="F6979" t="s">
        <v>66</v>
      </c>
      <c r="G6979" t="s">
        <v>67</v>
      </c>
      <c r="H6979" t="s">
        <v>2467</v>
      </c>
      <c r="I6979" t="s">
        <v>2468</v>
      </c>
      <c r="J6979" t="s">
        <v>668</v>
      </c>
      <c r="K6979" s="3">
        <v>100426700014</v>
      </c>
      <c r="L6979" s="10">
        <v>39910</v>
      </c>
      <c r="M6979">
        <v>1093.6355</v>
      </c>
      <c r="N6979" s="11">
        <v>15</v>
      </c>
      <c r="O6979" s="12">
        <v>85.99</v>
      </c>
      <c r="P6979" s="12">
        <v>0.99</v>
      </c>
      <c r="Q6979" s="13">
        <v>119.169</v>
      </c>
      <c r="R6979" s="36" t="s">
        <v>2097</v>
      </c>
      <c r="S6979" s="7">
        <f t="shared" ref="S6979:S7042" si="620">+L6979-B6979</f>
        <v>2</v>
      </c>
      <c r="T6979" s="15" t="str">
        <f>VLOOKUP(R6979,产品分类!$C$2:$D$1278,2,0)</f>
        <v>数码电子</v>
      </c>
    </row>
    <row r="6980" spans="1:20">
      <c r="A6980" s="8">
        <f>DATE(2012,12,31)-41</f>
        <v>41233</v>
      </c>
      <c r="B6980" s="8">
        <f>DATE(2012,12,31)-41</f>
        <v>41233</v>
      </c>
      <c r="C6980" s="9" t="s">
        <v>1894</v>
      </c>
      <c r="D6980">
        <v>10021309876</v>
      </c>
      <c r="E6980" t="s">
        <v>47</v>
      </c>
      <c r="F6980" t="s">
        <v>152</v>
      </c>
      <c r="G6980" t="s">
        <v>153</v>
      </c>
      <c r="H6980" t="s">
        <v>2536</v>
      </c>
      <c r="I6980" t="s">
        <v>2537</v>
      </c>
      <c r="J6980" t="s">
        <v>668</v>
      </c>
      <c r="K6980" s="3">
        <v>100923775871</v>
      </c>
      <c r="L6980" s="10">
        <v>41235</v>
      </c>
      <c r="M6980">
        <v>1502.47</v>
      </c>
      <c r="N6980" s="11">
        <v>43</v>
      </c>
      <c r="O6980" s="12">
        <v>34.58</v>
      </c>
      <c r="P6980" s="12">
        <v>8.99</v>
      </c>
      <c r="Q6980" s="13">
        <v>214.05</v>
      </c>
      <c r="R6980" s="36" t="s">
        <v>827</v>
      </c>
      <c r="S6980" s="7">
        <f t="shared" si="620"/>
        <v>2</v>
      </c>
      <c r="T6980" s="15" t="str">
        <f>VLOOKUP(R6980,产品分类!$C$2:$D$1278,2,0)</f>
        <v>家具产品</v>
      </c>
    </row>
    <row r="6981" spans="1:20">
      <c r="A6981" s="16">
        <f>DATE(2012,12,31)-41</f>
        <v>41233</v>
      </c>
      <c r="B6981" s="16">
        <f>DATE(2012,12,31)-41</f>
        <v>41233</v>
      </c>
      <c r="C6981" s="9" t="s">
        <v>1894</v>
      </c>
      <c r="D6981">
        <v>10021323625</v>
      </c>
      <c r="E6981" t="s">
        <v>47</v>
      </c>
      <c r="F6981" t="s">
        <v>72</v>
      </c>
      <c r="G6981" t="s">
        <v>73</v>
      </c>
      <c r="H6981" t="s">
        <v>2558</v>
      </c>
      <c r="I6981" t="s">
        <v>2559</v>
      </c>
      <c r="J6981" t="s">
        <v>668</v>
      </c>
      <c r="K6981" s="3">
        <v>10095696211</v>
      </c>
      <c r="L6981" s="10">
        <v>41233</v>
      </c>
      <c r="M6981">
        <v>2014.13</v>
      </c>
      <c r="N6981" s="17">
        <v>24</v>
      </c>
      <c r="O6981" s="5">
        <v>89.83</v>
      </c>
      <c r="P6981" s="5">
        <v>35</v>
      </c>
      <c r="Q6981" s="6">
        <v>-794.94</v>
      </c>
      <c r="R6981" s="37" t="s">
        <v>392</v>
      </c>
      <c r="S6981" s="7">
        <f t="shared" si="620"/>
        <v>0</v>
      </c>
      <c r="T6981" s="15" t="str">
        <f>VLOOKUP(R6981,产品分类!$C$2:$D$1278,2,0)</f>
        <v>办公用品</v>
      </c>
    </row>
    <row r="6982" spans="1:20">
      <c r="A6982" s="16">
        <f>DATE(2012,12,31)-1078</f>
        <v>40196</v>
      </c>
      <c r="B6982" s="16">
        <f>DATE(2012,12,31)-1078</f>
        <v>40196</v>
      </c>
      <c r="C6982" s="9" t="s">
        <v>309</v>
      </c>
      <c r="D6982">
        <v>10021413400</v>
      </c>
      <c r="E6982" t="s">
        <v>47</v>
      </c>
      <c r="F6982" t="s">
        <v>72</v>
      </c>
      <c r="G6982" t="s">
        <v>73</v>
      </c>
      <c r="H6982" t="s">
        <v>2558</v>
      </c>
      <c r="I6982" t="s">
        <v>2559</v>
      </c>
      <c r="J6982" t="s">
        <v>668</v>
      </c>
      <c r="K6982" s="3">
        <v>100124796787</v>
      </c>
      <c r="L6982" s="10">
        <v>40198</v>
      </c>
      <c r="M6982">
        <v>35.48</v>
      </c>
      <c r="N6982" s="17">
        <v>14</v>
      </c>
      <c r="O6982" s="5">
        <v>2.58</v>
      </c>
      <c r="P6982" s="5">
        <v>1.3</v>
      </c>
      <c r="Q6982" s="6">
        <v>-9.19</v>
      </c>
      <c r="R6982" s="37" t="s">
        <v>337</v>
      </c>
      <c r="S6982" s="7">
        <f t="shared" si="620"/>
        <v>2</v>
      </c>
      <c r="T6982" s="15" t="str">
        <f>VLOOKUP(R6982,产品分类!$C$2:$D$1278,2,0)</f>
        <v>数码电子</v>
      </c>
    </row>
    <row r="6983" spans="1:20">
      <c r="A6983" s="8">
        <f>DATE(2012,12,31)-1078</f>
        <v>40196</v>
      </c>
      <c r="B6983" s="8">
        <f>DATE(2012,12,31)-1078</f>
        <v>40196</v>
      </c>
      <c r="C6983" s="9" t="s">
        <v>384</v>
      </c>
      <c r="D6983">
        <v>10021564346</v>
      </c>
      <c r="E6983" t="s">
        <v>47</v>
      </c>
      <c r="F6983" t="s">
        <v>72</v>
      </c>
      <c r="G6983" t="s">
        <v>73</v>
      </c>
      <c r="H6983" t="s">
        <v>2558</v>
      </c>
      <c r="I6983" t="s">
        <v>2559</v>
      </c>
      <c r="J6983" t="s">
        <v>668</v>
      </c>
      <c r="K6983" s="3">
        <v>100432448423</v>
      </c>
      <c r="L6983" s="10">
        <v>40198</v>
      </c>
      <c r="M6983">
        <v>15</v>
      </c>
      <c r="N6983" s="11">
        <v>1</v>
      </c>
      <c r="O6983" s="12">
        <v>6.84</v>
      </c>
      <c r="P6983" s="12">
        <v>8.37</v>
      </c>
      <c r="Q6983" s="13">
        <v>-11.02</v>
      </c>
      <c r="R6983" s="36" t="s">
        <v>322</v>
      </c>
      <c r="S6983" s="7">
        <f t="shared" si="620"/>
        <v>2</v>
      </c>
      <c r="T6983" s="15" t="str">
        <f>VLOOKUP(R6983,产品分类!$C$2:$D$1278,2,0)</f>
        <v>家具产品</v>
      </c>
    </row>
    <row r="6984" spans="1:20">
      <c r="A6984" s="8">
        <f t="shared" ref="A6984:B6986" si="621">DATE(2012,12,31)-1184</f>
        <v>40090</v>
      </c>
      <c r="B6984" s="8">
        <f t="shared" si="621"/>
        <v>40090</v>
      </c>
      <c r="C6984" s="9" t="s">
        <v>384</v>
      </c>
      <c r="D6984">
        <v>10021318095</v>
      </c>
      <c r="E6984" t="s">
        <v>47</v>
      </c>
      <c r="F6984" t="s">
        <v>78</v>
      </c>
      <c r="G6984" t="s">
        <v>79</v>
      </c>
      <c r="H6984" t="s">
        <v>2489</v>
      </c>
      <c r="I6984" t="s">
        <v>2490</v>
      </c>
      <c r="J6984" t="s">
        <v>668</v>
      </c>
      <c r="K6984" s="3">
        <v>100125029246</v>
      </c>
      <c r="L6984" s="10">
        <v>40092</v>
      </c>
      <c r="M6984">
        <v>103.72</v>
      </c>
      <c r="N6984" s="11">
        <v>17</v>
      </c>
      <c r="O6984" s="12">
        <v>5.53</v>
      </c>
      <c r="P6984" s="12">
        <v>6.98</v>
      </c>
      <c r="Q6984" s="13">
        <v>-72.059</v>
      </c>
      <c r="R6984" s="36" t="s">
        <v>1802</v>
      </c>
      <c r="S6984" s="7">
        <f t="shared" si="620"/>
        <v>2</v>
      </c>
      <c r="T6984" s="15" t="str">
        <f>VLOOKUP(R6984,产品分类!$C$2:$D$1278,2,0)</f>
        <v>办公用品</v>
      </c>
    </row>
    <row r="6985" spans="1:20">
      <c r="A6985" s="8">
        <f t="shared" si="621"/>
        <v>40090</v>
      </c>
      <c r="B6985" s="8">
        <f t="shared" si="621"/>
        <v>40090</v>
      </c>
      <c r="C6985" s="9" t="s">
        <v>369</v>
      </c>
      <c r="D6985">
        <v>10021315024</v>
      </c>
      <c r="E6985" t="s">
        <v>47</v>
      </c>
      <c r="F6985" t="s">
        <v>230</v>
      </c>
      <c r="G6985" t="s">
        <v>231</v>
      </c>
      <c r="H6985" t="s">
        <v>2549</v>
      </c>
      <c r="I6985" t="s">
        <v>2550</v>
      </c>
      <c r="J6985" t="s">
        <v>668</v>
      </c>
      <c r="K6985" s="3">
        <v>100132352717</v>
      </c>
      <c r="L6985" s="10">
        <v>40092</v>
      </c>
      <c r="M6985">
        <v>185.15</v>
      </c>
      <c r="N6985" s="11">
        <v>4</v>
      </c>
      <c r="O6985" s="12">
        <v>41.47</v>
      </c>
      <c r="P6985" s="12">
        <v>34.2</v>
      </c>
      <c r="Q6985" s="13">
        <v>10.2</v>
      </c>
      <c r="R6985" s="36" t="s">
        <v>445</v>
      </c>
      <c r="S6985" s="7">
        <f t="shared" si="620"/>
        <v>2</v>
      </c>
      <c r="T6985" s="15" t="str">
        <f>VLOOKUP(R6985,产品分类!$C$2:$D$1278,2,0)</f>
        <v>数码电子</v>
      </c>
    </row>
    <row r="6986" spans="1:20">
      <c r="A6986" s="8">
        <f t="shared" si="621"/>
        <v>40090</v>
      </c>
      <c r="B6986" s="8">
        <f t="shared" si="621"/>
        <v>40090</v>
      </c>
      <c r="C6986" s="9" t="s">
        <v>369</v>
      </c>
      <c r="D6986">
        <v>10021436154</v>
      </c>
      <c r="E6986" t="s">
        <v>47</v>
      </c>
      <c r="F6986" t="s">
        <v>2517</v>
      </c>
      <c r="G6986" t="s">
        <v>2518</v>
      </c>
      <c r="H6986" t="s">
        <v>2519</v>
      </c>
      <c r="I6986" t="s">
        <v>2520</v>
      </c>
      <c r="J6986" t="s">
        <v>668</v>
      </c>
      <c r="K6986" s="3">
        <v>100926830641</v>
      </c>
      <c r="L6986" s="10">
        <v>40090</v>
      </c>
      <c r="M6986">
        <v>308.64</v>
      </c>
      <c r="N6986" s="11">
        <v>15</v>
      </c>
      <c r="O6986" s="12">
        <v>19.04</v>
      </c>
      <c r="P6986" s="12">
        <v>6.38</v>
      </c>
      <c r="Q6986" s="13">
        <v>91.08</v>
      </c>
      <c r="R6986" s="36" t="s">
        <v>1314</v>
      </c>
      <c r="S6986" s="7">
        <f t="shared" si="620"/>
        <v>0</v>
      </c>
      <c r="T6986" s="15" t="str">
        <f>VLOOKUP(R6986,产品分类!$C$2:$D$1278,2,0)</f>
        <v>家具产品</v>
      </c>
    </row>
    <row r="6987" spans="1:20">
      <c r="A6987" s="8">
        <f>DATE(2012,12,31)-847</f>
        <v>40427</v>
      </c>
      <c r="B6987" s="8">
        <f>DATE(2012,12,31)-847</f>
        <v>40427</v>
      </c>
      <c r="C6987" s="9" t="s">
        <v>681</v>
      </c>
      <c r="D6987">
        <v>10021373530</v>
      </c>
      <c r="E6987" t="s">
        <v>47</v>
      </c>
      <c r="F6987" t="s">
        <v>83</v>
      </c>
      <c r="G6987" t="s">
        <v>84</v>
      </c>
      <c r="H6987" t="s">
        <v>2510</v>
      </c>
      <c r="I6987" t="s">
        <v>2511</v>
      </c>
      <c r="J6987" t="s">
        <v>668</v>
      </c>
      <c r="K6987" s="3">
        <v>100432892844</v>
      </c>
      <c r="L6987" s="10">
        <v>40429</v>
      </c>
      <c r="M6987">
        <v>5369.46</v>
      </c>
      <c r="N6987" s="11">
        <v>50</v>
      </c>
      <c r="O6987" s="12">
        <v>99.99</v>
      </c>
      <c r="P6987" s="12">
        <v>19.99</v>
      </c>
      <c r="Q6987" s="13">
        <v>1370.26</v>
      </c>
      <c r="R6987" s="36" t="s">
        <v>1070</v>
      </c>
      <c r="S6987" s="7">
        <f t="shared" si="620"/>
        <v>2</v>
      </c>
      <c r="T6987" s="15" t="str">
        <f>VLOOKUP(R6987,产品分类!$C$2:$D$1278,2,0)</f>
        <v>办公用品</v>
      </c>
    </row>
    <row r="6988" spans="1:20">
      <c r="A6988" s="8">
        <f>DATE(2012,12,31)-847</f>
        <v>40427</v>
      </c>
      <c r="B6988" s="8">
        <f>DATE(2012,12,31)-847</f>
        <v>40427</v>
      </c>
      <c r="C6988" s="9" t="s">
        <v>2334</v>
      </c>
      <c r="D6988">
        <v>10021571604</v>
      </c>
      <c r="E6988" t="s">
        <v>47</v>
      </c>
      <c r="F6988" t="s">
        <v>55</v>
      </c>
      <c r="G6988" t="s">
        <v>56</v>
      </c>
      <c r="H6988" t="s">
        <v>2471</v>
      </c>
      <c r="I6988" t="s">
        <v>2472</v>
      </c>
      <c r="J6988" t="s">
        <v>668</v>
      </c>
      <c r="K6988" s="3">
        <v>100712463185</v>
      </c>
      <c r="L6988" s="10">
        <v>40429</v>
      </c>
      <c r="M6988">
        <v>1439.96</v>
      </c>
      <c r="N6988" s="11">
        <v>41</v>
      </c>
      <c r="O6988" s="12">
        <v>33.29</v>
      </c>
      <c r="P6988" s="12">
        <v>8.74</v>
      </c>
      <c r="Q6988" s="13">
        <v>182.46</v>
      </c>
      <c r="R6988" s="36" t="s">
        <v>1656</v>
      </c>
      <c r="S6988" s="7">
        <f t="shared" si="620"/>
        <v>2</v>
      </c>
      <c r="T6988" s="15" t="str">
        <f>VLOOKUP(R6988,产品分类!$C$2:$D$1278,2,0)</f>
        <v>家具产品</v>
      </c>
    </row>
    <row r="6989" spans="1:20">
      <c r="A6989" s="8">
        <f>DATE(2012,12,31)-74</f>
        <v>41200</v>
      </c>
      <c r="B6989" s="8">
        <f>DATE(2012,12,31)-74</f>
        <v>41200</v>
      </c>
      <c r="C6989" s="9" t="s">
        <v>2334</v>
      </c>
      <c r="D6989">
        <v>10021273737</v>
      </c>
      <c r="E6989" t="s">
        <v>47</v>
      </c>
      <c r="F6989" t="s">
        <v>127</v>
      </c>
      <c r="G6989" t="s">
        <v>128</v>
      </c>
      <c r="H6989" t="s">
        <v>2554</v>
      </c>
      <c r="I6989" t="s">
        <v>2555</v>
      </c>
      <c r="J6989" t="s">
        <v>668</v>
      </c>
      <c r="K6989" s="3">
        <v>100732443815</v>
      </c>
      <c r="L6989" s="10">
        <v>41202</v>
      </c>
      <c r="M6989">
        <v>13.45</v>
      </c>
      <c r="N6989" s="11">
        <v>1</v>
      </c>
      <c r="O6989" s="12">
        <v>5.4</v>
      </c>
      <c r="P6989" s="12">
        <v>7.78</v>
      </c>
      <c r="Q6989" s="13">
        <v>-8.1995</v>
      </c>
      <c r="R6989" s="36" t="s">
        <v>996</v>
      </c>
      <c r="S6989" s="7">
        <f t="shared" si="620"/>
        <v>2</v>
      </c>
      <c r="T6989" s="15" t="str">
        <f>VLOOKUP(R6989,产品分类!$C$2:$D$1278,2,0)</f>
        <v>家具产品</v>
      </c>
    </row>
    <row r="6990" spans="1:20">
      <c r="A6990" s="8">
        <f>DATE(2012,12,31)-74</f>
        <v>41200</v>
      </c>
      <c r="B6990" s="8">
        <f>DATE(2012,12,31)-74</f>
        <v>41200</v>
      </c>
      <c r="C6990" s="9" t="s">
        <v>2334</v>
      </c>
      <c r="D6990">
        <v>10021634906</v>
      </c>
      <c r="E6990" t="s">
        <v>47</v>
      </c>
      <c r="F6990" t="s">
        <v>132</v>
      </c>
      <c r="G6990" t="s">
        <v>133</v>
      </c>
      <c r="H6990" t="s">
        <v>134</v>
      </c>
      <c r="I6990" t="s">
        <v>133</v>
      </c>
      <c r="J6990" t="s">
        <v>668</v>
      </c>
      <c r="K6990" s="3">
        <v>100124522708</v>
      </c>
      <c r="L6990" s="10">
        <v>41202</v>
      </c>
      <c r="M6990">
        <v>75.79</v>
      </c>
      <c r="N6990" s="11">
        <v>11</v>
      </c>
      <c r="O6990" s="12">
        <v>6.68</v>
      </c>
      <c r="P6990" s="12">
        <v>4.91</v>
      </c>
      <c r="Q6990" s="13">
        <v>-18.77</v>
      </c>
      <c r="R6990" s="36" t="s">
        <v>1801</v>
      </c>
      <c r="S6990" s="7">
        <f t="shared" si="620"/>
        <v>2</v>
      </c>
      <c r="T6990" s="15" t="str">
        <f>VLOOKUP(R6990,产品分类!$C$2:$D$1278,2,0)</f>
        <v>办公用品</v>
      </c>
    </row>
    <row r="6991" spans="1:20">
      <c r="A6991" s="8">
        <f>DATE(2012,12,31)-1154</f>
        <v>40120</v>
      </c>
      <c r="B6991" s="8">
        <f>DATE(2012,12,31)-1154</f>
        <v>40120</v>
      </c>
      <c r="C6991" s="9" t="s">
        <v>1109</v>
      </c>
      <c r="D6991">
        <v>10021514176</v>
      </c>
      <c r="E6991" t="s">
        <v>47</v>
      </c>
      <c r="F6991" t="s">
        <v>97</v>
      </c>
      <c r="G6991" t="s">
        <v>98</v>
      </c>
      <c r="H6991" t="s">
        <v>99</v>
      </c>
      <c r="I6991" t="s">
        <v>98</v>
      </c>
      <c r="J6991" t="s">
        <v>668</v>
      </c>
      <c r="K6991" s="3">
        <v>100332973899</v>
      </c>
      <c r="L6991" s="10">
        <v>40121</v>
      </c>
      <c r="M6991">
        <v>538.51</v>
      </c>
      <c r="N6991" s="11">
        <v>7</v>
      </c>
      <c r="O6991" s="12">
        <v>70.98</v>
      </c>
      <c r="P6991" s="12">
        <v>26.74</v>
      </c>
      <c r="Q6991" s="13">
        <v>-88.75</v>
      </c>
      <c r="R6991" s="36" t="s">
        <v>65</v>
      </c>
      <c r="S6991" s="7">
        <f t="shared" si="620"/>
        <v>1</v>
      </c>
      <c r="T6991" s="15" t="str">
        <f>VLOOKUP(R6991,产品分类!$C$2:$D$1278,2,0)</f>
        <v>家具产品</v>
      </c>
    </row>
    <row r="6992" spans="1:20">
      <c r="A6992" s="8">
        <f>DATE(2012,12,31)-633</f>
        <v>40641</v>
      </c>
      <c r="B6992" s="8">
        <f>DATE(2012,12,31)-633</f>
        <v>40641</v>
      </c>
      <c r="C6992" s="9" t="s">
        <v>2427</v>
      </c>
      <c r="D6992">
        <v>10021470992</v>
      </c>
      <c r="E6992" t="s">
        <v>47</v>
      </c>
      <c r="F6992" t="s">
        <v>48</v>
      </c>
      <c r="G6992" t="s">
        <v>49</v>
      </c>
      <c r="H6992" t="s">
        <v>2539</v>
      </c>
      <c r="I6992" t="s">
        <v>2540</v>
      </c>
      <c r="J6992" t="s">
        <v>668</v>
      </c>
      <c r="K6992" s="3">
        <v>100132724426</v>
      </c>
      <c r="L6992" s="10">
        <v>40643</v>
      </c>
      <c r="M6992">
        <v>13671.94</v>
      </c>
      <c r="N6992" s="11">
        <v>33</v>
      </c>
      <c r="O6992" s="12">
        <v>400.97</v>
      </c>
      <c r="P6992" s="12">
        <v>48.26</v>
      </c>
      <c r="Q6992" s="13">
        <v>5711.96</v>
      </c>
      <c r="R6992" s="36" t="s">
        <v>371</v>
      </c>
      <c r="S6992" s="7">
        <f t="shared" si="620"/>
        <v>2</v>
      </c>
      <c r="T6992" s="15" t="str">
        <f>VLOOKUP(R6992,产品分类!$C$2:$D$1278,2,0)</f>
        <v>办公用品</v>
      </c>
    </row>
    <row r="6993" spans="1:20">
      <c r="A6993" s="16">
        <f>DATE(2012,12,31)-961</f>
        <v>40313</v>
      </c>
      <c r="B6993" s="16">
        <f>DATE(2012,12,31)-961</f>
        <v>40313</v>
      </c>
      <c r="C6993" s="9" t="s">
        <v>2427</v>
      </c>
      <c r="D6993">
        <v>10021438112</v>
      </c>
      <c r="E6993" t="s">
        <v>47</v>
      </c>
      <c r="F6993" t="s">
        <v>72</v>
      </c>
      <c r="G6993" t="s">
        <v>73</v>
      </c>
      <c r="H6993" t="s">
        <v>2558</v>
      </c>
      <c r="I6993" t="s">
        <v>2559</v>
      </c>
      <c r="J6993" t="s">
        <v>668</v>
      </c>
      <c r="K6993" s="3">
        <v>10096715001</v>
      </c>
      <c r="L6993" s="10">
        <v>40315</v>
      </c>
      <c r="M6993">
        <v>58.86</v>
      </c>
      <c r="N6993" s="17">
        <v>17</v>
      </c>
      <c r="O6993" s="5">
        <v>3.29</v>
      </c>
      <c r="P6993" s="5">
        <v>1.35</v>
      </c>
      <c r="Q6993" s="6">
        <v>6.96</v>
      </c>
      <c r="R6993" s="37" t="s">
        <v>784</v>
      </c>
      <c r="S6993" s="7">
        <f t="shared" si="620"/>
        <v>2</v>
      </c>
      <c r="T6993" s="15" t="str">
        <f>VLOOKUP(R6993,产品分类!$C$2:$D$1278,2,0)</f>
        <v>数码电子</v>
      </c>
    </row>
    <row r="6994" spans="1:20">
      <c r="A6994" s="8">
        <f>DATE(2012,12,31)-577</f>
        <v>40697</v>
      </c>
      <c r="B6994" s="8">
        <f>DATE(2012,12,31)-577</f>
        <v>40697</v>
      </c>
      <c r="C6994" s="9" t="s">
        <v>1633</v>
      </c>
      <c r="D6994">
        <v>10021408775</v>
      </c>
      <c r="E6994" t="s">
        <v>47</v>
      </c>
      <c r="F6994" t="s">
        <v>91</v>
      </c>
      <c r="G6994" t="s">
        <v>92</v>
      </c>
      <c r="H6994" t="s">
        <v>2556</v>
      </c>
      <c r="I6994" t="s">
        <v>2557</v>
      </c>
      <c r="J6994" t="s">
        <v>668</v>
      </c>
      <c r="K6994" s="3">
        <v>100432519064</v>
      </c>
      <c r="L6994" s="10">
        <v>40699</v>
      </c>
      <c r="M6994">
        <v>47.44</v>
      </c>
      <c r="N6994" s="11">
        <v>17</v>
      </c>
      <c r="O6994" s="12">
        <v>2.89</v>
      </c>
      <c r="P6994" s="12">
        <v>0.5</v>
      </c>
      <c r="Q6994" s="13">
        <v>14.49</v>
      </c>
      <c r="R6994" s="36" t="s">
        <v>335</v>
      </c>
      <c r="S6994" s="7">
        <f t="shared" si="620"/>
        <v>2</v>
      </c>
      <c r="T6994" s="15" t="str">
        <f>VLOOKUP(R6994,产品分类!$C$2:$D$1278,2,0)</f>
        <v>办公用品</v>
      </c>
    </row>
    <row r="6995" spans="1:20">
      <c r="A6995" s="8">
        <f>DATE(2012,12,31)-1019</f>
        <v>40255</v>
      </c>
      <c r="B6995" s="8">
        <f>DATE(2012,12,31)-1019</f>
        <v>40255</v>
      </c>
      <c r="C6995" s="9" t="s">
        <v>673</v>
      </c>
      <c r="D6995">
        <v>10021521080</v>
      </c>
      <c r="E6995" t="s">
        <v>47</v>
      </c>
      <c r="F6995" t="s">
        <v>171</v>
      </c>
      <c r="G6995" t="s">
        <v>172</v>
      </c>
      <c r="H6995" t="s">
        <v>2486</v>
      </c>
      <c r="I6995" t="s">
        <v>2310</v>
      </c>
      <c r="J6995" t="s">
        <v>668</v>
      </c>
      <c r="K6995" s="3">
        <v>100117516488</v>
      </c>
      <c r="L6995" s="10">
        <v>40256</v>
      </c>
      <c r="M6995">
        <v>337.38</v>
      </c>
      <c r="N6995" s="11">
        <v>19</v>
      </c>
      <c r="O6995" s="12">
        <v>15.23</v>
      </c>
      <c r="P6995" s="12">
        <v>27.75</v>
      </c>
      <c r="Q6995" s="13">
        <v>-409.79</v>
      </c>
      <c r="R6995" s="36" t="s">
        <v>648</v>
      </c>
      <c r="S6995" s="7">
        <f t="shared" si="620"/>
        <v>1</v>
      </c>
      <c r="T6995" s="15" t="str">
        <f>VLOOKUP(R6995,产品分类!$C$2:$D$1278,2,0)</f>
        <v>家具产品</v>
      </c>
    </row>
    <row r="6996" spans="1:20">
      <c r="A6996" s="8">
        <f>DATE(2012,12,31)-207</f>
        <v>41067</v>
      </c>
      <c r="B6996" s="8">
        <f>DATE(2012,12,31)-207</f>
        <v>41067</v>
      </c>
      <c r="C6996" s="9" t="s">
        <v>673</v>
      </c>
      <c r="D6996">
        <v>10021378480</v>
      </c>
      <c r="E6996" t="s">
        <v>47</v>
      </c>
      <c r="F6996" t="s">
        <v>167</v>
      </c>
      <c r="G6996" t="s">
        <v>168</v>
      </c>
      <c r="H6996" t="s">
        <v>169</v>
      </c>
      <c r="I6996" t="s">
        <v>168</v>
      </c>
      <c r="J6996" t="s">
        <v>668</v>
      </c>
      <c r="K6996" s="3">
        <v>100132904507</v>
      </c>
      <c r="L6996" s="10">
        <v>41067</v>
      </c>
      <c r="M6996">
        <v>4169.93</v>
      </c>
      <c r="N6996" s="11">
        <v>36</v>
      </c>
      <c r="O6996" s="12">
        <v>120.98</v>
      </c>
      <c r="P6996" s="12">
        <v>9.07</v>
      </c>
      <c r="Q6996" s="13">
        <v>1765.535</v>
      </c>
      <c r="R6996" s="36" t="s">
        <v>767</v>
      </c>
      <c r="S6996" s="7">
        <f t="shared" si="620"/>
        <v>0</v>
      </c>
      <c r="T6996" s="15" t="str">
        <f>VLOOKUP(R6996,产品分类!$C$2:$D$1278,2,0)</f>
        <v>家具产品</v>
      </c>
    </row>
    <row r="6997" spans="1:20">
      <c r="A6997" s="8">
        <f>DATE(2012,12,31)-674</f>
        <v>40600</v>
      </c>
      <c r="B6997" s="8">
        <f>DATE(2012,12,31)-674</f>
        <v>40600</v>
      </c>
      <c r="C6997" s="9" t="s">
        <v>1439</v>
      </c>
      <c r="D6997">
        <v>10021384884</v>
      </c>
      <c r="E6997" t="s">
        <v>47</v>
      </c>
      <c r="F6997" t="s">
        <v>183</v>
      </c>
      <c r="G6997" t="s">
        <v>184</v>
      </c>
      <c r="H6997" t="s">
        <v>2552</v>
      </c>
      <c r="I6997" t="s">
        <v>2553</v>
      </c>
      <c r="J6997" t="s">
        <v>668</v>
      </c>
      <c r="K6997" s="3">
        <v>100432518533</v>
      </c>
      <c r="L6997" s="10">
        <v>40601</v>
      </c>
      <c r="M6997">
        <v>325.58</v>
      </c>
      <c r="N6997" s="11">
        <v>18</v>
      </c>
      <c r="O6997" s="12">
        <v>18.84</v>
      </c>
      <c r="P6997" s="12">
        <v>3.62</v>
      </c>
      <c r="Q6997" s="13">
        <v>152.28</v>
      </c>
      <c r="R6997" s="36" t="s">
        <v>544</v>
      </c>
      <c r="S6997" s="7">
        <f t="shared" si="620"/>
        <v>1</v>
      </c>
      <c r="T6997" s="15" t="str">
        <f>VLOOKUP(R6997,产品分类!$C$2:$D$1278,2,0)</f>
        <v>办公用品</v>
      </c>
    </row>
    <row r="6998" spans="1:20">
      <c r="A6998" s="8">
        <f>DATE(2012,12,31)-674</f>
        <v>40600</v>
      </c>
      <c r="B6998" s="8">
        <f>DATE(2012,12,31)-674</f>
        <v>40600</v>
      </c>
      <c r="C6998" s="9" t="s">
        <v>448</v>
      </c>
      <c r="D6998">
        <v>10021699636</v>
      </c>
      <c r="E6998" t="s">
        <v>47</v>
      </c>
      <c r="F6998" t="s">
        <v>183</v>
      </c>
      <c r="G6998" t="s">
        <v>184</v>
      </c>
      <c r="H6998" t="s">
        <v>2552</v>
      </c>
      <c r="I6998" t="s">
        <v>2553</v>
      </c>
      <c r="J6998" t="s">
        <v>668</v>
      </c>
      <c r="K6998" s="3">
        <v>100331765369</v>
      </c>
      <c r="L6998" s="10">
        <v>40600</v>
      </c>
      <c r="M6998">
        <v>458.8</v>
      </c>
      <c r="N6998" s="11">
        <v>9</v>
      </c>
      <c r="O6998" s="12">
        <v>46.94</v>
      </c>
      <c r="P6998" s="12">
        <v>6.77</v>
      </c>
      <c r="Q6998" s="13">
        <v>305.87</v>
      </c>
      <c r="R6998" s="36" t="s">
        <v>1154</v>
      </c>
      <c r="S6998" s="7">
        <f t="shared" si="620"/>
        <v>0</v>
      </c>
      <c r="T6998" s="15" t="str">
        <f>VLOOKUP(R6998,产品分类!$C$2:$D$1278,2,0)</f>
        <v>办公用品</v>
      </c>
    </row>
    <row r="6999" spans="1:20">
      <c r="A6999" s="8">
        <f>DATE(2012,12,31)-875</f>
        <v>40399</v>
      </c>
      <c r="B6999" s="8">
        <f>DATE(2012,12,31)-875</f>
        <v>40399</v>
      </c>
      <c r="C6999" s="9" t="s">
        <v>448</v>
      </c>
      <c r="D6999">
        <v>10021456596</v>
      </c>
      <c r="E6999" t="s">
        <v>47</v>
      </c>
      <c r="F6999" t="s">
        <v>91</v>
      </c>
      <c r="G6999" t="s">
        <v>92</v>
      </c>
      <c r="H6999" t="s">
        <v>2556</v>
      </c>
      <c r="I6999" t="s">
        <v>2557</v>
      </c>
      <c r="J6999" t="s">
        <v>668</v>
      </c>
      <c r="K6999" s="3">
        <v>100921558711</v>
      </c>
      <c r="L6999" s="10">
        <v>40399</v>
      </c>
      <c r="M6999">
        <v>2288.642</v>
      </c>
      <c r="N6999" s="11">
        <v>32</v>
      </c>
      <c r="O6999" s="12">
        <v>85.99</v>
      </c>
      <c r="P6999" s="12">
        <v>2.79</v>
      </c>
      <c r="Q6999" s="13">
        <v>519.588</v>
      </c>
      <c r="R6999" s="36" t="s">
        <v>1575</v>
      </c>
      <c r="S6999" s="7">
        <f t="shared" si="620"/>
        <v>0</v>
      </c>
      <c r="T6999" s="15" t="str">
        <f>VLOOKUP(R6999,产品分类!$C$2:$D$1278,2,0)</f>
        <v>办公用品</v>
      </c>
    </row>
    <row r="7000" spans="1:20">
      <c r="A7000" s="8">
        <f>DATE(2012,12,31)-1180</f>
        <v>40094</v>
      </c>
      <c r="B7000" s="8">
        <f>DATE(2012,12,31)-1180</f>
        <v>40094</v>
      </c>
      <c r="C7000" s="9" t="s">
        <v>448</v>
      </c>
      <c r="D7000">
        <v>10021459342</v>
      </c>
      <c r="E7000" t="s">
        <v>47</v>
      </c>
      <c r="F7000" t="s">
        <v>61</v>
      </c>
      <c r="G7000" t="s">
        <v>62</v>
      </c>
      <c r="H7000" t="s">
        <v>2546</v>
      </c>
      <c r="I7000" t="s">
        <v>2547</v>
      </c>
      <c r="J7000" t="s">
        <v>668</v>
      </c>
      <c r="K7000" s="3">
        <v>100723531475</v>
      </c>
      <c r="L7000" s="10">
        <v>40095</v>
      </c>
      <c r="M7000">
        <v>1504.01</v>
      </c>
      <c r="N7000" s="11">
        <v>42</v>
      </c>
      <c r="O7000" s="12">
        <v>35.89</v>
      </c>
      <c r="P7000" s="12">
        <v>14.72</v>
      </c>
      <c r="Q7000" s="13">
        <v>211.04</v>
      </c>
      <c r="R7000" s="36" t="s">
        <v>652</v>
      </c>
      <c r="S7000" s="7">
        <f t="shared" si="620"/>
        <v>1</v>
      </c>
      <c r="T7000" s="15" t="str">
        <f>VLOOKUP(R7000,产品分类!$C$2:$D$1278,2,0)</f>
        <v>办公用品</v>
      </c>
    </row>
    <row r="7001" spans="1:20">
      <c r="A7001" s="8">
        <f>DATE(2012,12,31)-1180</f>
        <v>40094</v>
      </c>
      <c r="B7001" s="8">
        <f>DATE(2012,12,31)-1180</f>
        <v>40094</v>
      </c>
      <c r="C7001" s="9" t="s">
        <v>108</v>
      </c>
      <c r="D7001">
        <v>10021534910</v>
      </c>
      <c r="E7001" t="s">
        <v>47</v>
      </c>
      <c r="F7001" t="s">
        <v>253</v>
      </c>
      <c r="G7001" t="s">
        <v>254</v>
      </c>
      <c r="H7001" t="s">
        <v>2508</v>
      </c>
      <c r="I7001" t="s">
        <v>2509</v>
      </c>
      <c r="J7001" t="s">
        <v>668</v>
      </c>
      <c r="K7001" s="3">
        <v>100932867301</v>
      </c>
      <c r="L7001" s="10">
        <v>40094</v>
      </c>
      <c r="M7001">
        <v>163.62</v>
      </c>
      <c r="N7001" s="11">
        <v>13</v>
      </c>
      <c r="O7001" s="12">
        <v>11.48</v>
      </c>
      <c r="P7001" s="12">
        <v>5.43</v>
      </c>
      <c r="Q7001" s="13">
        <v>16.34</v>
      </c>
      <c r="R7001" s="36" t="s">
        <v>1552</v>
      </c>
      <c r="S7001" s="7">
        <f t="shared" si="620"/>
        <v>0</v>
      </c>
      <c r="T7001" s="15" t="str">
        <f>VLOOKUP(R7001,产品分类!$C$2:$D$1278,2,0)</f>
        <v>数码电子</v>
      </c>
    </row>
    <row r="7002" spans="1:20">
      <c r="A7002" s="8">
        <f>DATE(2012,12,31)-334</f>
        <v>40940</v>
      </c>
      <c r="B7002" s="8">
        <f>DATE(2012,12,31)-334</f>
        <v>40940</v>
      </c>
      <c r="C7002" s="9" t="s">
        <v>108</v>
      </c>
      <c r="D7002">
        <v>10021553401</v>
      </c>
      <c r="E7002" t="s">
        <v>47</v>
      </c>
      <c r="F7002" t="s">
        <v>61</v>
      </c>
      <c r="G7002" t="s">
        <v>62</v>
      </c>
      <c r="H7002" t="s">
        <v>2546</v>
      </c>
      <c r="I7002" t="s">
        <v>2547</v>
      </c>
      <c r="J7002" t="s">
        <v>668</v>
      </c>
      <c r="K7002" s="3">
        <v>100932339731</v>
      </c>
      <c r="L7002" s="10">
        <v>40942</v>
      </c>
      <c r="M7002">
        <v>17965.45</v>
      </c>
      <c r="N7002" s="11">
        <v>9</v>
      </c>
      <c r="O7002" s="12">
        <v>1938.02</v>
      </c>
      <c r="P7002" s="12">
        <v>13.99</v>
      </c>
      <c r="Q7002" s="13">
        <v>3459.43</v>
      </c>
      <c r="R7002" s="36" t="s">
        <v>1048</v>
      </c>
      <c r="S7002" s="7">
        <f t="shared" si="620"/>
        <v>2</v>
      </c>
      <c r="T7002" s="15" t="str">
        <f>VLOOKUP(R7002,产品分类!$C$2:$D$1278,2,0)</f>
        <v>办公用品</v>
      </c>
    </row>
    <row r="7003" spans="1:20">
      <c r="A7003" s="8">
        <f>DATE(2012,12,31)-215</f>
        <v>41059</v>
      </c>
      <c r="B7003" s="8">
        <f>DATE(2012,12,31)-215</f>
        <v>41059</v>
      </c>
      <c r="C7003" s="9" t="s">
        <v>108</v>
      </c>
      <c r="D7003">
        <v>10021722779</v>
      </c>
      <c r="E7003" t="s">
        <v>47</v>
      </c>
      <c r="F7003" t="s">
        <v>91</v>
      </c>
      <c r="G7003" t="s">
        <v>92</v>
      </c>
      <c r="H7003" t="s">
        <v>2556</v>
      </c>
      <c r="I7003" t="s">
        <v>2557</v>
      </c>
      <c r="J7003" t="s">
        <v>668</v>
      </c>
      <c r="K7003" s="3">
        <v>1009334901</v>
      </c>
      <c r="L7003" s="10">
        <v>41060</v>
      </c>
      <c r="M7003">
        <v>289.73</v>
      </c>
      <c r="N7003" s="11">
        <v>2</v>
      </c>
      <c r="O7003" s="12">
        <v>135.99</v>
      </c>
      <c r="P7003" s="12">
        <v>28.63</v>
      </c>
      <c r="Q7003" s="13">
        <v>-246.21</v>
      </c>
      <c r="R7003" s="36" t="s">
        <v>2534</v>
      </c>
      <c r="S7003" s="7">
        <f t="shared" si="620"/>
        <v>1</v>
      </c>
      <c r="T7003" s="15" t="str">
        <f>VLOOKUP(R7003,产品分类!$C$2:$D$1278,2,0)</f>
        <v>数码电子</v>
      </c>
    </row>
    <row r="7004" spans="1:20">
      <c r="A7004" s="16">
        <f>DATE(2012,12,31)-952</f>
        <v>40322</v>
      </c>
      <c r="B7004" s="16">
        <f>DATE(2012,12,31)-952</f>
        <v>40322</v>
      </c>
      <c r="C7004" s="9" t="s">
        <v>1615</v>
      </c>
      <c r="D7004">
        <v>10021454358</v>
      </c>
      <c r="E7004" t="s">
        <v>47</v>
      </c>
      <c r="F7004" t="s">
        <v>97</v>
      </c>
      <c r="G7004" t="s">
        <v>98</v>
      </c>
      <c r="H7004" t="s">
        <v>99</v>
      </c>
      <c r="I7004" t="s">
        <v>98</v>
      </c>
      <c r="J7004" t="s">
        <v>668</v>
      </c>
      <c r="K7004" s="3">
        <v>100714524455</v>
      </c>
      <c r="L7004" s="10">
        <v>40323</v>
      </c>
      <c r="M7004">
        <v>116.55</v>
      </c>
      <c r="N7004" s="17">
        <v>20</v>
      </c>
      <c r="O7004" s="5">
        <v>5.58</v>
      </c>
      <c r="P7004" s="5">
        <v>5.3</v>
      </c>
      <c r="Q7004" s="6">
        <v>-39.67</v>
      </c>
      <c r="R7004" s="37" t="s">
        <v>755</v>
      </c>
      <c r="S7004" s="7">
        <f t="shared" si="620"/>
        <v>1</v>
      </c>
      <c r="T7004" s="15" t="str">
        <f>VLOOKUP(R7004,产品分类!$C$2:$D$1278,2,0)</f>
        <v>办公用品</v>
      </c>
    </row>
    <row r="7005" spans="1:20">
      <c r="A7005" s="8">
        <f>DATE(2012,12,31)-709</f>
        <v>40565</v>
      </c>
      <c r="B7005" s="8">
        <f>DATE(2012,12,31)-709</f>
        <v>40565</v>
      </c>
      <c r="C7005" s="9" t="s">
        <v>1581</v>
      </c>
      <c r="D7005">
        <v>10021474323</v>
      </c>
      <c r="E7005" t="s">
        <v>47</v>
      </c>
      <c r="F7005" t="s">
        <v>132</v>
      </c>
      <c r="G7005" t="s">
        <v>133</v>
      </c>
      <c r="H7005" t="s">
        <v>134</v>
      </c>
      <c r="I7005" t="s">
        <v>133</v>
      </c>
      <c r="J7005" t="s">
        <v>668</v>
      </c>
      <c r="K7005" s="3">
        <v>100732484685</v>
      </c>
      <c r="L7005" s="10">
        <v>40566</v>
      </c>
      <c r="M7005">
        <v>38.76</v>
      </c>
      <c r="N7005" s="11">
        <v>4</v>
      </c>
      <c r="O7005" s="12">
        <v>6.23</v>
      </c>
      <c r="P7005" s="12">
        <v>6.97</v>
      </c>
      <c r="Q7005" s="13">
        <v>-12.1325</v>
      </c>
      <c r="R7005" s="36" t="s">
        <v>1214</v>
      </c>
      <c r="S7005" s="7">
        <f t="shared" si="620"/>
        <v>1</v>
      </c>
      <c r="T7005" s="15" t="str">
        <f>VLOOKUP(R7005,产品分类!$C$2:$D$1278,2,0)</f>
        <v>数码电子</v>
      </c>
    </row>
    <row r="7006" spans="1:20">
      <c r="A7006" s="8">
        <f>DATE(2012,12,31)-843</f>
        <v>40431</v>
      </c>
      <c r="B7006" s="8">
        <f>DATE(2012,12,31)-843</f>
        <v>40431</v>
      </c>
      <c r="C7006" s="9" t="s">
        <v>417</v>
      </c>
      <c r="D7006">
        <v>10021474891</v>
      </c>
      <c r="E7006" t="s">
        <v>47</v>
      </c>
      <c r="F7006" t="s">
        <v>102</v>
      </c>
      <c r="G7006" t="s">
        <v>103</v>
      </c>
      <c r="H7006" t="s">
        <v>2560</v>
      </c>
      <c r="I7006" t="s">
        <v>2561</v>
      </c>
      <c r="J7006" t="s">
        <v>668</v>
      </c>
      <c r="K7006" s="3">
        <v>100431335393</v>
      </c>
      <c r="L7006" s="10">
        <v>40433</v>
      </c>
      <c r="M7006">
        <v>1863.02</v>
      </c>
      <c r="N7006" s="11">
        <v>34</v>
      </c>
      <c r="O7006" s="12">
        <v>55.48</v>
      </c>
      <c r="P7006" s="12">
        <v>6.79</v>
      </c>
      <c r="Q7006" s="13">
        <v>823.26</v>
      </c>
      <c r="R7006" s="36" t="s">
        <v>1684</v>
      </c>
      <c r="S7006" s="7">
        <f t="shared" si="620"/>
        <v>2</v>
      </c>
      <c r="T7006" s="15" t="str">
        <f>VLOOKUP(R7006,产品分类!$C$2:$D$1278,2,0)</f>
        <v>办公用品</v>
      </c>
    </row>
    <row r="7007" spans="1:20">
      <c r="A7007" s="16">
        <f>DATE(2012,12,31)-843</f>
        <v>40431</v>
      </c>
      <c r="B7007" s="16">
        <f>DATE(2012,12,31)-843</f>
        <v>40431</v>
      </c>
      <c r="C7007" s="9" t="s">
        <v>1751</v>
      </c>
      <c r="D7007">
        <v>10021538318</v>
      </c>
      <c r="E7007" t="s">
        <v>47</v>
      </c>
      <c r="F7007" t="s">
        <v>171</v>
      </c>
      <c r="G7007" t="s">
        <v>172</v>
      </c>
      <c r="H7007" t="s">
        <v>2486</v>
      </c>
      <c r="I7007" t="s">
        <v>2310</v>
      </c>
      <c r="J7007" t="s">
        <v>668</v>
      </c>
      <c r="K7007" s="3">
        <v>10043168354</v>
      </c>
      <c r="L7007" s="10">
        <v>40432</v>
      </c>
      <c r="M7007">
        <v>53.3</v>
      </c>
      <c r="N7007" s="17">
        <v>2</v>
      </c>
      <c r="O7007" s="5">
        <v>20.89</v>
      </c>
      <c r="P7007" s="5">
        <v>11.52</v>
      </c>
      <c r="Q7007" s="6">
        <v>-46.2</v>
      </c>
      <c r="R7007" s="37" t="s">
        <v>260</v>
      </c>
      <c r="S7007" s="7">
        <f t="shared" si="620"/>
        <v>1</v>
      </c>
      <c r="T7007" s="15" t="str">
        <f>VLOOKUP(R7007,产品分类!$C$2:$D$1278,2,0)</f>
        <v>数码电子</v>
      </c>
    </row>
    <row r="7008" spans="1:20">
      <c r="A7008" s="16">
        <f t="shared" ref="A7008:B7010" si="622">DATE(2012,12,31)-896</f>
        <v>40378</v>
      </c>
      <c r="B7008" s="16">
        <f t="shared" si="622"/>
        <v>40378</v>
      </c>
      <c r="C7008" s="9" t="s">
        <v>1751</v>
      </c>
      <c r="D7008">
        <v>10021473842</v>
      </c>
      <c r="E7008" t="s">
        <v>47</v>
      </c>
      <c r="F7008" t="s">
        <v>167</v>
      </c>
      <c r="G7008" t="s">
        <v>168</v>
      </c>
      <c r="H7008" t="s">
        <v>169</v>
      </c>
      <c r="I7008" t="s">
        <v>168</v>
      </c>
      <c r="J7008" t="s">
        <v>668</v>
      </c>
      <c r="K7008" s="3">
        <v>100128954976</v>
      </c>
      <c r="L7008" s="10">
        <v>40383</v>
      </c>
      <c r="M7008">
        <v>178.51</v>
      </c>
      <c r="N7008" s="17">
        <v>47</v>
      </c>
      <c r="O7008" s="5">
        <v>3.75</v>
      </c>
      <c r="P7008" s="5">
        <v>0.5</v>
      </c>
      <c r="Q7008" s="6">
        <v>82.3</v>
      </c>
      <c r="R7008" s="37" t="s">
        <v>1871</v>
      </c>
      <c r="S7008" s="7">
        <f t="shared" si="620"/>
        <v>5</v>
      </c>
      <c r="T7008" s="15" t="str">
        <f>VLOOKUP(R7008,产品分类!$C$2:$D$1278,2,0)</f>
        <v>办公用品</v>
      </c>
    </row>
    <row r="7009" spans="1:20">
      <c r="A7009" s="8">
        <f t="shared" si="622"/>
        <v>40378</v>
      </c>
      <c r="B7009" s="8">
        <f t="shared" si="622"/>
        <v>40378</v>
      </c>
      <c r="C7009" s="9" t="s">
        <v>1241</v>
      </c>
      <c r="D7009">
        <v>10021410604</v>
      </c>
      <c r="E7009" t="s">
        <v>47</v>
      </c>
      <c r="F7009" t="s">
        <v>167</v>
      </c>
      <c r="G7009" t="s">
        <v>168</v>
      </c>
      <c r="H7009" t="s">
        <v>169</v>
      </c>
      <c r="I7009" t="s">
        <v>168</v>
      </c>
      <c r="J7009" t="s">
        <v>668</v>
      </c>
      <c r="K7009" s="3">
        <v>100420053</v>
      </c>
      <c r="L7009" s="10">
        <v>40387</v>
      </c>
      <c r="M7009">
        <v>31.32</v>
      </c>
      <c r="N7009" s="11">
        <v>15</v>
      </c>
      <c r="O7009" s="12">
        <v>1.86</v>
      </c>
      <c r="P7009" s="12">
        <v>2.58</v>
      </c>
      <c r="Q7009" s="13">
        <v>-30.26</v>
      </c>
      <c r="R7009" s="36" t="s">
        <v>1113</v>
      </c>
      <c r="S7009" s="7">
        <f t="shared" si="620"/>
        <v>9</v>
      </c>
      <c r="T7009" s="15" t="str">
        <f>VLOOKUP(R7009,产品分类!$C$2:$D$1278,2,0)</f>
        <v>办公用品</v>
      </c>
    </row>
    <row r="7010" spans="1:20">
      <c r="A7010" s="8">
        <f t="shared" si="622"/>
        <v>40378</v>
      </c>
      <c r="B7010" s="8">
        <f t="shared" si="622"/>
        <v>40378</v>
      </c>
      <c r="C7010" s="9" t="s">
        <v>1241</v>
      </c>
      <c r="D7010">
        <v>10021574217</v>
      </c>
      <c r="E7010" t="s">
        <v>47</v>
      </c>
      <c r="F7010" t="s">
        <v>97</v>
      </c>
      <c r="G7010" t="s">
        <v>98</v>
      </c>
      <c r="H7010" t="s">
        <v>99</v>
      </c>
      <c r="I7010" t="s">
        <v>98</v>
      </c>
      <c r="J7010" t="s">
        <v>668</v>
      </c>
      <c r="K7010" s="3">
        <v>10091424091</v>
      </c>
      <c r="L7010" s="10">
        <v>40380</v>
      </c>
      <c r="M7010">
        <v>1391.7645</v>
      </c>
      <c r="N7010" s="11">
        <v>8</v>
      </c>
      <c r="O7010" s="12">
        <v>205.99</v>
      </c>
      <c r="P7010" s="12">
        <v>8.99</v>
      </c>
      <c r="Q7010" s="13">
        <v>-426.074</v>
      </c>
      <c r="R7010" s="36" t="s">
        <v>1239</v>
      </c>
      <c r="S7010" s="7">
        <f t="shared" si="620"/>
        <v>2</v>
      </c>
      <c r="T7010" s="15" t="str">
        <f>VLOOKUP(R7010,产品分类!$C$2:$D$1278,2,0)</f>
        <v>办公用品</v>
      </c>
    </row>
    <row r="7011" spans="1:20">
      <c r="A7011" s="8">
        <f>DATE(2012,12,31)-866</f>
        <v>40408</v>
      </c>
      <c r="B7011" s="8">
        <f>DATE(2012,12,31)-866</f>
        <v>40408</v>
      </c>
      <c r="C7011" s="9" t="s">
        <v>394</v>
      </c>
      <c r="D7011">
        <v>10021623289</v>
      </c>
      <c r="E7011" t="s">
        <v>47</v>
      </c>
      <c r="F7011" t="s">
        <v>97</v>
      </c>
      <c r="G7011" t="s">
        <v>98</v>
      </c>
      <c r="H7011" t="s">
        <v>99</v>
      </c>
      <c r="I7011" t="s">
        <v>98</v>
      </c>
      <c r="J7011" t="s">
        <v>668</v>
      </c>
      <c r="K7011" s="3">
        <v>100421564363</v>
      </c>
      <c r="L7011" s="10">
        <v>40409</v>
      </c>
      <c r="M7011">
        <v>102.04</v>
      </c>
      <c r="N7011" s="11">
        <v>14</v>
      </c>
      <c r="O7011" s="12">
        <v>6.48</v>
      </c>
      <c r="P7011" s="12">
        <v>7.37</v>
      </c>
      <c r="Q7011" s="13">
        <v>-47.67</v>
      </c>
      <c r="R7011" s="36" t="s">
        <v>1566</v>
      </c>
      <c r="S7011" s="7">
        <f t="shared" si="620"/>
        <v>1</v>
      </c>
      <c r="T7011" s="15" t="str">
        <f>VLOOKUP(R7011,产品分类!$C$2:$D$1278,2,0)</f>
        <v>数码电子</v>
      </c>
    </row>
    <row r="7012" spans="1:20">
      <c r="A7012" s="8">
        <f>DATE(2012,12,31)-1122</f>
        <v>40152</v>
      </c>
      <c r="B7012" s="8">
        <f>DATE(2012,12,31)-1122</f>
        <v>40152</v>
      </c>
      <c r="C7012" s="9" t="s">
        <v>394</v>
      </c>
      <c r="D7012">
        <v>10021470094</v>
      </c>
      <c r="E7012" t="s">
        <v>47</v>
      </c>
      <c r="F7012" t="s">
        <v>66</v>
      </c>
      <c r="G7012" t="s">
        <v>67</v>
      </c>
      <c r="H7012" t="s">
        <v>2467</v>
      </c>
      <c r="I7012" t="s">
        <v>2468</v>
      </c>
      <c r="J7012" t="s">
        <v>668</v>
      </c>
      <c r="K7012" s="3">
        <v>100432626623</v>
      </c>
      <c r="L7012" s="10">
        <v>40153</v>
      </c>
      <c r="M7012">
        <v>9704.37</v>
      </c>
      <c r="N7012" s="11">
        <v>5</v>
      </c>
      <c r="O7012" s="12">
        <v>1938.02</v>
      </c>
      <c r="P7012" s="12">
        <v>13.99</v>
      </c>
      <c r="Q7012" s="13">
        <v>-1565.913</v>
      </c>
      <c r="R7012" s="36" t="s">
        <v>1610</v>
      </c>
      <c r="S7012" s="7">
        <f t="shared" si="620"/>
        <v>1</v>
      </c>
      <c r="T7012" s="15" t="str">
        <f>VLOOKUP(R7012,产品分类!$C$2:$D$1278,2,0)</f>
        <v>办公用品</v>
      </c>
    </row>
    <row r="7013" spans="1:20">
      <c r="A7013" s="8">
        <f>DATE(2012,12,31)-1122</f>
        <v>40152</v>
      </c>
      <c r="B7013" s="8">
        <f>DATE(2012,12,31)-1122</f>
        <v>40152</v>
      </c>
      <c r="C7013" s="9" t="s">
        <v>394</v>
      </c>
      <c r="D7013">
        <v>10021587855</v>
      </c>
      <c r="E7013" t="s">
        <v>47</v>
      </c>
      <c r="F7013" t="s">
        <v>66</v>
      </c>
      <c r="G7013" t="s">
        <v>67</v>
      </c>
      <c r="H7013" t="s">
        <v>2467</v>
      </c>
      <c r="I7013" t="s">
        <v>2468</v>
      </c>
      <c r="J7013" t="s">
        <v>668</v>
      </c>
      <c r="K7013" s="3">
        <v>100430094284</v>
      </c>
      <c r="L7013" s="10">
        <v>40153</v>
      </c>
      <c r="M7013">
        <v>211.94</v>
      </c>
      <c r="N7013" s="11">
        <v>31</v>
      </c>
      <c r="O7013" s="12">
        <v>6.48</v>
      </c>
      <c r="P7013" s="12">
        <v>5.84</v>
      </c>
      <c r="Q7013" s="13">
        <v>-56.39</v>
      </c>
      <c r="R7013" s="36" t="s">
        <v>2266</v>
      </c>
      <c r="S7013" s="7">
        <f t="shared" si="620"/>
        <v>1</v>
      </c>
      <c r="T7013" s="15" t="str">
        <f>VLOOKUP(R7013,产品分类!$C$2:$D$1278,2,0)</f>
        <v>办公用品</v>
      </c>
    </row>
    <row r="7014" spans="1:20">
      <c r="A7014" s="8">
        <f>DATE(2012,12,31)-686</f>
        <v>40588</v>
      </c>
      <c r="B7014" s="8">
        <f>DATE(2012,12,31)-686</f>
        <v>40588</v>
      </c>
      <c r="C7014" s="9" t="s">
        <v>1643</v>
      </c>
      <c r="D7014">
        <v>10021736953</v>
      </c>
      <c r="E7014" t="s">
        <v>47</v>
      </c>
      <c r="F7014" t="s">
        <v>97</v>
      </c>
      <c r="G7014" t="s">
        <v>98</v>
      </c>
      <c r="H7014" t="s">
        <v>99</v>
      </c>
      <c r="I7014" t="s">
        <v>98</v>
      </c>
      <c r="J7014" t="s">
        <v>668</v>
      </c>
      <c r="K7014" s="3">
        <v>10084355832</v>
      </c>
      <c r="L7014" s="10">
        <v>40589</v>
      </c>
      <c r="M7014">
        <v>390.35</v>
      </c>
      <c r="N7014" s="11">
        <v>34</v>
      </c>
      <c r="O7014" s="12">
        <v>11.55</v>
      </c>
      <c r="P7014" s="12">
        <v>2.36</v>
      </c>
      <c r="Q7014" s="13">
        <v>71.03</v>
      </c>
      <c r="R7014" s="36" t="s">
        <v>1379</v>
      </c>
      <c r="S7014" s="7">
        <f t="shared" si="620"/>
        <v>1</v>
      </c>
      <c r="T7014" s="15" t="str">
        <f>VLOOKUP(R7014,产品分类!$C$2:$D$1278,2,0)</f>
        <v>家具产品</v>
      </c>
    </row>
    <row r="7015" spans="1:20">
      <c r="A7015" s="8">
        <f>DATE(2012,12,31)-951</f>
        <v>40323</v>
      </c>
      <c r="B7015" s="8">
        <f>DATE(2012,12,31)-951</f>
        <v>40323</v>
      </c>
      <c r="C7015" s="9" t="s">
        <v>1643</v>
      </c>
      <c r="D7015">
        <v>10021432182</v>
      </c>
      <c r="E7015" t="s">
        <v>47</v>
      </c>
      <c r="F7015" t="s">
        <v>66</v>
      </c>
      <c r="G7015" t="s">
        <v>67</v>
      </c>
      <c r="H7015" t="s">
        <v>2467</v>
      </c>
      <c r="I7015" t="s">
        <v>2468</v>
      </c>
      <c r="J7015" t="s">
        <v>668</v>
      </c>
      <c r="K7015" s="3">
        <v>100932290941</v>
      </c>
      <c r="L7015" s="10">
        <v>40323</v>
      </c>
      <c r="M7015">
        <v>51.21</v>
      </c>
      <c r="N7015" s="11">
        <v>2</v>
      </c>
      <c r="O7015" s="12">
        <v>20.98</v>
      </c>
      <c r="P7015" s="12">
        <v>8.83</v>
      </c>
      <c r="Q7015" s="13">
        <v>-27.531</v>
      </c>
      <c r="R7015" s="36" t="s">
        <v>1996</v>
      </c>
      <c r="S7015" s="7">
        <f t="shared" si="620"/>
        <v>0</v>
      </c>
      <c r="T7015" s="15" t="str">
        <f>VLOOKUP(R7015,产品分类!$C$2:$D$1278,2,0)</f>
        <v>办公用品</v>
      </c>
    </row>
    <row r="7016" spans="1:20">
      <c r="A7016" s="8">
        <f>DATE(2012,12,31)-951</f>
        <v>40323</v>
      </c>
      <c r="B7016" s="8">
        <f>DATE(2012,12,31)-951</f>
        <v>40323</v>
      </c>
      <c r="C7016" s="9" t="s">
        <v>632</v>
      </c>
      <c r="D7016">
        <v>10021659041</v>
      </c>
      <c r="E7016" t="s">
        <v>47</v>
      </c>
      <c r="F7016" t="s">
        <v>66</v>
      </c>
      <c r="G7016" t="s">
        <v>67</v>
      </c>
      <c r="H7016" t="s">
        <v>2467</v>
      </c>
      <c r="I7016" t="s">
        <v>2468</v>
      </c>
      <c r="J7016" t="s">
        <v>668</v>
      </c>
      <c r="K7016" s="3">
        <v>100914285371</v>
      </c>
      <c r="L7016" s="10">
        <v>40325</v>
      </c>
      <c r="M7016">
        <v>2195.55</v>
      </c>
      <c r="N7016" s="11">
        <v>20</v>
      </c>
      <c r="O7016" s="12">
        <v>100.8</v>
      </c>
      <c r="P7016" s="12">
        <v>60</v>
      </c>
      <c r="Q7016" s="13">
        <v>-355.941</v>
      </c>
      <c r="R7016" s="36" t="s">
        <v>200</v>
      </c>
      <c r="S7016" s="7">
        <f t="shared" si="620"/>
        <v>2</v>
      </c>
      <c r="T7016" s="15" t="str">
        <f>VLOOKUP(R7016,产品分类!$C$2:$D$1278,2,0)</f>
        <v>数码电子</v>
      </c>
    </row>
    <row r="7017" spans="1:20">
      <c r="A7017" s="8">
        <f>DATE(2012,12,31)-1065</f>
        <v>40209</v>
      </c>
      <c r="B7017" s="8">
        <f>DATE(2012,12,31)-1065</f>
        <v>40209</v>
      </c>
      <c r="C7017" s="9" t="s">
        <v>632</v>
      </c>
      <c r="D7017">
        <v>10021605804</v>
      </c>
      <c r="E7017" t="s">
        <v>47</v>
      </c>
      <c r="F7017" t="s">
        <v>66</v>
      </c>
      <c r="G7017" t="s">
        <v>67</v>
      </c>
      <c r="H7017" t="s">
        <v>2467</v>
      </c>
      <c r="I7017" t="s">
        <v>2468</v>
      </c>
      <c r="J7017" t="s">
        <v>668</v>
      </c>
      <c r="K7017" s="3">
        <v>100911601471</v>
      </c>
      <c r="L7017" s="10">
        <v>40211</v>
      </c>
      <c r="M7017">
        <v>887.98</v>
      </c>
      <c r="N7017" s="11">
        <v>22</v>
      </c>
      <c r="O7017" s="12">
        <v>39.98</v>
      </c>
      <c r="P7017" s="12">
        <v>9.83</v>
      </c>
      <c r="Q7017" s="13">
        <v>239.94</v>
      </c>
      <c r="R7017" s="36" t="s">
        <v>2242</v>
      </c>
      <c r="S7017" s="7">
        <f t="shared" si="620"/>
        <v>2</v>
      </c>
      <c r="T7017" s="15" t="str">
        <f>VLOOKUP(R7017,产品分类!$C$2:$D$1278,2,0)</f>
        <v>数码电子</v>
      </c>
    </row>
    <row r="7018" spans="1:20">
      <c r="A7018" s="8">
        <f>DATE(2012,12,31)-1065</f>
        <v>40209</v>
      </c>
      <c r="B7018" s="8">
        <f>DATE(2012,12,31)-1065</f>
        <v>40209</v>
      </c>
      <c r="C7018" s="9" t="s">
        <v>430</v>
      </c>
      <c r="D7018">
        <v>10021255516</v>
      </c>
      <c r="E7018" t="s">
        <v>47</v>
      </c>
      <c r="F7018" t="s">
        <v>66</v>
      </c>
      <c r="G7018" t="s">
        <v>67</v>
      </c>
      <c r="H7018" t="s">
        <v>2467</v>
      </c>
      <c r="I7018" t="s">
        <v>2468</v>
      </c>
      <c r="J7018" t="s">
        <v>668</v>
      </c>
      <c r="K7018" s="3">
        <v>100124282796</v>
      </c>
      <c r="L7018" s="10">
        <v>40211</v>
      </c>
      <c r="M7018">
        <v>72.46</v>
      </c>
      <c r="N7018" s="11">
        <v>3</v>
      </c>
      <c r="O7018" s="12">
        <v>15.23</v>
      </c>
      <c r="P7018" s="12">
        <v>27.75</v>
      </c>
      <c r="Q7018" s="13">
        <v>-60.74</v>
      </c>
      <c r="R7018" s="36" t="s">
        <v>1300</v>
      </c>
      <c r="S7018" s="7">
        <f t="shared" si="620"/>
        <v>2</v>
      </c>
      <c r="T7018" s="15" t="str">
        <f>VLOOKUP(R7018,产品分类!$C$2:$D$1278,2,0)</f>
        <v>家具产品</v>
      </c>
    </row>
    <row r="7019" spans="1:20">
      <c r="A7019" s="8">
        <f>DATE(2012,12,31)-591</f>
        <v>40683</v>
      </c>
      <c r="B7019" s="8">
        <f>DATE(2012,12,31)-591</f>
        <v>40683</v>
      </c>
      <c r="C7019" s="9" t="s">
        <v>1071</v>
      </c>
      <c r="D7019">
        <v>10021431317</v>
      </c>
      <c r="E7019" t="s">
        <v>47</v>
      </c>
      <c r="F7019" t="s">
        <v>152</v>
      </c>
      <c r="G7019" t="s">
        <v>153</v>
      </c>
      <c r="H7019" t="s">
        <v>2536</v>
      </c>
      <c r="I7019" t="s">
        <v>2537</v>
      </c>
      <c r="J7019" t="s">
        <v>668</v>
      </c>
      <c r="K7019" s="3">
        <v>100132226276</v>
      </c>
      <c r="L7019" s="10">
        <v>40685</v>
      </c>
      <c r="M7019">
        <v>2010.89</v>
      </c>
      <c r="N7019" s="11">
        <v>34</v>
      </c>
      <c r="O7019" s="12">
        <v>63.98</v>
      </c>
      <c r="P7019" s="12">
        <v>11.55</v>
      </c>
      <c r="Q7019" s="13">
        <v>564.0685</v>
      </c>
      <c r="R7019" s="36" t="s">
        <v>2058</v>
      </c>
      <c r="S7019" s="7">
        <f t="shared" si="620"/>
        <v>2</v>
      </c>
      <c r="T7019" s="15" t="str">
        <f>VLOOKUP(R7019,产品分类!$C$2:$D$1278,2,0)</f>
        <v>数码电子</v>
      </c>
    </row>
    <row r="7020" spans="1:20">
      <c r="A7020" s="8">
        <f>DATE(2012,12,31)-808</f>
        <v>40466</v>
      </c>
      <c r="B7020" s="8">
        <f>DATE(2012,12,31)-808</f>
        <v>40466</v>
      </c>
      <c r="C7020" s="9" t="s">
        <v>712</v>
      </c>
      <c r="D7020">
        <v>10021331996</v>
      </c>
      <c r="E7020" t="s">
        <v>47</v>
      </c>
      <c r="F7020" t="s">
        <v>152</v>
      </c>
      <c r="G7020" t="s">
        <v>153</v>
      </c>
      <c r="H7020" t="s">
        <v>2536</v>
      </c>
      <c r="I7020" t="s">
        <v>2537</v>
      </c>
      <c r="J7020" t="s">
        <v>668</v>
      </c>
      <c r="K7020" s="3">
        <v>1001510978</v>
      </c>
      <c r="L7020" s="10">
        <v>40466</v>
      </c>
      <c r="M7020">
        <v>536.83</v>
      </c>
      <c r="N7020" s="11">
        <v>31</v>
      </c>
      <c r="O7020" s="12">
        <v>17.48</v>
      </c>
      <c r="P7020" s="12">
        <v>1.99</v>
      </c>
      <c r="Q7020" s="13">
        <v>161.37</v>
      </c>
      <c r="R7020" s="36" t="s">
        <v>908</v>
      </c>
      <c r="S7020" s="7">
        <f t="shared" si="620"/>
        <v>0</v>
      </c>
      <c r="T7020" s="15" t="str">
        <f>VLOOKUP(R7020,产品分类!$C$2:$D$1278,2,0)</f>
        <v>办公用品</v>
      </c>
    </row>
    <row r="7021" spans="1:20">
      <c r="A7021" s="16">
        <f>DATE(2012,12,31)-808</f>
        <v>40466</v>
      </c>
      <c r="B7021" s="16">
        <f>DATE(2012,12,31)-808</f>
        <v>40466</v>
      </c>
      <c r="C7021" s="9" t="s">
        <v>403</v>
      </c>
      <c r="D7021">
        <v>10021248890</v>
      </c>
      <c r="E7021" t="s">
        <v>47</v>
      </c>
      <c r="F7021" t="s">
        <v>66</v>
      </c>
      <c r="G7021" t="s">
        <v>67</v>
      </c>
      <c r="H7021" t="s">
        <v>2467</v>
      </c>
      <c r="I7021" t="s">
        <v>2468</v>
      </c>
      <c r="J7021" t="s">
        <v>668</v>
      </c>
      <c r="K7021" s="3">
        <v>10014754578</v>
      </c>
      <c r="L7021" s="10">
        <v>40468</v>
      </c>
      <c r="M7021">
        <v>1734.31</v>
      </c>
      <c r="N7021" s="17">
        <v>32</v>
      </c>
      <c r="O7021" s="5">
        <v>54.96</v>
      </c>
      <c r="P7021" s="5">
        <v>10.75</v>
      </c>
      <c r="Q7021" s="6">
        <v>647.25</v>
      </c>
      <c r="R7021" s="37" t="s">
        <v>118</v>
      </c>
      <c r="S7021" s="7">
        <f t="shared" si="620"/>
        <v>2</v>
      </c>
      <c r="T7021" s="15" t="str">
        <f>VLOOKUP(R7021,产品分类!$C$2:$D$1278,2,0)</f>
        <v>办公用品</v>
      </c>
    </row>
    <row r="7022" spans="1:20">
      <c r="A7022" s="16">
        <f>DATE(2012,12,31)-74</f>
        <v>41200</v>
      </c>
      <c r="B7022" s="16">
        <f>DATE(2012,12,31)-74</f>
        <v>41200</v>
      </c>
      <c r="C7022" s="9" t="s">
        <v>1563</v>
      </c>
      <c r="D7022">
        <v>10021414993</v>
      </c>
      <c r="E7022" t="s">
        <v>47</v>
      </c>
      <c r="F7022" t="s">
        <v>66</v>
      </c>
      <c r="G7022" t="s">
        <v>67</v>
      </c>
      <c r="H7022" t="s">
        <v>2467</v>
      </c>
      <c r="I7022" t="s">
        <v>2468</v>
      </c>
      <c r="J7022" t="s">
        <v>668</v>
      </c>
      <c r="K7022" s="3">
        <v>10039872969</v>
      </c>
      <c r="L7022" s="10">
        <v>41207</v>
      </c>
      <c r="M7022">
        <v>86.48</v>
      </c>
      <c r="N7022" s="17">
        <v>19</v>
      </c>
      <c r="O7022" s="5">
        <v>4.91</v>
      </c>
      <c r="P7022" s="5">
        <v>0.5</v>
      </c>
      <c r="Q7022" s="6">
        <v>33.58</v>
      </c>
      <c r="R7022" s="37" t="s">
        <v>1728</v>
      </c>
      <c r="S7022" s="7">
        <f t="shared" si="620"/>
        <v>7</v>
      </c>
      <c r="T7022" s="15" t="str">
        <f>VLOOKUP(R7022,产品分类!$C$2:$D$1278,2,0)</f>
        <v>家具产品</v>
      </c>
    </row>
    <row r="7023" spans="1:20">
      <c r="A7023" s="8">
        <f>DATE(2012,12,31)-657</f>
        <v>40617</v>
      </c>
      <c r="B7023" s="8">
        <f>DATE(2012,12,31)-657</f>
        <v>40617</v>
      </c>
      <c r="C7023" s="9" t="s">
        <v>143</v>
      </c>
      <c r="D7023">
        <v>10021337718</v>
      </c>
      <c r="E7023" t="s">
        <v>47</v>
      </c>
      <c r="F7023" t="s">
        <v>152</v>
      </c>
      <c r="G7023" t="s">
        <v>153</v>
      </c>
      <c r="H7023" t="s">
        <v>2536</v>
      </c>
      <c r="I7023" t="s">
        <v>2537</v>
      </c>
      <c r="J7023" t="s">
        <v>668</v>
      </c>
      <c r="K7023" s="3">
        <v>100322670599</v>
      </c>
      <c r="L7023" s="10">
        <v>40624</v>
      </c>
      <c r="M7023">
        <v>243.18</v>
      </c>
      <c r="N7023" s="11">
        <v>36</v>
      </c>
      <c r="O7023" s="12">
        <v>6.98</v>
      </c>
      <c r="P7023" s="12">
        <v>9.69</v>
      </c>
      <c r="Q7023" s="13">
        <v>-314.22</v>
      </c>
      <c r="R7023" s="36" t="s">
        <v>1524</v>
      </c>
      <c r="S7023" s="7">
        <f t="shared" si="620"/>
        <v>7</v>
      </c>
      <c r="T7023" s="15" t="str">
        <f>VLOOKUP(R7023,产品分类!$C$2:$D$1278,2,0)</f>
        <v>办公用品</v>
      </c>
    </row>
    <row r="7024" spans="1:20">
      <c r="A7024" s="8">
        <f t="shared" ref="A7024:B7026" si="623">DATE(2012,12,31)-1234</f>
        <v>40040</v>
      </c>
      <c r="B7024" s="8">
        <f t="shared" si="623"/>
        <v>40040</v>
      </c>
      <c r="C7024" s="9" t="s">
        <v>1594</v>
      </c>
      <c r="D7024">
        <v>10021260380</v>
      </c>
      <c r="E7024" t="s">
        <v>47</v>
      </c>
      <c r="F7024" t="s">
        <v>152</v>
      </c>
      <c r="G7024" t="s">
        <v>153</v>
      </c>
      <c r="H7024" t="s">
        <v>2536</v>
      </c>
      <c r="I7024" t="s">
        <v>2537</v>
      </c>
      <c r="J7024" t="s">
        <v>668</v>
      </c>
      <c r="K7024" s="3">
        <v>100928597091</v>
      </c>
      <c r="L7024" s="10">
        <v>40042</v>
      </c>
      <c r="M7024">
        <v>1811.3</v>
      </c>
      <c r="N7024" s="11">
        <v>42</v>
      </c>
      <c r="O7024" s="12">
        <v>42.98</v>
      </c>
      <c r="P7024" s="12">
        <v>4.62</v>
      </c>
      <c r="Q7024" s="13">
        <v>520.41</v>
      </c>
      <c r="R7024" s="36" t="s">
        <v>1723</v>
      </c>
      <c r="S7024" s="7">
        <f t="shared" si="620"/>
        <v>2</v>
      </c>
      <c r="T7024" s="15" t="str">
        <f>VLOOKUP(R7024,产品分类!$C$2:$D$1278,2,0)</f>
        <v>办公用品</v>
      </c>
    </row>
    <row r="7025" spans="1:20">
      <c r="A7025" s="8">
        <f t="shared" si="623"/>
        <v>40040</v>
      </c>
      <c r="B7025" s="8">
        <f t="shared" si="623"/>
        <v>40040</v>
      </c>
      <c r="C7025" s="9" t="s">
        <v>1594</v>
      </c>
      <c r="D7025">
        <v>10021632192</v>
      </c>
      <c r="E7025" t="s">
        <v>47</v>
      </c>
      <c r="F7025" t="s">
        <v>66</v>
      </c>
      <c r="G7025" t="s">
        <v>67</v>
      </c>
      <c r="H7025" t="s">
        <v>2467</v>
      </c>
      <c r="I7025" t="s">
        <v>2468</v>
      </c>
      <c r="J7025" t="s">
        <v>668</v>
      </c>
      <c r="K7025" s="3">
        <v>100332781009</v>
      </c>
      <c r="L7025" s="10">
        <v>40043</v>
      </c>
      <c r="M7025">
        <v>4095.76</v>
      </c>
      <c r="N7025" s="11">
        <v>43</v>
      </c>
      <c r="O7025" s="12">
        <v>89.99</v>
      </c>
      <c r="P7025" s="12">
        <v>42</v>
      </c>
      <c r="Q7025" s="13">
        <v>-444.14</v>
      </c>
      <c r="R7025" s="36" t="s">
        <v>1507</v>
      </c>
      <c r="S7025" s="7">
        <f t="shared" si="620"/>
        <v>3</v>
      </c>
      <c r="T7025" s="15" t="str">
        <f>VLOOKUP(R7025,产品分类!$C$2:$D$1278,2,0)</f>
        <v>办公用品</v>
      </c>
    </row>
    <row r="7026" spans="1:20">
      <c r="A7026" s="8">
        <f t="shared" si="623"/>
        <v>40040</v>
      </c>
      <c r="B7026" s="8">
        <f t="shared" si="623"/>
        <v>40040</v>
      </c>
      <c r="C7026" s="9" t="s">
        <v>1971</v>
      </c>
      <c r="D7026">
        <v>10021383569</v>
      </c>
      <c r="E7026" t="s">
        <v>47</v>
      </c>
      <c r="F7026" t="s">
        <v>66</v>
      </c>
      <c r="G7026" t="s">
        <v>67</v>
      </c>
      <c r="H7026" t="s">
        <v>2467</v>
      </c>
      <c r="I7026" t="s">
        <v>2468</v>
      </c>
      <c r="J7026" t="s">
        <v>668</v>
      </c>
      <c r="K7026" s="3">
        <v>100131038186</v>
      </c>
      <c r="L7026" s="10">
        <v>40042</v>
      </c>
      <c r="M7026">
        <v>482.37</v>
      </c>
      <c r="N7026" s="11">
        <v>22</v>
      </c>
      <c r="O7026" s="12">
        <v>20.95</v>
      </c>
      <c r="P7026" s="12">
        <v>4</v>
      </c>
      <c r="Q7026" s="13">
        <v>34.03</v>
      </c>
      <c r="R7026" s="36" t="s">
        <v>1471</v>
      </c>
      <c r="S7026" s="7">
        <f t="shared" si="620"/>
        <v>2</v>
      </c>
      <c r="T7026" s="15" t="str">
        <f>VLOOKUP(R7026,产品分类!$C$2:$D$1278,2,0)</f>
        <v>数码电子</v>
      </c>
    </row>
    <row r="7027" spans="1:20">
      <c r="A7027" s="8">
        <f>DATE(2012,12,31)-1153</f>
        <v>40121</v>
      </c>
      <c r="B7027" s="8">
        <f>DATE(2012,12,31)-1153</f>
        <v>40121</v>
      </c>
      <c r="C7027" s="9" t="s">
        <v>897</v>
      </c>
      <c r="D7027">
        <v>10021719576</v>
      </c>
      <c r="E7027" t="s">
        <v>47</v>
      </c>
      <c r="F7027" t="s">
        <v>132</v>
      </c>
      <c r="G7027" t="s">
        <v>133</v>
      </c>
      <c r="H7027" t="s">
        <v>134</v>
      </c>
      <c r="I7027" t="s">
        <v>133</v>
      </c>
      <c r="J7027" t="s">
        <v>668</v>
      </c>
      <c r="K7027" s="3">
        <v>100422759564</v>
      </c>
      <c r="L7027" s="10">
        <v>40122</v>
      </c>
      <c r="M7027">
        <v>58.98</v>
      </c>
      <c r="N7027" s="11">
        <v>9</v>
      </c>
      <c r="O7027" s="12">
        <v>5.77</v>
      </c>
      <c r="P7027" s="12">
        <v>4.97</v>
      </c>
      <c r="Q7027" s="13">
        <v>-17.7905</v>
      </c>
      <c r="R7027" s="36" t="s">
        <v>1770</v>
      </c>
      <c r="S7027" s="7">
        <f t="shared" si="620"/>
        <v>1</v>
      </c>
      <c r="T7027" s="15" t="str">
        <f>VLOOKUP(R7027,产品分类!$C$2:$D$1278,2,0)</f>
        <v>数码电子</v>
      </c>
    </row>
    <row r="7028" spans="1:20">
      <c r="A7028" s="8">
        <f>DATE(2012,12,31)-1355</f>
        <v>39919</v>
      </c>
      <c r="B7028" s="8">
        <f>DATE(2012,12,31)-1355</f>
        <v>39919</v>
      </c>
      <c r="C7028" s="9" t="s">
        <v>897</v>
      </c>
      <c r="D7028">
        <v>10021251479</v>
      </c>
      <c r="E7028" t="s">
        <v>47</v>
      </c>
      <c r="F7028" t="s">
        <v>48</v>
      </c>
      <c r="G7028" t="s">
        <v>49</v>
      </c>
      <c r="H7028" t="s">
        <v>2539</v>
      </c>
      <c r="I7028" t="s">
        <v>2540</v>
      </c>
      <c r="J7028" t="s">
        <v>668</v>
      </c>
      <c r="K7028" s="3">
        <v>10088715612</v>
      </c>
      <c r="L7028" s="10">
        <v>39920</v>
      </c>
      <c r="M7028">
        <v>122.99</v>
      </c>
      <c r="N7028" s="11">
        <v>37</v>
      </c>
      <c r="O7028" s="12">
        <v>2.78</v>
      </c>
      <c r="P7028" s="12">
        <v>1.49</v>
      </c>
      <c r="Q7028" s="13">
        <v>21.4795</v>
      </c>
      <c r="R7028" s="36" t="s">
        <v>1177</v>
      </c>
      <c r="S7028" s="7">
        <f t="shared" si="620"/>
        <v>1</v>
      </c>
      <c r="T7028" s="15" t="str">
        <f>VLOOKUP(R7028,产品分类!$C$2:$D$1278,2,0)</f>
        <v>办公用品</v>
      </c>
    </row>
    <row r="7029" spans="1:20">
      <c r="A7029" s="8">
        <f>DATE(2012,12,31)-1355</f>
        <v>39919</v>
      </c>
      <c r="B7029" s="8">
        <f>DATE(2012,12,31)-1355</f>
        <v>39919</v>
      </c>
      <c r="C7029" s="9" t="s">
        <v>571</v>
      </c>
      <c r="D7029">
        <v>10021427053</v>
      </c>
      <c r="E7029" t="s">
        <v>47</v>
      </c>
      <c r="F7029" t="s">
        <v>66</v>
      </c>
      <c r="G7029" t="s">
        <v>67</v>
      </c>
      <c r="H7029" t="s">
        <v>2467</v>
      </c>
      <c r="I7029" t="s">
        <v>2468</v>
      </c>
      <c r="J7029" t="s">
        <v>668</v>
      </c>
      <c r="K7029" s="3">
        <v>100930326881</v>
      </c>
      <c r="L7029" s="10">
        <v>39921</v>
      </c>
      <c r="M7029">
        <v>14734.71</v>
      </c>
      <c r="N7029" s="11">
        <v>6</v>
      </c>
      <c r="O7029" s="12">
        <v>2550.14</v>
      </c>
      <c r="P7029" s="12">
        <v>29.7</v>
      </c>
      <c r="Q7029" s="13">
        <v>-3798.0111</v>
      </c>
      <c r="R7029" s="36" t="s">
        <v>1737</v>
      </c>
      <c r="S7029" s="7">
        <f t="shared" si="620"/>
        <v>2</v>
      </c>
      <c r="T7029" s="15" t="str">
        <f>VLOOKUP(R7029,产品分类!$C$2:$D$1278,2,0)</f>
        <v>数码电子</v>
      </c>
    </row>
    <row r="7030" spans="1:20">
      <c r="A7030" s="8">
        <f>DATE(2012,12,31)-1379</f>
        <v>39895</v>
      </c>
      <c r="B7030" s="8">
        <f>DATE(2012,12,31)-1379</f>
        <v>39895</v>
      </c>
      <c r="C7030" s="9" t="s">
        <v>1010</v>
      </c>
      <c r="D7030">
        <v>10021612812</v>
      </c>
      <c r="E7030" t="s">
        <v>47</v>
      </c>
      <c r="F7030" t="s">
        <v>66</v>
      </c>
      <c r="G7030" t="s">
        <v>67</v>
      </c>
      <c r="H7030" t="s">
        <v>2467</v>
      </c>
      <c r="I7030" t="s">
        <v>2468</v>
      </c>
      <c r="J7030" t="s">
        <v>668</v>
      </c>
      <c r="K7030" s="3">
        <v>100931535491</v>
      </c>
      <c r="L7030" s="10">
        <v>39897</v>
      </c>
      <c r="M7030">
        <v>551.44</v>
      </c>
      <c r="N7030" s="11">
        <v>36</v>
      </c>
      <c r="O7030" s="12">
        <v>13.99</v>
      </c>
      <c r="P7030" s="12">
        <v>7.51</v>
      </c>
      <c r="Q7030" s="13">
        <v>28.7</v>
      </c>
      <c r="R7030" s="36" t="s">
        <v>1371</v>
      </c>
      <c r="S7030" s="7">
        <f t="shared" si="620"/>
        <v>2</v>
      </c>
      <c r="T7030" s="15" t="str">
        <f>VLOOKUP(R7030,产品分类!$C$2:$D$1278,2,0)</f>
        <v>数码电子</v>
      </c>
    </row>
    <row r="7031" spans="1:20">
      <c r="A7031" s="8">
        <f>DATE(2012,12,31)-55</f>
        <v>41219</v>
      </c>
      <c r="B7031" s="8">
        <f>DATE(2012,12,31)-55</f>
        <v>41219</v>
      </c>
      <c r="C7031" s="9" t="s">
        <v>216</v>
      </c>
      <c r="D7031">
        <v>10021613166</v>
      </c>
      <c r="E7031" t="s">
        <v>47</v>
      </c>
      <c r="F7031" t="s">
        <v>152</v>
      </c>
      <c r="G7031" t="s">
        <v>153</v>
      </c>
      <c r="H7031" t="s">
        <v>2536</v>
      </c>
      <c r="I7031" t="s">
        <v>2537</v>
      </c>
      <c r="J7031" t="s">
        <v>668</v>
      </c>
      <c r="K7031" s="3">
        <v>100927409081</v>
      </c>
      <c r="L7031" s="10">
        <v>41220</v>
      </c>
      <c r="M7031">
        <v>122.05</v>
      </c>
      <c r="N7031" s="11">
        <v>25</v>
      </c>
      <c r="O7031" s="12">
        <v>4.24</v>
      </c>
      <c r="P7031" s="12">
        <v>5.41</v>
      </c>
      <c r="Q7031" s="13">
        <v>-67.597</v>
      </c>
      <c r="R7031" s="36" t="s">
        <v>892</v>
      </c>
      <c r="S7031" s="7">
        <f t="shared" si="620"/>
        <v>1</v>
      </c>
      <c r="T7031" s="15" t="str">
        <f>VLOOKUP(R7031,产品分类!$C$2:$D$1278,2,0)</f>
        <v>家具产品</v>
      </c>
    </row>
    <row r="7032" spans="1:20">
      <c r="A7032" s="8">
        <f>DATE(2012,12,31)-1278</f>
        <v>39996</v>
      </c>
      <c r="B7032" s="8">
        <f>DATE(2012,12,31)-1278</f>
        <v>39996</v>
      </c>
      <c r="C7032" s="9" t="s">
        <v>1667</v>
      </c>
      <c r="D7032">
        <v>10021261349</v>
      </c>
      <c r="E7032" t="s">
        <v>47</v>
      </c>
      <c r="F7032" t="s">
        <v>66</v>
      </c>
      <c r="G7032" t="s">
        <v>67</v>
      </c>
      <c r="H7032" t="s">
        <v>2467</v>
      </c>
      <c r="I7032" t="s">
        <v>2468</v>
      </c>
      <c r="J7032" t="s">
        <v>668</v>
      </c>
      <c r="K7032" s="3">
        <v>100329420869</v>
      </c>
      <c r="L7032" s="10">
        <v>39997</v>
      </c>
      <c r="M7032">
        <v>1455.04</v>
      </c>
      <c r="N7032" s="11">
        <v>9</v>
      </c>
      <c r="O7032" s="12">
        <v>161.55</v>
      </c>
      <c r="P7032" s="12">
        <v>19.99</v>
      </c>
      <c r="Q7032" s="13">
        <v>-7.58000000000004</v>
      </c>
      <c r="R7032" s="36" t="s">
        <v>2290</v>
      </c>
      <c r="S7032" s="7">
        <f t="shared" si="620"/>
        <v>1</v>
      </c>
      <c r="T7032" s="15" t="str">
        <f>VLOOKUP(R7032,产品分类!$C$2:$D$1278,2,0)</f>
        <v>家具产品</v>
      </c>
    </row>
    <row r="7033" spans="1:20">
      <c r="A7033" s="8">
        <f>DATE(2012,12,31)-1311</f>
        <v>39963</v>
      </c>
      <c r="B7033" s="8">
        <f>DATE(2012,12,31)-1311</f>
        <v>39963</v>
      </c>
      <c r="C7033" s="9" t="s">
        <v>1099</v>
      </c>
      <c r="D7033">
        <v>10021579563</v>
      </c>
      <c r="E7033" t="s">
        <v>47</v>
      </c>
      <c r="F7033" t="s">
        <v>48</v>
      </c>
      <c r="G7033" t="s">
        <v>49</v>
      </c>
      <c r="H7033" t="s">
        <v>2539</v>
      </c>
      <c r="I7033" t="s">
        <v>2540</v>
      </c>
      <c r="J7033" t="s">
        <v>668</v>
      </c>
      <c r="K7033" s="3">
        <v>100920537491</v>
      </c>
      <c r="L7033" s="10">
        <v>39964</v>
      </c>
      <c r="M7033">
        <v>3482.41</v>
      </c>
      <c r="N7033" s="11">
        <v>30</v>
      </c>
      <c r="O7033" s="12">
        <v>120.98</v>
      </c>
      <c r="P7033" s="12">
        <v>9.07</v>
      </c>
      <c r="Q7033" s="13">
        <v>1443.351</v>
      </c>
      <c r="R7033" s="36" t="s">
        <v>1562</v>
      </c>
      <c r="S7033" s="7">
        <f t="shared" si="620"/>
        <v>1</v>
      </c>
      <c r="T7033" s="15" t="str">
        <f>VLOOKUP(R7033,产品分类!$C$2:$D$1278,2,0)</f>
        <v>办公用品</v>
      </c>
    </row>
    <row r="7034" spans="1:20">
      <c r="A7034" s="8">
        <f>DATE(2012,12,31)-233</f>
        <v>41041</v>
      </c>
      <c r="B7034" s="8">
        <f>DATE(2012,12,31)-233</f>
        <v>41041</v>
      </c>
      <c r="C7034" s="9" t="s">
        <v>1099</v>
      </c>
      <c r="D7034">
        <v>10021676564</v>
      </c>
      <c r="E7034" t="s">
        <v>47</v>
      </c>
      <c r="F7034" t="s">
        <v>208</v>
      </c>
      <c r="G7034" t="s">
        <v>209</v>
      </c>
      <c r="H7034" t="s">
        <v>2300</v>
      </c>
      <c r="I7034" t="s">
        <v>2301</v>
      </c>
      <c r="J7034" t="s">
        <v>668</v>
      </c>
      <c r="K7034" s="3">
        <v>100832567872</v>
      </c>
      <c r="L7034" s="10">
        <v>41042</v>
      </c>
      <c r="M7034">
        <v>142.88</v>
      </c>
      <c r="N7034" s="11">
        <v>22</v>
      </c>
      <c r="O7034" s="12">
        <v>6.98</v>
      </c>
      <c r="P7034" s="12">
        <v>1.6</v>
      </c>
      <c r="Q7034" s="13">
        <v>35.37</v>
      </c>
      <c r="R7034" s="36" t="s">
        <v>844</v>
      </c>
      <c r="S7034" s="7">
        <f t="shared" si="620"/>
        <v>1</v>
      </c>
      <c r="T7034" s="15" t="str">
        <f>VLOOKUP(R7034,产品分类!$C$2:$D$1278,2,0)</f>
        <v>办公用品</v>
      </c>
    </row>
    <row r="7035" spans="1:20">
      <c r="A7035" s="8">
        <f>DATE(2012,12,31)-233</f>
        <v>41041</v>
      </c>
      <c r="B7035" s="8">
        <f>DATE(2012,12,31)-233</f>
        <v>41041</v>
      </c>
      <c r="C7035" s="9" t="s">
        <v>1983</v>
      </c>
      <c r="D7035">
        <v>10021396174</v>
      </c>
      <c r="E7035" t="s">
        <v>47</v>
      </c>
      <c r="F7035" t="s">
        <v>78</v>
      </c>
      <c r="G7035" t="s">
        <v>79</v>
      </c>
      <c r="H7035" t="s">
        <v>80</v>
      </c>
      <c r="I7035" t="s">
        <v>81</v>
      </c>
      <c r="J7035" t="s">
        <v>668</v>
      </c>
      <c r="K7035" s="3">
        <v>100417973913</v>
      </c>
      <c r="L7035" s="10">
        <v>41043</v>
      </c>
      <c r="M7035">
        <v>264.92</v>
      </c>
      <c r="N7035" s="11">
        <v>38</v>
      </c>
      <c r="O7035" s="12">
        <v>7.1</v>
      </c>
      <c r="P7035" s="12">
        <v>6.05</v>
      </c>
      <c r="Q7035" s="13">
        <v>-97.06</v>
      </c>
      <c r="R7035" s="36" t="s">
        <v>1027</v>
      </c>
      <c r="S7035" s="7">
        <f t="shared" si="620"/>
        <v>2</v>
      </c>
      <c r="T7035" s="15" t="str">
        <f>VLOOKUP(R7035,产品分类!$C$2:$D$1278,2,0)</f>
        <v>数码电子</v>
      </c>
    </row>
    <row r="7036" spans="1:20">
      <c r="A7036" s="8">
        <f>DATE(2012,12,31)-646</f>
        <v>40628</v>
      </c>
      <c r="B7036" s="8">
        <f>DATE(2012,12,31)-646</f>
        <v>40628</v>
      </c>
      <c r="C7036" s="9" t="s">
        <v>1983</v>
      </c>
      <c r="D7036">
        <v>10021575987</v>
      </c>
      <c r="E7036" t="s">
        <v>47</v>
      </c>
      <c r="F7036" t="s">
        <v>78</v>
      </c>
      <c r="G7036" t="s">
        <v>79</v>
      </c>
      <c r="H7036" t="s">
        <v>80</v>
      </c>
      <c r="I7036" t="s">
        <v>81</v>
      </c>
      <c r="J7036" t="s">
        <v>668</v>
      </c>
      <c r="K7036" s="3">
        <v>100913521351</v>
      </c>
      <c r="L7036" s="10">
        <v>40629</v>
      </c>
      <c r="M7036">
        <v>3780.43</v>
      </c>
      <c r="N7036" s="11">
        <v>18</v>
      </c>
      <c r="O7036" s="12">
        <v>210.55</v>
      </c>
      <c r="P7036" s="12">
        <v>9.99</v>
      </c>
      <c r="Q7036" s="13">
        <v>905.57</v>
      </c>
      <c r="R7036" s="36" t="s">
        <v>109</v>
      </c>
      <c r="S7036" s="7">
        <f t="shared" si="620"/>
        <v>1</v>
      </c>
      <c r="T7036" s="15" t="str">
        <f>VLOOKUP(R7036,产品分类!$C$2:$D$1278,2,0)</f>
        <v>数码电子</v>
      </c>
    </row>
    <row r="7037" spans="1:20">
      <c r="A7037" s="8">
        <f>DATE(2012,12,31)-646</f>
        <v>40628</v>
      </c>
      <c r="B7037" s="8">
        <f>DATE(2012,12,31)-646</f>
        <v>40628</v>
      </c>
      <c r="C7037" s="9" t="s">
        <v>752</v>
      </c>
      <c r="D7037">
        <v>10021425274</v>
      </c>
      <c r="E7037" t="s">
        <v>47</v>
      </c>
      <c r="F7037" t="s">
        <v>72</v>
      </c>
      <c r="G7037" t="s">
        <v>73</v>
      </c>
      <c r="H7037" t="s">
        <v>2558</v>
      </c>
      <c r="I7037" t="s">
        <v>2559</v>
      </c>
      <c r="J7037" t="s">
        <v>668</v>
      </c>
      <c r="K7037" s="3">
        <v>100329414109</v>
      </c>
      <c r="L7037" s="10">
        <v>40630</v>
      </c>
      <c r="M7037">
        <v>1961.68</v>
      </c>
      <c r="N7037" s="11">
        <v>10</v>
      </c>
      <c r="O7037" s="12">
        <v>182.55</v>
      </c>
      <c r="P7037" s="12">
        <v>69</v>
      </c>
      <c r="Q7037" s="13">
        <v>-367.002</v>
      </c>
      <c r="R7037" s="36" t="s">
        <v>1543</v>
      </c>
      <c r="S7037" s="7">
        <f t="shared" si="620"/>
        <v>2</v>
      </c>
      <c r="T7037" s="15" t="str">
        <f>VLOOKUP(R7037,产品分类!$C$2:$D$1278,2,0)</f>
        <v>家具产品</v>
      </c>
    </row>
    <row r="7038" spans="1:20">
      <c r="A7038" s="16">
        <f>DATE(2012,12,31)-548</f>
        <v>40726</v>
      </c>
      <c r="B7038" s="16">
        <f>DATE(2012,12,31)-548</f>
        <v>40726</v>
      </c>
      <c r="C7038" s="9" t="s">
        <v>1598</v>
      </c>
      <c r="D7038">
        <v>10021589913</v>
      </c>
      <c r="E7038" t="s">
        <v>47</v>
      </c>
      <c r="F7038" t="s">
        <v>72</v>
      </c>
      <c r="G7038" t="s">
        <v>73</v>
      </c>
      <c r="H7038" t="s">
        <v>2558</v>
      </c>
      <c r="I7038" t="s">
        <v>2559</v>
      </c>
      <c r="J7038" t="s">
        <v>668</v>
      </c>
      <c r="K7038" s="3">
        <v>100131230236</v>
      </c>
      <c r="L7038" s="10">
        <v>40726</v>
      </c>
      <c r="M7038">
        <v>876.01</v>
      </c>
      <c r="N7038" s="17">
        <v>8</v>
      </c>
      <c r="O7038" s="5">
        <v>111.03</v>
      </c>
      <c r="P7038" s="5">
        <v>8.64</v>
      </c>
      <c r="Q7038" s="6">
        <v>-108</v>
      </c>
      <c r="R7038" s="37" t="s">
        <v>1045</v>
      </c>
      <c r="S7038" s="7">
        <f t="shared" si="620"/>
        <v>0</v>
      </c>
      <c r="T7038" s="15" t="str">
        <f>VLOOKUP(R7038,产品分类!$C$2:$D$1278,2,0)</f>
        <v>数码电子</v>
      </c>
    </row>
    <row r="7039" spans="1:20">
      <c r="A7039" s="8">
        <f>DATE(2012,12,31)-1303</f>
        <v>39971</v>
      </c>
      <c r="B7039" s="8">
        <f>DATE(2012,12,31)-1303</f>
        <v>39971</v>
      </c>
      <c r="C7039" s="9" t="s">
        <v>1407</v>
      </c>
      <c r="D7039">
        <v>10021431096</v>
      </c>
      <c r="E7039" t="s">
        <v>47</v>
      </c>
      <c r="F7039" t="s">
        <v>78</v>
      </c>
      <c r="G7039" t="s">
        <v>79</v>
      </c>
      <c r="H7039" t="s">
        <v>80</v>
      </c>
      <c r="I7039" t="s">
        <v>81</v>
      </c>
      <c r="J7039" t="s">
        <v>668</v>
      </c>
      <c r="K7039" s="3">
        <v>100132136627</v>
      </c>
      <c r="L7039" s="10">
        <v>39976</v>
      </c>
      <c r="M7039">
        <v>2161.36</v>
      </c>
      <c r="N7039" s="11">
        <v>7</v>
      </c>
      <c r="O7039" s="12">
        <v>284.98</v>
      </c>
      <c r="P7039" s="12">
        <v>69.55</v>
      </c>
      <c r="Q7039" s="13">
        <v>-92.3700000000001</v>
      </c>
      <c r="R7039" s="36" t="s">
        <v>1737</v>
      </c>
      <c r="S7039" s="7">
        <f t="shared" si="620"/>
        <v>5</v>
      </c>
      <c r="T7039" s="15" t="str">
        <f>VLOOKUP(R7039,产品分类!$C$2:$D$1278,2,0)</f>
        <v>数码电子</v>
      </c>
    </row>
    <row r="7040" spans="1:20">
      <c r="A7040" s="16">
        <f>DATE(2012,12,31)-1303</f>
        <v>39971</v>
      </c>
      <c r="B7040" s="16">
        <f>DATE(2012,12,31)-1303</f>
        <v>39971</v>
      </c>
      <c r="C7040" s="9" t="s">
        <v>1407</v>
      </c>
      <c r="D7040">
        <v>10021429680</v>
      </c>
      <c r="E7040" t="s">
        <v>47</v>
      </c>
      <c r="F7040" t="s">
        <v>78</v>
      </c>
      <c r="G7040" t="s">
        <v>79</v>
      </c>
      <c r="H7040" t="s">
        <v>80</v>
      </c>
      <c r="I7040" t="s">
        <v>81</v>
      </c>
      <c r="J7040" t="s">
        <v>668</v>
      </c>
      <c r="K7040" s="3">
        <v>100131652896</v>
      </c>
      <c r="L7040" s="10">
        <v>39973</v>
      </c>
      <c r="M7040">
        <v>2494.92</v>
      </c>
      <c r="N7040" s="17">
        <v>45</v>
      </c>
      <c r="O7040" s="5">
        <v>55.48</v>
      </c>
      <c r="P7040" s="5">
        <v>14.3</v>
      </c>
      <c r="Q7040" s="6">
        <v>816.72</v>
      </c>
      <c r="R7040" s="37" t="s">
        <v>2176</v>
      </c>
      <c r="S7040" s="7">
        <f t="shared" si="620"/>
        <v>2</v>
      </c>
      <c r="T7040" s="15" t="str">
        <f>VLOOKUP(R7040,产品分类!$C$2:$D$1278,2,0)</f>
        <v>办公用品</v>
      </c>
    </row>
    <row r="7041" spans="1:20">
      <c r="A7041" s="8">
        <f>DATE(2012,12,31)-347</f>
        <v>40927</v>
      </c>
      <c r="B7041" s="8">
        <f>DATE(2012,12,31)-347</f>
        <v>40927</v>
      </c>
      <c r="C7041" s="9" t="s">
        <v>2158</v>
      </c>
      <c r="D7041">
        <v>10021508949</v>
      </c>
      <c r="E7041" t="s">
        <v>47</v>
      </c>
      <c r="F7041" t="s">
        <v>72</v>
      </c>
      <c r="G7041" t="s">
        <v>73</v>
      </c>
      <c r="H7041" t="s">
        <v>2558</v>
      </c>
      <c r="I7041" t="s">
        <v>2559</v>
      </c>
      <c r="J7041" t="s">
        <v>668</v>
      </c>
      <c r="K7041" s="3">
        <v>100732328435</v>
      </c>
      <c r="L7041" s="10">
        <v>40929</v>
      </c>
      <c r="M7041">
        <v>6628.55</v>
      </c>
      <c r="N7041" s="11">
        <v>50</v>
      </c>
      <c r="O7041" s="12">
        <v>145.45</v>
      </c>
      <c r="P7041" s="12">
        <v>17.85</v>
      </c>
      <c r="Q7041" s="13">
        <v>1081.65</v>
      </c>
      <c r="R7041" s="36" t="s">
        <v>1043</v>
      </c>
      <c r="S7041" s="7">
        <f t="shared" si="620"/>
        <v>2</v>
      </c>
      <c r="T7041" s="15" t="str">
        <f>VLOOKUP(R7041,产品分类!$C$2:$D$1278,2,0)</f>
        <v>家具产品</v>
      </c>
    </row>
    <row r="7042" spans="1:20">
      <c r="A7042" s="8">
        <f>DATE(2012,12,31)-461</f>
        <v>40813</v>
      </c>
      <c r="B7042" s="8">
        <f>DATE(2012,12,31)-461</f>
        <v>40813</v>
      </c>
      <c r="C7042" s="9" t="s">
        <v>1109</v>
      </c>
      <c r="D7042">
        <v>10021622284</v>
      </c>
      <c r="E7042" t="s">
        <v>47</v>
      </c>
      <c r="F7042" t="s">
        <v>72</v>
      </c>
      <c r="G7042" t="s">
        <v>73</v>
      </c>
      <c r="H7042" t="s">
        <v>2558</v>
      </c>
      <c r="I7042" t="s">
        <v>2559</v>
      </c>
      <c r="J7042" t="s">
        <v>668</v>
      </c>
      <c r="K7042" s="3">
        <v>100716194225</v>
      </c>
      <c r="L7042" s="10">
        <v>40816</v>
      </c>
      <c r="M7042">
        <v>105.94</v>
      </c>
      <c r="N7042" s="11">
        <v>7</v>
      </c>
      <c r="O7042" s="12">
        <v>14.45</v>
      </c>
      <c r="P7042" s="12">
        <v>7.17</v>
      </c>
      <c r="Q7042" s="13">
        <v>-13.3285</v>
      </c>
      <c r="R7042" s="36" t="s">
        <v>2003</v>
      </c>
      <c r="S7042" s="7">
        <f t="shared" si="620"/>
        <v>3</v>
      </c>
      <c r="T7042" s="15" t="str">
        <f>VLOOKUP(R7042,产品分类!$C$2:$D$1278,2,0)</f>
        <v>家具产品</v>
      </c>
    </row>
    <row r="7043" spans="1:20">
      <c r="A7043" s="8">
        <f>DATE(2012,12,31)-661</f>
        <v>40613</v>
      </c>
      <c r="B7043" s="8">
        <f>DATE(2012,12,31)-661</f>
        <v>40613</v>
      </c>
      <c r="C7043" s="9" t="s">
        <v>1109</v>
      </c>
      <c r="D7043">
        <v>10021506419</v>
      </c>
      <c r="E7043" t="s">
        <v>47</v>
      </c>
      <c r="F7043" t="s">
        <v>72</v>
      </c>
      <c r="G7043" t="s">
        <v>73</v>
      </c>
      <c r="H7043" t="s">
        <v>2558</v>
      </c>
      <c r="I7043" t="s">
        <v>2559</v>
      </c>
      <c r="J7043" t="s">
        <v>668</v>
      </c>
      <c r="K7043" s="3">
        <v>100831440332</v>
      </c>
      <c r="L7043" s="10">
        <v>40615</v>
      </c>
      <c r="M7043">
        <v>1337.08</v>
      </c>
      <c r="N7043" s="11">
        <v>29</v>
      </c>
      <c r="O7043" s="12">
        <v>48.91</v>
      </c>
      <c r="P7043" s="12">
        <v>35</v>
      </c>
      <c r="Q7043" s="13">
        <v>-953</v>
      </c>
      <c r="R7043" s="36" t="s">
        <v>438</v>
      </c>
      <c r="S7043" s="7">
        <f t="shared" ref="S7043:S7106" si="624">+L7043-B7043</f>
        <v>2</v>
      </c>
      <c r="T7043" s="15" t="str">
        <f>VLOOKUP(R7043,产品分类!$C$2:$D$1278,2,0)</f>
        <v>办公用品</v>
      </c>
    </row>
    <row r="7044" spans="1:20">
      <c r="A7044" s="8">
        <f>DATE(2012,12,31)-186</f>
        <v>41088</v>
      </c>
      <c r="B7044" s="8">
        <f>DATE(2012,12,31)-186</f>
        <v>41088</v>
      </c>
      <c r="C7044" s="9" t="s">
        <v>101</v>
      </c>
      <c r="D7044">
        <v>10021448702</v>
      </c>
      <c r="E7044" t="s">
        <v>47</v>
      </c>
      <c r="F7044" t="s">
        <v>72</v>
      </c>
      <c r="G7044" t="s">
        <v>73</v>
      </c>
      <c r="H7044" t="s">
        <v>2558</v>
      </c>
      <c r="I7044" t="s">
        <v>2559</v>
      </c>
      <c r="J7044" t="s">
        <v>668</v>
      </c>
      <c r="K7044" s="3">
        <v>100124683656</v>
      </c>
      <c r="L7044" s="10">
        <v>41090</v>
      </c>
      <c r="M7044">
        <v>6892.07</v>
      </c>
      <c r="N7044" s="11">
        <v>32</v>
      </c>
      <c r="O7044" s="12">
        <v>223.98</v>
      </c>
      <c r="P7044" s="12">
        <v>15.01</v>
      </c>
      <c r="Q7044" s="13">
        <v>2754.1615</v>
      </c>
      <c r="R7044" s="36" t="s">
        <v>1705</v>
      </c>
      <c r="S7044" s="7">
        <f t="shared" si="624"/>
        <v>2</v>
      </c>
      <c r="T7044" s="15" t="str">
        <f>VLOOKUP(R7044,产品分类!$C$2:$D$1278,2,0)</f>
        <v>办公用品</v>
      </c>
    </row>
    <row r="7045" spans="1:20">
      <c r="A7045" s="8">
        <f>DATE(2012,12,31)-363</f>
        <v>40911</v>
      </c>
      <c r="B7045" s="8">
        <f>DATE(2012,12,31)-363</f>
        <v>40911</v>
      </c>
      <c r="C7045" s="9" t="s">
        <v>101</v>
      </c>
      <c r="D7045">
        <v>10021590745</v>
      </c>
      <c r="E7045" t="s">
        <v>47</v>
      </c>
      <c r="F7045" t="s">
        <v>72</v>
      </c>
      <c r="G7045" t="s">
        <v>73</v>
      </c>
      <c r="H7045" t="s">
        <v>2558</v>
      </c>
      <c r="I7045" t="s">
        <v>2559</v>
      </c>
      <c r="J7045" t="s">
        <v>668</v>
      </c>
      <c r="K7045" s="3">
        <v>100731543905</v>
      </c>
      <c r="L7045" s="10">
        <v>40913</v>
      </c>
      <c r="M7045">
        <v>5859.25</v>
      </c>
      <c r="N7045" s="11">
        <v>25</v>
      </c>
      <c r="O7045" s="12">
        <v>226.67</v>
      </c>
      <c r="P7045" s="12">
        <v>28.16</v>
      </c>
      <c r="Q7045" s="13">
        <v>1358.53</v>
      </c>
      <c r="R7045" s="36" t="s">
        <v>1728</v>
      </c>
      <c r="S7045" s="7">
        <f t="shared" si="624"/>
        <v>2</v>
      </c>
      <c r="T7045" s="15" t="str">
        <f>VLOOKUP(R7045,产品分类!$C$2:$D$1278,2,0)</f>
        <v>家具产品</v>
      </c>
    </row>
    <row r="7046" spans="1:20">
      <c r="A7046" s="8">
        <f>DATE(2012,12,31)-446</f>
        <v>40828</v>
      </c>
      <c r="B7046" s="8">
        <f>DATE(2012,12,31)-446</f>
        <v>40828</v>
      </c>
      <c r="C7046" s="9" t="s">
        <v>1906</v>
      </c>
      <c r="D7046">
        <v>10021579012</v>
      </c>
      <c r="E7046" t="s">
        <v>47</v>
      </c>
      <c r="F7046" t="s">
        <v>78</v>
      </c>
      <c r="G7046" t="s">
        <v>79</v>
      </c>
      <c r="H7046" t="s">
        <v>80</v>
      </c>
      <c r="I7046" t="s">
        <v>81</v>
      </c>
      <c r="J7046" t="s">
        <v>668</v>
      </c>
      <c r="K7046" s="3">
        <v>1008552602</v>
      </c>
      <c r="L7046" s="10">
        <v>40829</v>
      </c>
      <c r="M7046">
        <v>1758.41</v>
      </c>
      <c r="N7046" s="11">
        <v>18</v>
      </c>
      <c r="O7046" s="12">
        <v>100.98</v>
      </c>
      <c r="P7046" s="12">
        <v>15.66</v>
      </c>
      <c r="Q7046" s="13">
        <v>238.52</v>
      </c>
      <c r="R7046" s="36" t="s">
        <v>2531</v>
      </c>
      <c r="S7046" s="7">
        <f t="shared" si="624"/>
        <v>1</v>
      </c>
      <c r="T7046" s="15" t="str">
        <f>VLOOKUP(R7046,产品分类!$C$2:$D$1278,2,0)</f>
        <v>办公用品</v>
      </c>
    </row>
    <row r="7047" spans="1:20">
      <c r="A7047" s="8">
        <f>DATE(2012,12,31)-482</f>
        <v>40792</v>
      </c>
      <c r="B7047" s="8">
        <f>DATE(2012,12,31)-482</f>
        <v>40792</v>
      </c>
      <c r="C7047" s="9" t="s">
        <v>1250</v>
      </c>
      <c r="D7047">
        <v>10021704043</v>
      </c>
      <c r="E7047" t="s">
        <v>47</v>
      </c>
      <c r="F7047" t="s">
        <v>230</v>
      </c>
      <c r="G7047" t="s">
        <v>231</v>
      </c>
      <c r="H7047" t="s">
        <v>2549</v>
      </c>
      <c r="I7047" t="s">
        <v>2550</v>
      </c>
      <c r="J7047" t="s">
        <v>668</v>
      </c>
      <c r="K7047" s="3">
        <v>100116994317</v>
      </c>
      <c r="L7047" s="10">
        <v>40796</v>
      </c>
      <c r="M7047">
        <v>64.86</v>
      </c>
      <c r="N7047" s="11">
        <v>11</v>
      </c>
      <c r="O7047" s="12">
        <v>5.43</v>
      </c>
      <c r="P7047" s="12">
        <v>0.95</v>
      </c>
      <c r="Q7047" s="13">
        <v>22.05</v>
      </c>
      <c r="R7047" s="36" t="s">
        <v>1327</v>
      </c>
      <c r="S7047" s="7">
        <f t="shared" si="624"/>
        <v>4</v>
      </c>
      <c r="T7047" s="15" t="str">
        <f>VLOOKUP(R7047,产品分类!$C$2:$D$1278,2,0)</f>
        <v>数码电子</v>
      </c>
    </row>
    <row r="7048" spans="1:20">
      <c r="A7048" s="16">
        <f>DATE(2012,12,31)-482</f>
        <v>40792</v>
      </c>
      <c r="B7048" s="16">
        <f>DATE(2012,12,31)-482</f>
        <v>40792</v>
      </c>
      <c r="C7048" s="9" t="s">
        <v>1250</v>
      </c>
      <c r="D7048">
        <v>10021605989</v>
      </c>
      <c r="E7048" t="s">
        <v>47</v>
      </c>
      <c r="F7048" t="s">
        <v>230</v>
      </c>
      <c r="G7048" t="s">
        <v>231</v>
      </c>
      <c r="H7048" t="s">
        <v>2549</v>
      </c>
      <c r="I7048" t="s">
        <v>2550</v>
      </c>
      <c r="J7048" t="s">
        <v>668</v>
      </c>
      <c r="K7048" s="3">
        <v>100713857015</v>
      </c>
      <c r="L7048" s="10">
        <v>40792</v>
      </c>
      <c r="M7048">
        <v>109.39</v>
      </c>
      <c r="N7048" s="17">
        <v>45</v>
      </c>
      <c r="O7048" s="5">
        <v>2.47</v>
      </c>
      <c r="P7048" s="5">
        <v>1.02</v>
      </c>
      <c r="Q7048" s="6">
        <v>16.31</v>
      </c>
      <c r="R7048" s="37" t="s">
        <v>1702</v>
      </c>
      <c r="S7048" s="7">
        <f t="shared" si="624"/>
        <v>0</v>
      </c>
      <c r="T7048" s="15" t="str">
        <f>VLOOKUP(R7048,产品分类!$C$2:$D$1278,2,0)</f>
        <v>办公用品</v>
      </c>
    </row>
    <row r="7049" spans="1:20">
      <c r="A7049" s="8">
        <f>DATE(2012,12,31)-1312</f>
        <v>39962</v>
      </c>
      <c r="B7049" s="8">
        <f>DATE(2012,12,31)-1312</f>
        <v>39962</v>
      </c>
      <c r="C7049" s="9" t="s">
        <v>193</v>
      </c>
      <c r="D7049">
        <v>10021659523</v>
      </c>
      <c r="E7049" t="s">
        <v>47</v>
      </c>
      <c r="F7049" t="s">
        <v>78</v>
      </c>
      <c r="G7049" t="s">
        <v>79</v>
      </c>
      <c r="H7049" t="s">
        <v>80</v>
      </c>
      <c r="I7049" t="s">
        <v>81</v>
      </c>
      <c r="J7049" t="s">
        <v>668</v>
      </c>
      <c r="K7049" s="3">
        <v>100311188399</v>
      </c>
      <c r="L7049" s="10">
        <v>39964</v>
      </c>
      <c r="M7049">
        <v>801.45</v>
      </c>
      <c r="N7049" s="11">
        <v>31</v>
      </c>
      <c r="O7049" s="12">
        <v>23.99</v>
      </c>
      <c r="P7049" s="12">
        <v>6.3</v>
      </c>
      <c r="Q7049" s="13">
        <v>227.59</v>
      </c>
      <c r="R7049" s="36" t="s">
        <v>827</v>
      </c>
      <c r="S7049" s="7">
        <f t="shared" si="624"/>
        <v>2</v>
      </c>
      <c r="T7049" s="15" t="str">
        <f>VLOOKUP(R7049,产品分类!$C$2:$D$1278,2,0)</f>
        <v>家具产品</v>
      </c>
    </row>
    <row r="7050" spans="1:20">
      <c r="A7050" s="8">
        <f>DATE(2012,12,31)-40</f>
        <v>41234</v>
      </c>
      <c r="B7050" s="8">
        <f>DATE(2012,12,31)-40</f>
        <v>41234</v>
      </c>
      <c r="C7050" s="9" t="s">
        <v>1482</v>
      </c>
      <c r="D7050">
        <v>10021502052</v>
      </c>
      <c r="E7050" t="s">
        <v>47</v>
      </c>
      <c r="F7050" t="s">
        <v>230</v>
      </c>
      <c r="G7050" t="s">
        <v>231</v>
      </c>
      <c r="H7050" t="s">
        <v>2549</v>
      </c>
      <c r="I7050" t="s">
        <v>2550</v>
      </c>
      <c r="J7050" t="s">
        <v>668</v>
      </c>
      <c r="K7050" s="3">
        <v>100427954823</v>
      </c>
      <c r="L7050" s="10">
        <v>41236</v>
      </c>
      <c r="M7050">
        <v>1538.8655</v>
      </c>
      <c r="N7050" s="11">
        <v>28</v>
      </c>
      <c r="O7050" s="12">
        <v>65.99</v>
      </c>
      <c r="P7050" s="12">
        <v>19.99</v>
      </c>
      <c r="Q7050" s="13">
        <v>-186.329</v>
      </c>
      <c r="R7050" s="36" t="s">
        <v>1965</v>
      </c>
      <c r="S7050" s="7">
        <f t="shared" si="624"/>
        <v>2</v>
      </c>
      <c r="T7050" s="15" t="str">
        <f>VLOOKUP(R7050,产品分类!$C$2:$D$1278,2,0)</f>
        <v>数码电子</v>
      </c>
    </row>
    <row r="7051" spans="1:20">
      <c r="A7051" s="8">
        <f>DATE(2012,12,31)-139</f>
        <v>41135</v>
      </c>
      <c r="B7051" s="8">
        <f>DATE(2012,12,31)-139</f>
        <v>41135</v>
      </c>
      <c r="C7051" s="9" t="s">
        <v>2286</v>
      </c>
      <c r="D7051">
        <v>10021741739</v>
      </c>
      <c r="E7051" t="s">
        <v>47</v>
      </c>
      <c r="F7051" t="s">
        <v>230</v>
      </c>
      <c r="G7051" t="s">
        <v>231</v>
      </c>
      <c r="H7051" t="s">
        <v>2549</v>
      </c>
      <c r="I7051" t="s">
        <v>2550</v>
      </c>
      <c r="J7051" t="s">
        <v>668</v>
      </c>
      <c r="K7051" s="3">
        <v>100923903931</v>
      </c>
      <c r="L7051" s="10">
        <v>41137</v>
      </c>
      <c r="M7051">
        <v>267.06</v>
      </c>
      <c r="N7051" s="11">
        <v>10</v>
      </c>
      <c r="O7051" s="12">
        <v>24.95</v>
      </c>
      <c r="P7051" s="12">
        <v>2.99</v>
      </c>
      <c r="Q7051" s="13">
        <v>76.466</v>
      </c>
      <c r="R7051" s="36" t="s">
        <v>1763</v>
      </c>
      <c r="S7051" s="7">
        <f t="shared" si="624"/>
        <v>2</v>
      </c>
      <c r="T7051" s="15" t="str">
        <f>VLOOKUP(R7051,产品分类!$C$2:$D$1278,2,0)</f>
        <v>数码电子</v>
      </c>
    </row>
    <row r="7052" spans="1:20">
      <c r="A7052" s="8">
        <f>DATE(2012,12,31)-139</f>
        <v>41135</v>
      </c>
      <c r="B7052" s="8">
        <f>DATE(2012,12,31)-139</f>
        <v>41135</v>
      </c>
      <c r="C7052" s="9" t="s">
        <v>2286</v>
      </c>
      <c r="D7052">
        <v>10021370534</v>
      </c>
      <c r="E7052" t="s">
        <v>47</v>
      </c>
      <c r="F7052" t="s">
        <v>78</v>
      </c>
      <c r="G7052" t="s">
        <v>79</v>
      </c>
      <c r="H7052" t="s">
        <v>80</v>
      </c>
      <c r="I7052" t="s">
        <v>81</v>
      </c>
      <c r="J7052" t="s">
        <v>668</v>
      </c>
      <c r="K7052" s="3">
        <v>100917995541</v>
      </c>
      <c r="L7052" s="10">
        <v>41136</v>
      </c>
      <c r="M7052">
        <v>82.98</v>
      </c>
      <c r="N7052" s="11">
        <v>22</v>
      </c>
      <c r="O7052" s="12">
        <v>4</v>
      </c>
      <c r="P7052" s="12">
        <v>1.3</v>
      </c>
      <c r="Q7052" s="13">
        <v>13.82</v>
      </c>
      <c r="R7052" s="36" t="s">
        <v>891</v>
      </c>
      <c r="S7052" s="7">
        <f t="shared" si="624"/>
        <v>1</v>
      </c>
      <c r="T7052" s="15" t="str">
        <f>VLOOKUP(R7052,产品分类!$C$2:$D$1278,2,0)</f>
        <v>家具产品</v>
      </c>
    </row>
    <row r="7053" spans="1:20">
      <c r="A7053" s="8">
        <f>DATE(2012,12,31)-580</f>
        <v>40694</v>
      </c>
      <c r="B7053" s="8">
        <f>DATE(2012,12,31)-580</f>
        <v>40694</v>
      </c>
      <c r="C7053" s="9" t="s">
        <v>2286</v>
      </c>
      <c r="D7053">
        <v>10021319233</v>
      </c>
      <c r="E7053" t="s">
        <v>47</v>
      </c>
      <c r="F7053" t="s">
        <v>230</v>
      </c>
      <c r="G7053" t="s">
        <v>231</v>
      </c>
      <c r="H7053" t="s">
        <v>2549</v>
      </c>
      <c r="I7053" t="s">
        <v>2550</v>
      </c>
      <c r="J7053" t="s">
        <v>668</v>
      </c>
      <c r="K7053" s="3">
        <v>10018360887</v>
      </c>
      <c r="L7053" s="10">
        <v>40696</v>
      </c>
      <c r="M7053">
        <v>1974.66</v>
      </c>
      <c r="N7053" s="11">
        <v>32</v>
      </c>
      <c r="O7053" s="12">
        <v>64.65</v>
      </c>
      <c r="P7053" s="12">
        <v>35</v>
      </c>
      <c r="Q7053" s="13">
        <v>-929.68</v>
      </c>
      <c r="R7053" s="36" t="s">
        <v>1324</v>
      </c>
      <c r="S7053" s="7">
        <f t="shared" si="624"/>
        <v>2</v>
      </c>
      <c r="T7053" s="15" t="str">
        <f>VLOOKUP(R7053,产品分类!$C$2:$D$1278,2,0)</f>
        <v>家具产品</v>
      </c>
    </row>
    <row r="7054" spans="1:20">
      <c r="A7054" s="8">
        <f>DATE(2012,12,31)-580</f>
        <v>40694</v>
      </c>
      <c r="B7054" s="8">
        <f>DATE(2012,12,31)-580</f>
        <v>40694</v>
      </c>
      <c r="C7054" s="9" t="s">
        <v>1439</v>
      </c>
      <c r="D7054">
        <v>10021509379</v>
      </c>
      <c r="E7054" t="s">
        <v>47</v>
      </c>
      <c r="F7054" t="s">
        <v>230</v>
      </c>
      <c r="G7054" t="s">
        <v>231</v>
      </c>
      <c r="H7054" t="s">
        <v>2549</v>
      </c>
      <c r="I7054" t="s">
        <v>2550</v>
      </c>
      <c r="J7054" t="s">
        <v>668</v>
      </c>
      <c r="K7054" s="3">
        <v>100332362509</v>
      </c>
      <c r="L7054" s="10">
        <v>40695</v>
      </c>
      <c r="M7054">
        <v>73.44</v>
      </c>
      <c r="N7054" s="11">
        <v>3</v>
      </c>
      <c r="O7054" s="12">
        <v>15.23</v>
      </c>
      <c r="P7054" s="12">
        <v>27.75</v>
      </c>
      <c r="Q7054" s="13">
        <v>-53.784</v>
      </c>
      <c r="R7054" s="36" t="s">
        <v>2391</v>
      </c>
      <c r="S7054" s="7">
        <f t="shared" si="624"/>
        <v>1</v>
      </c>
      <c r="T7054" s="15" t="str">
        <f>VLOOKUP(R7054,产品分类!$C$2:$D$1278,2,0)</f>
        <v>家具产品</v>
      </c>
    </row>
    <row r="7055" spans="1:20">
      <c r="A7055" s="16">
        <f>DATE(2012,12,31)-534</f>
        <v>40740</v>
      </c>
      <c r="B7055" s="16">
        <f>DATE(2012,12,31)-534</f>
        <v>40740</v>
      </c>
      <c r="C7055" s="9" t="s">
        <v>2086</v>
      </c>
      <c r="D7055">
        <v>10021430893</v>
      </c>
      <c r="E7055" t="s">
        <v>47</v>
      </c>
      <c r="F7055" t="s">
        <v>91</v>
      </c>
      <c r="G7055" t="s">
        <v>92</v>
      </c>
      <c r="H7055" t="s">
        <v>2556</v>
      </c>
      <c r="I7055" t="s">
        <v>2557</v>
      </c>
      <c r="J7055" t="s">
        <v>668</v>
      </c>
      <c r="K7055" s="3">
        <v>100931962811</v>
      </c>
      <c r="L7055" s="10">
        <v>40741</v>
      </c>
      <c r="M7055">
        <v>423.04</v>
      </c>
      <c r="N7055" s="17">
        <v>2</v>
      </c>
      <c r="O7055" s="5">
        <v>210.55</v>
      </c>
      <c r="P7055" s="5">
        <v>9.99</v>
      </c>
      <c r="Q7055" s="6">
        <v>-270.7</v>
      </c>
      <c r="R7055" s="37" t="s">
        <v>565</v>
      </c>
      <c r="S7055" s="7">
        <f t="shared" si="624"/>
        <v>1</v>
      </c>
      <c r="T7055" s="15" t="str">
        <f>VLOOKUP(R7055,产品分类!$C$2:$D$1278,2,0)</f>
        <v>办公用品</v>
      </c>
    </row>
    <row r="7056" spans="1:20">
      <c r="A7056" s="8">
        <f>DATE(2012,12,31)-534</f>
        <v>40740</v>
      </c>
      <c r="B7056" s="8">
        <f>DATE(2012,12,31)-534</f>
        <v>40740</v>
      </c>
      <c r="C7056" s="9" t="s">
        <v>2086</v>
      </c>
      <c r="D7056">
        <v>10021521469</v>
      </c>
      <c r="E7056" t="s">
        <v>47</v>
      </c>
      <c r="F7056" t="s">
        <v>91</v>
      </c>
      <c r="G7056" t="s">
        <v>92</v>
      </c>
      <c r="H7056" t="s">
        <v>2556</v>
      </c>
      <c r="I7056" t="s">
        <v>2557</v>
      </c>
      <c r="J7056" t="s">
        <v>668</v>
      </c>
      <c r="K7056" s="3">
        <v>10082522982</v>
      </c>
      <c r="L7056" s="10">
        <v>40741</v>
      </c>
      <c r="M7056">
        <v>2197.4115</v>
      </c>
      <c r="N7056" s="11">
        <v>20</v>
      </c>
      <c r="O7056" s="12">
        <v>125.99</v>
      </c>
      <c r="P7056" s="12">
        <v>7.69</v>
      </c>
      <c r="Q7056" s="13">
        <v>305.964</v>
      </c>
      <c r="R7056" s="36" t="s">
        <v>769</v>
      </c>
      <c r="S7056" s="7">
        <f t="shared" si="624"/>
        <v>1</v>
      </c>
      <c r="T7056" s="15" t="str">
        <f>VLOOKUP(R7056,产品分类!$C$2:$D$1278,2,0)</f>
        <v>办公用品</v>
      </c>
    </row>
    <row r="7057" spans="1:20">
      <c r="A7057" s="8">
        <f>DATE(2012,12,31)-304</f>
        <v>40970</v>
      </c>
      <c r="B7057" s="8">
        <f>DATE(2012,12,31)-304</f>
        <v>40970</v>
      </c>
      <c r="C7057" s="9" t="s">
        <v>977</v>
      </c>
      <c r="D7057">
        <v>10021579853</v>
      </c>
      <c r="E7057" t="s">
        <v>47</v>
      </c>
      <c r="F7057" t="s">
        <v>122</v>
      </c>
      <c r="G7057" t="s">
        <v>123</v>
      </c>
      <c r="H7057" t="s">
        <v>2458</v>
      </c>
      <c r="I7057" t="s">
        <v>2459</v>
      </c>
      <c r="J7057" t="s">
        <v>668</v>
      </c>
      <c r="K7057" s="3">
        <v>100121367588</v>
      </c>
      <c r="L7057" s="10">
        <v>40972</v>
      </c>
      <c r="M7057">
        <v>11041.42</v>
      </c>
      <c r="N7057" s="11">
        <v>30</v>
      </c>
      <c r="O7057" s="12">
        <v>387.99</v>
      </c>
      <c r="P7057" s="12">
        <v>19.99</v>
      </c>
      <c r="Q7057" s="13">
        <v>4456.2525</v>
      </c>
      <c r="R7057" s="36" t="s">
        <v>397</v>
      </c>
      <c r="S7057" s="7">
        <f t="shared" si="624"/>
        <v>2</v>
      </c>
      <c r="T7057" s="15" t="str">
        <f>VLOOKUP(R7057,产品分类!$C$2:$D$1278,2,0)</f>
        <v>办公用品</v>
      </c>
    </row>
    <row r="7058" spans="1:20">
      <c r="A7058" s="8">
        <f>DATE(2012,12,31)-123</f>
        <v>41151</v>
      </c>
      <c r="B7058" s="8">
        <f>DATE(2012,12,31)-123</f>
        <v>41151</v>
      </c>
      <c r="C7058" s="9" t="s">
        <v>1404</v>
      </c>
      <c r="D7058">
        <v>10021414271</v>
      </c>
      <c r="E7058" t="s">
        <v>47</v>
      </c>
      <c r="F7058" t="s">
        <v>91</v>
      </c>
      <c r="G7058" t="s">
        <v>92</v>
      </c>
      <c r="H7058" t="s">
        <v>2556</v>
      </c>
      <c r="I7058" t="s">
        <v>2557</v>
      </c>
      <c r="J7058" t="s">
        <v>668</v>
      </c>
      <c r="K7058" s="3">
        <v>10049026184</v>
      </c>
      <c r="L7058" s="10">
        <v>41151</v>
      </c>
      <c r="M7058">
        <v>683.46</v>
      </c>
      <c r="N7058" s="11">
        <v>43</v>
      </c>
      <c r="O7058" s="12">
        <v>16.98</v>
      </c>
      <c r="P7058" s="12">
        <v>12.39</v>
      </c>
      <c r="Q7058" s="13">
        <v>-138.82</v>
      </c>
      <c r="R7058" s="36" t="s">
        <v>445</v>
      </c>
      <c r="S7058" s="7">
        <f t="shared" si="624"/>
        <v>0</v>
      </c>
      <c r="T7058" s="15" t="str">
        <f>VLOOKUP(R7058,产品分类!$C$2:$D$1278,2,0)</f>
        <v>数码电子</v>
      </c>
    </row>
    <row r="7059" spans="1:20">
      <c r="A7059" s="8">
        <f>DATE(2012,12,31)-481</f>
        <v>40793</v>
      </c>
      <c r="B7059" s="8">
        <f>DATE(2012,12,31)-481</f>
        <v>40793</v>
      </c>
      <c r="C7059" s="9" t="s">
        <v>835</v>
      </c>
      <c r="D7059">
        <v>10021578375</v>
      </c>
      <c r="E7059" t="s">
        <v>47</v>
      </c>
      <c r="F7059" t="s">
        <v>55</v>
      </c>
      <c r="G7059" t="s">
        <v>56</v>
      </c>
      <c r="H7059" t="s">
        <v>2471</v>
      </c>
      <c r="I7059" t="s">
        <v>2472</v>
      </c>
      <c r="J7059" t="s">
        <v>668</v>
      </c>
      <c r="K7059" s="3">
        <v>100411926713</v>
      </c>
      <c r="L7059" s="10">
        <v>40795</v>
      </c>
      <c r="M7059">
        <v>389.28</v>
      </c>
      <c r="N7059" s="11">
        <v>48</v>
      </c>
      <c r="O7059" s="12">
        <v>8.67</v>
      </c>
      <c r="P7059" s="12">
        <v>3.5</v>
      </c>
      <c r="Q7059" s="13">
        <v>-37.43</v>
      </c>
      <c r="R7059" s="36" t="s">
        <v>1896</v>
      </c>
      <c r="S7059" s="7">
        <f t="shared" si="624"/>
        <v>2</v>
      </c>
      <c r="T7059" s="15" t="str">
        <f>VLOOKUP(R7059,产品分类!$C$2:$D$1278,2,0)</f>
        <v>办公用品</v>
      </c>
    </row>
    <row r="7060" spans="1:20">
      <c r="A7060" s="8">
        <f>DATE(2012,12,31)-330</f>
        <v>40944</v>
      </c>
      <c r="B7060" s="8">
        <f>DATE(2012,12,31)-330</f>
        <v>40944</v>
      </c>
      <c r="C7060" s="9" t="s">
        <v>562</v>
      </c>
      <c r="D7060">
        <v>10021531265</v>
      </c>
      <c r="E7060" t="s">
        <v>47</v>
      </c>
      <c r="F7060" t="s">
        <v>91</v>
      </c>
      <c r="G7060" t="s">
        <v>92</v>
      </c>
      <c r="H7060" t="s">
        <v>2556</v>
      </c>
      <c r="I7060" t="s">
        <v>2557</v>
      </c>
      <c r="J7060" t="s">
        <v>668</v>
      </c>
      <c r="K7060" s="3">
        <v>10014644417</v>
      </c>
      <c r="L7060" s="10">
        <v>40945</v>
      </c>
      <c r="M7060">
        <v>1505.67</v>
      </c>
      <c r="N7060" s="11">
        <v>22</v>
      </c>
      <c r="O7060" s="12">
        <v>70.98</v>
      </c>
      <c r="P7060" s="12">
        <v>30</v>
      </c>
      <c r="Q7060" s="13">
        <v>-436.23</v>
      </c>
      <c r="R7060" s="36" t="s">
        <v>1524</v>
      </c>
      <c r="S7060" s="7">
        <f t="shared" si="624"/>
        <v>1</v>
      </c>
      <c r="T7060" s="15" t="str">
        <f>VLOOKUP(R7060,产品分类!$C$2:$D$1278,2,0)</f>
        <v>办公用品</v>
      </c>
    </row>
    <row r="7061" spans="1:20">
      <c r="A7061" s="8">
        <f>DATE(2012,12,31)-959</f>
        <v>40315</v>
      </c>
      <c r="B7061" s="8">
        <f>DATE(2012,12,31)-959</f>
        <v>40315</v>
      </c>
      <c r="C7061" s="9" t="s">
        <v>1568</v>
      </c>
      <c r="D7061">
        <v>10021493486</v>
      </c>
      <c r="E7061" t="s">
        <v>47</v>
      </c>
      <c r="F7061" t="s">
        <v>122</v>
      </c>
      <c r="G7061" t="s">
        <v>123</v>
      </c>
      <c r="H7061" t="s">
        <v>2458</v>
      </c>
      <c r="I7061" t="s">
        <v>2459</v>
      </c>
      <c r="J7061" t="s">
        <v>668</v>
      </c>
      <c r="K7061" s="3">
        <v>10032512659</v>
      </c>
      <c r="L7061" s="10">
        <v>40317</v>
      </c>
      <c r="M7061">
        <v>173.47</v>
      </c>
      <c r="N7061" s="11">
        <v>39</v>
      </c>
      <c r="O7061" s="12">
        <v>4.63</v>
      </c>
      <c r="P7061" s="12">
        <v>1.93</v>
      </c>
      <c r="Q7061" s="13">
        <v>-4.96</v>
      </c>
      <c r="R7061" s="36" t="s">
        <v>1417</v>
      </c>
      <c r="S7061" s="7">
        <f t="shared" si="624"/>
        <v>2</v>
      </c>
      <c r="T7061" s="15" t="str">
        <f>VLOOKUP(R7061,产品分类!$C$2:$D$1278,2,0)</f>
        <v>数码电子</v>
      </c>
    </row>
    <row r="7062" spans="1:20">
      <c r="A7062" s="8">
        <f>DATE(2012,12,31)-959</f>
        <v>40315</v>
      </c>
      <c r="B7062" s="8">
        <f>DATE(2012,12,31)-959</f>
        <v>40315</v>
      </c>
      <c r="C7062" s="9" t="s">
        <v>1568</v>
      </c>
      <c r="D7062">
        <v>10021318579</v>
      </c>
      <c r="E7062" t="s">
        <v>47</v>
      </c>
      <c r="F7062" t="s">
        <v>55</v>
      </c>
      <c r="G7062" t="s">
        <v>56</v>
      </c>
      <c r="H7062" t="s">
        <v>2471</v>
      </c>
      <c r="I7062" t="s">
        <v>2472</v>
      </c>
      <c r="J7062" t="s">
        <v>668</v>
      </c>
      <c r="K7062" s="3">
        <v>10082364492</v>
      </c>
      <c r="L7062" s="10">
        <v>40324</v>
      </c>
      <c r="M7062">
        <v>2832.88</v>
      </c>
      <c r="N7062" s="11">
        <v>48</v>
      </c>
      <c r="O7062" s="12">
        <v>65.99</v>
      </c>
      <c r="P7062" s="12">
        <v>8.8</v>
      </c>
      <c r="Q7062" s="13">
        <v>668.961</v>
      </c>
      <c r="R7062" s="36" t="s">
        <v>958</v>
      </c>
      <c r="S7062" s="7">
        <f t="shared" si="624"/>
        <v>9</v>
      </c>
      <c r="T7062" s="15" t="str">
        <f>VLOOKUP(R7062,产品分类!$C$2:$D$1278,2,0)</f>
        <v>办公用品</v>
      </c>
    </row>
    <row r="7063" spans="1:20">
      <c r="A7063" s="8">
        <f>DATE(2012,12,31)-1348</f>
        <v>39926</v>
      </c>
      <c r="B7063" s="8">
        <f>DATE(2012,12,31)-1348</f>
        <v>39926</v>
      </c>
      <c r="C7063" s="9" t="s">
        <v>430</v>
      </c>
      <c r="D7063">
        <v>10021352583</v>
      </c>
      <c r="E7063" t="s">
        <v>47</v>
      </c>
      <c r="F7063" t="s">
        <v>91</v>
      </c>
      <c r="G7063" t="s">
        <v>92</v>
      </c>
      <c r="H7063" t="s">
        <v>2556</v>
      </c>
      <c r="I7063" t="s">
        <v>2557</v>
      </c>
      <c r="J7063" t="s">
        <v>668</v>
      </c>
      <c r="K7063" s="3">
        <v>100732532195</v>
      </c>
      <c r="L7063" s="10">
        <v>39927</v>
      </c>
      <c r="M7063">
        <v>29.12</v>
      </c>
      <c r="N7063" s="11">
        <v>10</v>
      </c>
      <c r="O7063" s="12">
        <v>2.88</v>
      </c>
      <c r="P7063" s="12">
        <v>0.5</v>
      </c>
      <c r="Q7063" s="13">
        <v>7.13</v>
      </c>
      <c r="R7063" s="36" t="s">
        <v>2428</v>
      </c>
      <c r="S7063" s="7">
        <f t="shared" si="624"/>
        <v>1</v>
      </c>
      <c r="T7063" s="15" t="str">
        <f>VLOOKUP(R7063,产品分类!$C$2:$D$1278,2,0)</f>
        <v>数码电子</v>
      </c>
    </row>
    <row r="7064" spans="1:20">
      <c r="A7064" s="8">
        <f>DATE(2012,12,31)-1168</f>
        <v>40106</v>
      </c>
      <c r="B7064" s="8">
        <f>DATE(2012,12,31)-1168</f>
        <v>40106</v>
      </c>
      <c r="C7064" s="9" t="s">
        <v>430</v>
      </c>
      <c r="D7064">
        <v>10021607371</v>
      </c>
      <c r="E7064" t="s">
        <v>47</v>
      </c>
      <c r="F7064" t="s">
        <v>55</v>
      </c>
      <c r="G7064" t="s">
        <v>56</v>
      </c>
      <c r="H7064" t="s">
        <v>2471</v>
      </c>
      <c r="I7064" t="s">
        <v>2472</v>
      </c>
      <c r="J7064" t="s">
        <v>668</v>
      </c>
      <c r="K7064" s="3">
        <v>100323207349</v>
      </c>
      <c r="L7064" s="10">
        <v>40107</v>
      </c>
      <c r="M7064">
        <v>3267.41</v>
      </c>
      <c r="N7064" s="11">
        <v>18</v>
      </c>
      <c r="O7064" s="12">
        <v>170.98</v>
      </c>
      <c r="P7064" s="12">
        <v>35.89</v>
      </c>
      <c r="Q7064" s="13">
        <v>248.19</v>
      </c>
      <c r="R7064" s="36" t="s">
        <v>2377</v>
      </c>
      <c r="S7064" s="7">
        <f t="shared" si="624"/>
        <v>1</v>
      </c>
      <c r="T7064" s="15" t="str">
        <f>VLOOKUP(R7064,产品分类!$C$2:$D$1278,2,0)</f>
        <v>办公用品</v>
      </c>
    </row>
    <row r="7065" spans="1:20">
      <c r="A7065" s="8">
        <f>DATE(2012,12,31)-1168</f>
        <v>40106</v>
      </c>
      <c r="B7065" s="8">
        <f>DATE(2012,12,31)-1168</f>
        <v>40106</v>
      </c>
      <c r="C7065" s="9" t="s">
        <v>1132</v>
      </c>
      <c r="D7065">
        <v>10021672147</v>
      </c>
      <c r="E7065" t="s">
        <v>47</v>
      </c>
      <c r="F7065" t="s">
        <v>122</v>
      </c>
      <c r="G7065" t="s">
        <v>123</v>
      </c>
      <c r="H7065" t="s">
        <v>2458</v>
      </c>
      <c r="I7065" t="s">
        <v>2459</v>
      </c>
      <c r="J7065" t="s">
        <v>668</v>
      </c>
      <c r="K7065" s="3">
        <v>100131310336</v>
      </c>
      <c r="L7065" s="10">
        <v>40108</v>
      </c>
      <c r="M7065">
        <v>26126.92</v>
      </c>
      <c r="N7065" s="11">
        <v>42</v>
      </c>
      <c r="O7065" s="12">
        <v>599.99</v>
      </c>
      <c r="P7065" s="12">
        <v>24.49</v>
      </c>
      <c r="Q7065" s="13">
        <v>9498.6</v>
      </c>
      <c r="R7065" s="36" t="s">
        <v>1646</v>
      </c>
      <c r="S7065" s="7">
        <f t="shared" si="624"/>
        <v>2</v>
      </c>
      <c r="T7065" s="15" t="str">
        <f>VLOOKUP(R7065,产品分类!$C$2:$D$1278,2,0)</f>
        <v>数码电子</v>
      </c>
    </row>
    <row r="7066" spans="1:20">
      <c r="A7066" s="16">
        <f t="shared" ref="A7066:B7069" si="625">DATE(2012,12,31)-1163</f>
        <v>40111</v>
      </c>
      <c r="B7066" s="16">
        <f t="shared" si="625"/>
        <v>40111</v>
      </c>
      <c r="C7066" s="9" t="s">
        <v>413</v>
      </c>
      <c r="D7066">
        <v>10021499192</v>
      </c>
      <c r="E7066" t="s">
        <v>47</v>
      </c>
      <c r="F7066" t="s">
        <v>91</v>
      </c>
      <c r="G7066" t="s">
        <v>92</v>
      </c>
      <c r="H7066" t="s">
        <v>2556</v>
      </c>
      <c r="I7066" t="s">
        <v>2557</v>
      </c>
      <c r="J7066" t="s">
        <v>668</v>
      </c>
      <c r="K7066" s="3">
        <v>10076796985</v>
      </c>
      <c r="L7066" s="10">
        <v>40113</v>
      </c>
      <c r="M7066">
        <v>194.2</v>
      </c>
      <c r="N7066" s="17">
        <v>42</v>
      </c>
      <c r="O7066" s="5">
        <v>4.37</v>
      </c>
      <c r="P7066" s="5">
        <v>5.15</v>
      </c>
      <c r="Q7066" s="6">
        <v>-139.13</v>
      </c>
      <c r="R7066" s="37" t="s">
        <v>1740</v>
      </c>
      <c r="S7066" s="7">
        <f t="shared" si="624"/>
        <v>2</v>
      </c>
      <c r="T7066" s="15" t="str">
        <f>VLOOKUP(R7066,产品分类!$C$2:$D$1278,2,0)</f>
        <v>办公用品</v>
      </c>
    </row>
    <row r="7067" spans="1:20">
      <c r="A7067" s="8">
        <f t="shared" si="625"/>
        <v>40111</v>
      </c>
      <c r="B7067" s="8">
        <f t="shared" si="625"/>
        <v>40111</v>
      </c>
      <c r="C7067" s="9" t="s">
        <v>413</v>
      </c>
      <c r="D7067">
        <v>10021434465</v>
      </c>
      <c r="E7067" t="s">
        <v>47</v>
      </c>
      <c r="F7067" t="s">
        <v>55</v>
      </c>
      <c r="G7067" t="s">
        <v>56</v>
      </c>
      <c r="H7067" t="s">
        <v>2471</v>
      </c>
      <c r="I7067" t="s">
        <v>2472</v>
      </c>
      <c r="J7067" t="s">
        <v>668</v>
      </c>
      <c r="K7067" s="3">
        <v>100414201534</v>
      </c>
      <c r="L7067" s="10">
        <v>40112</v>
      </c>
      <c r="M7067">
        <v>16451.33</v>
      </c>
      <c r="N7067" s="11">
        <v>31</v>
      </c>
      <c r="O7067" s="12">
        <v>500.98</v>
      </c>
      <c r="P7067" s="12">
        <v>56</v>
      </c>
      <c r="Q7067" s="13">
        <v>5325.14</v>
      </c>
      <c r="R7067" s="36" t="s">
        <v>429</v>
      </c>
      <c r="S7067" s="7">
        <f t="shared" si="624"/>
        <v>1</v>
      </c>
      <c r="T7067" s="15" t="str">
        <f>VLOOKUP(R7067,产品分类!$C$2:$D$1278,2,0)</f>
        <v>办公用品</v>
      </c>
    </row>
    <row r="7068" spans="1:20">
      <c r="A7068" s="8">
        <f t="shared" si="625"/>
        <v>40111</v>
      </c>
      <c r="B7068" s="8">
        <f t="shared" si="625"/>
        <v>40111</v>
      </c>
      <c r="C7068" s="9" t="s">
        <v>243</v>
      </c>
      <c r="D7068">
        <v>10021336876</v>
      </c>
      <c r="E7068" t="s">
        <v>47</v>
      </c>
      <c r="F7068" t="s">
        <v>122</v>
      </c>
      <c r="G7068" t="s">
        <v>123</v>
      </c>
      <c r="H7068" t="s">
        <v>2458</v>
      </c>
      <c r="I7068" t="s">
        <v>2459</v>
      </c>
      <c r="J7068" t="s">
        <v>668</v>
      </c>
      <c r="K7068" s="3">
        <v>100420827524</v>
      </c>
      <c r="L7068" s="10">
        <v>40111</v>
      </c>
      <c r="M7068">
        <v>485.97</v>
      </c>
      <c r="N7068" s="11">
        <v>39</v>
      </c>
      <c r="O7068" s="12">
        <v>12.58</v>
      </c>
      <c r="P7068" s="12">
        <v>5.16</v>
      </c>
      <c r="Q7068" s="13">
        <v>48.6</v>
      </c>
      <c r="R7068" s="36" t="s">
        <v>322</v>
      </c>
      <c r="S7068" s="7">
        <f t="shared" si="624"/>
        <v>0</v>
      </c>
      <c r="T7068" s="15" t="str">
        <f>VLOOKUP(R7068,产品分类!$C$2:$D$1278,2,0)</f>
        <v>家具产品</v>
      </c>
    </row>
    <row r="7069" spans="1:20">
      <c r="A7069" s="8">
        <f t="shared" si="625"/>
        <v>40111</v>
      </c>
      <c r="B7069" s="8">
        <f t="shared" si="625"/>
        <v>40111</v>
      </c>
      <c r="C7069" s="9" t="s">
        <v>1247</v>
      </c>
      <c r="D7069">
        <v>10021503567</v>
      </c>
      <c r="E7069" t="s">
        <v>47</v>
      </c>
      <c r="F7069" t="s">
        <v>122</v>
      </c>
      <c r="G7069" t="s">
        <v>123</v>
      </c>
      <c r="H7069" t="s">
        <v>2458</v>
      </c>
      <c r="I7069" t="s">
        <v>2459</v>
      </c>
      <c r="J7069" t="s">
        <v>668</v>
      </c>
      <c r="K7069" s="3">
        <v>100429677883</v>
      </c>
      <c r="L7069" s="10">
        <v>40112</v>
      </c>
      <c r="M7069">
        <v>109.71</v>
      </c>
      <c r="N7069" s="11">
        <v>15</v>
      </c>
      <c r="O7069" s="12">
        <v>7.7</v>
      </c>
      <c r="P7069" s="12">
        <v>3.68</v>
      </c>
      <c r="Q7069" s="13">
        <v>-20.95</v>
      </c>
      <c r="R7069" s="36" t="s">
        <v>1317</v>
      </c>
      <c r="S7069" s="7">
        <f t="shared" si="624"/>
        <v>1</v>
      </c>
      <c r="T7069" s="15" t="str">
        <f>VLOOKUP(R7069,产品分类!$C$2:$D$1278,2,0)</f>
        <v>家具产品</v>
      </c>
    </row>
    <row r="7070" spans="1:20">
      <c r="A7070" s="8">
        <f t="shared" ref="A7070:B7072" si="626">DATE(2012,12,31)-379</f>
        <v>40895</v>
      </c>
      <c r="B7070" s="8">
        <f t="shared" si="626"/>
        <v>40895</v>
      </c>
      <c r="C7070" s="9" t="s">
        <v>341</v>
      </c>
      <c r="D7070">
        <v>10021388568</v>
      </c>
      <c r="E7070" t="s">
        <v>47</v>
      </c>
      <c r="F7070" t="s">
        <v>55</v>
      </c>
      <c r="G7070" t="s">
        <v>56</v>
      </c>
      <c r="H7070" t="s">
        <v>2471</v>
      </c>
      <c r="I7070" t="s">
        <v>2472</v>
      </c>
      <c r="J7070" t="s">
        <v>668</v>
      </c>
      <c r="K7070" s="3">
        <v>100429399143</v>
      </c>
      <c r="L7070" s="10">
        <v>40896</v>
      </c>
      <c r="M7070">
        <v>315.45</v>
      </c>
      <c r="N7070" s="11">
        <v>40</v>
      </c>
      <c r="O7070" s="12">
        <v>7.38</v>
      </c>
      <c r="P7070" s="12">
        <v>11.51</v>
      </c>
      <c r="Q7070" s="13">
        <v>-305.877</v>
      </c>
      <c r="R7070" s="36" t="s">
        <v>1240</v>
      </c>
      <c r="S7070" s="7">
        <f t="shared" si="624"/>
        <v>1</v>
      </c>
      <c r="T7070" s="15" t="str">
        <f>VLOOKUP(R7070,产品分类!$C$2:$D$1278,2,0)</f>
        <v>办公用品</v>
      </c>
    </row>
    <row r="7071" spans="1:20">
      <c r="A7071" s="16">
        <f t="shared" si="626"/>
        <v>40895</v>
      </c>
      <c r="B7071" s="16">
        <f t="shared" si="626"/>
        <v>40895</v>
      </c>
      <c r="C7071" s="9" t="s">
        <v>1178</v>
      </c>
      <c r="D7071">
        <v>10021418453</v>
      </c>
      <c r="E7071" t="s">
        <v>47</v>
      </c>
      <c r="F7071" t="s">
        <v>122</v>
      </c>
      <c r="G7071" t="s">
        <v>123</v>
      </c>
      <c r="H7071" t="s">
        <v>2458</v>
      </c>
      <c r="I7071" t="s">
        <v>2459</v>
      </c>
      <c r="J7071" t="s">
        <v>668</v>
      </c>
      <c r="K7071" s="3">
        <v>10033906949</v>
      </c>
      <c r="L7071" s="10">
        <v>40897</v>
      </c>
      <c r="M7071">
        <v>60.02</v>
      </c>
      <c r="N7071" s="17">
        <v>16</v>
      </c>
      <c r="O7071" s="5">
        <v>3.71</v>
      </c>
      <c r="P7071" s="5">
        <v>1.93</v>
      </c>
      <c r="Q7071" s="6">
        <v>0.94</v>
      </c>
      <c r="R7071" s="37" t="s">
        <v>2282</v>
      </c>
      <c r="S7071" s="7">
        <f t="shared" si="624"/>
        <v>2</v>
      </c>
      <c r="T7071" s="15" t="str">
        <f>VLOOKUP(R7071,产品分类!$C$2:$D$1278,2,0)</f>
        <v>数码电子</v>
      </c>
    </row>
    <row r="7072" spans="1:20">
      <c r="A7072" s="8">
        <f t="shared" si="626"/>
        <v>40895</v>
      </c>
      <c r="B7072" s="8">
        <f t="shared" si="626"/>
        <v>40895</v>
      </c>
      <c r="C7072" s="9" t="s">
        <v>1865</v>
      </c>
      <c r="D7072">
        <v>10021432033</v>
      </c>
      <c r="E7072" t="s">
        <v>47</v>
      </c>
      <c r="F7072" t="s">
        <v>55</v>
      </c>
      <c r="G7072" t="s">
        <v>56</v>
      </c>
      <c r="H7072" t="s">
        <v>2471</v>
      </c>
      <c r="I7072" t="s">
        <v>2472</v>
      </c>
      <c r="J7072" t="s">
        <v>668</v>
      </c>
      <c r="K7072" s="3">
        <v>100132277216</v>
      </c>
      <c r="L7072" s="10">
        <v>40897</v>
      </c>
      <c r="M7072">
        <v>7413.29</v>
      </c>
      <c r="N7072" s="11">
        <v>49</v>
      </c>
      <c r="O7072" s="12">
        <v>150.98</v>
      </c>
      <c r="P7072" s="12">
        <v>16.01</v>
      </c>
      <c r="Q7072" s="13">
        <v>1148.23</v>
      </c>
      <c r="R7072" s="36" t="s">
        <v>1430</v>
      </c>
      <c r="S7072" s="7">
        <f t="shared" si="624"/>
        <v>2</v>
      </c>
      <c r="T7072" s="15" t="str">
        <f>VLOOKUP(R7072,产品分类!$C$2:$D$1278,2,0)</f>
        <v>办公用品</v>
      </c>
    </row>
    <row r="7073" spans="1:20">
      <c r="A7073" s="16">
        <f>DATE(2012,12,31)-783</f>
        <v>40491</v>
      </c>
      <c r="B7073" s="16">
        <f>DATE(2012,12,31)-783</f>
        <v>40491</v>
      </c>
      <c r="C7073" s="9" t="s">
        <v>1703</v>
      </c>
      <c r="D7073">
        <v>10021645541</v>
      </c>
      <c r="E7073" t="s">
        <v>47</v>
      </c>
      <c r="F7073" t="s">
        <v>122</v>
      </c>
      <c r="G7073" t="s">
        <v>123</v>
      </c>
      <c r="H7073" t="s">
        <v>2458</v>
      </c>
      <c r="I7073" t="s">
        <v>2459</v>
      </c>
      <c r="J7073" t="s">
        <v>668</v>
      </c>
      <c r="K7073" s="3">
        <v>10097991941</v>
      </c>
      <c r="L7073" s="10">
        <v>40492</v>
      </c>
      <c r="M7073">
        <v>1614.84</v>
      </c>
      <c r="N7073" s="17">
        <v>26</v>
      </c>
      <c r="O7073" s="5">
        <v>60.98</v>
      </c>
      <c r="P7073" s="5">
        <v>49</v>
      </c>
      <c r="Q7073" s="6">
        <v>-716.55</v>
      </c>
      <c r="R7073" s="37" t="s">
        <v>1582</v>
      </c>
      <c r="S7073" s="7">
        <f t="shared" si="624"/>
        <v>1</v>
      </c>
      <c r="T7073" s="15" t="str">
        <f>VLOOKUP(R7073,产品分类!$C$2:$D$1278,2,0)</f>
        <v>数码电子</v>
      </c>
    </row>
    <row r="7074" spans="1:20">
      <c r="A7074" s="16">
        <f>DATE(2012,12,31)-381</f>
        <v>40893</v>
      </c>
      <c r="B7074" s="16">
        <f>DATE(2012,12,31)-381</f>
        <v>40893</v>
      </c>
      <c r="C7074" s="9" t="s">
        <v>1612</v>
      </c>
      <c r="D7074">
        <v>10021547507</v>
      </c>
      <c r="E7074" t="s">
        <v>47</v>
      </c>
      <c r="F7074" t="s">
        <v>91</v>
      </c>
      <c r="G7074" t="s">
        <v>92</v>
      </c>
      <c r="H7074" t="s">
        <v>2556</v>
      </c>
      <c r="I7074" t="s">
        <v>2557</v>
      </c>
      <c r="J7074" t="s">
        <v>668</v>
      </c>
      <c r="K7074" s="3">
        <v>100931783081</v>
      </c>
      <c r="L7074" s="10">
        <v>40894</v>
      </c>
      <c r="M7074">
        <v>600.22</v>
      </c>
      <c r="N7074" s="17">
        <v>50</v>
      </c>
      <c r="O7074" s="5">
        <v>12.98</v>
      </c>
      <c r="P7074" s="5">
        <v>3.14</v>
      </c>
      <c r="Q7074" s="6">
        <v>27.86</v>
      </c>
      <c r="R7074" s="37" t="s">
        <v>1748</v>
      </c>
      <c r="S7074" s="7">
        <f t="shared" si="624"/>
        <v>1</v>
      </c>
      <c r="T7074" s="15" t="str">
        <f>VLOOKUP(R7074,产品分类!$C$2:$D$1278,2,0)</f>
        <v>数码电子</v>
      </c>
    </row>
    <row r="7075" spans="1:20">
      <c r="A7075" s="8">
        <f>DATE(2012,12,31)-836</f>
        <v>40438</v>
      </c>
      <c r="B7075" s="8">
        <f>DATE(2012,12,31)-836</f>
        <v>40438</v>
      </c>
      <c r="C7075" s="9" t="s">
        <v>2004</v>
      </c>
      <c r="D7075">
        <v>10021494600</v>
      </c>
      <c r="E7075" t="s">
        <v>47</v>
      </c>
      <c r="F7075" t="s">
        <v>127</v>
      </c>
      <c r="G7075" t="s">
        <v>128</v>
      </c>
      <c r="H7075" t="s">
        <v>2554</v>
      </c>
      <c r="I7075" t="s">
        <v>2555</v>
      </c>
      <c r="J7075" t="s">
        <v>668</v>
      </c>
      <c r="K7075" s="3">
        <v>10079782635</v>
      </c>
      <c r="L7075" s="10">
        <v>40440</v>
      </c>
      <c r="M7075">
        <v>327.95</v>
      </c>
      <c r="N7075" s="11">
        <v>28</v>
      </c>
      <c r="O7075" s="12">
        <v>10.98</v>
      </c>
      <c r="P7075" s="12">
        <v>5.14</v>
      </c>
      <c r="Q7075" s="13">
        <v>43.6815</v>
      </c>
      <c r="R7075" s="36" t="s">
        <v>890</v>
      </c>
      <c r="S7075" s="7">
        <f t="shared" si="624"/>
        <v>2</v>
      </c>
      <c r="T7075" s="15" t="str">
        <f>VLOOKUP(R7075,产品分类!$C$2:$D$1278,2,0)</f>
        <v>办公用品</v>
      </c>
    </row>
    <row r="7076" spans="1:20">
      <c r="A7076" s="8">
        <f>DATE(2012,12,31)-836</f>
        <v>40438</v>
      </c>
      <c r="B7076" s="8">
        <f>DATE(2012,12,31)-836</f>
        <v>40438</v>
      </c>
      <c r="C7076" s="9" t="s">
        <v>849</v>
      </c>
      <c r="D7076">
        <v>10021494047</v>
      </c>
      <c r="E7076" t="s">
        <v>47</v>
      </c>
      <c r="F7076" t="s">
        <v>97</v>
      </c>
      <c r="G7076" t="s">
        <v>98</v>
      </c>
      <c r="H7076" t="s">
        <v>99</v>
      </c>
      <c r="I7076" t="s">
        <v>98</v>
      </c>
      <c r="J7076" t="s">
        <v>668</v>
      </c>
      <c r="K7076" s="3">
        <v>10099672791</v>
      </c>
      <c r="L7076" s="10">
        <v>40440</v>
      </c>
      <c r="M7076">
        <v>5606.91</v>
      </c>
      <c r="N7076" s="11">
        <v>47</v>
      </c>
      <c r="O7076" s="12">
        <v>124.49</v>
      </c>
      <c r="P7076" s="12">
        <v>51.94</v>
      </c>
      <c r="Q7076" s="13">
        <v>-300.854983</v>
      </c>
      <c r="R7076" s="36" t="s">
        <v>1308</v>
      </c>
      <c r="S7076" s="7">
        <f t="shared" si="624"/>
        <v>2</v>
      </c>
      <c r="T7076" s="15" t="str">
        <f>VLOOKUP(R7076,产品分类!$C$2:$D$1278,2,0)</f>
        <v>办公用品</v>
      </c>
    </row>
    <row r="7077" spans="1:20">
      <c r="A7077" s="8">
        <f>DATE(2012,12,31)-308</f>
        <v>40966</v>
      </c>
      <c r="B7077" s="8">
        <f>DATE(2012,12,31)-308</f>
        <v>40966</v>
      </c>
      <c r="C7077" s="9" t="s">
        <v>849</v>
      </c>
      <c r="D7077">
        <v>10021508810</v>
      </c>
      <c r="E7077" t="s">
        <v>47</v>
      </c>
      <c r="F7077" t="s">
        <v>132</v>
      </c>
      <c r="G7077" t="s">
        <v>133</v>
      </c>
      <c r="H7077" t="s">
        <v>134</v>
      </c>
      <c r="I7077" t="s">
        <v>133</v>
      </c>
      <c r="J7077" t="s">
        <v>668</v>
      </c>
      <c r="K7077" s="3">
        <v>100132316447</v>
      </c>
      <c r="L7077" s="10">
        <v>40968</v>
      </c>
      <c r="M7077">
        <v>9758.7</v>
      </c>
      <c r="N7077" s="11">
        <v>33</v>
      </c>
      <c r="O7077" s="12">
        <v>304.99</v>
      </c>
      <c r="P7077" s="12">
        <v>19.99</v>
      </c>
      <c r="Q7077" s="13">
        <v>3793.703</v>
      </c>
      <c r="R7077" s="36" t="s">
        <v>2234</v>
      </c>
      <c r="S7077" s="7">
        <f t="shared" si="624"/>
        <v>2</v>
      </c>
      <c r="T7077" s="15" t="str">
        <f>VLOOKUP(R7077,产品分类!$C$2:$D$1278,2,0)</f>
        <v>数码电子</v>
      </c>
    </row>
    <row r="7078" spans="1:20">
      <c r="A7078" s="8">
        <f>DATE(2012,12,31)-769</f>
        <v>40505</v>
      </c>
      <c r="B7078" s="8">
        <f>DATE(2012,12,31)-769</f>
        <v>40505</v>
      </c>
      <c r="C7078" s="9" t="s">
        <v>703</v>
      </c>
      <c r="D7078">
        <v>10021632276</v>
      </c>
      <c r="E7078" t="s">
        <v>47</v>
      </c>
      <c r="F7078" t="s">
        <v>97</v>
      </c>
      <c r="G7078" t="s">
        <v>98</v>
      </c>
      <c r="H7078" t="s">
        <v>99</v>
      </c>
      <c r="I7078" t="s">
        <v>98</v>
      </c>
      <c r="J7078" t="s">
        <v>668</v>
      </c>
      <c r="K7078" s="3">
        <v>100932894301</v>
      </c>
      <c r="L7078" s="10">
        <v>40506</v>
      </c>
      <c r="M7078">
        <v>129.88</v>
      </c>
      <c r="N7078" s="11">
        <v>1</v>
      </c>
      <c r="O7078" s="12">
        <v>110.98</v>
      </c>
      <c r="P7078" s="12">
        <v>30</v>
      </c>
      <c r="Q7078" s="13">
        <v>-89.9</v>
      </c>
      <c r="R7078" s="36" t="s">
        <v>1267</v>
      </c>
      <c r="S7078" s="7">
        <f t="shared" si="624"/>
        <v>1</v>
      </c>
      <c r="T7078" s="15" t="str">
        <f>VLOOKUP(R7078,产品分类!$C$2:$D$1278,2,0)</f>
        <v>数码电子</v>
      </c>
    </row>
    <row r="7079" spans="1:20">
      <c r="A7079" s="8">
        <f>DATE(2012,12,31)-769</f>
        <v>40505</v>
      </c>
      <c r="B7079" s="8">
        <f>DATE(2012,12,31)-769</f>
        <v>40505</v>
      </c>
      <c r="C7079" s="9" t="s">
        <v>207</v>
      </c>
      <c r="D7079">
        <v>10021254734</v>
      </c>
      <c r="E7079" t="s">
        <v>47</v>
      </c>
      <c r="F7079" t="s">
        <v>132</v>
      </c>
      <c r="G7079" t="s">
        <v>133</v>
      </c>
      <c r="H7079" t="s">
        <v>134</v>
      </c>
      <c r="I7079" t="s">
        <v>133</v>
      </c>
      <c r="J7079" t="s">
        <v>668</v>
      </c>
      <c r="K7079" s="3">
        <v>100922896941</v>
      </c>
      <c r="L7079" s="10">
        <v>40507</v>
      </c>
      <c r="M7079">
        <v>2441.1405</v>
      </c>
      <c r="N7079" s="11">
        <v>19</v>
      </c>
      <c r="O7079" s="12">
        <v>155.99</v>
      </c>
      <c r="P7079" s="12">
        <v>8.99</v>
      </c>
      <c r="Q7079" s="13">
        <v>261.963</v>
      </c>
      <c r="R7079" s="36" t="s">
        <v>1719</v>
      </c>
      <c r="S7079" s="7">
        <f t="shared" si="624"/>
        <v>2</v>
      </c>
      <c r="T7079" s="15" t="str">
        <f>VLOOKUP(R7079,产品分类!$C$2:$D$1278,2,0)</f>
        <v>办公用品</v>
      </c>
    </row>
    <row r="7080" spans="1:20">
      <c r="A7080" s="8">
        <f>DATE(2012,12,31)-427</f>
        <v>40847</v>
      </c>
      <c r="B7080" s="8">
        <f>DATE(2012,12,31)-427</f>
        <v>40847</v>
      </c>
      <c r="C7080" s="9" t="s">
        <v>2312</v>
      </c>
      <c r="D7080">
        <v>10021415740</v>
      </c>
      <c r="E7080" t="s">
        <v>47</v>
      </c>
      <c r="F7080" t="s">
        <v>132</v>
      </c>
      <c r="G7080" t="s">
        <v>133</v>
      </c>
      <c r="H7080" t="s">
        <v>134</v>
      </c>
      <c r="I7080" t="s">
        <v>133</v>
      </c>
      <c r="J7080" t="s">
        <v>668</v>
      </c>
      <c r="K7080" s="3">
        <v>10017803417</v>
      </c>
      <c r="L7080" s="10">
        <v>40851</v>
      </c>
      <c r="M7080">
        <v>9248.74</v>
      </c>
      <c r="N7080" s="11">
        <v>45</v>
      </c>
      <c r="O7080" s="12">
        <v>200.98</v>
      </c>
      <c r="P7080" s="12">
        <v>23.76</v>
      </c>
      <c r="Q7080" s="13">
        <v>2532</v>
      </c>
      <c r="R7080" s="36" t="s">
        <v>646</v>
      </c>
      <c r="S7080" s="7">
        <f t="shared" si="624"/>
        <v>4</v>
      </c>
      <c r="T7080" s="15" t="str">
        <f>VLOOKUP(R7080,产品分类!$C$2:$D$1278,2,0)</f>
        <v>数码电子</v>
      </c>
    </row>
    <row r="7081" spans="1:20">
      <c r="A7081" s="8">
        <f>DATE(2012,12,31)-427</f>
        <v>40847</v>
      </c>
      <c r="B7081" s="8">
        <f>DATE(2012,12,31)-427</f>
        <v>40847</v>
      </c>
      <c r="C7081" s="9" t="s">
        <v>2312</v>
      </c>
      <c r="D7081">
        <v>10021459716</v>
      </c>
      <c r="E7081" t="s">
        <v>47</v>
      </c>
      <c r="F7081" t="s">
        <v>102</v>
      </c>
      <c r="G7081" t="s">
        <v>103</v>
      </c>
      <c r="H7081" t="s">
        <v>2560</v>
      </c>
      <c r="I7081" t="s">
        <v>2561</v>
      </c>
      <c r="J7081" t="s">
        <v>668</v>
      </c>
      <c r="K7081" s="3">
        <v>10093817911</v>
      </c>
      <c r="L7081" s="10">
        <v>40847</v>
      </c>
      <c r="M7081">
        <v>98.88</v>
      </c>
      <c r="N7081" s="11">
        <v>21</v>
      </c>
      <c r="O7081" s="12">
        <v>4.13</v>
      </c>
      <c r="P7081" s="12">
        <v>0.99</v>
      </c>
      <c r="Q7081" s="13">
        <v>36.01</v>
      </c>
      <c r="R7081" s="36" t="s">
        <v>1003</v>
      </c>
      <c r="S7081" s="7">
        <f t="shared" si="624"/>
        <v>0</v>
      </c>
      <c r="T7081" s="15" t="str">
        <f>VLOOKUP(R7081,产品分类!$C$2:$D$1278,2,0)</f>
        <v>数码电子</v>
      </c>
    </row>
    <row r="7082" spans="1:20">
      <c r="A7082" s="8">
        <f>DATE(2012,12,31)-1118</f>
        <v>40156</v>
      </c>
      <c r="B7082" s="8">
        <f>DATE(2012,12,31)-1118</f>
        <v>40156</v>
      </c>
      <c r="C7082" s="9" t="s">
        <v>1546</v>
      </c>
      <c r="D7082">
        <v>10021507216</v>
      </c>
      <c r="E7082" t="s">
        <v>47</v>
      </c>
      <c r="F7082" t="s">
        <v>102</v>
      </c>
      <c r="G7082" t="s">
        <v>103</v>
      </c>
      <c r="H7082" t="s">
        <v>2560</v>
      </c>
      <c r="I7082" t="s">
        <v>2561</v>
      </c>
      <c r="J7082" t="s">
        <v>668</v>
      </c>
      <c r="K7082" s="3">
        <v>100815432672</v>
      </c>
      <c r="L7082" s="10">
        <v>40157</v>
      </c>
      <c r="M7082">
        <v>64.0305</v>
      </c>
      <c r="N7082" s="11">
        <v>9</v>
      </c>
      <c r="O7082" s="12">
        <v>7.99</v>
      </c>
      <c r="P7082" s="12">
        <v>5.03</v>
      </c>
      <c r="Q7082" s="13">
        <v>-58.344</v>
      </c>
      <c r="R7082" s="36" t="s">
        <v>1310</v>
      </c>
      <c r="S7082" s="7">
        <f t="shared" si="624"/>
        <v>1</v>
      </c>
      <c r="T7082" s="15" t="str">
        <f>VLOOKUP(R7082,产品分类!$C$2:$D$1278,2,0)</f>
        <v>办公用品</v>
      </c>
    </row>
    <row r="7083" spans="1:20">
      <c r="A7083" s="8">
        <f>DATE(2012,12,31)-844</f>
        <v>40430</v>
      </c>
      <c r="B7083" s="8">
        <f>DATE(2012,12,31)-844</f>
        <v>40430</v>
      </c>
      <c r="C7083" s="9" t="s">
        <v>1546</v>
      </c>
      <c r="D7083">
        <v>10021521346</v>
      </c>
      <c r="E7083" t="s">
        <v>47</v>
      </c>
      <c r="F7083" t="s">
        <v>102</v>
      </c>
      <c r="G7083" t="s">
        <v>103</v>
      </c>
      <c r="H7083" t="s">
        <v>2560</v>
      </c>
      <c r="I7083" t="s">
        <v>2561</v>
      </c>
      <c r="J7083" t="s">
        <v>668</v>
      </c>
      <c r="K7083" s="3">
        <v>10091226901</v>
      </c>
      <c r="L7083" s="10">
        <v>40431</v>
      </c>
      <c r="M7083">
        <v>470.39</v>
      </c>
      <c r="N7083" s="11">
        <v>19</v>
      </c>
      <c r="O7083" s="12">
        <v>26.31</v>
      </c>
      <c r="P7083" s="12">
        <v>5.89</v>
      </c>
      <c r="Q7083" s="13">
        <v>-147.99</v>
      </c>
      <c r="R7083" s="36" t="s">
        <v>1728</v>
      </c>
      <c r="S7083" s="7">
        <f t="shared" si="624"/>
        <v>1</v>
      </c>
      <c r="T7083" s="15" t="str">
        <f>VLOOKUP(R7083,产品分类!$C$2:$D$1278,2,0)</f>
        <v>家具产品</v>
      </c>
    </row>
    <row r="7084" spans="1:20">
      <c r="A7084" s="8">
        <f>DATE(2012,12,31)-844</f>
        <v>40430</v>
      </c>
      <c r="B7084" s="8">
        <f>DATE(2012,12,31)-844</f>
        <v>40430</v>
      </c>
      <c r="C7084" s="9" t="s">
        <v>1505</v>
      </c>
      <c r="D7084">
        <v>10021587815</v>
      </c>
      <c r="E7084" t="s">
        <v>47</v>
      </c>
      <c r="F7084" t="s">
        <v>102</v>
      </c>
      <c r="G7084" t="s">
        <v>103</v>
      </c>
      <c r="H7084" t="s">
        <v>2560</v>
      </c>
      <c r="I7084" t="s">
        <v>2561</v>
      </c>
      <c r="J7084" t="s">
        <v>668</v>
      </c>
      <c r="K7084" s="3">
        <v>100130085626</v>
      </c>
      <c r="L7084" s="10">
        <v>40430</v>
      </c>
      <c r="M7084">
        <v>15.04</v>
      </c>
      <c r="N7084" s="11">
        <v>2</v>
      </c>
      <c r="O7084" s="12">
        <v>7.31</v>
      </c>
      <c r="P7084" s="12">
        <v>0.49</v>
      </c>
      <c r="Q7084" s="13">
        <v>-6.12</v>
      </c>
      <c r="R7084" s="36" t="s">
        <v>2428</v>
      </c>
      <c r="S7084" s="7">
        <f t="shared" si="624"/>
        <v>0</v>
      </c>
      <c r="T7084" s="15" t="str">
        <f>VLOOKUP(R7084,产品分类!$C$2:$D$1278,2,0)</f>
        <v>数码电子</v>
      </c>
    </row>
    <row r="7085" spans="1:20">
      <c r="A7085" s="8">
        <f>DATE(2012,12,31)-172</f>
        <v>41102</v>
      </c>
      <c r="B7085" s="8">
        <f>DATE(2012,12,31)-172</f>
        <v>41102</v>
      </c>
      <c r="C7085" s="9" t="s">
        <v>1505</v>
      </c>
      <c r="D7085">
        <v>10021453076</v>
      </c>
      <c r="E7085" t="s">
        <v>47</v>
      </c>
      <c r="F7085" t="s">
        <v>102</v>
      </c>
      <c r="G7085" t="s">
        <v>103</v>
      </c>
      <c r="H7085" t="s">
        <v>2560</v>
      </c>
      <c r="I7085" t="s">
        <v>2561</v>
      </c>
      <c r="J7085" t="s">
        <v>668</v>
      </c>
      <c r="K7085" s="3">
        <v>100931782271</v>
      </c>
      <c r="L7085" s="10">
        <v>41104</v>
      </c>
      <c r="M7085">
        <v>128.5</v>
      </c>
      <c r="N7085" s="11">
        <v>17</v>
      </c>
      <c r="O7085" s="12">
        <v>6.68</v>
      </c>
      <c r="P7085" s="12">
        <v>6.93</v>
      </c>
      <c r="Q7085" s="13">
        <v>-44.69</v>
      </c>
      <c r="R7085" s="36" t="s">
        <v>903</v>
      </c>
      <c r="S7085" s="7">
        <f t="shared" si="624"/>
        <v>2</v>
      </c>
      <c r="T7085" s="15" t="str">
        <f>VLOOKUP(R7085,产品分类!$C$2:$D$1278,2,0)</f>
        <v>家具产品</v>
      </c>
    </row>
    <row r="7086" spans="1:20">
      <c r="A7086" s="8">
        <f>DATE(2012,12,31)-1018</f>
        <v>40256</v>
      </c>
      <c r="B7086" s="8">
        <f>DATE(2012,12,31)-1018</f>
        <v>40256</v>
      </c>
      <c r="C7086" s="9" t="s">
        <v>1230</v>
      </c>
      <c r="D7086">
        <v>10021386869</v>
      </c>
      <c r="E7086" t="s">
        <v>47</v>
      </c>
      <c r="F7086" t="s">
        <v>137</v>
      </c>
      <c r="G7086" t="s">
        <v>138</v>
      </c>
      <c r="H7086" t="s">
        <v>2504</v>
      </c>
      <c r="I7086" t="s">
        <v>2505</v>
      </c>
      <c r="J7086" t="s">
        <v>668</v>
      </c>
      <c r="K7086" s="3">
        <v>100912995031</v>
      </c>
      <c r="L7086" s="10">
        <v>40261</v>
      </c>
      <c r="M7086">
        <v>2422.721</v>
      </c>
      <c r="N7086" s="11">
        <v>46</v>
      </c>
      <c r="O7086" s="12">
        <v>65.99</v>
      </c>
      <c r="P7086" s="12">
        <v>8.99</v>
      </c>
      <c r="Q7086" s="13">
        <v>366.183</v>
      </c>
      <c r="R7086" s="36" t="s">
        <v>1742</v>
      </c>
      <c r="S7086" s="7">
        <f t="shared" si="624"/>
        <v>5</v>
      </c>
      <c r="T7086" s="15" t="str">
        <f>VLOOKUP(R7086,产品分类!$C$2:$D$1278,2,0)</f>
        <v>家具产品</v>
      </c>
    </row>
    <row r="7087" spans="1:20">
      <c r="A7087" s="8">
        <f>DATE(2012,12,31)-325</f>
        <v>40949</v>
      </c>
      <c r="B7087" s="8">
        <f>DATE(2012,12,31)-325</f>
        <v>40949</v>
      </c>
      <c r="C7087" s="9" t="s">
        <v>425</v>
      </c>
      <c r="D7087">
        <v>10021510649</v>
      </c>
      <c r="E7087" t="s">
        <v>47</v>
      </c>
      <c r="F7087" t="s">
        <v>208</v>
      </c>
      <c r="G7087" t="s">
        <v>209</v>
      </c>
      <c r="H7087" t="s">
        <v>2300</v>
      </c>
      <c r="I7087" t="s">
        <v>2301</v>
      </c>
      <c r="J7087" t="s">
        <v>668</v>
      </c>
      <c r="K7087" s="3">
        <v>100932689481</v>
      </c>
      <c r="L7087" s="10">
        <v>40950</v>
      </c>
      <c r="M7087">
        <v>638.72</v>
      </c>
      <c r="N7087" s="11">
        <v>20</v>
      </c>
      <c r="O7087" s="12">
        <v>32.98</v>
      </c>
      <c r="P7087" s="12">
        <v>5.5</v>
      </c>
      <c r="Q7087" s="13">
        <v>-130.88</v>
      </c>
      <c r="R7087" s="36" t="s">
        <v>1307</v>
      </c>
      <c r="S7087" s="7">
        <f t="shared" si="624"/>
        <v>1</v>
      </c>
      <c r="T7087" s="15" t="str">
        <f>VLOOKUP(R7087,产品分类!$C$2:$D$1278,2,0)</f>
        <v>办公用品</v>
      </c>
    </row>
    <row r="7088" spans="1:20">
      <c r="A7088" s="8">
        <f>DATE(2012,12,31)-1176</f>
        <v>40098</v>
      </c>
      <c r="B7088" s="8">
        <f>DATE(2012,12,31)-1176</f>
        <v>40098</v>
      </c>
      <c r="C7088" s="9" t="s">
        <v>1726</v>
      </c>
      <c r="D7088">
        <v>10021370625</v>
      </c>
      <c r="E7088" t="s">
        <v>47</v>
      </c>
      <c r="F7088" t="s">
        <v>102</v>
      </c>
      <c r="G7088" t="s">
        <v>103</v>
      </c>
      <c r="H7088" t="s">
        <v>2560</v>
      </c>
      <c r="I7088" t="s">
        <v>2561</v>
      </c>
      <c r="J7088" t="s">
        <v>668</v>
      </c>
      <c r="K7088" s="3">
        <v>100428464853</v>
      </c>
      <c r="L7088" s="10">
        <v>40105</v>
      </c>
      <c r="M7088">
        <v>487.72</v>
      </c>
      <c r="N7088" s="11">
        <v>4</v>
      </c>
      <c r="O7088" s="12">
        <v>119.99</v>
      </c>
      <c r="P7088" s="12">
        <v>14</v>
      </c>
      <c r="Q7088" s="13">
        <v>-192.2961</v>
      </c>
      <c r="R7088" s="36" t="s">
        <v>884</v>
      </c>
      <c r="S7088" s="7">
        <f t="shared" si="624"/>
        <v>7</v>
      </c>
      <c r="T7088" s="15" t="str">
        <f>VLOOKUP(R7088,产品分类!$C$2:$D$1278,2,0)</f>
        <v>办公用品</v>
      </c>
    </row>
    <row r="7089" spans="1:20">
      <c r="A7089" s="8">
        <f>DATE(2012,12,31)-660</f>
        <v>40614</v>
      </c>
      <c r="B7089" s="8">
        <f>DATE(2012,12,31)-660</f>
        <v>40614</v>
      </c>
      <c r="C7089" s="9" t="s">
        <v>2354</v>
      </c>
      <c r="D7089">
        <v>10021631476</v>
      </c>
      <c r="E7089" t="s">
        <v>47</v>
      </c>
      <c r="F7089" t="s">
        <v>304</v>
      </c>
      <c r="G7089" t="s">
        <v>305</v>
      </c>
      <c r="H7089" t="s">
        <v>2527</v>
      </c>
      <c r="I7089" t="s">
        <v>2528</v>
      </c>
      <c r="J7089" t="s">
        <v>668</v>
      </c>
      <c r="K7089" s="3">
        <v>100132649998</v>
      </c>
      <c r="L7089" s="10">
        <v>40616</v>
      </c>
      <c r="M7089">
        <v>8673.9</v>
      </c>
      <c r="N7089" s="11">
        <v>23</v>
      </c>
      <c r="O7089" s="12">
        <v>387.99</v>
      </c>
      <c r="P7089" s="12">
        <v>19.99</v>
      </c>
      <c r="Q7089" s="13">
        <v>3440.052</v>
      </c>
      <c r="R7089" s="36" t="s">
        <v>1009</v>
      </c>
      <c r="S7089" s="7">
        <f t="shared" si="624"/>
        <v>2</v>
      </c>
      <c r="T7089" s="15" t="str">
        <f>VLOOKUP(R7089,产品分类!$C$2:$D$1278,2,0)</f>
        <v>数码电子</v>
      </c>
    </row>
    <row r="7090" spans="1:20">
      <c r="A7090" s="8">
        <f>DATE(2012,12,31)-534</f>
        <v>40740</v>
      </c>
      <c r="B7090" s="8">
        <f>DATE(2012,12,31)-534</f>
        <v>40740</v>
      </c>
      <c r="C7090" s="9" t="s">
        <v>1971</v>
      </c>
      <c r="D7090">
        <v>10021512107</v>
      </c>
      <c r="E7090" t="s">
        <v>47</v>
      </c>
      <c r="F7090" t="s">
        <v>208</v>
      </c>
      <c r="G7090" t="s">
        <v>209</v>
      </c>
      <c r="H7090" t="s">
        <v>2300</v>
      </c>
      <c r="I7090" t="s">
        <v>2301</v>
      </c>
      <c r="J7090" t="s">
        <v>668</v>
      </c>
      <c r="K7090" s="3">
        <v>100132753677</v>
      </c>
      <c r="L7090" s="10">
        <v>40742</v>
      </c>
      <c r="M7090">
        <v>255.65</v>
      </c>
      <c r="N7090" s="11">
        <v>47</v>
      </c>
      <c r="O7090" s="12">
        <v>4.97</v>
      </c>
      <c r="P7090" s="12">
        <v>5.71</v>
      </c>
      <c r="Q7090" s="13">
        <v>-148.8</v>
      </c>
      <c r="R7090" s="36" t="s">
        <v>1101</v>
      </c>
      <c r="S7090" s="7">
        <f t="shared" si="624"/>
        <v>2</v>
      </c>
      <c r="T7090" s="15" t="str">
        <f>VLOOKUP(R7090,产品分类!$C$2:$D$1278,2,0)</f>
        <v>家具产品</v>
      </c>
    </row>
    <row r="7091" spans="1:20">
      <c r="A7091" s="8">
        <f t="shared" ref="A7091:B7093" si="627">DATE(2012,12,31)-1375</f>
        <v>39899</v>
      </c>
      <c r="B7091" s="8">
        <f t="shared" si="627"/>
        <v>39899</v>
      </c>
      <c r="C7091" s="9" t="s">
        <v>1971</v>
      </c>
      <c r="D7091">
        <v>10021363430</v>
      </c>
      <c r="E7091" t="s">
        <v>47</v>
      </c>
      <c r="F7091" t="s">
        <v>91</v>
      </c>
      <c r="G7091" t="s">
        <v>92</v>
      </c>
      <c r="H7091" t="s">
        <v>2556</v>
      </c>
      <c r="I7091" t="s">
        <v>2557</v>
      </c>
      <c r="J7091" t="s">
        <v>668</v>
      </c>
      <c r="K7091" s="3">
        <v>1004531713</v>
      </c>
      <c r="L7091" s="10">
        <v>39901</v>
      </c>
      <c r="M7091">
        <v>286.07</v>
      </c>
      <c r="N7091" s="11">
        <v>25</v>
      </c>
      <c r="O7091" s="12">
        <v>11.97</v>
      </c>
      <c r="P7091" s="12">
        <v>4.98</v>
      </c>
      <c r="Q7091" s="13">
        <v>-35.94</v>
      </c>
      <c r="R7091" s="36" t="s">
        <v>2179</v>
      </c>
      <c r="S7091" s="7">
        <f t="shared" si="624"/>
        <v>2</v>
      </c>
      <c r="T7091" s="15" t="str">
        <f>VLOOKUP(R7091,产品分类!$C$2:$D$1278,2,0)</f>
        <v>家具产品</v>
      </c>
    </row>
    <row r="7092" spans="1:20">
      <c r="A7092" s="8">
        <f t="shared" si="627"/>
        <v>39899</v>
      </c>
      <c r="B7092" s="8">
        <f t="shared" si="627"/>
        <v>39899</v>
      </c>
      <c r="C7092" s="9" t="s">
        <v>481</v>
      </c>
      <c r="D7092">
        <v>10021741321</v>
      </c>
      <c r="E7092" t="s">
        <v>47</v>
      </c>
      <c r="F7092" t="s">
        <v>527</v>
      </c>
      <c r="G7092" t="s">
        <v>528</v>
      </c>
      <c r="H7092" t="s">
        <v>2513</v>
      </c>
      <c r="I7092" t="s">
        <v>2514</v>
      </c>
      <c r="J7092" t="s">
        <v>668</v>
      </c>
      <c r="K7092" s="3">
        <v>100722826415</v>
      </c>
      <c r="L7092" s="10">
        <v>39901</v>
      </c>
      <c r="M7092">
        <v>733.92</v>
      </c>
      <c r="N7092" s="11">
        <v>26</v>
      </c>
      <c r="O7092" s="12">
        <v>28.53</v>
      </c>
      <c r="P7092" s="12">
        <v>1.49</v>
      </c>
      <c r="Q7092" s="13">
        <v>302.804</v>
      </c>
      <c r="R7092" s="36" t="s">
        <v>2250</v>
      </c>
      <c r="S7092" s="7">
        <f t="shared" si="624"/>
        <v>2</v>
      </c>
      <c r="T7092" s="15" t="str">
        <f>VLOOKUP(R7092,产品分类!$C$2:$D$1278,2,0)</f>
        <v>数码电子</v>
      </c>
    </row>
    <row r="7093" spans="1:20">
      <c r="A7093" s="8">
        <f t="shared" si="627"/>
        <v>39899</v>
      </c>
      <c r="B7093" s="8">
        <f t="shared" si="627"/>
        <v>39899</v>
      </c>
      <c r="C7093" s="9" t="s">
        <v>225</v>
      </c>
      <c r="D7093">
        <v>10021510218</v>
      </c>
      <c r="E7093" t="s">
        <v>47</v>
      </c>
      <c r="F7093" t="s">
        <v>171</v>
      </c>
      <c r="G7093" t="s">
        <v>172</v>
      </c>
      <c r="H7093" t="s">
        <v>2486</v>
      </c>
      <c r="I7093" t="s">
        <v>2310</v>
      </c>
      <c r="J7093" t="s">
        <v>668</v>
      </c>
      <c r="K7093" s="3">
        <v>100327336829</v>
      </c>
      <c r="L7093" s="10">
        <v>39901</v>
      </c>
      <c r="M7093">
        <v>99.11</v>
      </c>
      <c r="N7093" s="11">
        <v>6</v>
      </c>
      <c r="O7093" s="12">
        <v>15.28</v>
      </c>
      <c r="P7093" s="12">
        <v>1.99</v>
      </c>
      <c r="Q7093" s="13">
        <v>-12.46</v>
      </c>
      <c r="R7093" s="36" t="s">
        <v>1840</v>
      </c>
      <c r="S7093" s="7">
        <f t="shared" si="624"/>
        <v>2</v>
      </c>
      <c r="T7093" s="15" t="str">
        <f>VLOOKUP(R7093,产品分类!$C$2:$D$1278,2,0)</f>
        <v>家具产品</v>
      </c>
    </row>
    <row r="7094" spans="1:20">
      <c r="A7094" s="8">
        <f>DATE(2012,12,31)-86</f>
        <v>41188</v>
      </c>
      <c r="B7094" s="8">
        <f>DATE(2012,12,31)-86</f>
        <v>41188</v>
      </c>
      <c r="C7094" s="9" t="s">
        <v>225</v>
      </c>
      <c r="D7094">
        <v>10021628231</v>
      </c>
      <c r="E7094" t="s">
        <v>47</v>
      </c>
      <c r="F7094" t="s">
        <v>171</v>
      </c>
      <c r="G7094" t="s">
        <v>172</v>
      </c>
      <c r="H7094" t="s">
        <v>2486</v>
      </c>
      <c r="I7094" t="s">
        <v>2310</v>
      </c>
      <c r="J7094" t="s">
        <v>668</v>
      </c>
      <c r="K7094" s="3">
        <v>100430130544</v>
      </c>
      <c r="L7094" s="10">
        <v>41190</v>
      </c>
      <c r="M7094">
        <v>5518.5315</v>
      </c>
      <c r="N7094" s="11">
        <v>34</v>
      </c>
      <c r="O7094" s="12">
        <v>205.99</v>
      </c>
      <c r="P7094" s="12">
        <v>8.99</v>
      </c>
      <c r="Q7094" s="13">
        <v>1111.257</v>
      </c>
      <c r="R7094" s="36" t="s">
        <v>1785</v>
      </c>
      <c r="S7094" s="7">
        <f t="shared" si="624"/>
        <v>2</v>
      </c>
      <c r="T7094" s="15" t="str">
        <f>VLOOKUP(R7094,产品分类!$C$2:$D$1278,2,0)</f>
        <v>数码电子</v>
      </c>
    </row>
    <row r="7095" spans="1:20">
      <c r="A7095" s="8">
        <f>DATE(2012,12,31)-328</f>
        <v>40946</v>
      </c>
      <c r="B7095" s="8">
        <f>DATE(2012,12,31)-328</f>
        <v>40946</v>
      </c>
      <c r="C7095" s="9" t="s">
        <v>1672</v>
      </c>
      <c r="D7095">
        <v>10021332395</v>
      </c>
      <c r="E7095" t="s">
        <v>47</v>
      </c>
      <c r="F7095" t="s">
        <v>177</v>
      </c>
      <c r="G7095" t="s">
        <v>178</v>
      </c>
      <c r="H7095" t="s">
        <v>2566</v>
      </c>
      <c r="I7095" t="s">
        <v>2396</v>
      </c>
      <c r="J7095" t="s">
        <v>668</v>
      </c>
      <c r="K7095" s="3">
        <v>10049687424</v>
      </c>
      <c r="L7095" s="10">
        <v>40947</v>
      </c>
      <c r="M7095">
        <v>1635.29</v>
      </c>
      <c r="N7095" s="11">
        <v>6</v>
      </c>
      <c r="O7095" s="12">
        <v>276.2</v>
      </c>
      <c r="P7095" s="12">
        <v>24.49</v>
      </c>
      <c r="Q7095" s="13">
        <v>7.92000000000007</v>
      </c>
      <c r="R7095" s="36" t="s">
        <v>1235</v>
      </c>
      <c r="S7095" s="7">
        <f t="shared" si="624"/>
        <v>1</v>
      </c>
      <c r="T7095" s="15" t="str">
        <f>VLOOKUP(R7095,产品分类!$C$2:$D$1278,2,0)</f>
        <v>办公用品</v>
      </c>
    </row>
    <row r="7096" spans="1:20">
      <c r="A7096" s="8">
        <f>DATE(2012,12,31)-328</f>
        <v>40946</v>
      </c>
      <c r="B7096" s="8">
        <f>DATE(2012,12,31)-328</f>
        <v>40946</v>
      </c>
      <c r="C7096" s="9" t="s">
        <v>1672</v>
      </c>
      <c r="D7096">
        <v>10021370609</v>
      </c>
      <c r="E7096" t="s">
        <v>47</v>
      </c>
      <c r="F7096" t="s">
        <v>171</v>
      </c>
      <c r="G7096" t="s">
        <v>172</v>
      </c>
      <c r="H7096" t="s">
        <v>2486</v>
      </c>
      <c r="I7096" t="s">
        <v>2310</v>
      </c>
      <c r="J7096" t="s">
        <v>668</v>
      </c>
      <c r="K7096" s="3">
        <v>100427568534</v>
      </c>
      <c r="L7096" s="10">
        <v>40947</v>
      </c>
      <c r="M7096">
        <v>316.35</v>
      </c>
      <c r="N7096" s="11">
        <v>37</v>
      </c>
      <c r="O7096" s="12">
        <v>8.12</v>
      </c>
      <c r="P7096" s="12">
        <v>2.83</v>
      </c>
      <c r="Q7096" s="13">
        <v>-52.18</v>
      </c>
      <c r="R7096" s="36" t="s">
        <v>614</v>
      </c>
      <c r="S7096" s="7">
        <f t="shared" si="624"/>
        <v>1</v>
      </c>
      <c r="T7096" s="15" t="str">
        <f>VLOOKUP(R7096,产品分类!$C$2:$D$1278,2,0)</f>
        <v>办公用品</v>
      </c>
    </row>
    <row r="7097" spans="1:20">
      <c r="A7097" s="8">
        <f>DATE(2012,12,31)-1259</f>
        <v>40015</v>
      </c>
      <c r="B7097" s="8">
        <f>DATE(2012,12,31)-1259</f>
        <v>40015</v>
      </c>
      <c r="C7097" s="9" t="s">
        <v>1672</v>
      </c>
      <c r="D7097">
        <v>10021593170</v>
      </c>
      <c r="E7097" t="s">
        <v>47</v>
      </c>
      <c r="F7097" t="s">
        <v>171</v>
      </c>
      <c r="G7097" t="s">
        <v>172</v>
      </c>
      <c r="H7097" t="s">
        <v>2486</v>
      </c>
      <c r="I7097" t="s">
        <v>2310</v>
      </c>
      <c r="J7097" t="s">
        <v>668</v>
      </c>
      <c r="K7097" s="3">
        <v>100731052405</v>
      </c>
      <c r="L7097" s="10">
        <v>40020</v>
      </c>
      <c r="M7097">
        <v>1244.72</v>
      </c>
      <c r="N7097" s="11">
        <v>12</v>
      </c>
      <c r="O7097" s="12">
        <v>100.98</v>
      </c>
      <c r="P7097" s="12">
        <v>7.18</v>
      </c>
      <c r="Q7097" s="13">
        <v>269.94</v>
      </c>
      <c r="R7097" s="36" t="s">
        <v>883</v>
      </c>
      <c r="S7097" s="7">
        <f t="shared" si="624"/>
        <v>5</v>
      </c>
      <c r="T7097" s="15" t="str">
        <f>VLOOKUP(R7097,产品分类!$C$2:$D$1278,2,0)</f>
        <v>家具产品</v>
      </c>
    </row>
    <row r="7098" spans="1:20">
      <c r="A7098" s="8">
        <f>DATE(2012,12,31)-88</f>
        <v>41186</v>
      </c>
      <c r="B7098" s="8">
        <f>DATE(2012,12,31)-88</f>
        <v>41186</v>
      </c>
      <c r="C7098" s="9" t="s">
        <v>1672</v>
      </c>
      <c r="D7098">
        <v>10021595017</v>
      </c>
      <c r="E7098" t="s">
        <v>47</v>
      </c>
      <c r="F7098" t="s">
        <v>527</v>
      </c>
      <c r="G7098" t="s">
        <v>528</v>
      </c>
      <c r="H7098" t="s">
        <v>2567</v>
      </c>
      <c r="I7098" t="s">
        <v>2568</v>
      </c>
      <c r="J7098" t="s">
        <v>668</v>
      </c>
      <c r="K7098" s="3">
        <v>10011614747</v>
      </c>
      <c r="L7098" s="10">
        <v>41191</v>
      </c>
      <c r="M7098">
        <v>307.37</v>
      </c>
      <c r="N7098" s="11">
        <v>47</v>
      </c>
      <c r="O7098" s="12">
        <v>6.48</v>
      </c>
      <c r="P7098" s="12">
        <v>9.17</v>
      </c>
      <c r="Q7098" s="13">
        <v>-249.27</v>
      </c>
      <c r="R7098" s="36" t="s">
        <v>1023</v>
      </c>
      <c r="S7098" s="7">
        <f t="shared" si="624"/>
        <v>5</v>
      </c>
      <c r="T7098" s="15" t="str">
        <f>VLOOKUP(R7098,产品分类!$C$2:$D$1278,2,0)</f>
        <v>家具产品</v>
      </c>
    </row>
    <row r="7099" spans="1:20">
      <c r="A7099" s="8">
        <f>DATE(2012,12,31)-1335</f>
        <v>39939</v>
      </c>
      <c r="B7099" s="8">
        <f>DATE(2012,12,31)-1335</f>
        <v>39939</v>
      </c>
      <c r="C7099" s="9" t="s">
        <v>526</v>
      </c>
      <c r="D7099">
        <v>10021586966</v>
      </c>
      <c r="E7099" t="s">
        <v>47</v>
      </c>
      <c r="F7099" t="s">
        <v>171</v>
      </c>
      <c r="G7099" t="s">
        <v>172</v>
      </c>
      <c r="H7099" t="s">
        <v>2486</v>
      </c>
      <c r="I7099" t="s">
        <v>2310</v>
      </c>
      <c r="J7099" t="s">
        <v>668</v>
      </c>
      <c r="K7099" s="3">
        <v>100929549921</v>
      </c>
      <c r="L7099" s="10">
        <v>39941</v>
      </c>
      <c r="M7099">
        <v>1599.54</v>
      </c>
      <c r="N7099" s="11">
        <v>37</v>
      </c>
      <c r="O7099" s="12">
        <v>40.98</v>
      </c>
      <c r="P7099" s="12">
        <v>7.47</v>
      </c>
      <c r="Q7099" s="13">
        <v>578.1445</v>
      </c>
      <c r="R7099" s="36" t="s">
        <v>1739</v>
      </c>
      <c r="S7099" s="7">
        <f t="shared" si="624"/>
        <v>2</v>
      </c>
      <c r="T7099" s="15" t="str">
        <f>VLOOKUP(R7099,产品分类!$C$2:$D$1278,2,0)</f>
        <v>家具产品</v>
      </c>
    </row>
    <row r="7100" spans="1:20">
      <c r="A7100" s="8">
        <f>DATE(2012,12,31)-1335</f>
        <v>39939</v>
      </c>
      <c r="B7100" s="8">
        <f>DATE(2012,12,31)-1335</f>
        <v>39939</v>
      </c>
      <c r="C7100" s="9" t="s">
        <v>526</v>
      </c>
      <c r="D7100">
        <v>10021739283</v>
      </c>
      <c r="E7100" t="s">
        <v>47</v>
      </c>
      <c r="F7100" t="s">
        <v>171</v>
      </c>
      <c r="G7100" t="s">
        <v>172</v>
      </c>
      <c r="H7100" t="s">
        <v>2486</v>
      </c>
      <c r="I7100" t="s">
        <v>2310</v>
      </c>
      <c r="J7100" t="s">
        <v>668</v>
      </c>
      <c r="K7100" s="3">
        <v>100115108096</v>
      </c>
      <c r="L7100" s="10">
        <v>39940</v>
      </c>
      <c r="M7100">
        <v>942.42</v>
      </c>
      <c r="N7100" s="11">
        <v>2</v>
      </c>
      <c r="O7100" s="12">
        <v>417.4</v>
      </c>
      <c r="P7100" s="12">
        <v>75.23</v>
      </c>
      <c r="Q7100" s="13">
        <v>-634.8654</v>
      </c>
      <c r="R7100" s="36" t="s">
        <v>1451</v>
      </c>
      <c r="S7100" s="7">
        <f t="shared" si="624"/>
        <v>1</v>
      </c>
      <c r="T7100" s="15" t="str">
        <f>VLOOKUP(R7100,产品分类!$C$2:$D$1278,2,0)</f>
        <v>办公用品</v>
      </c>
    </row>
    <row r="7101" spans="1:20">
      <c r="A7101" s="16">
        <f>DATE(2012,12,31)-568</f>
        <v>40706</v>
      </c>
      <c r="B7101" s="16">
        <f>DATE(2012,12,31)-568</f>
        <v>40706</v>
      </c>
      <c r="C7101" s="9" t="s">
        <v>526</v>
      </c>
      <c r="D7101">
        <v>10021332991</v>
      </c>
      <c r="E7101" t="s">
        <v>47</v>
      </c>
      <c r="F7101" t="s">
        <v>167</v>
      </c>
      <c r="G7101" t="s">
        <v>168</v>
      </c>
      <c r="H7101" t="s">
        <v>169</v>
      </c>
      <c r="I7101" t="s">
        <v>168</v>
      </c>
      <c r="J7101" t="s">
        <v>668</v>
      </c>
      <c r="K7101" s="3">
        <v>1004297534</v>
      </c>
      <c r="L7101" s="10">
        <v>40707</v>
      </c>
      <c r="M7101">
        <v>188.47</v>
      </c>
      <c r="N7101" s="17">
        <v>24</v>
      </c>
      <c r="O7101" s="5">
        <v>7.38</v>
      </c>
      <c r="P7101" s="5">
        <v>11.51</v>
      </c>
      <c r="Q7101" s="6">
        <v>-191.2335</v>
      </c>
      <c r="R7101" s="37" t="s">
        <v>986</v>
      </c>
      <c r="S7101" s="7">
        <f t="shared" si="624"/>
        <v>1</v>
      </c>
      <c r="T7101" s="15" t="str">
        <f>VLOOKUP(R7101,产品分类!$C$2:$D$1278,2,0)</f>
        <v>办公用品</v>
      </c>
    </row>
    <row r="7102" spans="1:20">
      <c r="A7102" s="8">
        <f t="shared" ref="A7102:B7104" si="628">DATE(2012,12,31)-380</f>
        <v>40894</v>
      </c>
      <c r="B7102" s="8">
        <f t="shared" si="628"/>
        <v>40894</v>
      </c>
      <c r="C7102" s="9" t="s">
        <v>386</v>
      </c>
      <c r="D7102">
        <v>10021748756</v>
      </c>
      <c r="E7102" t="s">
        <v>47</v>
      </c>
      <c r="F7102" t="s">
        <v>177</v>
      </c>
      <c r="G7102" t="s">
        <v>178</v>
      </c>
      <c r="H7102" t="s">
        <v>2566</v>
      </c>
      <c r="I7102" t="s">
        <v>2396</v>
      </c>
      <c r="J7102" t="s">
        <v>668</v>
      </c>
      <c r="K7102" s="3">
        <v>100830298332</v>
      </c>
      <c r="L7102" s="10">
        <v>40894</v>
      </c>
      <c r="M7102">
        <v>137.5</v>
      </c>
      <c r="N7102" s="11">
        <v>27</v>
      </c>
      <c r="O7102" s="12">
        <v>4.98</v>
      </c>
      <c r="P7102" s="12">
        <v>4.95</v>
      </c>
      <c r="Q7102" s="13">
        <v>-64.239</v>
      </c>
      <c r="R7102" s="36" t="s">
        <v>568</v>
      </c>
      <c r="S7102" s="7">
        <f t="shared" si="624"/>
        <v>0</v>
      </c>
      <c r="T7102" s="15" t="str">
        <f>VLOOKUP(R7102,产品分类!$C$2:$D$1278,2,0)</f>
        <v>家具产品</v>
      </c>
    </row>
    <row r="7103" spans="1:20">
      <c r="A7103" s="8">
        <f t="shared" si="628"/>
        <v>40894</v>
      </c>
      <c r="B7103" s="8">
        <f t="shared" si="628"/>
        <v>40894</v>
      </c>
      <c r="C7103" s="9" t="s">
        <v>1163</v>
      </c>
      <c r="D7103">
        <v>10021580977</v>
      </c>
      <c r="E7103" t="s">
        <v>47</v>
      </c>
      <c r="F7103" t="s">
        <v>177</v>
      </c>
      <c r="G7103" t="s">
        <v>178</v>
      </c>
      <c r="H7103" t="s">
        <v>2569</v>
      </c>
      <c r="I7103" t="s">
        <v>2570</v>
      </c>
      <c r="J7103" t="s">
        <v>668</v>
      </c>
      <c r="K7103" s="3">
        <v>100123801466</v>
      </c>
      <c r="L7103" s="10">
        <v>40896</v>
      </c>
      <c r="M7103">
        <v>5744.24</v>
      </c>
      <c r="N7103" s="11">
        <v>12</v>
      </c>
      <c r="O7103" s="12">
        <v>500.98</v>
      </c>
      <c r="P7103" s="12">
        <v>28.14</v>
      </c>
      <c r="Q7103" s="13">
        <v>1118.17</v>
      </c>
      <c r="R7103" s="36" t="s">
        <v>161</v>
      </c>
      <c r="S7103" s="7">
        <f t="shared" si="624"/>
        <v>2</v>
      </c>
      <c r="T7103" s="15" t="str">
        <f>VLOOKUP(R7103,产品分类!$C$2:$D$1278,2,0)</f>
        <v>办公用品</v>
      </c>
    </row>
    <row r="7104" spans="1:20">
      <c r="A7104" s="8">
        <f t="shared" si="628"/>
        <v>40894</v>
      </c>
      <c r="B7104" s="8">
        <f t="shared" si="628"/>
        <v>40894</v>
      </c>
      <c r="C7104" s="9" t="s">
        <v>2061</v>
      </c>
      <c r="D7104">
        <v>10021578891</v>
      </c>
      <c r="E7104" t="s">
        <v>47</v>
      </c>
      <c r="F7104" t="s">
        <v>177</v>
      </c>
      <c r="G7104" t="s">
        <v>178</v>
      </c>
      <c r="H7104" t="s">
        <v>2569</v>
      </c>
      <c r="I7104" t="s">
        <v>2570</v>
      </c>
      <c r="J7104" t="s">
        <v>668</v>
      </c>
      <c r="K7104" s="3">
        <v>100417776624</v>
      </c>
      <c r="L7104" s="10">
        <v>40894</v>
      </c>
      <c r="M7104">
        <v>452.15</v>
      </c>
      <c r="N7104" s="11">
        <v>42</v>
      </c>
      <c r="O7104" s="12">
        <v>10.98</v>
      </c>
      <c r="P7104" s="12">
        <v>3.37</v>
      </c>
      <c r="Q7104" s="13">
        <v>25.79</v>
      </c>
      <c r="R7104" s="36" t="s">
        <v>1679</v>
      </c>
      <c r="S7104" s="7">
        <f t="shared" si="624"/>
        <v>0</v>
      </c>
      <c r="T7104" s="15" t="str">
        <f>VLOOKUP(R7104,产品分类!$C$2:$D$1278,2,0)</f>
        <v>办公用品</v>
      </c>
    </row>
    <row r="7105" spans="1:20">
      <c r="A7105" s="8">
        <f>DATE(2012,12,31)-853</f>
        <v>40421</v>
      </c>
      <c r="B7105" s="8">
        <f>DATE(2012,12,31)-853</f>
        <v>40421</v>
      </c>
      <c r="C7105" s="9" t="s">
        <v>2061</v>
      </c>
      <c r="D7105">
        <v>10021371629</v>
      </c>
      <c r="E7105" t="s">
        <v>47</v>
      </c>
      <c r="F7105" t="s">
        <v>177</v>
      </c>
      <c r="G7105" t="s">
        <v>178</v>
      </c>
      <c r="H7105" t="s">
        <v>2569</v>
      </c>
      <c r="I7105" t="s">
        <v>2570</v>
      </c>
      <c r="J7105" t="s">
        <v>668</v>
      </c>
      <c r="K7105" s="3">
        <v>100732153925</v>
      </c>
      <c r="L7105" s="10">
        <v>40421</v>
      </c>
      <c r="M7105">
        <v>366.84</v>
      </c>
      <c r="N7105" s="11">
        <v>37</v>
      </c>
      <c r="O7105" s="12">
        <v>10.23</v>
      </c>
      <c r="P7105" s="12">
        <v>4.68</v>
      </c>
      <c r="Q7105" s="13">
        <v>-50.1</v>
      </c>
      <c r="R7105" s="36" t="s">
        <v>237</v>
      </c>
      <c r="S7105" s="7">
        <f t="shared" si="624"/>
        <v>0</v>
      </c>
      <c r="T7105" s="15" t="str">
        <f>VLOOKUP(R7105,产品分类!$C$2:$D$1278,2,0)</f>
        <v>数码电子</v>
      </c>
    </row>
    <row r="7106" spans="1:20">
      <c r="A7106" s="8">
        <f>DATE(2012,12,31)-213</f>
        <v>41061</v>
      </c>
      <c r="B7106" s="8">
        <f>DATE(2012,12,31)-213</f>
        <v>41061</v>
      </c>
      <c r="C7106" s="9" t="s">
        <v>243</v>
      </c>
      <c r="D7106">
        <v>10021583100</v>
      </c>
      <c r="E7106" t="s">
        <v>47</v>
      </c>
      <c r="F7106" t="s">
        <v>127</v>
      </c>
      <c r="G7106" t="s">
        <v>128</v>
      </c>
      <c r="H7106" t="s">
        <v>2554</v>
      </c>
      <c r="I7106" t="s">
        <v>2555</v>
      </c>
      <c r="J7106" t="s">
        <v>668</v>
      </c>
      <c r="K7106" s="3">
        <v>100115619198</v>
      </c>
      <c r="L7106" s="10">
        <v>41061</v>
      </c>
      <c r="M7106">
        <v>6739.92</v>
      </c>
      <c r="N7106" s="11">
        <v>35</v>
      </c>
      <c r="O7106" s="12">
        <v>180.98</v>
      </c>
      <c r="P7106" s="12">
        <v>30</v>
      </c>
      <c r="Q7106" s="13">
        <v>957.29</v>
      </c>
      <c r="R7106" s="36" t="s">
        <v>782</v>
      </c>
      <c r="S7106" s="7">
        <f t="shared" si="624"/>
        <v>0</v>
      </c>
      <c r="T7106" s="15" t="str">
        <f>VLOOKUP(R7106,产品分类!$C$2:$D$1278,2,0)</f>
        <v>办公用品</v>
      </c>
    </row>
    <row r="7107" spans="1:20">
      <c r="A7107" s="8">
        <f>DATE(2012,12,31)-181</f>
        <v>41093</v>
      </c>
      <c r="B7107" s="8">
        <f>DATE(2012,12,31)-181</f>
        <v>41093</v>
      </c>
      <c r="C7107" s="9" t="s">
        <v>419</v>
      </c>
      <c r="D7107">
        <v>10021333438</v>
      </c>
      <c r="E7107" t="s">
        <v>47</v>
      </c>
      <c r="F7107" t="s">
        <v>127</v>
      </c>
      <c r="G7107" t="s">
        <v>128</v>
      </c>
      <c r="H7107" t="s">
        <v>2554</v>
      </c>
      <c r="I7107" t="s">
        <v>2555</v>
      </c>
      <c r="J7107" t="s">
        <v>668</v>
      </c>
      <c r="K7107" s="3">
        <v>100110488658</v>
      </c>
      <c r="L7107" s="10">
        <v>41093</v>
      </c>
      <c r="M7107">
        <v>8551.544</v>
      </c>
      <c r="N7107" s="11">
        <v>49</v>
      </c>
      <c r="O7107" s="12">
        <v>195.99</v>
      </c>
      <c r="P7107" s="12">
        <v>8.99</v>
      </c>
      <c r="Q7107" s="13">
        <v>2763.126</v>
      </c>
      <c r="R7107" s="36" t="s">
        <v>1988</v>
      </c>
      <c r="S7107" s="7">
        <f t="shared" ref="S7107:S7170" si="629">+L7107-B7107</f>
        <v>0</v>
      </c>
      <c r="T7107" s="15" t="str">
        <f>VLOOKUP(R7107,产品分类!$C$2:$D$1278,2,0)</f>
        <v>办公用品</v>
      </c>
    </row>
    <row r="7108" spans="1:20">
      <c r="A7108" s="8">
        <f>DATE(2012,12,31)-1259</f>
        <v>40015</v>
      </c>
      <c r="B7108" s="8">
        <f>DATE(2012,12,31)-1259</f>
        <v>40015</v>
      </c>
      <c r="C7108" s="9" t="s">
        <v>419</v>
      </c>
      <c r="D7108">
        <v>10021719562</v>
      </c>
      <c r="E7108" t="s">
        <v>47</v>
      </c>
      <c r="F7108" t="s">
        <v>183</v>
      </c>
      <c r="G7108" t="s">
        <v>184</v>
      </c>
      <c r="H7108" t="s">
        <v>2552</v>
      </c>
      <c r="I7108" t="s">
        <v>2553</v>
      </c>
      <c r="J7108" t="s">
        <v>668</v>
      </c>
      <c r="K7108" s="3">
        <v>100122749718</v>
      </c>
      <c r="L7108" s="10">
        <v>40019</v>
      </c>
      <c r="M7108">
        <v>1422.31</v>
      </c>
      <c r="N7108" s="11">
        <v>33</v>
      </c>
      <c r="O7108" s="12">
        <v>43.98</v>
      </c>
      <c r="P7108" s="12">
        <v>1.99</v>
      </c>
      <c r="Q7108" s="13">
        <v>498.15</v>
      </c>
      <c r="R7108" s="36" t="s">
        <v>2243</v>
      </c>
      <c r="S7108" s="7">
        <f t="shared" si="629"/>
        <v>4</v>
      </c>
      <c r="T7108" s="15" t="str">
        <f>VLOOKUP(R7108,产品分类!$C$2:$D$1278,2,0)</f>
        <v>数码电子</v>
      </c>
    </row>
    <row r="7109" spans="1:20">
      <c r="A7109" s="8">
        <f>DATE(2012,12,31)-724</f>
        <v>40550</v>
      </c>
      <c r="B7109" s="8">
        <f>DATE(2012,12,31)-724</f>
        <v>40550</v>
      </c>
      <c r="C7109" s="9" t="s">
        <v>54</v>
      </c>
      <c r="D7109">
        <v>10021719014</v>
      </c>
      <c r="E7109" t="s">
        <v>47</v>
      </c>
      <c r="F7109" t="s">
        <v>253</v>
      </c>
      <c r="G7109" t="s">
        <v>254</v>
      </c>
      <c r="H7109" t="s">
        <v>2508</v>
      </c>
      <c r="I7109" t="s">
        <v>2509</v>
      </c>
      <c r="J7109" t="s">
        <v>668</v>
      </c>
      <c r="K7109" s="3">
        <v>100816217382</v>
      </c>
      <c r="L7109" s="10">
        <v>40552</v>
      </c>
      <c r="M7109">
        <v>834.0625</v>
      </c>
      <c r="N7109" s="11">
        <v>27</v>
      </c>
      <c r="O7109" s="12">
        <v>35.99</v>
      </c>
      <c r="P7109" s="12">
        <v>1.25</v>
      </c>
      <c r="Q7109" s="13">
        <v>192.294</v>
      </c>
      <c r="R7109" s="36" t="s">
        <v>1343</v>
      </c>
      <c r="S7109" s="7">
        <f t="shared" si="629"/>
        <v>2</v>
      </c>
      <c r="T7109" s="15" t="str">
        <f>VLOOKUP(R7109,产品分类!$C$2:$D$1278,2,0)</f>
        <v>办公用品</v>
      </c>
    </row>
    <row r="7110" spans="1:20">
      <c r="A7110" s="8">
        <f>DATE(2012,12,31)-696</f>
        <v>40578</v>
      </c>
      <c r="B7110" s="8">
        <f>DATE(2012,12,31)-696</f>
        <v>40578</v>
      </c>
      <c r="C7110" s="9" t="s">
        <v>54</v>
      </c>
      <c r="D7110">
        <v>10021312655</v>
      </c>
      <c r="E7110" t="s">
        <v>47</v>
      </c>
      <c r="F7110" t="s">
        <v>61</v>
      </c>
      <c r="G7110" t="s">
        <v>62</v>
      </c>
      <c r="H7110" t="s">
        <v>2546</v>
      </c>
      <c r="I7110" t="s">
        <v>2547</v>
      </c>
      <c r="J7110" t="s">
        <v>668</v>
      </c>
      <c r="K7110" s="3">
        <v>100112328266</v>
      </c>
      <c r="L7110" s="10">
        <v>40579</v>
      </c>
      <c r="M7110">
        <v>73.55</v>
      </c>
      <c r="N7110" s="11">
        <v>32</v>
      </c>
      <c r="O7110" s="12">
        <v>2.18</v>
      </c>
      <c r="P7110" s="12">
        <v>0.78</v>
      </c>
      <c r="Q7110" s="13">
        <v>7.95</v>
      </c>
      <c r="R7110" s="36" t="s">
        <v>971</v>
      </c>
      <c r="S7110" s="7">
        <f t="shared" si="629"/>
        <v>1</v>
      </c>
      <c r="T7110" s="15" t="str">
        <f>VLOOKUP(R7110,产品分类!$C$2:$D$1278,2,0)</f>
        <v>办公用品</v>
      </c>
    </row>
    <row r="7111" spans="1:20">
      <c r="A7111" s="8">
        <f>DATE(2012,12,31)-696</f>
        <v>40578</v>
      </c>
      <c r="B7111" s="8">
        <f>DATE(2012,12,31)-696</f>
        <v>40578</v>
      </c>
      <c r="C7111" s="9" t="s">
        <v>1985</v>
      </c>
      <c r="D7111">
        <v>10021261477</v>
      </c>
      <c r="E7111" t="s">
        <v>47</v>
      </c>
      <c r="F7111" t="s">
        <v>61</v>
      </c>
      <c r="G7111" t="s">
        <v>62</v>
      </c>
      <c r="H7111" t="s">
        <v>2546</v>
      </c>
      <c r="I7111" t="s">
        <v>2547</v>
      </c>
      <c r="J7111" t="s">
        <v>668</v>
      </c>
      <c r="K7111" s="3">
        <v>100729448625</v>
      </c>
      <c r="L7111" s="10">
        <v>40580</v>
      </c>
      <c r="M7111">
        <v>4804.0385</v>
      </c>
      <c r="N7111" s="11">
        <v>46</v>
      </c>
      <c r="O7111" s="12">
        <v>125.99</v>
      </c>
      <c r="P7111" s="12">
        <v>8.8</v>
      </c>
      <c r="Q7111" s="13">
        <v>1077.921</v>
      </c>
      <c r="R7111" s="36" t="s">
        <v>71</v>
      </c>
      <c r="S7111" s="7">
        <f t="shared" si="629"/>
        <v>2</v>
      </c>
      <c r="T7111" s="15" t="str">
        <f>VLOOKUP(R7111,产品分类!$C$2:$D$1278,2,0)</f>
        <v>办公用品</v>
      </c>
    </row>
    <row r="7112" spans="1:20">
      <c r="A7112" s="8">
        <f>DATE(2012,12,31)-1</f>
        <v>41273</v>
      </c>
      <c r="B7112" s="8">
        <f>DATE(2012,12,31)-1</f>
        <v>41273</v>
      </c>
      <c r="C7112" s="9" t="s">
        <v>428</v>
      </c>
      <c r="D7112">
        <v>10021611095</v>
      </c>
      <c r="E7112" t="s">
        <v>47</v>
      </c>
      <c r="F7112" t="s">
        <v>61</v>
      </c>
      <c r="G7112" t="s">
        <v>62</v>
      </c>
      <c r="H7112" t="s">
        <v>2546</v>
      </c>
      <c r="I7112" t="s">
        <v>2547</v>
      </c>
      <c r="J7112" t="s">
        <v>668</v>
      </c>
      <c r="K7112" s="3">
        <v>10038872799</v>
      </c>
      <c r="L7112" s="10">
        <v>41273</v>
      </c>
      <c r="M7112">
        <v>391.12</v>
      </c>
      <c r="N7112" s="11">
        <v>6</v>
      </c>
      <c r="O7112" s="12">
        <v>60.98</v>
      </c>
      <c r="P7112" s="12">
        <v>30</v>
      </c>
      <c r="Q7112" s="13">
        <v>-166.96</v>
      </c>
      <c r="R7112" s="36" t="s">
        <v>1352</v>
      </c>
      <c r="S7112" s="7">
        <f t="shared" si="629"/>
        <v>0</v>
      </c>
      <c r="T7112" s="15" t="str">
        <f>VLOOKUP(R7112,产品分类!$C$2:$D$1278,2,0)</f>
        <v>数码电子</v>
      </c>
    </row>
    <row r="7113" spans="1:20">
      <c r="A7113" s="8">
        <f>DATE(2012,12,31)-1</f>
        <v>41273</v>
      </c>
      <c r="B7113" s="8">
        <f>DATE(2012,12,31)-1</f>
        <v>41273</v>
      </c>
      <c r="C7113" s="9" t="s">
        <v>428</v>
      </c>
      <c r="D7113">
        <v>10021613209</v>
      </c>
      <c r="E7113" t="s">
        <v>47</v>
      </c>
      <c r="F7113" t="s">
        <v>253</v>
      </c>
      <c r="G7113" t="s">
        <v>254</v>
      </c>
      <c r="H7113" t="s">
        <v>2508</v>
      </c>
      <c r="I7113" t="s">
        <v>2509</v>
      </c>
      <c r="J7113" t="s">
        <v>668</v>
      </c>
      <c r="K7113" s="3">
        <v>100931498321</v>
      </c>
      <c r="L7113" s="10">
        <v>41273</v>
      </c>
      <c r="M7113">
        <v>448.1</v>
      </c>
      <c r="N7113" s="11">
        <v>35</v>
      </c>
      <c r="O7113" s="12">
        <v>13.48</v>
      </c>
      <c r="P7113" s="12">
        <v>4.51</v>
      </c>
      <c r="Q7113" s="13">
        <v>-15.07</v>
      </c>
      <c r="R7113" s="36" t="s">
        <v>694</v>
      </c>
      <c r="S7113" s="7">
        <f t="shared" si="629"/>
        <v>0</v>
      </c>
      <c r="T7113" s="15" t="str">
        <f>VLOOKUP(R7113,产品分类!$C$2:$D$1278,2,0)</f>
        <v>办公用品</v>
      </c>
    </row>
    <row r="7114" spans="1:20">
      <c r="A7114" s="8">
        <f>DATE(2012,12,31)-203</f>
        <v>41071</v>
      </c>
      <c r="B7114" s="8">
        <f>DATE(2012,12,31)-203</f>
        <v>41071</v>
      </c>
      <c r="C7114" s="9" t="s">
        <v>470</v>
      </c>
      <c r="D7114">
        <v>10021497394</v>
      </c>
      <c r="E7114" t="s">
        <v>47</v>
      </c>
      <c r="F7114" t="s">
        <v>61</v>
      </c>
      <c r="G7114" t="s">
        <v>62</v>
      </c>
      <c r="H7114" t="s">
        <v>2546</v>
      </c>
      <c r="I7114" t="s">
        <v>2547</v>
      </c>
      <c r="J7114" t="s">
        <v>668</v>
      </c>
      <c r="K7114" s="3">
        <v>100417381983</v>
      </c>
      <c r="L7114" s="10">
        <v>41071</v>
      </c>
      <c r="M7114">
        <v>34.09</v>
      </c>
      <c r="N7114" s="11">
        <v>1</v>
      </c>
      <c r="O7114" s="12">
        <v>18.97</v>
      </c>
      <c r="P7114" s="12">
        <v>9.03</v>
      </c>
      <c r="Q7114" s="13">
        <v>-19.9</v>
      </c>
      <c r="R7114" s="36" t="s">
        <v>1002</v>
      </c>
      <c r="S7114" s="7">
        <f t="shared" si="629"/>
        <v>0</v>
      </c>
      <c r="T7114" s="15" t="str">
        <f>VLOOKUP(R7114,产品分类!$C$2:$D$1278,2,0)</f>
        <v>办公用品</v>
      </c>
    </row>
    <row r="7115" spans="1:20">
      <c r="A7115" s="8">
        <f>DATE(2012,12,31)-275</f>
        <v>40999</v>
      </c>
      <c r="B7115" s="8">
        <f>DATE(2012,12,31)-275</f>
        <v>40999</v>
      </c>
      <c r="C7115" s="9" t="s">
        <v>1612</v>
      </c>
      <c r="D7115">
        <v>10021269456</v>
      </c>
      <c r="E7115" t="s">
        <v>47</v>
      </c>
      <c r="F7115" t="s">
        <v>61</v>
      </c>
      <c r="G7115" t="s">
        <v>62</v>
      </c>
      <c r="H7115" t="s">
        <v>2546</v>
      </c>
      <c r="I7115" t="s">
        <v>2547</v>
      </c>
      <c r="J7115" t="s">
        <v>668</v>
      </c>
      <c r="K7115" s="3">
        <v>100132445246</v>
      </c>
      <c r="L7115" s="10">
        <v>41001</v>
      </c>
      <c r="M7115">
        <v>816.09</v>
      </c>
      <c r="N7115" s="11">
        <v>4</v>
      </c>
      <c r="O7115" s="12">
        <v>210.55</v>
      </c>
      <c r="P7115" s="12">
        <v>9.99</v>
      </c>
      <c r="Q7115" s="13">
        <v>-150.29</v>
      </c>
      <c r="R7115" s="36" t="s">
        <v>335</v>
      </c>
      <c r="S7115" s="7">
        <f t="shared" si="629"/>
        <v>2</v>
      </c>
      <c r="T7115" s="15" t="str">
        <f>VLOOKUP(R7115,产品分类!$C$2:$D$1278,2,0)</f>
        <v>办公用品</v>
      </c>
    </row>
    <row r="7116" spans="1:20">
      <c r="A7116" s="8">
        <f>DATE(2012,12,31)-1245</f>
        <v>40029</v>
      </c>
      <c r="B7116" s="8">
        <f>DATE(2012,12,31)-1245</f>
        <v>40029</v>
      </c>
      <c r="C7116" s="9" t="s">
        <v>2025</v>
      </c>
      <c r="D7116">
        <v>10021260118</v>
      </c>
      <c r="E7116" t="s">
        <v>47</v>
      </c>
      <c r="F7116" t="s">
        <v>83</v>
      </c>
      <c r="G7116" t="s">
        <v>84</v>
      </c>
      <c r="H7116" t="s">
        <v>2510</v>
      </c>
      <c r="I7116" t="s">
        <v>2511</v>
      </c>
      <c r="J7116" t="s">
        <v>668</v>
      </c>
      <c r="K7116" s="3">
        <v>10073591345</v>
      </c>
      <c r="L7116" s="10">
        <v>40029</v>
      </c>
      <c r="M7116">
        <v>5678.5525</v>
      </c>
      <c r="N7116" s="11">
        <v>42</v>
      </c>
      <c r="O7116" s="12">
        <v>155.99</v>
      </c>
      <c r="P7116" s="12">
        <v>8.99</v>
      </c>
      <c r="Q7116" s="13">
        <v>1550.88</v>
      </c>
      <c r="R7116" s="36" t="s">
        <v>1040</v>
      </c>
      <c r="S7116" s="7">
        <f t="shared" si="629"/>
        <v>0</v>
      </c>
      <c r="T7116" s="15" t="str">
        <f>VLOOKUP(R7116,产品分类!$C$2:$D$1278,2,0)</f>
        <v>数码电子</v>
      </c>
    </row>
    <row r="7117" spans="1:20">
      <c r="A7117" s="16">
        <f>DATE(2012,12,31)-259</f>
        <v>41015</v>
      </c>
      <c r="B7117" s="16">
        <f>DATE(2012,12,31)-259</f>
        <v>41015</v>
      </c>
      <c r="C7117" s="9" t="s">
        <v>1721</v>
      </c>
      <c r="D7117">
        <v>10021415581</v>
      </c>
      <c r="E7117" t="s">
        <v>47</v>
      </c>
      <c r="F7117" t="s">
        <v>61</v>
      </c>
      <c r="G7117" t="s">
        <v>62</v>
      </c>
      <c r="H7117" t="s">
        <v>2546</v>
      </c>
      <c r="I7117" t="s">
        <v>2547</v>
      </c>
      <c r="J7117" t="s">
        <v>668</v>
      </c>
      <c r="K7117" s="3">
        <v>10036691189</v>
      </c>
      <c r="L7117" s="10">
        <v>41016</v>
      </c>
      <c r="M7117">
        <v>86.53</v>
      </c>
      <c r="N7117" s="17">
        <v>23</v>
      </c>
      <c r="O7117" s="5">
        <v>3.75</v>
      </c>
      <c r="P7117" s="5">
        <v>0.5</v>
      </c>
      <c r="Q7117" s="6">
        <v>35.62</v>
      </c>
      <c r="R7117" s="37" t="s">
        <v>801</v>
      </c>
      <c r="S7117" s="7">
        <f t="shared" si="629"/>
        <v>1</v>
      </c>
      <c r="T7117" s="15" t="str">
        <f>VLOOKUP(R7117,产品分类!$C$2:$D$1278,2,0)</f>
        <v>办公用品</v>
      </c>
    </row>
    <row r="7118" spans="1:20">
      <c r="A7118" s="8">
        <f>DATE(2012,12,31)-552</f>
        <v>40722</v>
      </c>
      <c r="B7118" s="8">
        <f>DATE(2012,12,31)-552</f>
        <v>40722</v>
      </c>
      <c r="C7118" s="9" t="s">
        <v>1866</v>
      </c>
      <c r="D7118">
        <v>10021334903</v>
      </c>
      <c r="E7118" t="s">
        <v>47</v>
      </c>
      <c r="F7118" t="s">
        <v>61</v>
      </c>
      <c r="G7118" t="s">
        <v>62</v>
      </c>
      <c r="H7118" t="s">
        <v>2546</v>
      </c>
      <c r="I7118" t="s">
        <v>2547</v>
      </c>
      <c r="J7118" t="s">
        <v>668</v>
      </c>
      <c r="K7118" s="3">
        <v>100116940587</v>
      </c>
      <c r="L7118" s="10">
        <v>40723</v>
      </c>
      <c r="M7118">
        <v>3063.1</v>
      </c>
      <c r="N7118" s="11">
        <v>39</v>
      </c>
      <c r="O7118" s="12">
        <v>80.98</v>
      </c>
      <c r="P7118" s="12">
        <v>35</v>
      </c>
      <c r="Q7118" s="13">
        <v>-1022.02</v>
      </c>
      <c r="R7118" s="36" t="s">
        <v>1742</v>
      </c>
      <c r="S7118" s="7">
        <f t="shared" si="629"/>
        <v>1</v>
      </c>
      <c r="T7118" s="15" t="str">
        <f>VLOOKUP(R7118,产品分类!$C$2:$D$1278,2,0)</f>
        <v>家具产品</v>
      </c>
    </row>
    <row r="7119" spans="1:20">
      <c r="A7119" s="8">
        <f>DATE(2012,12,31)-552</f>
        <v>40722</v>
      </c>
      <c r="B7119" s="8">
        <f>DATE(2012,12,31)-552</f>
        <v>40722</v>
      </c>
      <c r="C7119" s="9" t="s">
        <v>1502</v>
      </c>
      <c r="D7119">
        <v>10021444469</v>
      </c>
      <c r="E7119" t="s">
        <v>47</v>
      </c>
      <c r="F7119" t="s">
        <v>61</v>
      </c>
      <c r="G7119" t="s">
        <v>62</v>
      </c>
      <c r="H7119" t="s">
        <v>2546</v>
      </c>
      <c r="I7119" t="s">
        <v>2547</v>
      </c>
      <c r="J7119" t="s">
        <v>668</v>
      </c>
      <c r="K7119" s="3">
        <v>10039613759</v>
      </c>
      <c r="L7119" s="10">
        <v>40724</v>
      </c>
      <c r="M7119">
        <v>229.03</v>
      </c>
      <c r="N7119" s="11">
        <v>15</v>
      </c>
      <c r="O7119" s="12">
        <v>15.51</v>
      </c>
      <c r="P7119" s="12">
        <v>5.8</v>
      </c>
      <c r="Q7119" s="13">
        <v>-28.58</v>
      </c>
      <c r="R7119" s="36" t="s">
        <v>351</v>
      </c>
      <c r="S7119" s="7">
        <f t="shared" si="629"/>
        <v>2</v>
      </c>
      <c r="T7119" s="15" t="str">
        <f>VLOOKUP(R7119,产品分类!$C$2:$D$1278,2,0)</f>
        <v>办公用品</v>
      </c>
    </row>
    <row r="7120" spans="1:20">
      <c r="A7120" s="8">
        <f>DATE(2012,12,31)-499</f>
        <v>40775</v>
      </c>
      <c r="B7120" s="8">
        <f>DATE(2012,12,31)-499</f>
        <v>40775</v>
      </c>
      <c r="C7120" s="9" t="s">
        <v>848</v>
      </c>
      <c r="D7120">
        <v>10021583370</v>
      </c>
      <c r="E7120" t="s">
        <v>47</v>
      </c>
      <c r="F7120" t="s">
        <v>61</v>
      </c>
      <c r="G7120" t="s">
        <v>62</v>
      </c>
      <c r="H7120" t="s">
        <v>2546</v>
      </c>
      <c r="I7120" t="s">
        <v>2547</v>
      </c>
      <c r="J7120" t="s">
        <v>668</v>
      </c>
      <c r="K7120" s="3">
        <v>100126615596</v>
      </c>
      <c r="L7120" s="10">
        <v>40777</v>
      </c>
      <c r="M7120">
        <v>269.66</v>
      </c>
      <c r="N7120" s="11">
        <v>20</v>
      </c>
      <c r="O7120" s="12">
        <v>12.88</v>
      </c>
      <c r="P7120" s="12">
        <v>4.59</v>
      </c>
      <c r="Q7120" s="13">
        <v>-59.13</v>
      </c>
      <c r="R7120" s="36" t="s">
        <v>1833</v>
      </c>
      <c r="S7120" s="7">
        <f t="shared" si="629"/>
        <v>2</v>
      </c>
      <c r="T7120" s="15" t="str">
        <f>VLOOKUP(R7120,产品分类!$C$2:$D$1278,2,0)</f>
        <v>办公用品</v>
      </c>
    </row>
    <row r="7121" spans="1:20">
      <c r="A7121" s="8">
        <f>DATE(2012,12,31)-422</f>
        <v>40852</v>
      </c>
      <c r="B7121" s="8">
        <f>DATE(2012,12,31)-422</f>
        <v>40852</v>
      </c>
      <c r="C7121" s="9" t="s">
        <v>848</v>
      </c>
      <c r="D7121">
        <v>10021494148</v>
      </c>
      <c r="E7121" t="s">
        <v>47</v>
      </c>
      <c r="F7121" t="s">
        <v>61</v>
      </c>
      <c r="G7121" t="s">
        <v>62</v>
      </c>
      <c r="H7121" t="s">
        <v>2546</v>
      </c>
      <c r="I7121" t="s">
        <v>2547</v>
      </c>
      <c r="J7121" t="s">
        <v>668</v>
      </c>
      <c r="K7121" s="3">
        <v>100711606105</v>
      </c>
      <c r="L7121" s="10">
        <v>40854</v>
      </c>
      <c r="M7121">
        <v>48</v>
      </c>
      <c r="N7121" s="11">
        <v>10</v>
      </c>
      <c r="O7121" s="12">
        <v>4.18</v>
      </c>
      <c r="P7121" s="12">
        <v>6.92</v>
      </c>
      <c r="Q7121" s="13">
        <v>-29.14</v>
      </c>
      <c r="R7121" s="36" t="s">
        <v>1651</v>
      </c>
      <c r="S7121" s="7">
        <f t="shared" si="629"/>
        <v>2</v>
      </c>
      <c r="T7121" s="15" t="str">
        <f>VLOOKUP(R7121,产品分类!$C$2:$D$1278,2,0)</f>
        <v>数码电子</v>
      </c>
    </row>
    <row r="7122" spans="1:20">
      <c r="A7122" s="8">
        <f>DATE(2012,12,31)-939</f>
        <v>40335</v>
      </c>
      <c r="B7122" s="8">
        <f>DATE(2012,12,31)-939</f>
        <v>40335</v>
      </c>
      <c r="C7122" s="9" t="s">
        <v>848</v>
      </c>
      <c r="D7122">
        <v>10021592572</v>
      </c>
      <c r="E7122" t="s">
        <v>47</v>
      </c>
      <c r="F7122" t="s">
        <v>61</v>
      </c>
      <c r="G7122" t="s">
        <v>62</v>
      </c>
      <c r="H7122" t="s">
        <v>2546</v>
      </c>
      <c r="I7122" t="s">
        <v>2547</v>
      </c>
      <c r="J7122" t="s">
        <v>668</v>
      </c>
      <c r="K7122" s="3">
        <v>100432124404</v>
      </c>
      <c r="L7122" s="10">
        <v>40337</v>
      </c>
      <c r="M7122">
        <v>5144.8715</v>
      </c>
      <c r="N7122" s="11">
        <v>41</v>
      </c>
      <c r="O7122" s="12">
        <v>155.99</v>
      </c>
      <c r="P7122" s="12">
        <v>3.9</v>
      </c>
      <c r="Q7122" s="13">
        <v>1435.833</v>
      </c>
      <c r="R7122" s="36" t="s">
        <v>850</v>
      </c>
      <c r="S7122" s="7">
        <f t="shared" si="629"/>
        <v>2</v>
      </c>
      <c r="T7122" s="15" t="str">
        <f>VLOOKUP(R7122,产品分类!$C$2:$D$1278,2,0)</f>
        <v>数码电子</v>
      </c>
    </row>
    <row r="7123" spans="1:20">
      <c r="A7123" s="8">
        <f>DATE(2012,12,31)-886</f>
        <v>40388</v>
      </c>
      <c r="B7123" s="8">
        <f>DATE(2012,12,31)-886</f>
        <v>40388</v>
      </c>
      <c r="C7123" s="9" t="s">
        <v>2393</v>
      </c>
      <c r="D7123">
        <v>10021403125</v>
      </c>
      <c r="E7123" t="s">
        <v>47</v>
      </c>
      <c r="F7123" t="s">
        <v>61</v>
      </c>
      <c r="G7123" t="s">
        <v>62</v>
      </c>
      <c r="H7123" t="s">
        <v>2546</v>
      </c>
      <c r="I7123" t="s">
        <v>2547</v>
      </c>
      <c r="J7123" t="s">
        <v>668</v>
      </c>
      <c r="K7123" s="3">
        <v>100311798969</v>
      </c>
      <c r="L7123" s="10">
        <v>40389</v>
      </c>
      <c r="M7123">
        <v>2766.818</v>
      </c>
      <c r="N7123" s="11">
        <v>47</v>
      </c>
      <c r="O7123" s="12">
        <v>65.99</v>
      </c>
      <c r="P7123" s="12">
        <v>5.92</v>
      </c>
      <c r="Q7123" s="13">
        <v>846.945</v>
      </c>
      <c r="R7123" s="36" t="s">
        <v>1543</v>
      </c>
      <c r="S7123" s="7">
        <f t="shared" si="629"/>
        <v>1</v>
      </c>
      <c r="T7123" s="15" t="str">
        <f>VLOOKUP(R7123,产品分类!$C$2:$D$1278,2,0)</f>
        <v>家具产品</v>
      </c>
    </row>
    <row r="7124" spans="1:20">
      <c r="A7124" s="8">
        <f t="shared" ref="A7124:B7126" si="630">DATE(2012,12,31)-348</f>
        <v>40926</v>
      </c>
      <c r="B7124" s="8">
        <f t="shared" si="630"/>
        <v>40926</v>
      </c>
      <c r="C7124" s="9" t="s">
        <v>488</v>
      </c>
      <c r="D7124">
        <v>10021522188</v>
      </c>
      <c r="E7124" t="s">
        <v>47</v>
      </c>
      <c r="F7124" t="s">
        <v>61</v>
      </c>
      <c r="G7124" t="s">
        <v>62</v>
      </c>
      <c r="H7124" t="s">
        <v>2546</v>
      </c>
      <c r="I7124" t="s">
        <v>2547</v>
      </c>
      <c r="J7124" t="s">
        <v>668</v>
      </c>
      <c r="K7124" s="3">
        <v>10099921181</v>
      </c>
      <c r="L7124" s="10">
        <v>40926</v>
      </c>
      <c r="M7124">
        <v>155.89</v>
      </c>
      <c r="N7124" s="11">
        <v>17</v>
      </c>
      <c r="O7124" s="12">
        <v>9.9</v>
      </c>
      <c r="P7124" s="12">
        <v>1.39</v>
      </c>
      <c r="Q7124" s="13">
        <v>50.19</v>
      </c>
      <c r="R7124" s="36" t="s">
        <v>559</v>
      </c>
      <c r="S7124" s="7">
        <f t="shared" si="629"/>
        <v>0</v>
      </c>
      <c r="T7124" s="15" t="str">
        <f>VLOOKUP(R7124,产品分类!$C$2:$D$1278,2,0)</f>
        <v>家具产品</v>
      </c>
    </row>
    <row r="7125" spans="1:20">
      <c r="A7125" s="8">
        <f t="shared" si="630"/>
        <v>40926</v>
      </c>
      <c r="B7125" s="8">
        <f t="shared" si="630"/>
        <v>40926</v>
      </c>
      <c r="C7125" s="9" t="s">
        <v>488</v>
      </c>
      <c r="D7125">
        <v>10021499881</v>
      </c>
      <c r="E7125" t="s">
        <v>47</v>
      </c>
      <c r="F7125" t="s">
        <v>61</v>
      </c>
      <c r="G7125" t="s">
        <v>62</v>
      </c>
      <c r="H7125" t="s">
        <v>2546</v>
      </c>
      <c r="I7125" t="s">
        <v>2547</v>
      </c>
      <c r="J7125" t="s">
        <v>668</v>
      </c>
      <c r="K7125" s="3">
        <v>100125321197</v>
      </c>
      <c r="L7125" s="10">
        <v>40930</v>
      </c>
      <c r="M7125">
        <v>1333.18</v>
      </c>
      <c r="N7125" s="11">
        <v>26</v>
      </c>
      <c r="O7125" s="12">
        <v>50.98</v>
      </c>
      <c r="P7125" s="12">
        <v>14.19</v>
      </c>
      <c r="Q7125" s="13">
        <v>120.01</v>
      </c>
      <c r="R7125" s="36" t="s">
        <v>923</v>
      </c>
      <c r="S7125" s="7">
        <f t="shared" si="629"/>
        <v>4</v>
      </c>
      <c r="T7125" s="15" t="str">
        <f>VLOOKUP(R7125,产品分类!$C$2:$D$1278,2,0)</f>
        <v>办公用品</v>
      </c>
    </row>
    <row r="7126" spans="1:20">
      <c r="A7126" s="8">
        <f t="shared" si="630"/>
        <v>40926</v>
      </c>
      <c r="B7126" s="8">
        <f t="shared" si="630"/>
        <v>40926</v>
      </c>
      <c r="C7126" s="9" t="s">
        <v>1143</v>
      </c>
      <c r="D7126">
        <v>10021446922</v>
      </c>
      <c r="E7126" t="s">
        <v>47</v>
      </c>
      <c r="F7126" t="s">
        <v>61</v>
      </c>
      <c r="G7126" t="s">
        <v>62</v>
      </c>
      <c r="H7126" t="s">
        <v>2546</v>
      </c>
      <c r="I7126" t="s">
        <v>2547</v>
      </c>
      <c r="J7126" t="s">
        <v>668</v>
      </c>
      <c r="K7126" s="3">
        <v>100121678547</v>
      </c>
      <c r="L7126" s="10">
        <v>40933</v>
      </c>
      <c r="M7126">
        <v>117.27</v>
      </c>
      <c r="N7126" s="11">
        <v>19</v>
      </c>
      <c r="O7126" s="12">
        <v>5.84</v>
      </c>
      <c r="P7126" s="12">
        <v>0.83</v>
      </c>
      <c r="Q7126" s="13">
        <v>35.45</v>
      </c>
      <c r="R7126" s="36" t="s">
        <v>1779</v>
      </c>
      <c r="S7126" s="7">
        <f t="shared" si="629"/>
        <v>7</v>
      </c>
      <c r="T7126" s="15" t="str">
        <f>VLOOKUP(R7126,产品分类!$C$2:$D$1278,2,0)</f>
        <v>家具产品</v>
      </c>
    </row>
    <row r="7127" spans="1:20">
      <c r="A7127" s="8">
        <f>DATE(2012,12,31)-1361</f>
        <v>39913</v>
      </c>
      <c r="B7127" s="8">
        <f>DATE(2012,12,31)-1361</f>
        <v>39913</v>
      </c>
      <c r="C7127" s="9" t="s">
        <v>1535</v>
      </c>
      <c r="D7127">
        <v>10021510039</v>
      </c>
      <c r="E7127" t="s">
        <v>47</v>
      </c>
      <c r="F7127" t="s">
        <v>61</v>
      </c>
      <c r="G7127" t="s">
        <v>62</v>
      </c>
      <c r="H7127" t="s">
        <v>2546</v>
      </c>
      <c r="I7127" t="s">
        <v>2547</v>
      </c>
      <c r="J7127" t="s">
        <v>668</v>
      </c>
      <c r="K7127" s="3">
        <v>100432666674</v>
      </c>
      <c r="L7127" s="10">
        <v>39914</v>
      </c>
      <c r="M7127">
        <v>65.7</v>
      </c>
      <c r="N7127" s="11">
        <v>28</v>
      </c>
      <c r="O7127" s="12">
        <v>1.76</v>
      </c>
      <c r="P7127" s="12">
        <v>4.86</v>
      </c>
      <c r="Q7127" s="13">
        <v>-83.54</v>
      </c>
      <c r="R7127" s="36" t="s">
        <v>1600</v>
      </c>
      <c r="S7127" s="7">
        <f t="shared" si="629"/>
        <v>1</v>
      </c>
      <c r="T7127" s="15" t="str">
        <f>VLOOKUP(R7127,产品分类!$C$2:$D$1278,2,0)</f>
        <v>办公用品</v>
      </c>
    </row>
    <row r="7128" spans="1:20">
      <c r="A7128" s="8">
        <f>DATE(2012,12,31)-1361</f>
        <v>39913</v>
      </c>
      <c r="B7128" s="8">
        <f>DATE(2012,12,31)-1361</f>
        <v>39913</v>
      </c>
      <c r="C7128" s="9" t="s">
        <v>1764</v>
      </c>
      <c r="D7128">
        <v>10021346493</v>
      </c>
      <c r="E7128" t="s">
        <v>47</v>
      </c>
      <c r="F7128" t="s">
        <v>61</v>
      </c>
      <c r="G7128" t="s">
        <v>62</v>
      </c>
      <c r="H7128" t="s">
        <v>2546</v>
      </c>
      <c r="I7128" t="s">
        <v>2547</v>
      </c>
      <c r="J7128" t="s">
        <v>668</v>
      </c>
      <c r="K7128" s="3">
        <v>100430682344</v>
      </c>
      <c r="L7128" s="10">
        <v>39914</v>
      </c>
      <c r="M7128">
        <v>1685.07</v>
      </c>
      <c r="N7128" s="11">
        <v>38</v>
      </c>
      <c r="O7128" s="12">
        <v>41.47</v>
      </c>
      <c r="P7128" s="12">
        <v>34.2</v>
      </c>
      <c r="Q7128" s="13">
        <v>-681.97</v>
      </c>
      <c r="R7128" s="36" t="s">
        <v>416</v>
      </c>
      <c r="S7128" s="7">
        <f t="shared" si="629"/>
        <v>1</v>
      </c>
      <c r="T7128" s="15" t="str">
        <f>VLOOKUP(R7128,产品分类!$C$2:$D$1278,2,0)</f>
        <v>家具产品</v>
      </c>
    </row>
    <row r="7129" spans="1:20">
      <c r="A7129" s="16">
        <f>DATE(2012,12,31)-1186</f>
        <v>40088</v>
      </c>
      <c r="B7129" s="16">
        <f>DATE(2012,12,31)-1186</f>
        <v>40088</v>
      </c>
      <c r="C7129" s="9" t="s">
        <v>1764</v>
      </c>
      <c r="D7129">
        <v>10021249653</v>
      </c>
      <c r="E7129" t="s">
        <v>47</v>
      </c>
      <c r="F7129" t="s">
        <v>61</v>
      </c>
      <c r="G7129" t="s">
        <v>62</v>
      </c>
      <c r="H7129" t="s">
        <v>2571</v>
      </c>
      <c r="I7129" t="s">
        <v>2572</v>
      </c>
      <c r="J7129" t="s">
        <v>668</v>
      </c>
      <c r="K7129" s="3">
        <v>10019983786</v>
      </c>
      <c r="L7129" s="10">
        <v>40090</v>
      </c>
      <c r="M7129">
        <v>7036.11</v>
      </c>
      <c r="N7129" s="17">
        <v>43</v>
      </c>
      <c r="O7129" s="5">
        <v>161.55</v>
      </c>
      <c r="P7129" s="5">
        <v>19.99</v>
      </c>
      <c r="Q7129" s="6">
        <v>1268.65</v>
      </c>
      <c r="R7129" s="37" t="s">
        <v>2110</v>
      </c>
      <c r="S7129" s="7">
        <f t="shared" si="629"/>
        <v>2</v>
      </c>
      <c r="T7129" s="15" t="str">
        <f>VLOOKUP(R7129,产品分类!$C$2:$D$1278,2,0)</f>
        <v>办公用品</v>
      </c>
    </row>
    <row r="7130" spans="1:20">
      <c r="A7130" s="8">
        <f>DATE(2012,12,31)-962</f>
        <v>40312</v>
      </c>
      <c r="B7130" s="8">
        <f>DATE(2012,12,31)-962</f>
        <v>40312</v>
      </c>
      <c r="C7130" s="9" t="s">
        <v>2296</v>
      </c>
      <c r="D7130">
        <v>10021310736</v>
      </c>
      <c r="E7130" t="s">
        <v>47</v>
      </c>
      <c r="F7130" t="s">
        <v>61</v>
      </c>
      <c r="G7130" t="s">
        <v>62</v>
      </c>
      <c r="H7130" t="s">
        <v>2571</v>
      </c>
      <c r="I7130" t="s">
        <v>2572</v>
      </c>
      <c r="J7130" t="s">
        <v>668</v>
      </c>
      <c r="K7130" s="3">
        <v>10033991639</v>
      </c>
      <c r="L7130" s="10">
        <v>40314</v>
      </c>
      <c r="M7130">
        <v>2475.08</v>
      </c>
      <c r="N7130" s="11">
        <v>17</v>
      </c>
      <c r="O7130" s="12">
        <v>136.98</v>
      </c>
      <c r="P7130" s="12">
        <v>24.49</v>
      </c>
      <c r="Q7130" s="13">
        <v>958.8</v>
      </c>
      <c r="R7130" s="36" t="s">
        <v>1739</v>
      </c>
      <c r="S7130" s="7">
        <f t="shared" si="629"/>
        <v>2</v>
      </c>
      <c r="T7130" s="15" t="str">
        <f>VLOOKUP(R7130,产品分类!$C$2:$D$1278,2,0)</f>
        <v>家具产品</v>
      </c>
    </row>
    <row r="7131" spans="1:20">
      <c r="A7131" s="8">
        <f>DATE(2012,12,31)-962</f>
        <v>40312</v>
      </c>
      <c r="B7131" s="8">
        <f>DATE(2012,12,31)-962</f>
        <v>40312</v>
      </c>
      <c r="C7131" s="9" t="s">
        <v>1726</v>
      </c>
      <c r="D7131">
        <v>10021336382</v>
      </c>
      <c r="E7131" t="s">
        <v>47</v>
      </c>
      <c r="F7131" t="s">
        <v>61</v>
      </c>
      <c r="G7131" t="s">
        <v>62</v>
      </c>
      <c r="H7131" t="s">
        <v>2571</v>
      </c>
      <c r="I7131" t="s">
        <v>2572</v>
      </c>
      <c r="J7131" t="s">
        <v>668</v>
      </c>
      <c r="K7131" s="3">
        <v>100117979566</v>
      </c>
      <c r="L7131" s="10">
        <v>40313</v>
      </c>
      <c r="M7131">
        <v>1610.42</v>
      </c>
      <c r="N7131" s="11">
        <v>49</v>
      </c>
      <c r="O7131" s="12">
        <v>30.93</v>
      </c>
      <c r="P7131" s="12">
        <v>3.92</v>
      </c>
      <c r="Q7131" s="13">
        <v>813.35</v>
      </c>
      <c r="R7131" s="36" t="s">
        <v>1656</v>
      </c>
      <c r="S7131" s="7">
        <f t="shared" si="629"/>
        <v>1</v>
      </c>
      <c r="T7131" s="15" t="str">
        <f>VLOOKUP(R7131,产品分类!$C$2:$D$1278,2,0)</f>
        <v>家具产品</v>
      </c>
    </row>
    <row r="7132" spans="1:20">
      <c r="A7132" s="8">
        <f>DATE(2012,12,31)-769</f>
        <v>40505</v>
      </c>
      <c r="B7132" s="8">
        <f>DATE(2012,12,31)-769</f>
        <v>40505</v>
      </c>
      <c r="C7132" s="9" t="s">
        <v>1726</v>
      </c>
      <c r="D7132">
        <v>10021583140</v>
      </c>
      <c r="E7132" t="s">
        <v>47</v>
      </c>
      <c r="F7132" t="s">
        <v>61</v>
      </c>
      <c r="G7132" t="s">
        <v>62</v>
      </c>
      <c r="H7132" t="s">
        <v>2571</v>
      </c>
      <c r="I7132" t="s">
        <v>2572</v>
      </c>
      <c r="J7132" t="s">
        <v>668</v>
      </c>
      <c r="K7132" s="3">
        <v>100121970966</v>
      </c>
      <c r="L7132" s="10">
        <v>40507</v>
      </c>
      <c r="M7132">
        <v>1290.2065</v>
      </c>
      <c r="N7132" s="11">
        <v>43</v>
      </c>
      <c r="O7132" s="12">
        <v>35.99</v>
      </c>
      <c r="P7132" s="12">
        <v>5</v>
      </c>
      <c r="Q7132" s="13">
        <v>-160.677</v>
      </c>
      <c r="R7132" s="36" t="s">
        <v>248</v>
      </c>
      <c r="S7132" s="7">
        <f t="shared" si="629"/>
        <v>2</v>
      </c>
      <c r="T7132" s="15" t="str">
        <f>VLOOKUP(R7132,产品分类!$C$2:$D$1278,2,0)</f>
        <v>家具产品</v>
      </c>
    </row>
    <row r="7133" spans="1:20">
      <c r="A7133" s="16">
        <f>DATE(2012,12,31)-97</f>
        <v>41177</v>
      </c>
      <c r="B7133" s="16">
        <f>DATE(2012,12,31)-97</f>
        <v>41177</v>
      </c>
      <c r="C7133" s="9" t="s">
        <v>1726</v>
      </c>
      <c r="D7133">
        <v>10021523423</v>
      </c>
      <c r="E7133" t="s">
        <v>47</v>
      </c>
      <c r="F7133" t="s">
        <v>61</v>
      </c>
      <c r="G7133" t="s">
        <v>62</v>
      </c>
      <c r="H7133" t="s">
        <v>2571</v>
      </c>
      <c r="I7133" t="s">
        <v>2572</v>
      </c>
      <c r="J7133" t="s">
        <v>668</v>
      </c>
      <c r="K7133" s="3">
        <v>10098002811</v>
      </c>
      <c r="L7133" s="10">
        <v>41178</v>
      </c>
      <c r="M7133">
        <v>772.67</v>
      </c>
      <c r="N7133" s="17">
        <v>36</v>
      </c>
      <c r="O7133" s="5">
        <v>21.38</v>
      </c>
      <c r="P7133" s="5">
        <v>2.99</v>
      </c>
      <c r="Q7133" s="6">
        <v>286.8665</v>
      </c>
      <c r="R7133" s="37" t="s">
        <v>1792</v>
      </c>
      <c r="S7133" s="7">
        <f t="shared" si="629"/>
        <v>1</v>
      </c>
      <c r="T7133" s="15" t="str">
        <f>VLOOKUP(R7133,产品分类!$C$2:$D$1278,2,0)</f>
        <v>办公用品</v>
      </c>
    </row>
    <row r="7134" spans="1:20">
      <c r="A7134" s="8">
        <f>DATE(2012,12,31)-53</f>
        <v>41221</v>
      </c>
      <c r="B7134" s="8">
        <f>DATE(2012,12,31)-53</f>
        <v>41221</v>
      </c>
      <c r="C7134" s="9" t="s">
        <v>1992</v>
      </c>
      <c r="D7134">
        <v>10021522572</v>
      </c>
      <c r="E7134" t="s">
        <v>47</v>
      </c>
      <c r="F7134" t="s">
        <v>61</v>
      </c>
      <c r="G7134" t="s">
        <v>62</v>
      </c>
      <c r="H7134" t="s">
        <v>2571</v>
      </c>
      <c r="I7134" t="s">
        <v>2572</v>
      </c>
      <c r="J7134" t="s">
        <v>668</v>
      </c>
      <c r="K7134" s="3">
        <v>10019710076</v>
      </c>
      <c r="L7134" s="10">
        <v>41223</v>
      </c>
      <c r="M7134">
        <v>112.05</v>
      </c>
      <c r="N7134" s="11">
        <v>28</v>
      </c>
      <c r="O7134" s="12">
        <v>4</v>
      </c>
      <c r="P7134" s="12">
        <v>1.3</v>
      </c>
      <c r="Q7134" s="13">
        <v>26.21</v>
      </c>
      <c r="R7134" s="36" t="s">
        <v>1222</v>
      </c>
      <c r="S7134" s="7">
        <f t="shared" si="629"/>
        <v>2</v>
      </c>
      <c r="T7134" s="15" t="str">
        <f>VLOOKUP(R7134,产品分类!$C$2:$D$1278,2,0)</f>
        <v>数码电子</v>
      </c>
    </row>
    <row r="7135" spans="1:20">
      <c r="A7135" s="8">
        <f>DATE(2012,12,31)-326</f>
        <v>40948</v>
      </c>
      <c r="B7135" s="8">
        <f>DATE(2012,12,31)-326</f>
        <v>40948</v>
      </c>
      <c r="C7135" s="9" t="s">
        <v>119</v>
      </c>
      <c r="D7135">
        <v>10021335411</v>
      </c>
      <c r="E7135" t="s">
        <v>47</v>
      </c>
      <c r="F7135" t="s">
        <v>61</v>
      </c>
      <c r="G7135" t="s">
        <v>62</v>
      </c>
      <c r="H7135" t="s">
        <v>2571</v>
      </c>
      <c r="I7135" t="s">
        <v>2572</v>
      </c>
      <c r="J7135" t="s">
        <v>668</v>
      </c>
      <c r="K7135" s="3">
        <v>100912043191</v>
      </c>
      <c r="L7135" s="10">
        <v>40950</v>
      </c>
      <c r="M7135">
        <v>61.098</v>
      </c>
      <c r="N7135" s="11">
        <v>1</v>
      </c>
      <c r="O7135" s="12">
        <v>65.99</v>
      </c>
      <c r="P7135" s="12">
        <v>5.92</v>
      </c>
      <c r="Q7135" s="13">
        <v>-257.719</v>
      </c>
      <c r="R7135" s="36" t="s">
        <v>1627</v>
      </c>
      <c r="S7135" s="7">
        <f t="shared" si="629"/>
        <v>2</v>
      </c>
      <c r="T7135" s="15" t="str">
        <f>VLOOKUP(R7135,产品分类!$C$2:$D$1278,2,0)</f>
        <v>办公用品</v>
      </c>
    </row>
    <row r="7136" spans="1:20">
      <c r="A7136" s="16">
        <f t="shared" ref="A7136:B7138" si="631">DATE(2012,12,31)-108</f>
        <v>41166</v>
      </c>
      <c r="B7136" s="16">
        <f t="shared" si="631"/>
        <v>41166</v>
      </c>
      <c r="C7136" s="9" t="s">
        <v>361</v>
      </c>
      <c r="D7136">
        <v>10021756032</v>
      </c>
      <c r="E7136" t="s">
        <v>47</v>
      </c>
      <c r="F7136" t="s">
        <v>61</v>
      </c>
      <c r="G7136" t="s">
        <v>62</v>
      </c>
      <c r="H7136" t="s">
        <v>2571</v>
      </c>
      <c r="I7136" t="s">
        <v>2572</v>
      </c>
      <c r="J7136" t="s">
        <v>668</v>
      </c>
      <c r="K7136" s="3">
        <v>100332996849</v>
      </c>
      <c r="L7136" s="10">
        <v>41166</v>
      </c>
      <c r="M7136">
        <v>132.01</v>
      </c>
      <c r="N7136" s="17">
        <v>28</v>
      </c>
      <c r="O7136" s="5">
        <v>4.37</v>
      </c>
      <c r="P7136" s="5">
        <v>5.15</v>
      </c>
      <c r="Q7136" s="6">
        <v>-93.12</v>
      </c>
      <c r="R7136" s="37" t="s">
        <v>1611</v>
      </c>
      <c r="S7136" s="7">
        <f t="shared" si="629"/>
        <v>0</v>
      </c>
      <c r="T7136" s="15" t="str">
        <f>VLOOKUP(R7136,产品分类!$C$2:$D$1278,2,0)</f>
        <v>数码电子</v>
      </c>
    </row>
    <row r="7137" spans="1:20">
      <c r="A7137" s="8">
        <f t="shared" si="631"/>
        <v>41166</v>
      </c>
      <c r="B7137" s="8">
        <f t="shared" si="631"/>
        <v>41166</v>
      </c>
      <c r="C7137" s="9" t="s">
        <v>675</v>
      </c>
      <c r="D7137">
        <v>10021475341</v>
      </c>
      <c r="E7137" t="s">
        <v>47</v>
      </c>
      <c r="F7137" t="s">
        <v>72</v>
      </c>
      <c r="G7137" t="s">
        <v>73</v>
      </c>
      <c r="H7137" t="s">
        <v>2558</v>
      </c>
      <c r="I7137" t="s">
        <v>2559</v>
      </c>
      <c r="J7137" t="s">
        <v>668</v>
      </c>
      <c r="K7137" s="3">
        <v>100133015297</v>
      </c>
      <c r="L7137" s="10">
        <v>41170</v>
      </c>
      <c r="M7137">
        <v>626.33</v>
      </c>
      <c r="N7137" s="11">
        <v>14</v>
      </c>
      <c r="O7137" s="12">
        <v>45.19</v>
      </c>
      <c r="P7137" s="12">
        <v>1.99</v>
      </c>
      <c r="Q7137" s="13">
        <v>24.56</v>
      </c>
      <c r="R7137" s="36" t="s">
        <v>1796</v>
      </c>
      <c r="S7137" s="7">
        <f t="shared" si="629"/>
        <v>4</v>
      </c>
      <c r="T7137" s="15" t="str">
        <f>VLOOKUP(R7137,产品分类!$C$2:$D$1278,2,0)</f>
        <v>家具产品</v>
      </c>
    </row>
    <row r="7138" spans="1:20">
      <c r="A7138" s="8">
        <f t="shared" si="631"/>
        <v>41166</v>
      </c>
      <c r="B7138" s="8">
        <f t="shared" si="631"/>
        <v>41166</v>
      </c>
      <c r="C7138" s="9" t="s">
        <v>1511</v>
      </c>
      <c r="D7138">
        <v>10021328183</v>
      </c>
      <c r="E7138" t="s">
        <v>47</v>
      </c>
      <c r="F7138" t="s">
        <v>91</v>
      </c>
      <c r="G7138" t="s">
        <v>92</v>
      </c>
      <c r="H7138" t="s">
        <v>2556</v>
      </c>
      <c r="I7138" t="s">
        <v>2557</v>
      </c>
      <c r="J7138" t="s">
        <v>668</v>
      </c>
      <c r="K7138" s="3">
        <v>100132851326</v>
      </c>
      <c r="L7138" s="10">
        <v>41173</v>
      </c>
      <c r="M7138">
        <v>394.34</v>
      </c>
      <c r="N7138" s="11">
        <v>3</v>
      </c>
      <c r="O7138" s="12">
        <v>136.98</v>
      </c>
      <c r="P7138" s="12">
        <v>24.49</v>
      </c>
      <c r="Q7138" s="13">
        <v>352.38</v>
      </c>
      <c r="R7138" s="36" t="s">
        <v>718</v>
      </c>
      <c r="S7138" s="7">
        <f t="shared" si="629"/>
        <v>7</v>
      </c>
      <c r="T7138" s="15" t="str">
        <f>VLOOKUP(R7138,产品分类!$C$2:$D$1278,2,0)</f>
        <v>数码电子</v>
      </c>
    </row>
    <row r="7139" spans="1:20">
      <c r="A7139" s="8">
        <f>DATE(2012,12,31)-738</f>
        <v>40536</v>
      </c>
      <c r="B7139" s="8">
        <f>DATE(2012,12,31)-738</f>
        <v>40536</v>
      </c>
      <c r="C7139" s="9" t="s">
        <v>1152</v>
      </c>
      <c r="D7139">
        <v>10021274316</v>
      </c>
      <c r="E7139" t="s">
        <v>47</v>
      </c>
      <c r="F7139" t="s">
        <v>102</v>
      </c>
      <c r="G7139" t="s">
        <v>103</v>
      </c>
      <c r="H7139" t="s">
        <v>2560</v>
      </c>
      <c r="I7139" t="s">
        <v>2561</v>
      </c>
      <c r="J7139" t="s">
        <v>668</v>
      </c>
      <c r="K7139" s="3">
        <v>100432767843</v>
      </c>
      <c r="L7139" s="10">
        <v>40538</v>
      </c>
      <c r="M7139">
        <v>291.66</v>
      </c>
      <c r="N7139" s="11">
        <v>2</v>
      </c>
      <c r="O7139" s="12">
        <v>136.98</v>
      </c>
      <c r="P7139" s="12">
        <v>24.49</v>
      </c>
      <c r="Q7139" s="13">
        <v>-192.92</v>
      </c>
      <c r="R7139" s="36" t="s">
        <v>1801</v>
      </c>
      <c r="S7139" s="7">
        <f t="shared" si="629"/>
        <v>2</v>
      </c>
      <c r="T7139" s="15" t="str">
        <f>VLOOKUP(R7139,产品分类!$C$2:$D$1278,2,0)</f>
        <v>办公用品</v>
      </c>
    </row>
    <row r="7140" spans="1:20">
      <c r="A7140" s="8">
        <f>DATE(2012,12,31)-924</f>
        <v>40350</v>
      </c>
      <c r="B7140" s="8">
        <f>DATE(2012,12,31)-924</f>
        <v>40350</v>
      </c>
      <c r="C7140" s="9" t="s">
        <v>1152</v>
      </c>
      <c r="D7140">
        <v>10021597055</v>
      </c>
      <c r="E7140" t="s">
        <v>47</v>
      </c>
      <c r="F7140" t="s">
        <v>102</v>
      </c>
      <c r="G7140" t="s">
        <v>103</v>
      </c>
      <c r="H7140" t="s">
        <v>2560</v>
      </c>
      <c r="I7140" t="s">
        <v>2561</v>
      </c>
      <c r="J7140" t="s">
        <v>668</v>
      </c>
      <c r="K7140" s="3">
        <v>100933163951</v>
      </c>
      <c r="L7140" s="10">
        <v>40352</v>
      </c>
      <c r="M7140">
        <v>783.48</v>
      </c>
      <c r="N7140" s="11">
        <v>34</v>
      </c>
      <c r="O7140" s="12">
        <v>22.38</v>
      </c>
      <c r="P7140" s="12">
        <v>15.1</v>
      </c>
      <c r="Q7140" s="13">
        <v>-73.4045</v>
      </c>
      <c r="R7140" s="36" t="s">
        <v>570</v>
      </c>
      <c r="S7140" s="7">
        <f t="shared" si="629"/>
        <v>2</v>
      </c>
      <c r="T7140" s="15" t="str">
        <f>VLOOKUP(R7140,产品分类!$C$2:$D$1278,2,0)</f>
        <v>办公用品</v>
      </c>
    </row>
    <row r="7141" spans="1:20">
      <c r="A7141" s="8">
        <f>DATE(2012,12,31)-139</f>
        <v>41135</v>
      </c>
      <c r="B7141" s="8">
        <f>DATE(2012,12,31)-139</f>
        <v>41135</v>
      </c>
      <c r="C7141" s="9" t="s">
        <v>1464</v>
      </c>
      <c r="D7141">
        <v>10021315447</v>
      </c>
      <c r="E7141" t="s">
        <v>47</v>
      </c>
      <c r="F7141" t="s">
        <v>208</v>
      </c>
      <c r="G7141" t="s">
        <v>209</v>
      </c>
      <c r="H7141" t="s">
        <v>2300</v>
      </c>
      <c r="I7141" t="s">
        <v>2301</v>
      </c>
      <c r="J7141" t="s">
        <v>668</v>
      </c>
      <c r="K7141" s="3">
        <v>100132822968</v>
      </c>
      <c r="L7141" s="10">
        <v>41135</v>
      </c>
      <c r="M7141">
        <v>1135.24</v>
      </c>
      <c r="N7141" s="11">
        <v>28</v>
      </c>
      <c r="O7141" s="12">
        <v>41.71</v>
      </c>
      <c r="P7141" s="12">
        <v>4.5</v>
      </c>
      <c r="Q7141" s="13">
        <v>271.81</v>
      </c>
      <c r="R7141" s="36" t="s">
        <v>1631</v>
      </c>
      <c r="S7141" s="7">
        <f t="shared" si="629"/>
        <v>0</v>
      </c>
      <c r="T7141" s="15" t="str">
        <f>VLOOKUP(R7141,产品分类!$C$2:$D$1278,2,0)</f>
        <v>办公用品</v>
      </c>
    </row>
    <row r="7142" spans="1:20">
      <c r="A7142" s="8">
        <f>DATE(2012,12,31)-139</f>
        <v>41135</v>
      </c>
      <c r="B7142" s="8">
        <f>DATE(2012,12,31)-139</f>
        <v>41135</v>
      </c>
      <c r="C7142" s="9" t="s">
        <v>1464</v>
      </c>
      <c r="D7142">
        <v>10021399399</v>
      </c>
      <c r="E7142" t="s">
        <v>47</v>
      </c>
      <c r="F7142" t="s">
        <v>152</v>
      </c>
      <c r="G7142" t="s">
        <v>153</v>
      </c>
      <c r="H7142" t="s">
        <v>2536</v>
      </c>
      <c r="I7142" t="s">
        <v>2537</v>
      </c>
      <c r="J7142" t="s">
        <v>668</v>
      </c>
      <c r="K7142" s="3">
        <v>100932926891</v>
      </c>
      <c r="L7142" s="10">
        <v>41136</v>
      </c>
      <c r="M7142">
        <v>2136.93</v>
      </c>
      <c r="N7142" s="11">
        <v>3</v>
      </c>
      <c r="O7142" s="12">
        <v>699.99</v>
      </c>
      <c r="P7142" s="12">
        <v>24.49</v>
      </c>
      <c r="Q7142" s="13">
        <v>-2297.48</v>
      </c>
      <c r="R7142" s="36" t="s">
        <v>550</v>
      </c>
      <c r="S7142" s="7">
        <f t="shared" si="629"/>
        <v>1</v>
      </c>
      <c r="T7142" s="15" t="str">
        <f>VLOOKUP(R7142,产品分类!$C$2:$D$1278,2,0)</f>
        <v>办公用品</v>
      </c>
    </row>
    <row r="7143" spans="1:20">
      <c r="A7143" s="8">
        <f>DATE(2012,12,31)-409</f>
        <v>40865</v>
      </c>
      <c r="B7143" s="8">
        <f>DATE(2012,12,31)-409</f>
        <v>40865</v>
      </c>
      <c r="C7143" s="9" t="s">
        <v>926</v>
      </c>
      <c r="D7143">
        <v>10021362103</v>
      </c>
      <c r="E7143" t="s">
        <v>47</v>
      </c>
      <c r="F7143" t="s">
        <v>66</v>
      </c>
      <c r="G7143" t="s">
        <v>67</v>
      </c>
      <c r="H7143" t="s">
        <v>2467</v>
      </c>
      <c r="I7143" t="s">
        <v>2468</v>
      </c>
      <c r="J7143" t="s">
        <v>668</v>
      </c>
      <c r="K7143" s="3">
        <v>100132886706</v>
      </c>
      <c r="L7143" s="10">
        <v>40868</v>
      </c>
      <c r="M7143">
        <v>1617.88</v>
      </c>
      <c r="N7143" s="11">
        <v>29</v>
      </c>
      <c r="O7143" s="12">
        <v>53.98</v>
      </c>
      <c r="P7143" s="12">
        <v>5.5</v>
      </c>
      <c r="Q7143" s="13">
        <v>271.9</v>
      </c>
      <c r="R7143" s="36" t="s">
        <v>131</v>
      </c>
      <c r="S7143" s="7">
        <f t="shared" si="629"/>
        <v>3</v>
      </c>
      <c r="T7143" s="15" t="str">
        <f>VLOOKUP(R7143,产品分类!$C$2:$D$1278,2,0)</f>
        <v>家具产品</v>
      </c>
    </row>
    <row r="7144" spans="1:20">
      <c r="A7144" s="8">
        <f>DATE(2012,12,31)-381</f>
        <v>40893</v>
      </c>
      <c r="B7144" s="8">
        <f>DATE(2012,12,31)-381</f>
        <v>40893</v>
      </c>
      <c r="C7144" s="9" t="s">
        <v>1721</v>
      </c>
      <c r="D7144">
        <v>10021729079</v>
      </c>
      <c r="E7144" t="s">
        <v>47</v>
      </c>
      <c r="F7144" t="s">
        <v>91</v>
      </c>
      <c r="G7144" t="s">
        <v>92</v>
      </c>
      <c r="H7144" t="s">
        <v>2556</v>
      </c>
      <c r="I7144" t="s">
        <v>2557</v>
      </c>
      <c r="J7144" t="s">
        <v>668</v>
      </c>
      <c r="K7144" s="3">
        <v>100433341213</v>
      </c>
      <c r="L7144" s="10">
        <v>40893</v>
      </c>
      <c r="M7144">
        <v>312.05</v>
      </c>
      <c r="N7144" s="11">
        <v>42</v>
      </c>
      <c r="O7144" s="12">
        <v>7.38</v>
      </c>
      <c r="P7144" s="12">
        <v>11.51</v>
      </c>
      <c r="Q7144" s="13">
        <v>-342.378</v>
      </c>
      <c r="R7144" s="36" t="s">
        <v>2428</v>
      </c>
      <c r="S7144" s="7">
        <f t="shared" si="629"/>
        <v>0</v>
      </c>
      <c r="T7144" s="15" t="str">
        <f>VLOOKUP(R7144,产品分类!$C$2:$D$1278,2,0)</f>
        <v>数码电子</v>
      </c>
    </row>
    <row r="7145" spans="1:20">
      <c r="A7145" s="8">
        <f>DATE(2012,12,31)-262</f>
        <v>41012</v>
      </c>
      <c r="B7145" s="8">
        <f>DATE(2012,12,31)-262</f>
        <v>41012</v>
      </c>
      <c r="C7145" s="9" t="s">
        <v>359</v>
      </c>
      <c r="D7145">
        <v>10021484389</v>
      </c>
      <c r="E7145" t="s">
        <v>47</v>
      </c>
      <c r="F7145" t="s">
        <v>132</v>
      </c>
      <c r="G7145" t="s">
        <v>133</v>
      </c>
      <c r="H7145" t="s">
        <v>134</v>
      </c>
      <c r="I7145" t="s">
        <v>133</v>
      </c>
      <c r="J7145" t="s">
        <v>668</v>
      </c>
      <c r="K7145" s="3">
        <v>100333030579</v>
      </c>
      <c r="L7145" s="10">
        <v>41014</v>
      </c>
      <c r="M7145">
        <v>30.89</v>
      </c>
      <c r="N7145" s="11">
        <v>4</v>
      </c>
      <c r="O7145" s="12">
        <v>5.78</v>
      </c>
      <c r="P7145" s="12">
        <v>7.64</v>
      </c>
      <c r="Q7145" s="13">
        <v>-19.55</v>
      </c>
      <c r="R7145" s="36" t="s">
        <v>87</v>
      </c>
      <c r="S7145" s="7">
        <f t="shared" si="629"/>
        <v>2</v>
      </c>
      <c r="T7145" s="15" t="str">
        <f>VLOOKUP(R7145,产品分类!$C$2:$D$1278,2,0)</f>
        <v>办公用品</v>
      </c>
    </row>
    <row r="7146" spans="1:20">
      <c r="A7146" s="16">
        <f>DATE(2012,12,31)-262</f>
        <v>41012</v>
      </c>
      <c r="B7146" s="16">
        <f>DATE(2012,12,31)-262</f>
        <v>41012</v>
      </c>
      <c r="C7146" s="9" t="s">
        <v>1968</v>
      </c>
      <c r="D7146">
        <v>10021317372</v>
      </c>
      <c r="E7146" t="s">
        <v>47</v>
      </c>
      <c r="F7146" t="s">
        <v>132</v>
      </c>
      <c r="G7146" t="s">
        <v>133</v>
      </c>
      <c r="H7146" t="s">
        <v>134</v>
      </c>
      <c r="I7146" t="s">
        <v>133</v>
      </c>
      <c r="J7146" t="s">
        <v>668</v>
      </c>
      <c r="K7146" s="3">
        <v>100832827242</v>
      </c>
      <c r="L7146" s="10">
        <v>41013</v>
      </c>
      <c r="M7146">
        <v>170.46</v>
      </c>
      <c r="N7146" s="17">
        <v>34</v>
      </c>
      <c r="O7146" s="5">
        <v>5.28</v>
      </c>
      <c r="P7146" s="5">
        <v>5.66</v>
      </c>
      <c r="Q7146" s="6">
        <v>-104.35</v>
      </c>
      <c r="R7146" s="37" t="s">
        <v>1027</v>
      </c>
      <c r="S7146" s="7">
        <f t="shared" si="629"/>
        <v>1</v>
      </c>
      <c r="T7146" s="15" t="str">
        <f>VLOOKUP(R7146,产品分类!$C$2:$D$1278,2,0)</f>
        <v>数码电子</v>
      </c>
    </row>
    <row r="7147" spans="1:20">
      <c r="A7147" s="8">
        <f>DATE(2012,12,31)-376</f>
        <v>40898</v>
      </c>
      <c r="B7147" s="8">
        <f>DATE(2012,12,31)-376</f>
        <v>40898</v>
      </c>
      <c r="C7147" s="9" t="s">
        <v>1541</v>
      </c>
      <c r="D7147">
        <v>10021571899</v>
      </c>
      <c r="E7147" t="s">
        <v>47</v>
      </c>
      <c r="F7147" t="s">
        <v>97</v>
      </c>
      <c r="G7147" t="s">
        <v>98</v>
      </c>
      <c r="H7147" t="s">
        <v>99</v>
      </c>
      <c r="I7147" t="s">
        <v>98</v>
      </c>
      <c r="J7147" t="s">
        <v>668</v>
      </c>
      <c r="K7147" s="3">
        <v>100933156291</v>
      </c>
      <c r="L7147" s="10">
        <v>40899</v>
      </c>
      <c r="M7147">
        <v>26622.55</v>
      </c>
      <c r="N7147" s="11">
        <v>49</v>
      </c>
      <c r="O7147" s="12">
        <v>550.98</v>
      </c>
      <c r="P7147" s="12">
        <v>45.7</v>
      </c>
      <c r="Q7147" s="13">
        <v>3146.2155</v>
      </c>
      <c r="R7147" s="36" t="s">
        <v>1459</v>
      </c>
      <c r="S7147" s="7">
        <f t="shared" si="629"/>
        <v>1</v>
      </c>
      <c r="T7147" s="15" t="str">
        <f>VLOOKUP(R7147,产品分类!$C$2:$D$1278,2,0)</f>
        <v>办公用品</v>
      </c>
    </row>
    <row r="7148" spans="1:20">
      <c r="A7148" s="8">
        <f>DATE(2012,12,31)-21</f>
        <v>41253</v>
      </c>
      <c r="B7148" s="8">
        <f>DATE(2012,12,31)-21</f>
        <v>41253</v>
      </c>
      <c r="C7148" s="9" t="s">
        <v>1541</v>
      </c>
      <c r="D7148">
        <v>10021435792</v>
      </c>
      <c r="E7148" t="s">
        <v>47</v>
      </c>
      <c r="F7148" t="s">
        <v>61</v>
      </c>
      <c r="G7148" t="s">
        <v>62</v>
      </c>
      <c r="H7148" t="s">
        <v>2571</v>
      </c>
      <c r="I7148" t="s">
        <v>2572</v>
      </c>
      <c r="J7148" t="s">
        <v>668</v>
      </c>
      <c r="K7148" s="3">
        <v>100132965168</v>
      </c>
      <c r="L7148" s="10">
        <v>41254</v>
      </c>
      <c r="M7148">
        <v>233.01</v>
      </c>
      <c r="N7148" s="11">
        <v>17</v>
      </c>
      <c r="O7148" s="12">
        <v>12.97</v>
      </c>
      <c r="P7148" s="12">
        <v>1.49</v>
      </c>
      <c r="Q7148" s="13">
        <v>88.8845</v>
      </c>
      <c r="R7148" s="36" t="s">
        <v>2381</v>
      </c>
      <c r="S7148" s="7">
        <f t="shared" si="629"/>
        <v>1</v>
      </c>
      <c r="T7148" s="15" t="str">
        <f>VLOOKUP(R7148,产品分类!$C$2:$D$1278,2,0)</f>
        <v>家具产品</v>
      </c>
    </row>
    <row r="7149" spans="1:20">
      <c r="A7149" s="16">
        <f>DATE(2012,12,31)-21</f>
        <v>41253</v>
      </c>
      <c r="B7149" s="16">
        <f>DATE(2012,12,31)-21</f>
        <v>41253</v>
      </c>
      <c r="C7149" s="9" t="s">
        <v>2364</v>
      </c>
      <c r="D7149">
        <v>10021478300</v>
      </c>
      <c r="E7149" t="s">
        <v>47</v>
      </c>
      <c r="F7149" t="s">
        <v>97</v>
      </c>
      <c r="G7149" t="s">
        <v>98</v>
      </c>
      <c r="H7149" t="s">
        <v>99</v>
      </c>
      <c r="I7149" t="s">
        <v>98</v>
      </c>
      <c r="J7149" t="s">
        <v>668</v>
      </c>
      <c r="K7149" s="3">
        <v>100133017097</v>
      </c>
      <c r="L7149" s="10">
        <v>41254</v>
      </c>
      <c r="M7149">
        <v>225.72</v>
      </c>
      <c r="N7149" s="17">
        <v>5</v>
      </c>
      <c r="O7149" s="5">
        <v>39.98</v>
      </c>
      <c r="P7149" s="5">
        <v>9.83</v>
      </c>
      <c r="Q7149" s="6">
        <v>16.65</v>
      </c>
      <c r="R7149" s="37" t="s">
        <v>1622</v>
      </c>
      <c r="S7149" s="7">
        <f t="shared" si="629"/>
        <v>1</v>
      </c>
      <c r="T7149" s="15" t="str">
        <f>VLOOKUP(R7149,产品分类!$C$2:$D$1278,2,0)</f>
        <v>数码电子</v>
      </c>
    </row>
    <row r="7150" spans="1:20">
      <c r="A7150" s="8">
        <f>DATE(2012,12,31)-1118</f>
        <v>40156</v>
      </c>
      <c r="B7150" s="8">
        <f>DATE(2012,12,31)-1118</f>
        <v>40156</v>
      </c>
      <c r="C7150" s="9" t="s">
        <v>1816</v>
      </c>
      <c r="D7150">
        <v>10021717011</v>
      </c>
      <c r="E7150" t="s">
        <v>47</v>
      </c>
      <c r="F7150" t="s">
        <v>304</v>
      </c>
      <c r="G7150" t="s">
        <v>305</v>
      </c>
      <c r="H7150" t="s">
        <v>2527</v>
      </c>
      <c r="I7150" t="s">
        <v>2528</v>
      </c>
      <c r="J7150" t="s">
        <v>668</v>
      </c>
      <c r="K7150" s="3">
        <v>100133316626</v>
      </c>
      <c r="L7150" s="10">
        <v>40156</v>
      </c>
      <c r="M7150">
        <v>26.5</v>
      </c>
      <c r="N7150" s="11">
        <v>3</v>
      </c>
      <c r="O7150" s="12">
        <v>7.59</v>
      </c>
      <c r="P7150" s="12">
        <v>4</v>
      </c>
      <c r="Q7150" s="13">
        <v>20.12</v>
      </c>
      <c r="R7150" s="36" t="s">
        <v>1842</v>
      </c>
      <c r="S7150" s="7">
        <f t="shared" si="629"/>
        <v>0</v>
      </c>
      <c r="T7150" s="15" t="str">
        <f>VLOOKUP(R7150,产品分类!$C$2:$D$1278,2,0)</f>
        <v>办公用品</v>
      </c>
    </row>
    <row r="7151" spans="1:20">
      <c r="A7151" s="8">
        <f>DATE(2012,12,31)-296</f>
        <v>40978</v>
      </c>
      <c r="B7151" s="8">
        <f>DATE(2012,12,31)-296</f>
        <v>40978</v>
      </c>
      <c r="C7151" s="9" t="s">
        <v>926</v>
      </c>
      <c r="D7151">
        <v>10021650070</v>
      </c>
      <c r="E7151" t="s">
        <v>47</v>
      </c>
      <c r="F7151" t="s">
        <v>91</v>
      </c>
      <c r="G7151" t="s">
        <v>92</v>
      </c>
      <c r="H7151" t="s">
        <v>2573</v>
      </c>
      <c r="I7151" t="s">
        <v>2574</v>
      </c>
      <c r="J7151" t="s">
        <v>668</v>
      </c>
      <c r="K7151" s="3">
        <v>100833245102</v>
      </c>
      <c r="L7151" s="10">
        <v>40980</v>
      </c>
      <c r="M7151">
        <v>4769.0695</v>
      </c>
      <c r="N7151" s="11">
        <v>26</v>
      </c>
      <c r="O7151" s="12">
        <v>205.99</v>
      </c>
      <c r="P7151" s="12">
        <v>5.99</v>
      </c>
      <c r="Q7151" s="13">
        <v>1138.581</v>
      </c>
      <c r="R7151" s="36" t="s">
        <v>724</v>
      </c>
      <c r="S7151" s="7">
        <f t="shared" si="629"/>
        <v>2</v>
      </c>
      <c r="T7151" s="15" t="str">
        <f>VLOOKUP(R7151,产品分类!$C$2:$D$1278,2,0)</f>
        <v>家具产品</v>
      </c>
    </row>
    <row r="7152" spans="1:20">
      <c r="A7152" s="8">
        <f>DATE(2012,12,31)-312</f>
        <v>40962</v>
      </c>
      <c r="B7152" s="8">
        <f>DATE(2012,12,31)-312</f>
        <v>40962</v>
      </c>
      <c r="C7152" s="9" t="s">
        <v>2162</v>
      </c>
      <c r="D7152">
        <v>10021641768</v>
      </c>
      <c r="E7152" t="s">
        <v>47</v>
      </c>
      <c r="F7152" t="s">
        <v>55</v>
      </c>
      <c r="G7152" t="s">
        <v>56</v>
      </c>
      <c r="H7152" t="s">
        <v>2471</v>
      </c>
      <c r="I7152" t="s">
        <v>2472</v>
      </c>
      <c r="J7152" t="s">
        <v>668</v>
      </c>
      <c r="K7152" s="3">
        <v>100833226202</v>
      </c>
      <c r="L7152" s="10">
        <v>40964</v>
      </c>
      <c r="M7152">
        <v>4046.25</v>
      </c>
      <c r="N7152" s="11">
        <v>48</v>
      </c>
      <c r="O7152" s="12">
        <v>85.29</v>
      </c>
      <c r="P7152" s="12">
        <v>60</v>
      </c>
      <c r="Q7152" s="13">
        <v>-1296.93</v>
      </c>
      <c r="R7152" s="36" t="s">
        <v>1189</v>
      </c>
      <c r="S7152" s="7">
        <f t="shared" si="629"/>
        <v>2</v>
      </c>
      <c r="T7152" s="15" t="str">
        <f>VLOOKUP(R7152,产品分类!$C$2:$D$1278,2,0)</f>
        <v>家具产品</v>
      </c>
    </row>
    <row r="7153" spans="1:20">
      <c r="A7153" s="8">
        <f t="shared" ref="A7153:B7156" si="632">DATE(2012,12,31)-1377</f>
        <v>39897</v>
      </c>
      <c r="B7153" s="8">
        <f t="shared" si="632"/>
        <v>39897</v>
      </c>
      <c r="C7153" s="9" t="s">
        <v>515</v>
      </c>
      <c r="D7153">
        <v>10021354856</v>
      </c>
      <c r="E7153" t="s">
        <v>47</v>
      </c>
      <c r="F7153" t="s">
        <v>171</v>
      </c>
      <c r="G7153" t="s">
        <v>172</v>
      </c>
      <c r="H7153" t="s">
        <v>2486</v>
      </c>
      <c r="I7153" t="s">
        <v>2310</v>
      </c>
      <c r="J7153" t="s">
        <v>668</v>
      </c>
      <c r="K7153" s="3">
        <v>100332864269</v>
      </c>
      <c r="L7153" s="10">
        <v>39899</v>
      </c>
      <c r="M7153">
        <v>1610.29</v>
      </c>
      <c r="N7153" s="11">
        <v>11</v>
      </c>
      <c r="O7153" s="12">
        <v>150.98</v>
      </c>
      <c r="P7153" s="12">
        <v>13.99</v>
      </c>
      <c r="Q7153" s="13">
        <v>221.38</v>
      </c>
      <c r="R7153" s="36" t="s">
        <v>203</v>
      </c>
      <c r="S7153" s="7">
        <f t="shared" si="629"/>
        <v>2</v>
      </c>
      <c r="T7153" s="15" t="str">
        <f>VLOOKUP(R7153,产品分类!$C$2:$D$1278,2,0)</f>
        <v>办公用品</v>
      </c>
    </row>
    <row r="7154" spans="1:20">
      <c r="A7154" s="8">
        <f t="shared" si="632"/>
        <v>39897</v>
      </c>
      <c r="B7154" s="8">
        <f t="shared" si="632"/>
        <v>39897</v>
      </c>
      <c r="C7154" s="9" t="s">
        <v>515</v>
      </c>
      <c r="D7154">
        <v>10021510404</v>
      </c>
      <c r="E7154" t="s">
        <v>47</v>
      </c>
      <c r="F7154" t="s">
        <v>208</v>
      </c>
      <c r="G7154" t="s">
        <v>209</v>
      </c>
      <c r="H7154" t="s">
        <v>2300</v>
      </c>
      <c r="I7154" t="s">
        <v>2301</v>
      </c>
      <c r="J7154" t="s">
        <v>668</v>
      </c>
      <c r="K7154" s="3">
        <v>100832676042</v>
      </c>
      <c r="L7154" s="10">
        <v>39897</v>
      </c>
      <c r="M7154">
        <v>617.51</v>
      </c>
      <c r="N7154" s="11">
        <v>30</v>
      </c>
      <c r="O7154" s="12">
        <v>18.97</v>
      </c>
      <c r="P7154" s="12">
        <v>9.03</v>
      </c>
      <c r="Q7154" s="13">
        <v>98.1</v>
      </c>
      <c r="R7154" s="36" t="s">
        <v>1170</v>
      </c>
      <c r="S7154" s="7">
        <f t="shared" si="629"/>
        <v>0</v>
      </c>
      <c r="T7154" s="15" t="str">
        <f>VLOOKUP(R7154,产品分类!$C$2:$D$1278,2,0)</f>
        <v>数码电子</v>
      </c>
    </row>
    <row r="7155" spans="1:20">
      <c r="A7155" s="8">
        <f t="shared" si="632"/>
        <v>39897</v>
      </c>
      <c r="B7155" s="8">
        <f t="shared" si="632"/>
        <v>39897</v>
      </c>
      <c r="C7155" s="9" t="s">
        <v>515</v>
      </c>
      <c r="D7155">
        <v>10021565931</v>
      </c>
      <c r="E7155" t="s">
        <v>47</v>
      </c>
      <c r="F7155" t="s">
        <v>55</v>
      </c>
      <c r="G7155" t="s">
        <v>56</v>
      </c>
      <c r="H7155" t="s">
        <v>2471</v>
      </c>
      <c r="I7155" t="s">
        <v>2472</v>
      </c>
      <c r="J7155" t="s">
        <v>668</v>
      </c>
      <c r="K7155" s="3">
        <v>100732099755</v>
      </c>
      <c r="L7155" s="10">
        <v>39898</v>
      </c>
      <c r="M7155">
        <v>278.83</v>
      </c>
      <c r="N7155" s="11">
        <v>23</v>
      </c>
      <c r="O7155" s="12">
        <v>12.28</v>
      </c>
      <c r="P7155" s="12">
        <v>4.86</v>
      </c>
      <c r="Q7155" s="13">
        <v>35.16</v>
      </c>
      <c r="R7155" s="36" t="s">
        <v>360</v>
      </c>
      <c r="S7155" s="7">
        <f t="shared" si="629"/>
        <v>1</v>
      </c>
      <c r="T7155" s="15" t="str">
        <f>VLOOKUP(R7155,产品分类!$C$2:$D$1278,2,0)</f>
        <v>家具产品</v>
      </c>
    </row>
    <row r="7156" spans="1:20">
      <c r="A7156" s="8">
        <f t="shared" si="632"/>
        <v>39897</v>
      </c>
      <c r="B7156" s="8">
        <f t="shared" si="632"/>
        <v>39897</v>
      </c>
      <c r="C7156" s="9" t="s">
        <v>1172</v>
      </c>
      <c r="D7156">
        <v>10021431775</v>
      </c>
      <c r="E7156" t="s">
        <v>47</v>
      </c>
      <c r="F7156" t="s">
        <v>55</v>
      </c>
      <c r="G7156" t="s">
        <v>56</v>
      </c>
      <c r="H7156" t="s">
        <v>2471</v>
      </c>
      <c r="I7156" t="s">
        <v>2472</v>
      </c>
      <c r="J7156" t="s">
        <v>668</v>
      </c>
      <c r="K7156" s="3">
        <v>100132260467</v>
      </c>
      <c r="L7156" s="10">
        <v>39899</v>
      </c>
      <c r="M7156">
        <v>1605.22</v>
      </c>
      <c r="N7156" s="11">
        <v>46</v>
      </c>
      <c r="O7156" s="12">
        <v>34.99</v>
      </c>
      <c r="P7156" s="12">
        <v>7.73</v>
      </c>
      <c r="Q7156" s="13">
        <v>230.03</v>
      </c>
      <c r="R7156" s="36" t="s">
        <v>1353</v>
      </c>
      <c r="S7156" s="7">
        <f t="shared" si="629"/>
        <v>2</v>
      </c>
      <c r="T7156" s="15" t="str">
        <f>VLOOKUP(R7156,产品分类!$C$2:$D$1278,2,0)</f>
        <v>办公用品</v>
      </c>
    </row>
    <row r="7157" spans="1:20">
      <c r="A7157" s="8">
        <f>DATE(2012,12,31)-242</f>
        <v>41032</v>
      </c>
      <c r="B7157" s="8">
        <f>DATE(2012,12,31)-242</f>
        <v>41032</v>
      </c>
      <c r="C7157" s="9" t="s">
        <v>1172</v>
      </c>
      <c r="D7157">
        <v>10021256749</v>
      </c>
      <c r="E7157" t="s">
        <v>47</v>
      </c>
      <c r="F7157" t="s">
        <v>127</v>
      </c>
      <c r="G7157" t="s">
        <v>128</v>
      </c>
      <c r="H7157" t="s">
        <v>2554</v>
      </c>
      <c r="I7157" t="s">
        <v>2555</v>
      </c>
      <c r="J7157" t="s">
        <v>668</v>
      </c>
      <c r="K7157" s="3">
        <v>100825496572</v>
      </c>
      <c r="L7157" s="10">
        <v>41037</v>
      </c>
      <c r="M7157">
        <v>4394.78</v>
      </c>
      <c r="N7157" s="11">
        <v>46</v>
      </c>
      <c r="O7157" s="12">
        <v>100.98</v>
      </c>
      <c r="P7157" s="12">
        <v>35.84</v>
      </c>
      <c r="Q7157" s="13">
        <v>-335.77</v>
      </c>
      <c r="R7157" s="36" t="s">
        <v>1610</v>
      </c>
      <c r="S7157" s="7">
        <f t="shared" si="629"/>
        <v>5</v>
      </c>
      <c r="T7157" s="15" t="str">
        <f>VLOOKUP(R7157,产品分类!$C$2:$D$1278,2,0)</f>
        <v>办公用品</v>
      </c>
    </row>
    <row r="7158" spans="1:20">
      <c r="A7158" s="8">
        <f>DATE(2012,12,31)-354</f>
        <v>40920</v>
      </c>
      <c r="B7158" s="8">
        <f>DATE(2012,12,31)-354</f>
        <v>40920</v>
      </c>
      <c r="C7158" s="9" t="s">
        <v>1106</v>
      </c>
      <c r="D7158">
        <v>10021756544</v>
      </c>
      <c r="E7158" t="s">
        <v>47</v>
      </c>
      <c r="F7158" t="s">
        <v>102</v>
      </c>
      <c r="G7158" t="s">
        <v>103</v>
      </c>
      <c r="H7158" t="s">
        <v>2560</v>
      </c>
      <c r="I7158" t="s">
        <v>2561</v>
      </c>
      <c r="J7158" t="s">
        <v>668</v>
      </c>
      <c r="K7158" s="3">
        <v>100933022911</v>
      </c>
      <c r="L7158" s="10">
        <v>40921</v>
      </c>
      <c r="M7158">
        <v>21.07</v>
      </c>
      <c r="N7158" s="11">
        <v>2</v>
      </c>
      <c r="O7158" s="12">
        <v>8.69</v>
      </c>
      <c r="P7158" s="12">
        <v>2.99</v>
      </c>
      <c r="Q7158" s="13">
        <v>-10.4305</v>
      </c>
      <c r="R7158" s="36" t="s">
        <v>1896</v>
      </c>
      <c r="S7158" s="7">
        <f t="shared" si="629"/>
        <v>1</v>
      </c>
      <c r="T7158" s="15" t="str">
        <f>VLOOKUP(R7158,产品分类!$C$2:$D$1278,2,0)</f>
        <v>办公用品</v>
      </c>
    </row>
    <row r="7159" spans="1:20">
      <c r="A7159" s="8">
        <f>DATE(2012,12,31)-354</f>
        <v>40920</v>
      </c>
      <c r="B7159" s="8">
        <f>DATE(2012,12,31)-354</f>
        <v>40920</v>
      </c>
      <c r="C7159" s="9" t="s">
        <v>2077</v>
      </c>
      <c r="D7159">
        <v>10021674419</v>
      </c>
      <c r="E7159" t="s">
        <v>47</v>
      </c>
      <c r="F7159" t="s">
        <v>304</v>
      </c>
      <c r="G7159" t="s">
        <v>305</v>
      </c>
      <c r="H7159" t="s">
        <v>2527</v>
      </c>
      <c r="I7159" t="s">
        <v>2528</v>
      </c>
      <c r="J7159" t="s">
        <v>668</v>
      </c>
      <c r="K7159" s="3">
        <v>100930318141</v>
      </c>
      <c r="L7159" s="10">
        <v>40921</v>
      </c>
      <c r="M7159">
        <v>430.41</v>
      </c>
      <c r="N7159" s="11">
        <v>20</v>
      </c>
      <c r="O7159" s="12">
        <v>22.98</v>
      </c>
      <c r="P7159" s="12">
        <v>7.58</v>
      </c>
      <c r="Q7159" s="13">
        <v>-1.55</v>
      </c>
      <c r="R7159" s="36" t="s">
        <v>594</v>
      </c>
      <c r="S7159" s="7">
        <f t="shared" si="629"/>
        <v>1</v>
      </c>
      <c r="T7159" s="15" t="str">
        <f>VLOOKUP(R7159,产品分类!$C$2:$D$1278,2,0)</f>
        <v>数码电子</v>
      </c>
    </row>
    <row r="7160" spans="1:20">
      <c r="A7160" s="8">
        <f>DATE(2012,12,31)-798</f>
        <v>40476</v>
      </c>
      <c r="B7160" s="8">
        <f>DATE(2012,12,31)-798</f>
        <v>40476</v>
      </c>
      <c r="C7160" s="9" t="s">
        <v>2077</v>
      </c>
      <c r="D7160">
        <v>10021269689</v>
      </c>
      <c r="E7160" t="s">
        <v>47</v>
      </c>
      <c r="F7160" t="s">
        <v>61</v>
      </c>
      <c r="G7160" t="s">
        <v>62</v>
      </c>
      <c r="H7160" t="s">
        <v>2571</v>
      </c>
      <c r="I7160" t="s">
        <v>2572</v>
      </c>
      <c r="J7160" t="s">
        <v>668</v>
      </c>
      <c r="K7160" s="3">
        <v>100432457694</v>
      </c>
      <c r="L7160" s="10">
        <v>40478</v>
      </c>
      <c r="M7160">
        <v>3969.43</v>
      </c>
      <c r="N7160" s="11">
        <v>31</v>
      </c>
      <c r="O7160" s="12">
        <v>140.98</v>
      </c>
      <c r="P7160" s="12">
        <v>36.09</v>
      </c>
      <c r="Q7160" s="13">
        <v>-796.51</v>
      </c>
      <c r="R7160" s="36" t="s">
        <v>106</v>
      </c>
      <c r="S7160" s="7">
        <f t="shared" si="629"/>
        <v>2</v>
      </c>
      <c r="T7160" s="15" t="str">
        <f>VLOOKUP(R7160,产品分类!$C$2:$D$1278,2,0)</f>
        <v>数码电子</v>
      </c>
    </row>
    <row r="7161" spans="1:20">
      <c r="A7161" s="8">
        <f>DATE(2012,12,31)-798</f>
        <v>40476</v>
      </c>
      <c r="B7161" s="8">
        <f>DATE(2012,12,31)-798</f>
        <v>40476</v>
      </c>
      <c r="C7161" s="9" t="s">
        <v>275</v>
      </c>
      <c r="D7161">
        <v>10021673774</v>
      </c>
      <c r="E7161" t="s">
        <v>47</v>
      </c>
      <c r="F7161" t="s">
        <v>61</v>
      </c>
      <c r="G7161" t="s">
        <v>62</v>
      </c>
      <c r="H7161" t="s">
        <v>2571</v>
      </c>
      <c r="I7161" t="s">
        <v>2572</v>
      </c>
      <c r="J7161" t="s">
        <v>668</v>
      </c>
      <c r="K7161" s="3">
        <v>100931876401</v>
      </c>
      <c r="L7161" s="10">
        <v>40478</v>
      </c>
      <c r="M7161">
        <v>2882.707</v>
      </c>
      <c r="N7161" s="11">
        <v>16</v>
      </c>
      <c r="O7161" s="12">
        <v>205.99</v>
      </c>
      <c r="P7161" s="12">
        <v>5</v>
      </c>
      <c r="Q7161" s="13">
        <v>303.228</v>
      </c>
      <c r="R7161" s="36" t="s">
        <v>1724</v>
      </c>
      <c r="S7161" s="7">
        <f t="shared" si="629"/>
        <v>2</v>
      </c>
      <c r="T7161" s="15" t="str">
        <f>VLOOKUP(R7161,产品分类!$C$2:$D$1278,2,0)</f>
        <v>办公用品</v>
      </c>
    </row>
    <row r="7162" spans="1:20">
      <c r="A7162" s="8">
        <f>DATE(2012,12,31)-50</f>
        <v>41224</v>
      </c>
      <c r="B7162" s="8">
        <f>DATE(2012,12,31)-50</f>
        <v>41224</v>
      </c>
      <c r="C7162" s="9" t="s">
        <v>380</v>
      </c>
      <c r="D7162">
        <v>10021723376</v>
      </c>
      <c r="E7162" t="s">
        <v>47</v>
      </c>
      <c r="F7162" t="s">
        <v>66</v>
      </c>
      <c r="G7162" t="s">
        <v>67</v>
      </c>
      <c r="H7162" t="s">
        <v>2467</v>
      </c>
      <c r="I7162" t="s">
        <v>2468</v>
      </c>
      <c r="J7162" t="s">
        <v>668</v>
      </c>
      <c r="K7162" s="3">
        <v>10032926759</v>
      </c>
      <c r="L7162" s="10">
        <v>41233</v>
      </c>
      <c r="M7162">
        <v>356.28</v>
      </c>
      <c r="N7162" s="11">
        <v>41</v>
      </c>
      <c r="O7162" s="12">
        <v>8.69</v>
      </c>
      <c r="P7162" s="12">
        <v>2.99</v>
      </c>
      <c r="Q7162" s="13">
        <v>65.756</v>
      </c>
      <c r="R7162" s="36" t="s">
        <v>2210</v>
      </c>
      <c r="S7162" s="7">
        <f t="shared" si="629"/>
        <v>9</v>
      </c>
      <c r="T7162" s="15" t="str">
        <f>VLOOKUP(R7162,产品分类!$C$2:$D$1278,2,0)</f>
        <v>数码电子</v>
      </c>
    </row>
    <row r="7163" spans="1:20">
      <c r="A7163" s="8">
        <f>DATE(2012,12,31)-443</f>
        <v>40831</v>
      </c>
      <c r="B7163" s="8">
        <f>DATE(2012,12,31)-443</f>
        <v>40831</v>
      </c>
      <c r="C7163" s="9" t="s">
        <v>1844</v>
      </c>
      <c r="D7163">
        <v>10021385386</v>
      </c>
      <c r="E7163" t="s">
        <v>47</v>
      </c>
      <c r="F7163" t="s">
        <v>72</v>
      </c>
      <c r="G7163" t="s">
        <v>73</v>
      </c>
      <c r="H7163" t="s">
        <v>2558</v>
      </c>
      <c r="I7163" t="s">
        <v>2559</v>
      </c>
      <c r="J7163" t="s">
        <v>668</v>
      </c>
      <c r="K7163" s="3">
        <v>100924377881</v>
      </c>
      <c r="L7163" s="10">
        <v>40833</v>
      </c>
      <c r="M7163">
        <v>344.24</v>
      </c>
      <c r="N7163" s="11">
        <v>43</v>
      </c>
      <c r="O7163" s="12">
        <v>8.33</v>
      </c>
      <c r="P7163" s="12">
        <v>1.99</v>
      </c>
      <c r="Q7163" s="13">
        <v>30.76</v>
      </c>
      <c r="R7163" s="36" t="s">
        <v>1003</v>
      </c>
      <c r="S7163" s="7">
        <f t="shared" si="629"/>
        <v>2</v>
      </c>
      <c r="T7163" s="15" t="str">
        <f>VLOOKUP(R7163,产品分类!$C$2:$D$1278,2,0)</f>
        <v>数码电子</v>
      </c>
    </row>
    <row r="7164" spans="1:20">
      <c r="A7164" s="8">
        <f>DATE(2012,12,31)-495</f>
        <v>40779</v>
      </c>
      <c r="B7164" s="8">
        <f>DATE(2012,12,31)-495</f>
        <v>40779</v>
      </c>
      <c r="C7164" s="9" t="s">
        <v>1174</v>
      </c>
      <c r="D7164">
        <v>10021637136</v>
      </c>
      <c r="E7164" t="s">
        <v>47</v>
      </c>
      <c r="F7164" t="s">
        <v>78</v>
      </c>
      <c r="G7164" t="s">
        <v>79</v>
      </c>
      <c r="H7164" t="s">
        <v>80</v>
      </c>
      <c r="I7164" t="s">
        <v>81</v>
      </c>
      <c r="J7164" t="s">
        <v>668</v>
      </c>
      <c r="K7164" s="3">
        <v>100115365947</v>
      </c>
      <c r="L7164" s="10">
        <v>40781</v>
      </c>
      <c r="M7164">
        <v>167.55</v>
      </c>
      <c r="N7164" s="11">
        <v>44</v>
      </c>
      <c r="O7164" s="12">
        <v>3.75</v>
      </c>
      <c r="P7164" s="12">
        <v>7.5</v>
      </c>
      <c r="Q7164" s="13">
        <v>-223.5</v>
      </c>
      <c r="R7164" s="36" t="s">
        <v>1189</v>
      </c>
      <c r="S7164" s="7">
        <f t="shared" si="629"/>
        <v>2</v>
      </c>
      <c r="T7164" s="15" t="str">
        <f>VLOOKUP(R7164,产品分类!$C$2:$D$1278,2,0)</f>
        <v>家具产品</v>
      </c>
    </row>
    <row r="7165" spans="1:20">
      <c r="A7165" s="8">
        <f>DATE(2012,12,31)-797</f>
        <v>40477</v>
      </c>
      <c r="B7165" s="8">
        <f>DATE(2012,12,31)-797</f>
        <v>40477</v>
      </c>
      <c r="C7165" s="9" t="s">
        <v>359</v>
      </c>
      <c r="D7165">
        <v>10021760505</v>
      </c>
      <c r="E7165" t="s">
        <v>47</v>
      </c>
      <c r="F7165" t="s">
        <v>78</v>
      </c>
      <c r="G7165" t="s">
        <v>79</v>
      </c>
      <c r="H7165" t="s">
        <v>80</v>
      </c>
      <c r="I7165" t="s">
        <v>81</v>
      </c>
      <c r="J7165" t="s">
        <v>668</v>
      </c>
      <c r="K7165" s="3">
        <v>100718841585</v>
      </c>
      <c r="L7165" s="10">
        <v>40482</v>
      </c>
      <c r="M7165">
        <v>689.67</v>
      </c>
      <c r="N7165" s="11">
        <v>38</v>
      </c>
      <c r="O7165" s="12">
        <v>18.7</v>
      </c>
      <c r="P7165" s="12">
        <v>8.99</v>
      </c>
      <c r="Q7165" s="13">
        <v>51.47</v>
      </c>
      <c r="R7165" s="36" t="s">
        <v>1235</v>
      </c>
      <c r="S7165" s="7">
        <f t="shared" si="629"/>
        <v>5</v>
      </c>
      <c r="T7165" s="15" t="str">
        <f>VLOOKUP(R7165,产品分类!$C$2:$D$1278,2,0)</f>
        <v>办公用品</v>
      </c>
    </row>
    <row r="7166" spans="1:20">
      <c r="A7166" s="8">
        <f>DATE(2012,12,31)-88</f>
        <v>41186</v>
      </c>
      <c r="B7166" s="8">
        <f>DATE(2012,12,31)-88</f>
        <v>41186</v>
      </c>
      <c r="C7166" s="9" t="s">
        <v>359</v>
      </c>
      <c r="D7166">
        <v>10021458904</v>
      </c>
      <c r="E7166" t="s">
        <v>47</v>
      </c>
      <c r="F7166" t="s">
        <v>434</v>
      </c>
      <c r="G7166" t="s">
        <v>435</v>
      </c>
      <c r="H7166" t="s">
        <v>436</v>
      </c>
      <c r="I7166" t="s">
        <v>437</v>
      </c>
      <c r="J7166" t="s">
        <v>668</v>
      </c>
      <c r="K7166" s="3">
        <v>100119894126</v>
      </c>
      <c r="L7166" s="10">
        <v>41188</v>
      </c>
      <c r="M7166">
        <v>2219.79</v>
      </c>
      <c r="N7166" s="11">
        <v>30</v>
      </c>
      <c r="O7166" s="12">
        <v>80.97</v>
      </c>
      <c r="P7166" s="12">
        <v>33.6</v>
      </c>
      <c r="Q7166" s="13">
        <v>-9.4482</v>
      </c>
      <c r="R7166" s="36" t="s">
        <v>921</v>
      </c>
      <c r="S7166" s="7">
        <f t="shared" si="629"/>
        <v>2</v>
      </c>
      <c r="T7166" s="15" t="str">
        <f>VLOOKUP(R7166,产品分类!$C$2:$D$1278,2,0)</f>
        <v>家具产品</v>
      </c>
    </row>
    <row r="7167" spans="1:20">
      <c r="A7167" s="8">
        <f>DATE(2012,12,31)-88</f>
        <v>41186</v>
      </c>
      <c r="B7167" s="8">
        <f>DATE(2012,12,31)-88</f>
        <v>41186</v>
      </c>
      <c r="C7167" s="9" t="s">
        <v>359</v>
      </c>
      <c r="D7167">
        <v>10021700949</v>
      </c>
      <c r="E7167" t="s">
        <v>47</v>
      </c>
      <c r="F7167" t="s">
        <v>91</v>
      </c>
      <c r="G7167" t="s">
        <v>92</v>
      </c>
      <c r="H7167" t="s">
        <v>2573</v>
      </c>
      <c r="I7167" t="s">
        <v>2574</v>
      </c>
      <c r="J7167" t="s">
        <v>668</v>
      </c>
      <c r="K7167" s="3">
        <v>100133300236</v>
      </c>
      <c r="L7167" s="10">
        <v>41188</v>
      </c>
      <c r="M7167">
        <v>237.36</v>
      </c>
      <c r="N7167" s="11">
        <v>25</v>
      </c>
      <c r="O7167" s="12">
        <v>9.06</v>
      </c>
      <c r="P7167" s="12">
        <v>9.86</v>
      </c>
      <c r="Q7167" s="13">
        <v>-117.86</v>
      </c>
      <c r="R7167" s="36" t="s">
        <v>594</v>
      </c>
      <c r="S7167" s="7">
        <f t="shared" si="629"/>
        <v>2</v>
      </c>
      <c r="T7167" s="15" t="str">
        <f>VLOOKUP(R7167,产品分类!$C$2:$D$1278,2,0)</f>
        <v>数码电子</v>
      </c>
    </row>
    <row r="7168" spans="1:20">
      <c r="A7168" s="8">
        <f>DATE(2012,12,31)-560</f>
        <v>40714</v>
      </c>
      <c r="B7168" s="8">
        <f>DATE(2012,12,31)-560</f>
        <v>40714</v>
      </c>
      <c r="C7168" s="9" t="s">
        <v>2067</v>
      </c>
      <c r="D7168">
        <v>10021685388</v>
      </c>
      <c r="E7168" t="s">
        <v>47</v>
      </c>
      <c r="F7168" t="s">
        <v>91</v>
      </c>
      <c r="G7168" t="s">
        <v>92</v>
      </c>
      <c r="H7168" t="s">
        <v>2573</v>
      </c>
      <c r="I7168" t="s">
        <v>2574</v>
      </c>
      <c r="J7168" t="s">
        <v>668</v>
      </c>
      <c r="K7168" s="3">
        <v>100931670751</v>
      </c>
      <c r="L7168" s="10">
        <v>40716</v>
      </c>
      <c r="M7168">
        <v>46.55</v>
      </c>
      <c r="N7168" s="11">
        <v>12</v>
      </c>
      <c r="O7168" s="12">
        <v>3.69</v>
      </c>
      <c r="P7168" s="12">
        <v>0.5</v>
      </c>
      <c r="Q7168" s="13">
        <v>16.34</v>
      </c>
      <c r="R7168" s="36" t="s">
        <v>594</v>
      </c>
      <c r="S7168" s="7">
        <f t="shared" si="629"/>
        <v>2</v>
      </c>
      <c r="T7168" s="15" t="str">
        <f>VLOOKUP(R7168,产品分类!$C$2:$D$1278,2,0)</f>
        <v>数码电子</v>
      </c>
    </row>
    <row r="7169" spans="1:20">
      <c r="A7169" s="8">
        <f>DATE(2012,12,31)-654</f>
        <v>40620</v>
      </c>
      <c r="B7169" s="8">
        <f>DATE(2012,12,31)-654</f>
        <v>40620</v>
      </c>
      <c r="C7169" s="9" t="s">
        <v>1323</v>
      </c>
      <c r="D7169">
        <v>10021438833</v>
      </c>
      <c r="E7169" t="s">
        <v>47</v>
      </c>
      <c r="F7169" t="s">
        <v>91</v>
      </c>
      <c r="G7169" t="s">
        <v>92</v>
      </c>
      <c r="H7169" t="s">
        <v>2573</v>
      </c>
      <c r="I7169" t="s">
        <v>2574</v>
      </c>
      <c r="J7169" t="s">
        <v>668</v>
      </c>
      <c r="K7169" s="3">
        <v>10048720454</v>
      </c>
      <c r="L7169" s="10">
        <v>40622</v>
      </c>
      <c r="M7169">
        <v>76.06</v>
      </c>
      <c r="N7169" s="11">
        <v>14</v>
      </c>
      <c r="O7169" s="12">
        <v>4.28</v>
      </c>
      <c r="P7169" s="12">
        <v>5.68</v>
      </c>
      <c r="Q7169" s="13">
        <v>-35.99</v>
      </c>
      <c r="R7169" s="36" t="s">
        <v>938</v>
      </c>
      <c r="S7169" s="7">
        <f t="shared" si="629"/>
        <v>2</v>
      </c>
      <c r="T7169" s="15" t="str">
        <f>VLOOKUP(R7169,产品分类!$C$2:$D$1278,2,0)</f>
        <v>办公用品</v>
      </c>
    </row>
    <row r="7170" spans="1:20">
      <c r="A7170" s="8">
        <f>DATE(2012,12,31)-654</f>
        <v>40620</v>
      </c>
      <c r="B7170" s="8">
        <f>DATE(2012,12,31)-654</f>
        <v>40620</v>
      </c>
      <c r="C7170" s="9" t="s">
        <v>1935</v>
      </c>
      <c r="D7170">
        <v>10021757828</v>
      </c>
      <c r="E7170" t="s">
        <v>47</v>
      </c>
      <c r="F7170" t="s">
        <v>91</v>
      </c>
      <c r="G7170" t="s">
        <v>92</v>
      </c>
      <c r="H7170" t="s">
        <v>2573</v>
      </c>
      <c r="I7170" t="s">
        <v>2574</v>
      </c>
      <c r="J7170" t="s">
        <v>668</v>
      </c>
      <c r="K7170" s="3">
        <v>1004273404</v>
      </c>
      <c r="L7170" s="10">
        <v>40624</v>
      </c>
      <c r="M7170">
        <v>18056.68</v>
      </c>
      <c r="N7170" s="11">
        <v>50</v>
      </c>
      <c r="O7170" s="12">
        <v>349.45</v>
      </c>
      <c r="P7170" s="12">
        <v>60</v>
      </c>
      <c r="Q7170" s="13">
        <v>-6474.654</v>
      </c>
      <c r="R7170" s="36" t="s">
        <v>2329</v>
      </c>
      <c r="S7170" s="7">
        <f t="shared" si="629"/>
        <v>4</v>
      </c>
      <c r="T7170" s="15" t="str">
        <f>VLOOKUP(R7170,产品分类!$C$2:$D$1278,2,0)</f>
        <v>家具产品</v>
      </c>
    </row>
    <row r="7171" spans="1:20">
      <c r="A7171" s="8">
        <f>DATE(2012,12,31)-1043</f>
        <v>40231</v>
      </c>
      <c r="B7171" s="8">
        <f>DATE(2012,12,31)-1043</f>
        <v>40231</v>
      </c>
      <c r="C7171" s="9" t="s">
        <v>1935</v>
      </c>
      <c r="D7171">
        <v>10021355140</v>
      </c>
      <c r="E7171" t="s">
        <v>47</v>
      </c>
      <c r="F7171" t="s">
        <v>83</v>
      </c>
      <c r="G7171" t="s">
        <v>84</v>
      </c>
      <c r="H7171" t="s">
        <v>2510</v>
      </c>
      <c r="I7171" t="s">
        <v>2511</v>
      </c>
      <c r="J7171" t="s">
        <v>668</v>
      </c>
      <c r="K7171" s="3">
        <v>100132561256</v>
      </c>
      <c r="L7171" s="10">
        <v>40233</v>
      </c>
      <c r="M7171">
        <v>1501.8</v>
      </c>
      <c r="N7171" s="11">
        <v>47</v>
      </c>
      <c r="O7171" s="12">
        <v>30.97</v>
      </c>
      <c r="P7171" s="12">
        <v>4</v>
      </c>
      <c r="Q7171" s="13">
        <v>112.78</v>
      </c>
      <c r="R7171" s="36" t="s">
        <v>493</v>
      </c>
      <c r="S7171" s="7">
        <f t="shared" ref="S7171:S7234" si="633">+L7171-B7171</f>
        <v>2</v>
      </c>
      <c r="T7171" s="15" t="str">
        <f>VLOOKUP(R7171,产品分类!$C$2:$D$1278,2,0)</f>
        <v>办公用品</v>
      </c>
    </row>
    <row r="7172" spans="1:20">
      <c r="A7172" s="8">
        <f>DATE(2012,12,31)-146</f>
        <v>41128</v>
      </c>
      <c r="B7172" s="8">
        <f>DATE(2012,12,31)-146</f>
        <v>41128</v>
      </c>
      <c r="C7172" s="9" t="s">
        <v>868</v>
      </c>
      <c r="D7172">
        <v>10021518894</v>
      </c>
      <c r="E7172" t="s">
        <v>47</v>
      </c>
      <c r="F7172" t="s">
        <v>91</v>
      </c>
      <c r="G7172" t="s">
        <v>92</v>
      </c>
      <c r="H7172" t="s">
        <v>2573</v>
      </c>
      <c r="I7172" t="s">
        <v>2574</v>
      </c>
      <c r="J7172" t="s">
        <v>668</v>
      </c>
      <c r="K7172" s="3">
        <v>100332831869</v>
      </c>
      <c r="L7172" s="10">
        <v>41130</v>
      </c>
      <c r="M7172">
        <v>195.23</v>
      </c>
      <c r="N7172" s="11">
        <v>35</v>
      </c>
      <c r="O7172" s="12">
        <v>5.89</v>
      </c>
      <c r="P7172" s="12">
        <v>5.57</v>
      </c>
      <c r="Q7172" s="13">
        <v>-72.46</v>
      </c>
      <c r="R7172" s="36" t="s">
        <v>814</v>
      </c>
      <c r="S7172" s="7">
        <f t="shared" si="633"/>
        <v>2</v>
      </c>
      <c r="T7172" s="15" t="str">
        <f>VLOOKUP(R7172,产品分类!$C$2:$D$1278,2,0)</f>
        <v>办公用品</v>
      </c>
    </row>
    <row r="7173" spans="1:20">
      <c r="A7173" s="8">
        <f>DATE(2012,12,31)-146</f>
        <v>41128</v>
      </c>
      <c r="B7173" s="8">
        <f>DATE(2012,12,31)-146</f>
        <v>41128</v>
      </c>
      <c r="C7173" s="9" t="s">
        <v>101</v>
      </c>
      <c r="D7173">
        <v>10021516139</v>
      </c>
      <c r="E7173" t="s">
        <v>47</v>
      </c>
      <c r="F7173" t="s">
        <v>122</v>
      </c>
      <c r="G7173" t="s">
        <v>123</v>
      </c>
      <c r="H7173" t="s">
        <v>2458</v>
      </c>
      <c r="I7173" t="s">
        <v>2459</v>
      </c>
      <c r="J7173" t="s">
        <v>668</v>
      </c>
      <c r="K7173" s="3">
        <v>100432863053</v>
      </c>
      <c r="L7173" s="10">
        <v>41129</v>
      </c>
      <c r="M7173">
        <v>4051.8</v>
      </c>
      <c r="N7173" s="11">
        <v>35</v>
      </c>
      <c r="O7173" s="12">
        <v>124.49</v>
      </c>
      <c r="P7173" s="12">
        <v>51.94</v>
      </c>
      <c r="Q7173" s="13">
        <v>-684.072</v>
      </c>
      <c r="R7173" s="36" t="s">
        <v>1739</v>
      </c>
      <c r="S7173" s="7">
        <f t="shared" si="633"/>
        <v>1</v>
      </c>
      <c r="T7173" s="15" t="str">
        <f>VLOOKUP(R7173,产品分类!$C$2:$D$1278,2,0)</f>
        <v>家具产品</v>
      </c>
    </row>
    <row r="7174" spans="1:20">
      <c r="A7174" s="8">
        <f>DATE(2012,12,31)-1145</f>
        <v>40129</v>
      </c>
      <c r="B7174" s="8">
        <f>DATE(2012,12,31)-1145</f>
        <v>40129</v>
      </c>
      <c r="C7174" s="9" t="s">
        <v>413</v>
      </c>
      <c r="D7174">
        <v>10021653861</v>
      </c>
      <c r="E7174" t="s">
        <v>47</v>
      </c>
      <c r="F7174" t="s">
        <v>97</v>
      </c>
      <c r="G7174" t="s">
        <v>98</v>
      </c>
      <c r="H7174" t="s">
        <v>99</v>
      </c>
      <c r="I7174" t="s">
        <v>98</v>
      </c>
      <c r="J7174" t="s">
        <v>668</v>
      </c>
      <c r="K7174" s="3">
        <v>100116346046</v>
      </c>
      <c r="L7174" s="10">
        <v>40130</v>
      </c>
      <c r="M7174">
        <v>254.89</v>
      </c>
      <c r="N7174" s="11">
        <v>10</v>
      </c>
      <c r="O7174" s="12">
        <v>26.31</v>
      </c>
      <c r="P7174" s="12">
        <v>5.89</v>
      </c>
      <c r="Q7174" s="13">
        <v>-106.58</v>
      </c>
      <c r="R7174" s="36" t="s">
        <v>1107</v>
      </c>
      <c r="S7174" s="7">
        <f t="shared" si="633"/>
        <v>1</v>
      </c>
      <c r="T7174" s="15" t="str">
        <f>VLOOKUP(R7174,产品分类!$C$2:$D$1278,2,0)</f>
        <v>家具产品</v>
      </c>
    </row>
    <row r="7175" spans="1:20">
      <c r="A7175" s="8">
        <f>DATE(2012,12,31)-936</f>
        <v>40338</v>
      </c>
      <c r="B7175" s="8">
        <f>DATE(2012,12,31)-936</f>
        <v>40338</v>
      </c>
      <c r="C7175" s="9" t="s">
        <v>413</v>
      </c>
      <c r="D7175">
        <v>10021536221</v>
      </c>
      <c r="E7175" t="s">
        <v>47</v>
      </c>
      <c r="F7175" t="s">
        <v>132</v>
      </c>
      <c r="G7175" t="s">
        <v>133</v>
      </c>
      <c r="H7175" t="s">
        <v>134</v>
      </c>
      <c r="I7175" t="s">
        <v>133</v>
      </c>
      <c r="J7175" t="s">
        <v>668</v>
      </c>
      <c r="K7175" s="3">
        <v>100711572095</v>
      </c>
      <c r="L7175" s="10">
        <v>40343</v>
      </c>
      <c r="M7175">
        <v>78.22</v>
      </c>
      <c r="N7175" s="11">
        <v>26</v>
      </c>
      <c r="O7175" s="12">
        <v>2.88</v>
      </c>
      <c r="P7175" s="12">
        <v>0.5</v>
      </c>
      <c r="Q7175" s="13">
        <v>32.5</v>
      </c>
      <c r="R7175" s="36" t="s">
        <v>2318</v>
      </c>
      <c r="S7175" s="7">
        <f t="shared" si="633"/>
        <v>5</v>
      </c>
      <c r="T7175" s="15" t="str">
        <f>VLOOKUP(R7175,产品分类!$C$2:$D$1278,2,0)</f>
        <v>家具产品</v>
      </c>
    </row>
    <row r="7176" spans="1:20">
      <c r="A7176" s="8">
        <f>DATE(2012,12,31)-936</f>
        <v>40338</v>
      </c>
      <c r="B7176" s="8">
        <f>DATE(2012,12,31)-936</f>
        <v>40338</v>
      </c>
      <c r="C7176" s="9" t="s">
        <v>2424</v>
      </c>
      <c r="D7176">
        <v>10021727266</v>
      </c>
      <c r="E7176" t="s">
        <v>47</v>
      </c>
      <c r="F7176" t="s">
        <v>102</v>
      </c>
      <c r="G7176" t="s">
        <v>103</v>
      </c>
      <c r="H7176" t="s">
        <v>2560</v>
      </c>
      <c r="I7176" t="s">
        <v>2561</v>
      </c>
      <c r="J7176" t="s">
        <v>668</v>
      </c>
      <c r="K7176" s="3">
        <v>100133234898</v>
      </c>
      <c r="L7176" s="10">
        <v>40342</v>
      </c>
      <c r="M7176">
        <v>51.65</v>
      </c>
      <c r="N7176" s="11">
        <v>10</v>
      </c>
      <c r="O7176" s="12">
        <v>4.98</v>
      </c>
      <c r="P7176" s="12">
        <v>5.49</v>
      </c>
      <c r="Q7176" s="13">
        <v>-32.13</v>
      </c>
      <c r="R7176" s="36" t="s">
        <v>1215</v>
      </c>
      <c r="S7176" s="7">
        <f t="shared" si="633"/>
        <v>4</v>
      </c>
      <c r="T7176" s="15" t="str">
        <f>VLOOKUP(R7176,产品分类!$C$2:$D$1278,2,0)</f>
        <v>家具产品</v>
      </c>
    </row>
    <row r="7177" spans="1:20">
      <c r="A7177" s="8">
        <f>DATE(2012,12,31)-357</f>
        <v>40917</v>
      </c>
      <c r="B7177" s="8">
        <f>DATE(2012,12,31)-357</f>
        <v>40917</v>
      </c>
      <c r="C7177" s="9" t="s">
        <v>2051</v>
      </c>
      <c r="D7177">
        <v>10021309487</v>
      </c>
      <c r="E7177" t="s">
        <v>47</v>
      </c>
      <c r="F7177" t="s">
        <v>102</v>
      </c>
      <c r="G7177" t="s">
        <v>103</v>
      </c>
      <c r="H7177" t="s">
        <v>2560</v>
      </c>
      <c r="I7177" t="s">
        <v>2561</v>
      </c>
      <c r="J7177" t="s">
        <v>668</v>
      </c>
      <c r="K7177" s="3">
        <v>100127343597</v>
      </c>
      <c r="L7177" s="10">
        <v>40918</v>
      </c>
      <c r="M7177">
        <v>113.98</v>
      </c>
      <c r="N7177" s="11">
        <v>48</v>
      </c>
      <c r="O7177" s="12">
        <v>2.62</v>
      </c>
      <c r="P7177" s="12">
        <v>0.8</v>
      </c>
      <c r="Q7177" s="13">
        <v>21.29</v>
      </c>
      <c r="R7177" s="36" t="s">
        <v>917</v>
      </c>
      <c r="S7177" s="7">
        <f t="shared" si="633"/>
        <v>1</v>
      </c>
      <c r="T7177" s="15" t="str">
        <f>VLOOKUP(R7177,产品分类!$C$2:$D$1278,2,0)</f>
        <v>家具产品</v>
      </c>
    </row>
    <row r="7178" spans="1:20">
      <c r="A7178" s="8">
        <f>DATE(2012,12,31)-357</f>
        <v>40917</v>
      </c>
      <c r="B7178" s="8">
        <f>DATE(2012,12,31)-357</f>
        <v>40917</v>
      </c>
      <c r="C7178" s="9" t="s">
        <v>2051</v>
      </c>
      <c r="D7178">
        <v>10021564245</v>
      </c>
      <c r="E7178" t="s">
        <v>47</v>
      </c>
      <c r="F7178" t="s">
        <v>102</v>
      </c>
      <c r="G7178" t="s">
        <v>103</v>
      </c>
      <c r="H7178" t="s">
        <v>2560</v>
      </c>
      <c r="I7178" t="s">
        <v>2561</v>
      </c>
      <c r="J7178" t="s">
        <v>668</v>
      </c>
      <c r="K7178" s="3">
        <v>100926214691</v>
      </c>
      <c r="L7178" s="10">
        <v>40919</v>
      </c>
      <c r="M7178">
        <v>88.94</v>
      </c>
      <c r="N7178" s="11">
        <v>5</v>
      </c>
      <c r="O7178" s="12">
        <v>16.74</v>
      </c>
      <c r="P7178" s="12">
        <v>7.04</v>
      </c>
      <c r="Q7178" s="13">
        <v>-47.54</v>
      </c>
      <c r="R7178" s="36" t="s">
        <v>1705</v>
      </c>
      <c r="S7178" s="7">
        <f t="shared" si="633"/>
        <v>2</v>
      </c>
      <c r="T7178" s="15" t="str">
        <f>VLOOKUP(R7178,产品分类!$C$2:$D$1278,2,0)</f>
        <v>办公用品</v>
      </c>
    </row>
    <row r="7179" spans="1:20">
      <c r="A7179" s="8">
        <f>DATE(2012,12,31)-761</f>
        <v>40513</v>
      </c>
      <c r="B7179" s="8">
        <f>DATE(2012,12,31)-761</f>
        <v>40513</v>
      </c>
      <c r="C7179" s="9" t="s">
        <v>2238</v>
      </c>
      <c r="D7179">
        <v>10021459149</v>
      </c>
      <c r="E7179" t="s">
        <v>47</v>
      </c>
      <c r="F7179" t="s">
        <v>171</v>
      </c>
      <c r="G7179" t="s">
        <v>172</v>
      </c>
      <c r="H7179" t="s">
        <v>2486</v>
      </c>
      <c r="I7179" t="s">
        <v>2310</v>
      </c>
      <c r="J7179" t="s">
        <v>668</v>
      </c>
      <c r="K7179" s="3">
        <v>10049926013</v>
      </c>
      <c r="L7179" s="10">
        <v>40514</v>
      </c>
      <c r="M7179">
        <v>357.01</v>
      </c>
      <c r="N7179" s="11">
        <v>41</v>
      </c>
      <c r="O7179" s="12">
        <v>8.33</v>
      </c>
      <c r="P7179" s="12">
        <v>1.99</v>
      </c>
      <c r="Q7179" s="13">
        <v>64.5</v>
      </c>
      <c r="R7179" s="36" t="s">
        <v>996</v>
      </c>
      <c r="S7179" s="7">
        <f t="shared" si="633"/>
        <v>1</v>
      </c>
      <c r="T7179" s="15" t="str">
        <f>VLOOKUP(R7179,产品分类!$C$2:$D$1278,2,0)</f>
        <v>家具产品</v>
      </c>
    </row>
    <row r="7180" spans="1:20">
      <c r="A7180" s="8">
        <f>DATE(2012,12,31)-690</f>
        <v>40584</v>
      </c>
      <c r="B7180" s="8">
        <f>DATE(2012,12,31)-690</f>
        <v>40584</v>
      </c>
      <c r="C7180" s="9" t="s">
        <v>536</v>
      </c>
      <c r="D7180">
        <v>10021520970</v>
      </c>
      <c r="E7180" t="s">
        <v>47</v>
      </c>
      <c r="F7180" t="s">
        <v>183</v>
      </c>
      <c r="G7180" t="s">
        <v>184</v>
      </c>
      <c r="H7180" t="s">
        <v>2575</v>
      </c>
      <c r="I7180" t="s">
        <v>130</v>
      </c>
      <c r="J7180" t="s">
        <v>668</v>
      </c>
      <c r="K7180" s="3">
        <v>10016665197</v>
      </c>
      <c r="L7180" s="10">
        <v>40586</v>
      </c>
      <c r="M7180">
        <v>858.53</v>
      </c>
      <c r="N7180" s="11">
        <v>43</v>
      </c>
      <c r="O7180" s="12">
        <v>19.99</v>
      </c>
      <c r="P7180" s="12">
        <v>11.17</v>
      </c>
      <c r="Q7180" s="13">
        <v>-97.54</v>
      </c>
      <c r="R7180" s="36" t="s">
        <v>110</v>
      </c>
      <c r="S7180" s="7">
        <f t="shared" si="633"/>
        <v>2</v>
      </c>
      <c r="T7180" s="15" t="str">
        <f>VLOOKUP(R7180,产品分类!$C$2:$D$1278,2,0)</f>
        <v>数码电子</v>
      </c>
    </row>
    <row r="7181" spans="1:20">
      <c r="A7181" s="16">
        <f>DATE(2012,12,31)-558</f>
        <v>40716</v>
      </c>
      <c r="B7181" s="16">
        <f>DATE(2012,12,31)-558</f>
        <v>40716</v>
      </c>
      <c r="C7181" s="9" t="s">
        <v>1208</v>
      </c>
      <c r="D7181">
        <v>10021441697</v>
      </c>
      <c r="E7181" t="s">
        <v>47</v>
      </c>
      <c r="F7181" t="s">
        <v>61</v>
      </c>
      <c r="G7181" t="s">
        <v>62</v>
      </c>
      <c r="H7181" t="s">
        <v>2571</v>
      </c>
      <c r="I7181" t="s">
        <v>2572</v>
      </c>
      <c r="J7181" t="s">
        <v>668</v>
      </c>
      <c r="K7181" s="3">
        <v>100929798501</v>
      </c>
      <c r="L7181" s="10">
        <v>40718</v>
      </c>
      <c r="M7181">
        <v>417.88</v>
      </c>
      <c r="N7181" s="17">
        <v>15</v>
      </c>
      <c r="O7181" s="5">
        <v>28.15</v>
      </c>
      <c r="P7181" s="5">
        <v>8.99</v>
      </c>
      <c r="Q7181" s="6">
        <v>-13.95</v>
      </c>
      <c r="R7181" s="37" t="s">
        <v>2576</v>
      </c>
      <c r="S7181" s="7">
        <f t="shared" si="633"/>
        <v>2</v>
      </c>
      <c r="T7181" s="15" t="str">
        <f>VLOOKUP(R7181,产品分类!$C$2:$D$1278,2,0)</f>
        <v>家具产品</v>
      </c>
    </row>
    <row r="7182" spans="1:20">
      <c r="A7182" s="8">
        <f>DATE(2012,12,31)-380</f>
        <v>40894</v>
      </c>
      <c r="B7182" s="8">
        <f>DATE(2012,12,31)-380</f>
        <v>40894</v>
      </c>
      <c r="C7182" s="9" t="s">
        <v>1594</v>
      </c>
      <c r="D7182">
        <v>10021289285</v>
      </c>
      <c r="E7182" t="s">
        <v>47</v>
      </c>
      <c r="F7182" t="s">
        <v>83</v>
      </c>
      <c r="G7182" t="s">
        <v>84</v>
      </c>
      <c r="H7182" t="s">
        <v>2577</v>
      </c>
      <c r="I7182" t="s">
        <v>2578</v>
      </c>
      <c r="J7182" t="s">
        <v>668</v>
      </c>
      <c r="K7182" s="3">
        <v>10072274285</v>
      </c>
      <c r="L7182" s="10">
        <v>40903</v>
      </c>
      <c r="M7182">
        <v>28.34</v>
      </c>
      <c r="N7182" s="11">
        <v>4</v>
      </c>
      <c r="O7182" s="12">
        <v>4.98</v>
      </c>
      <c r="P7182" s="12">
        <v>7.44</v>
      </c>
      <c r="Q7182" s="13">
        <v>-18.55</v>
      </c>
      <c r="R7182" s="36" t="s">
        <v>126</v>
      </c>
      <c r="S7182" s="7">
        <f t="shared" si="633"/>
        <v>9</v>
      </c>
      <c r="T7182" s="15" t="str">
        <f>VLOOKUP(R7182,产品分类!$C$2:$D$1278,2,0)</f>
        <v>家具产品</v>
      </c>
    </row>
    <row r="7183" spans="1:20">
      <c r="A7183" s="8">
        <f>DATE(2012,12,31)-380</f>
        <v>40894</v>
      </c>
      <c r="B7183" s="8">
        <f>DATE(2012,12,31)-380</f>
        <v>40894</v>
      </c>
      <c r="C7183" s="9" t="s">
        <v>1594</v>
      </c>
      <c r="D7183">
        <v>10021329974</v>
      </c>
      <c r="E7183" t="s">
        <v>47</v>
      </c>
      <c r="F7183" t="s">
        <v>61</v>
      </c>
      <c r="G7183" t="s">
        <v>62</v>
      </c>
      <c r="H7183" t="s">
        <v>2571</v>
      </c>
      <c r="I7183" t="s">
        <v>2572</v>
      </c>
      <c r="J7183" t="s">
        <v>668</v>
      </c>
      <c r="K7183" s="3">
        <v>10011317026</v>
      </c>
      <c r="L7183" s="10">
        <v>40894</v>
      </c>
      <c r="M7183">
        <v>405.3395</v>
      </c>
      <c r="N7183" s="11">
        <v>7</v>
      </c>
      <c r="O7183" s="12">
        <v>65.99</v>
      </c>
      <c r="P7183" s="12">
        <v>3.9</v>
      </c>
      <c r="Q7183" s="13">
        <v>-147.884</v>
      </c>
      <c r="R7183" s="36" t="s">
        <v>131</v>
      </c>
      <c r="S7183" s="7">
        <f t="shared" si="633"/>
        <v>0</v>
      </c>
      <c r="T7183" s="15" t="str">
        <f>VLOOKUP(R7183,产品分类!$C$2:$D$1278,2,0)</f>
        <v>家具产品</v>
      </c>
    </row>
    <row r="7184" spans="1:20">
      <c r="A7184" s="8">
        <f>DATE(2012,12,31)-974</f>
        <v>40300</v>
      </c>
      <c r="B7184" s="8">
        <f>DATE(2012,12,31)-974</f>
        <v>40300</v>
      </c>
      <c r="C7184" s="9" t="s">
        <v>1594</v>
      </c>
      <c r="D7184">
        <v>10021721491</v>
      </c>
      <c r="E7184" t="s">
        <v>47</v>
      </c>
      <c r="F7184" t="s">
        <v>253</v>
      </c>
      <c r="G7184" t="s">
        <v>254</v>
      </c>
      <c r="H7184" t="s">
        <v>2579</v>
      </c>
      <c r="I7184" t="s">
        <v>2580</v>
      </c>
      <c r="J7184" t="s">
        <v>668</v>
      </c>
      <c r="K7184" s="3">
        <v>10016770037</v>
      </c>
      <c r="L7184" s="10">
        <v>40301</v>
      </c>
      <c r="M7184">
        <v>1561.96</v>
      </c>
      <c r="N7184" s="11">
        <v>31</v>
      </c>
      <c r="O7184" s="12">
        <v>50.98</v>
      </c>
      <c r="P7184" s="12">
        <v>13.66</v>
      </c>
      <c r="Q7184" s="13">
        <v>119.92</v>
      </c>
      <c r="R7184" s="36" t="s">
        <v>2280</v>
      </c>
      <c r="S7184" s="7">
        <f t="shared" si="633"/>
        <v>1</v>
      </c>
      <c r="T7184" s="15" t="str">
        <f>VLOOKUP(R7184,产品分类!$C$2:$D$1278,2,0)</f>
        <v>数码电子</v>
      </c>
    </row>
    <row r="7185" spans="1:20">
      <c r="A7185" s="8">
        <f t="shared" ref="A7185:B7187" si="634">DATE(2012,12,31)-303</f>
        <v>40971</v>
      </c>
      <c r="B7185" s="8">
        <f t="shared" si="634"/>
        <v>40971</v>
      </c>
      <c r="C7185" s="9" t="s">
        <v>1594</v>
      </c>
      <c r="D7185">
        <v>10021385631</v>
      </c>
      <c r="E7185" t="s">
        <v>47</v>
      </c>
      <c r="F7185" t="s">
        <v>61</v>
      </c>
      <c r="G7185" t="s">
        <v>62</v>
      </c>
      <c r="H7185" t="s">
        <v>2571</v>
      </c>
      <c r="I7185" t="s">
        <v>2572</v>
      </c>
      <c r="J7185" t="s">
        <v>668</v>
      </c>
      <c r="K7185" s="3">
        <v>10013378856</v>
      </c>
      <c r="L7185" s="10">
        <v>40973</v>
      </c>
      <c r="M7185">
        <v>4846.68</v>
      </c>
      <c r="N7185" s="11">
        <v>42</v>
      </c>
      <c r="O7185" s="12">
        <v>110.98</v>
      </c>
      <c r="P7185" s="12">
        <v>13.99</v>
      </c>
      <c r="Q7185" s="13">
        <v>820.94</v>
      </c>
      <c r="R7185" s="36" t="s">
        <v>2267</v>
      </c>
      <c r="S7185" s="7">
        <f t="shared" si="633"/>
        <v>2</v>
      </c>
      <c r="T7185" s="15" t="str">
        <f>VLOOKUP(R7185,产品分类!$C$2:$D$1278,2,0)</f>
        <v>数码电子</v>
      </c>
    </row>
    <row r="7186" spans="1:20">
      <c r="A7186" s="8">
        <f t="shared" si="634"/>
        <v>40971</v>
      </c>
      <c r="B7186" s="8">
        <f t="shared" si="634"/>
        <v>40971</v>
      </c>
      <c r="C7186" s="9" t="s">
        <v>2369</v>
      </c>
      <c r="D7186">
        <v>10021481937</v>
      </c>
      <c r="E7186" t="s">
        <v>47</v>
      </c>
      <c r="F7186" t="s">
        <v>91</v>
      </c>
      <c r="G7186" t="s">
        <v>92</v>
      </c>
      <c r="H7186" t="s">
        <v>2573</v>
      </c>
      <c r="I7186" t="s">
        <v>2574</v>
      </c>
      <c r="J7186" t="s">
        <v>668</v>
      </c>
      <c r="K7186" s="3">
        <v>10043825444</v>
      </c>
      <c r="L7186" s="10">
        <v>40973</v>
      </c>
      <c r="M7186">
        <v>32.69</v>
      </c>
      <c r="N7186" s="11">
        <v>5</v>
      </c>
      <c r="O7186" s="12">
        <v>4.98</v>
      </c>
      <c r="P7186" s="12">
        <v>7.54</v>
      </c>
      <c r="Q7186" s="13">
        <v>-24.43</v>
      </c>
      <c r="R7186" s="36" t="s">
        <v>471</v>
      </c>
      <c r="S7186" s="7">
        <f t="shared" si="633"/>
        <v>2</v>
      </c>
      <c r="T7186" s="15" t="str">
        <f>VLOOKUP(R7186,产品分类!$C$2:$D$1278,2,0)</f>
        <v>办公用品</v>
      </c>
    </row>
    <row r="7187" spans="1:20">
      <c r="A7187" s="8">
        <f t="shared" si="634"/>
        <v>40971</v>
      </c>
      <c r="B7187" s="8">
        <f t="shared" si="634"/>
        <v>40971</v>
      </c>
      <c r="C7187" s="9" t="s">
        <v>1198</v>
      </c>
      <c r="D7187">
        <v>10021732874</v>
      </c>
      <c r="E7187" t="s">
        <v>47</v>
      </c>
      <c r="F7187" t="s">
        <v>97</v>
      </c>
      <c r="G7187" t="s">
        <v>98</v>
      </c>
      <c r="H7187" t="s">
        <v>99</v>
      </c>
      <c r="I7187" t="s">
        <v>98</v>
      </c>
      <c r="J7187" t="s">
        <v>668</v>
      </c>
      <c r="K7187" s="3">
        <v>100933350411</v>
      </c>
      <c r="L7187" s="10">
        <v>40971</v>
      </c>
      <c r="M7187">
        <v>38.88</v>
      </c>
      <c r="N7187" s="11">
        <v>22</v>
      </c>
      <c r="O7187" s="12">
        <v>1.81</v>
      </c>
      <c r="P7187" s="12">
        <v>1.56</v>
      </c>
      <c r="Q7187" s="13">
        <v>-18.57</v>
      </c>
      <c r="R7187" s="36" t="s">
        <v>206</v>
      </c>
      <c r="S7187" s="7">
        <f t="shared" si="633"/>
        <v>0</v>
      </c>
      <c r="T7187" s="15" t="str">
        <f>VLOOKUP(R7187,产品分类!$C$2:$D$1278,2,0)</f>
        <v>数码电子</v>
      </c>
    </row>
    <row r="7188" spans="1:20">
      <c r="A7188" s="8">
        <f>DATE(2012,12,31)-544</f>
        <v>40730</v>
      </c>
      <c r="B7188" s="8">
        <f>DATE(2012,12,31)-544</f>
        <v>40730</v>
      </c>
      <c r="C7188" s="9" t="s">
        <v>1198</v>
      </c>
      <c r="D7188">
        <v>10021310535</v>
      </c>
      <c r="E7188" t="s">
        <v>47</v>
      </c>
      <c r="F7188" t="s">
        <v>152</v>
      </c>
      <c r="G7188" t="s">
        <v>153</v>
      </c>
      <c r="H7188" t="s">
        <v>2536</v>
      </c>
      <c r="I7188" t="s">
        <v>2537</v>
      </c>
      <c r="J7188" t="s">
        <v>668</v>
      </c>
      <c r="K7188" s="3">
        <v>100327804199</v>
      </c>
      <c r="L7188" s="10">
        <v>40732</v>
      </c>
      <c r="M7188">
        <v>286.26</v>
      </c>
      <c r="N7188" s="11">
        <v>31</v>
      </c>
      <c r="O7188" s="12">
        <v>8.56</v>
      </c>
      <c r="P7188" s="12">
        <v>5.16</v>
      </c>
      <c r="Q7188" s="13">
        <v>8.34</v>
      </c>
      <c r="R7188" s="36" t="s">
        <v>616</v>
      </c>
      <c r="S7188" s="7">
        <f t="shared" si="633"/>
        <v>2</v>
      </c>
      <c r="T7188" s="15" t="str">
        <f>VLOOKUP(R7188,产品分类!$C$2:$D$1278,2,0)</f>
        <v>家具产品</v>
      </c>
    </row>
    <row r="7189" spans="1:20">
      <c r="A7189" s="8">
        <f>DATE(2012,12,31)-516</f>
        <v>40758</v>
      </c>
      <c r="B7189" s="8">
        <f>DATE(2012,12,31)-516</f>
        <v>40758</v>
      </c>
      <c r="C7189" s="9" t="s">
        <v>770</v>
      </c>
      <c r="D7189">
        <v>10021458081</v>
      </c>
      <c r="E7189" t="s">
        <v>47</v>
      </c>
      <c r="F7189" t="s">
        <v>208</v>
      </c>
      <c r="G7189" t="s">
        <v>209</v>
      </c>
      <c r="H7189" t="s">
        <v>2300</v>
      </c>
      <c r="I7189" t="s">
        <v>2301</v>
      </c>
      <c r="J7189" t="s">
        <v>668</v>
      </c>
      <c r="K7189" s="3">
        <v>100132922778</v>
      </c>
      <c r="L7189" s="10">
        <v>40760</v>
      </c>
      <c r="M7189">
        <v>493.56</v>
      </c>
      <c r="N7189" s="11">
        <v>42</v>
      </c>
      <c r="O7189" s="12">
        <v>11.99</v>
      </c>
      <c r="P7189" s="12">
        <v>5.99</v>
      </c>
      <c r="Q7189" s="13">
        <v>12.73</v>
      </c>
      <c r="R7189" s="36" t="s">
        <v>1090</v>
      </c>
      <c r="S7189" s="7">
        <f t="shared" si="633"/>
        <v>2</v>
      </c>
      <c r="T7189" s="15" t="str">
        <f>VLOOKUP(R7189,产品分类!$C$2:$D$1278,2,0)</f>
        <v>办公用品</v>
      </c>
    </row>
    <row r="7190" spans="1:20">
      <c r="A7190" s="8">
        <f>DATE(2012,12,31)-1023</f>
        <v>40251</v>
      </c>
      <c r="B7190" s="8">
        <f>DATE(2012,12,31)-1023</f>
        <v>40251</v>
      </c>
      <c r="C7190" s="9" t="s">
        <v>770</v>
      </c>
      <c r="D7190">
        <v>10021482432</v>
      </c>
      <c r="E7190" t="s">
        <v>47</v>
      </c>
      <c r="F7190" t="s">
        <v>102</v>
      </c>
      <c r="G7190" t="s">
        <v>103</v>
      </c>
      <c r="H7190" t="s">
        <v>2560</v>
      </c>
      <c r="I7190" t="s">
        <v>2561</v>
      </c>
      <c r="J7190" t="s">
        <v>668</v>
      </c>
      <c r="K7190" s="3">
        <v>10017899557</v>
      </c>
      <c r="L7190" s="10">
        <v>40252</v>
      </c>
      <c r="M7190">
        <v>2723.1</v>
      </c>
      <c r="N7190" s="11">
        <v>16</v>
      </c>
      <c r="O7190" s="12">
        <v>167.27</v>
      </c>
      <c r="P7190" s="12">
        <v>35</v>
      </c>
      <c r="Q7190" s="13">
        <v>-446.31</v>
      </c>
      <c r="R7190" s="36" t="s">
        <v>1979</v>
      </c>
      <c r="S7190" s="7">
        <f t="shared" si="633"/>
        <v>1</v>
      </c>
      <c r="T7190" s="15" t="str">
        <f>VLOOKUP(R7190,产品分类!$C$2:$D$1278,2,0)</f>
        <v>办公用品</v>
      </c>
    </row>
    <row r="7191" spans="1:20">
      <c r="A7191" s="8">
        <f>DATE(2012,12,31)-1023</f>
        <v>40251</v>
      </c>
      <c r="B7191" s="8">
        <f>DATE(2012,12,31)-1023</f>
        <v>40251</v>
      </c>
      <c r="C7191" s="9" t="s">
        <v>868</v>
      </c>
      <c r="D7191">
        <v>10021748456</v>
      </c>
      <c r="E7191" t="s">
        <v>47</v>
      </c>
      <c r="F7191" t="s">
        <v>66</v>
      </c>
      <c r="G7191" t="s">
        <v>67</v>
      </c>
      <c r="H7191" t="s">
        <v>2467</v>
      </c>
      <c r="I7191" t="s">
        <v>2468</v>
      </c>
      <c r="J7191" t="s">
        <v>668</v>
      </c>
      <c r="K7191" s="3">
        <v>100930234441</v>
      </c>
      <c r="L7191" s="10">
        <v>40253</v>
      </c>
      <c r="M7191">
        <v>347.2675</v>
      </c>
      <c r="N7191" s="11">
        <v>20</v>
      </c>
      <c r="O7191" s="12">
        <v>20.99</v>
      </c>
      <c r="P7191" s="12">
        <v>0.99</v>
      </c>
      <c r="Q7191" s="13">
        <v>-71.093</v>
      </c>
      <c r="R7191" s="36" t="s">
        <v>206</v>
      </c>
      <c r="S7191" s="7">
        <f t="shared" si="633"/>
        <v>2</v>
      </c>
      <c r="T7191" s="15" t="str">
        <f>VLOOKUP(R7191,产品分类!$C$2:$D$1278,2,0)</f>
        <v>数码电子</v>
      </c>
    </row>
    <row r="7192" spans="1:20">
      <c r="A7192" s="8">
        <f>DATE(2012,12,31)-420</f>
        <v>40854</v>
      </c>
      <c r="B7192" s="8">
        <f>DATE(2012,12,31)-420</f>
        <v>40854</v>
      </c>
      <c r="C7192" s="9" t="s">
        <v>2427</v>
      </c>
      <c r="D7192">
        <v>10021748255</v>
      </c>
      <c r="E7192" t="s">
        <v>47</v>
      </c>
      <c r="F7192" t="s">
        <v>66</v>
      </c>
      <c r="G7192" t="s">
        <v>67</v>
      </c>
      <c r="H7192" t="s">
        <v>2467</v>
      </c>
      <c r="I7192" t="s">
        <v>2468</v>
      </c>
      <c r="J7192" t="s">
        <v>668</v>
      </c>
      <c r="K7192" s="3">
        <v>100129949106</v>
      </c>
      <c r="L7192" s="10">
        <v>40856</v>
      </c>
      <c r="M7192">
        <v>360.24</v>
      </c>
      <c r="N7192" s="11">
        <v>18</v>
      </c>
      <c r="O7192" s="12">
        <v>19.98</v>
      </c>
      <c r="P7192" s="12">
        <v>4</v>
      </c>
      <c r="Q7192" s="13">
        <v>-36.24</v>
      </c>
      <c r="R7192" s="36" t="s">
        <v>1011</v>
      </c>
      <c r="S7192" s="7">
        <f t="shared" si="633"/>
        <v>2</v>
      </c>
      <c r="T7192" s="15" t="str">
        <f>VLOOKUP(R7192,产品分类!$C$2:$D$1278,2,0)</f>
        <v>家具产品</v>
      </c>
    </row>
    <row r="7193" spans="1:20">
      <c r="A7193" s="8">
        <f>DATE(2012,12,31)-420</f>
        <v>40854</v>
      </c>
      <c r="B7193" s="8">
        <f>DATE(2012,12,31)-420</f>
        <v>40854</v>
      </c>
      <c r="C7193" s="9" t="s">
        <v>1866</v>
      </c>
      <c r="D7193">
        <v>10021620496</v>
      </c>
      <c r="E7193" t="s">
        <v>47</v>
      </c>
      <c r="F7193" t="s">
        <v>66</v>
      </c>
      <c r="G7193" t="s">
        <v>67</v>
      </c>
      <c r="H7193" t="s">
        <v>2467</v>
      </c>
      <c r="I7193" t="s">
        <v>2468</v>
      </c>
      <c r="J7193" t="s">
        <v>668</v>
      </c>
      <c r="K7193" s="3">
        <v>10079830785</v>
      </c>
      <c r="L7193" s="10">
        <v>40856</v>
      </c>
      <c r="M7193">
        <v>1463.27</v>
      </c>
      <c r="N7193" s="11">
        <v>46</v>
      </c>
      <c r="O7193" s="12">
        <v>34.76</v>
      </c>
      <c r="P7193" s="12">
        <v>8.22</v>
      </c>
      <c r="Q7193" s="13">
        <v>104.22</v>
      </c>
      <c r="R7193" s="36" t="s">
        <v>824</v>
      </c>
      <c r="S7193" s="7">
        <f t="shared" si="633"/>
        <v>2</v>
      </c>
      <c r="T7193" s="15" t="str">
        <f>VLOOKUP(R7193,产品分类!$C$2:$D$1278,2,0)</f>
        <v>办公用品</v>
      </c>
    </row>
    <row r="7194" spans="1:20">
      <c r="A7194" s="8">
        <f t="shared" ref="A7194:B7197" si="635">DATE(2012,12,31)-400</f>
        <v>40874</v>
      </c>
      <c r="B7194" s="8">
        <f t="shared" si="635"/>
        <v>40874</v>
      </c>
      <c r="C7194" s="9" t="s">
        <v>317</v>
      </c>
      <c r="D7194">
        <v>10021249830</v>
      </c>
      <c r="E7194" t="s">
        <v>47</v>
      </c>
      <c r="F7194" t="s">
        <v>66</v>
      </c>
      <c r="G7194" t="s">
        <v>67</v>
      </c>
      <c r="H7194" t="s">
        <v>2467</v>
      </c>
      <c r="I7194" t="s">
        <v>2468</v>
      </c>
      <c r="J7194" t="s">
        <v>668</v>
      </c>
      <c r="K7194" s="3">
        <v>100310093359</v>
      </c>
      <c r="L7194" s="10">
        <v>40875</v>
      </c>
      <c r="M7194">
        <v>21366.51</v>
      </c>
      <c r="N7194" s="11">
        <v>3</v>
      </c>
      <c r="O7194" s="12">
        <v>6783.02</v>
      </c>
      <c r="P7194" s="12">
        <v>24.49</v>
      </c>
      <c r="Q7194" s="13">
        <v>-11984.3979</v>
      </c>
      <c r="R7194" s="36" t="s">
        <v>2121</v>
      </c>
      <c r="S7194" s="7">
        <f t="shared" si="633"/>
        <v>1</v>
      </c>
      <c r="T7194" s="15" t="str">
        <f>VLOOKUP(R7194,产品分类!$C$2:$D$1278,2,0)</f>
        <v>办公用品</v>
      </c>
    </row>
    <row r="7195" spans="1:20">
      <c r="A7195" s="8">
        <f t="shared" si="635"/>
        <v>40874</v>
      </c>
      <c r="B7195" s="8">
        <f t="shared" si="635"/>
        <v>40874</v>
      </c>
      <c r="C7195" s="9" t="s">
        <v>472</v>
      </c>
      <c r="D7195">
        <v>10021581037</v>
      </c>
      <c r="E7195" t="s">
        <v>47</v>
      </c>
      <c r="F7195" t="s">
        <v>152</v>
      </c>
      <c r="G7195" t="s">
        <v>153</v>
      </c>
      <c r="H7195" t="s">
        <v>2536</v>
      </c>
      <c r="I7195" t="s">
        <v>2537</v>
      </c>
      <c r="J7195" t="s">
        <v>668</v>
      </c>
      <c r="K7195" s="3">
        <v>10089511022</v>
      </c>
      <c r="L7195" s="10">
        <v>40876</v>
      </c>
      <c r="M7195">
        <v>320.04</v>
      </c>
      <c r="N7195" s="11">
        <v>34</v>
      </c>
      <c r="O7195" s="12">
        <v>9.27</v>
      </c>
      <c r="P7195" s="12">
        <v>4.39</v>
      </c>
      <c r="Q7195" s="13">
        <v>32.47</v>
      </c>
      <c r="R7195" s="36" t="s">
        <v>1183</v>
      </c>
      <c r="S7195" s="7">
        <f t="shared" si="633"/>
        <v>2</v>
      </c>
      <c r="T7195" s="15" t="str">
        <f>VLOOKUP(R7195,产品分类!$C$2:$D$1278,2,0)</f>
        <v>办公用品</v>
      </c>
    </row>
    <row r="7196" spans="1:20">
      <c r="A7196" s="8">
        <f t="shared" si="635"/>
        <v>40874</v>
      </c>
      <c r="B7196" s="8">
        <f t="shared" si="635"/>
        <v>40874</v>
      </c>
      <c r="C7196" s="9" t="s">
        <v>472</v>
      </c>
      <c r="D7196">
        <v>10021750880</v>
      </c>
      <c r="E7196" t="s">
        <v>47</v>
      </c>
      <c r="F7196" t="s">
        <v>97</v>
      </c>
      <c r="G7196" t="s">
        <v>98</v>
      </c>
      <c r="H7196" t="s">
        <v>99</v>
      </c>
      <c r="I7196" t="s">
        <v>98</v>
      </c>
      <c r="J7196" t="s">
        <v>668</v>
      </c>
      <c r="K7196" s="3">
        <v>100415705183</v>
      </c>
      <c r="L7196" s="10">
        <v>40876</v>
      </c>
      <c r="M7196">
        <v>88.57</v>
      </c>
      <c r="N7196" s="11">
        <v>12</v>
      </c>
      <c r="O7196" s="12">
        <v>6.68</v>
      </c>
      <c r="P7196" s="12">
        <v>6.15</v>
      </c>
      <c r="Q7196" s="13">
        <v>-28.25</v>
      </c>
      <c r="R7196" s="36" t="s">
        <v>2101</v>
      </c>
      <c r="S7196" s="7">
        <f t="shared" si="633"/>
        <v>2</v>
      </c>
      <c r="T7196" s="15" t="str">
        <f>VLOOKUP(R7196,产品分类!$C$2:$D$1278,2,0)</f>
        <v>办公用品</v>
      </c>
    </row>
    <row r="7197" spans="1:20">
      <c r="A7197" s="8">
        <f t="shared" si="635"/>
        <v>40874</v>
      </c>
      <c r="B7197" s="8">
        <f t="shared" si="635"/>
        <v>40874</v>
      </c>
      <c r="C7197" s="9" t="s">
        <v>632</v>
      </c>
      <c r="D7197">
        <v>10021664456</v>
      </c>
      <c r="E7197" t="s">
        <v>47</v>
      </c>
      <c r="F7197" t="s">
        <v>97</v>
      </c>
      <c r="G7197" t="s">
        <v>98</v>
      </c>
      <c r="H7197" t="s">
        <v>99</v>
      </c>
      <c r="I7197" t="s">
        <v>98</v>
      </c>
      <c r="J7197" t="s">
        <v>668</v>
      </c>
      <c r="K7197" s="3">
        <v>100724340395</v>
      </c>
      <c r="L7197" s="10">
        <v>40877</v>
      </c>
      <c r="M7197">
        <v>73.97</v>
      </c>
      <c r="N7197" s="11">
        <v>13</v>
      </c>
      <c r="O7197" s="12">
        <v>5.78</v>
      </c>
      <c r="P7197" s="12">
        <v>5.67</v>
      </c>
      <c r="Q7197" s="13">
        <v>-38.35</v>
      </c>
      <c r="R7197" s="36" t="s">
        <v>241</v>
      </c>
      <c r="S7197" s="7">
        <f t="shared" si="633"/>
        <v>3</v>
      </c>
      <c r="T7197" s="15" t="str">
        <f>VLOOKUP(R7197,产品分类!$C$2:$D$1278,2,0)</f>
        <v>数码电子</v>
      </c>
    </row>
    <row r="7198" spans="1:20">
      <c r="A7198" s="8">
        <f>DATE(2012,12,31)-1376</f>
        <v>39898</v>
      </c>
      <c r="B7198" s="8">
        <f>DATE(2012,12,31)-1376</f>
        <v>39898</v>
      </c>
      <c r="C7198" s="9" t="s">
        <v>375</v>
      </c>
      <c r="D7198">
        <v>10021523438</v>
      </c>
      <c r="E7198" t="s">
        <v>47</v>
      </c>
      <c r="F7198" t="s">
        <v>66</v>
      </c>
      <c r="G7198" t="s">
        <v>67</v>
      </c>
      <c r="H7198" t="s">
        <v>2467</v>
      </c>
      <c r="I7198" t="s">
        <v>2468</v>
      </c>
      <c r="J7198" t="s">
        <v>668</v>
      </c>
      <c r="K7198" s="3">
        <v>10098259321</v>
      </c>
      <c r="L7198" s="10">
        <v>39900</v>
      </c>
      <c r="M7198">
        <v>545.04</v>
      </c>
      <c r="N7198" s="11">
        <v>7</v>
      </c>
      <c r="O7198" s="12">
        <v>68.81</v>
      </c>
      <c r="P7198" s="12">
        <v>60</v>
      </c>
      <c r="Q7198" s="13">
        <v>-210.06</v>
      </c>
      <c r="R7198" s="36" t="s">
        <v>1614</v>
      </c>
      <c r="S7198" s="7">
        <f t="shared" si="633"/>
        <v>2</v>
      </c>
      <c r="T7198" s="15" t="str">
        <f>VLOOKUP(R7198,产品分类!$C$2:$D$1278,2,0)</f>
        <v>数码电子</v>
      </c>
    </row>
    <row r="7199" spans="1:20">
      <c r="A7199" s="8">
        <f>DATE(2012,12,31)-1376</f>
        <v>39898</v>
      </c>
      <c r="B7199" s="8">
        <f>DATE(2012,12,31)-1376</f>
        <v>39898</v>
      </c>
      <c r="C7199" s="9" t="s">
        <v>375</v>
      </c>
      <c r="D7199">
        <v>10021574305</v>
      </c>
      <c r="E7199" t="s">
        <v>47</v>
      </c>
      <c r="F7199" t="s">
        <v>48</v>
      </c>
      <c r="G7199" t="s">
        <v>49</v>
      </c>
      <c r="H7199" t="s">
        <v>2539</v>
      </c>
      <c r="I7199" t="s">
        <v>2540</v>
      </c>
      <c r="J7199" t="s">
        <v>668</v>
      </c>
      <c r="K7199" s="3">
        <v>10091899851</v>
      </c>
      <c r="L7199" s="10">
        <v>39899</v>
      </c>
      <c r="M7199">
        <v>606.91</v>
      </c>
      <c r="N7199" s="11">
        <v>29</v>
      </c>
      <c r="O7199" s="12">
        <v>20.89</v>
      </c>
      <c r="P7199" s="12">
        <v>11.52</v>
      </c>
      <c r="Q7199" s="13">
        <v>-271.77</v>
      </c>
      <c r="R7199" s="36" t="s">
        <v>1081</v>
      </c>
      <c r="S7199" s="7">
        <f t="shared" si="633"/>
        <v>1</v>
      </c>
      <c r="T7199" s="15" t="str">
        <f>VLOOKUP(R7199,产品分类!$C$2:$D$1278,2,0)</f>
        <v>办公用品</v>
      </c>
    </row>
    <row r="7200" spans="1:20">
      <c r="A7200" s="8">
        <f>DATE(2012,12,31)-65</f>
        <v>41209</v>
      </c>
      <c r="B7200" s="8">
        <f>DATE(2012,12,31)-65</f>
        <v>41209</v>
      </c>
      <c r="C7200" s="9" t="s">
        <v>1862</v>
      </c>
      <c r="D7200">
        <v>10021666285</v>
      </c>
      <c r="E7200" t="s">
        <v>47</v>
      </c>
      <c r="F7200" t="s">
        <v>48</v>
      </c>
      <c r="G7200" t="s">
        <v>49</v>
      </c>
      <c r="H7200" t="s">
        <v>2539</v>
      </c>
      <c r="I7200" t="s">
        <v>2540</v>
      </c>
      <c r="J7200" t="s">
        <v>668</v>
      </c>
      <c r="K7200" s="3">
        <v>10015894626</v>
      </c>
      <c r="L7200" s="10">
        <v>41211</v>
      </c>
      <c r="M7200">
        <v>45.69</v>
      </c>
      <c r="N7200" s="11">
        <v>10</v>
      </c>
      <c r="O7200" s="12">
        <v>3.57</v>
      </c>
      <c r="P7200" s="12">
        <v>4.17</v>
      </c>
      <c r="Q7200" s="13">
        <v>-24.21</v>
      </c>
      <c r="R7200" s="36" t="s">
        <v>969</v>
      </c>
      <c r="S7200" s="7">
        <f t="shared" si="633"/>
        <v>2</v>
      </c>
      <c r="T7200" s="15" t="str">
        <f>VLOOKUP(R7200,产品分类!$C$2:$D$1278,2,0)</f>
        <v>家具产品</v>
      </c>
    </row>
    <row r="7201" spans="1:20">
      <c r="A7201" s="8">
        <f>DATE(2012,12,31)-427</f>
        <v>40847</v>
      </c>
      <c r="B7201" s="8">
        <f>DATE(2012,12,31)-427</f>
        <v>40847</v>
      </c>
      <c r="C7201" s="9" t="s">
        <v>472</v>
      </c>
      <c r="D7201">
        <v>10021428464</v>
      </c>
      <c r="E7201" t="s">
        <v>47</v>
      </c>
      <c r="F7201" t="s">
        <v>66</v>
      </c>
      <c r="G7201" t="s">
        <v>67</v>
      </c>
      <c r="H7201" t="s">
        <v>2467</v>
      </c>
      <c r="I7201" t="s">
        <v>2468</v>
      </c>
      <c r="J7201" t="s">
        <v>668</v>
      </c>
      <c r="K7201" s="3">
        <v>10018737906</v>
      </c>
      <c r="L7201" s="10">
        <v>40849</v>
      </c>
      <c r="M7201">
        <v>1749.07</v>
      </c>
      <c r="N7201" s="11">
        <v>36</v>
      </c>
      <c r="O7201" s="12">
        <v>48.04</v>
      </c>
      <c r="P7201" s="12">
        <v>5.79</v>
      </c>
      <c r="Q7201" s="13">
        <v>804.66</v>
      </c>
      <c r="R7201" s="36" t="s">
        <v>2342</v>
      </c>
      <c r="S7201" s="7">
        <f t="shared" si="633"/>
        <v>2</v>
      </c>
      <c r="T7201" s="15" t="str">
        <f>VLOOKUP(R7201,产品分类!$C$2:$D$1278,2,0)</f>
        <v>家具产品</v>
      </c>
    </row>
    <row r="7202" spans="1:20">
      <c r="A7202" s="8">
        <f>DATE(2012,12,31)-427</f>
        <v>40847</v>
      </c>
      <c r="B7202" s="8">
        <f>DATE(2012,12,31)-427</f>
        <v>40847</v>
      </c>
      <c r="C7202" s="9" t="s">
        <v>472</v>
      </c>
      <c r="D7202">
        <v>10021754104</v>
      </c>
      <c r="E7202" t="s">
        <v>47</v>
      </c>
      <c r="F7202" t="s">
        <v>208</v>
      </c>
      <c r="G7202" t="s">
        <v>209</v>
      </c>
      <c r="H7202" t="s">
        <v>2300</v>
      </c>
      <c r="I7202" t="s">
        <v>2301</v>
      </c>
      <c r="J7202" t="s">
        <v>668</v>
      </c>
      <c r="K7202" s="3">
        <v>100732592405</v>
      </c>
      <c r="L7202" s="10">
        <v>40847</v>
      </c>
      <c r="M7202">
        <v>37.9</v>
      </c>
      <c r="N7202" s="11">
        <v>14</v>
      </c>
      <c r="O7202" s="12">
        <v>2.6</v>
      </c>
      <c r="P7202" s="12">
        <v>2.4</v>
      </c>
      <c r="Q7202" s="13">
        <v>-22.01</v>
      </c>
      <c r="R7202" s="36" t="s">
        <v>237</v>
      </c>
      <c r="S7202" s="7">
        <f t="shared" si="633"/>
        <v>0</v>
      </c>
      <c r="T7202" s="15" t="str">
        <f>VLOOKUP(R7202,产品分类!$C$2:$D$1278,2,0)</f>
        <v>数码电子</v>
      </c>
    </row>
    <row r="7203" spans="1:20">
      <c r="A7203" s="8">
        <f>DATE(2012,12,31)-1008</f>
        <v>40266</v>
      </c>
      <c r="B7203" s="8">
        <f>DATE(2012,12,31)-1008</f>
        <v>40266</v>
      </c>
      <c r="C7203" s="9" t="s">
        <v>2146</v>
      </c>
      <c r="D7203">
        <v>10021249276</v>
      </c>
      <c r="E7203" t="s">
        <v>47</v>
      </c>
      <c r="F7203" t="s">
        <v>72</v>
      </c>
      <c r="G7203" t="s">
        <v>73</v>
      </c>
      <c r="H7203" t="s">
        <v>2558</v>
      </c>
      <c r="I7203" t="s">
        <v>2559</v>
      </c>
      <c r="J7203" t="s">
        <v>668</v>
      </c>
      <c r="K7203" s="3">
        <v>10095198071</v>
      </c>
      <c r="L7203" s="10">
        <v>40266</v>
      </c>
      <c r="M7203">
        <v>245.4</v>
      </c>
      <c r="N7203" s="11">
        <v>34</v>
      </c>
      <c r="O7203" s="12">
        <v>6.68</v>
      </c>
      <c r="P7203" s="12">
        <v>6.92</v>
      </c>
      <c r="Q7203" s="13">
        <v>-87.27</v>
      </c>
      <c r="R7203" s="36" t="s">
        <v>1352</v>
      </c>
      <c r="S7203" s="7">
        <f t="shared" si="633"/>
        <v>0</v>
      </c>
      <c r="T7203" s="15" t="str">
        <f>VLOOKUP(R7203,产品分类!$C$2:$D$1278,2,0)</f>
        <v>数码电子</v>
      </c>
    </row>
    <row r="7204" spans="1:20">
      <c r="A7204" s="8">
        <f>DATE(2012,12,31)-1008</f>
        <v>40266</v>
      </c>
      <c r="B7204" s="8">
        <f>DATE(2012,12,31)-1008</f>
        <v>40266</v>
      </c>
      <c r="C7204" s="9" t="s">
        <v>457</v>
      </c>
      <c r="D7204">
        <v>10021740189</v>
      </c>
      <c r="E7204" t="s">
        <v>47</v>
      </c>
      <c r="F7204" t="s">
        <v>72</v>
      </c>
      <c r="G7204" t="s">
        <v>73</v>
      </c>
      <c r="H7204" t="s">
        <v>2558</v>
      </c>
      <c r="I7204" t="s">
        <v>2559</v>
      </c>
      <c r="J7204" t="s">
        <v>668</v>
      </c>
      <c r="K7204" s="3">
        <v>100718115725</v>
      </c>
      <c r="L7204" s="10">
        <v>40266</v>
      </c>
      <c r="M7204">
        <v>4177.66</v>
      </c>
      <c r="N7204" s="11">
        <v>47</v>
      </c>
      <c r="O7204" s="12">
        <v>85.29</v>
      </c>
      <c r="P7204" s="12">
        <v>60</v>
      </c>
      <c r="Q7204" s="13">
        <v>85.29</v>
      </c>
      <c r="R7204" s="36" t="s">
        <v>2370</v>
      </c>
      <c r="S7204" s="7">
        <f t="shared" si="633"/>
        <v>0</v>
      </c>
      <c r="T7204" s="15" t="str">
        <f>VLOOKUP(R7204,产品分类!$C$2:$D$1278,2,0)</f>
        <v>办公用品</v>
      </c>
    </row>
    <row r="7205" spans="1:20">
      <c r="A7205" s="16">
        <f>DATE(2012,12,31)-302</f>
        <v>40972</v>
      </c>
      <c r="B7205" s="16">
        <f>DATE(2012,12,31)-302</f>
        <v>40972</v>
      </c>
      <c r="C7205" s="9" t="s">
        <v>457</v>
      </c>
      <c r="D7205">
        <v>10021265420</v>
      </c>
      <c r="E7205" t="s">
        <v>47</v>
      </c>
      <c r="F7205" t="s">
        <v>78</v>
      </c>
      <c r="G7205" t="s">
        <v>79</v>
      </c>
      <c r="H7205" t="s">
        <v>80</v>
      </c>
      <c r="I7205" t="s">
        <v>81</v>
      </c>
      <c r="J7205" t="s">
        <v>668</v>
      </c>
      <c r="K7205" s="3">
        <v>100431500443</v>
      </c>
      <c r="L7205" s="10">
        <v>40981</v>
      </c>
      <c r="M7205">
        <v>823.98</v>
      </c>
      <c r="N7205" s="17">
        <v>34</v>
      </c>
      <c r="O7205" s="5">
        <v>25.98</v>
      </c>
      <c r="P7205" s="5">
        <v>4.08</v>
      </c>
      <c r="Q7205" s="6">
        <v>129.81</v>
      </c>
      <c r="R7205" s="37" t="s">
        <v>602</v>
      </c>
      <c r="S7205" s="7">
        <f t="shared" si="633"/>
        <v>9</v>
      </c>
      <c r="T7205" s="15" t="str">
        <f>VLOOKUP(R7205,产品分类!$C$2:$D$1278,2,0)</f>
        <v>办公用品</v>
      </c>
    </row>
    <row r="7206" spans="1:20">
      <c r="A7206" s="8">
        <f>DATE(2012,12,31)-806</f>
        <v>40468</v>
      </c>
      <c r="B7206" s="8">
        <f>DATE(2012,12,31)-806</f>
        <v>40468</v>
      </c>
      <c r="C7206" s="9" t="s">
        <v>250</v>
      </c>
      <c r="D7206">
        <v>10021266037</v>
      </c>
      <c r="E7206" t="s">
        <v>47</v>
      </c>
      <c r="F7206" t="s">
        <v>72</v>
      </c>
      <c r="G7206" t="s">
        <v>73</v>
      </c>
      <c r="H7206" t="s">
        <v>2558</v>
      </c>
      <c r="I7206" t="s">
        <v>2559</v>
      </c>
      <c r="J7206" t="s">
        <v>668</v>
      </c>
      <c r="K7206" s="3">
        <v>100131753966</v>
      </c>
      <c r="L7206" s="10">
        <v>40469</v>
      </c>
      <c r="M7206">
        <v>5620.2</v>
      </c>
      <c r="N7206" s="11">
        <v>48</v>
      </c>
      <c r="O7206" s="12">
        <v>110.98</v>
      </c>
      <c r="P7206" s="12">
        <v>30</v>
      </c>
      <c r="Q7206" s="13">
        <v>176.04</v>
      </c>
      <c r="R7206" s="36" t="s">
        <v>960</v>
      </c>
      <c r="S7206" s="7">
        <f t="shared" si="633"/>
        <v>1</v>
      </c>
      <c r="T7206" s="15" t="str">
        <f>VLOOKUP(R7206,产品分类!$C$2:$D$1278,2,0)</f>
        <v>家具产品</v>
      </c>
    </row>
    <row r="7207" spans="1:20">
      <c r="A7207" s="8">
        <f t="shared" ref="A7207:B7210" si="636">DATE(2012,12,31)-1216</f>
        <v>40058</v>
      </c>
      <c r="B7207" s="8">
        <f t="shared" si="636"/>
        <v>40058</v>
      </c>
      <c r="C7207" s="9" t="s">
        <v>250</v>
      </c>
      <c r="D7207">
        <v>10021622333</v>
      </c>
      <c r="E7207" t="s">
        <v>47</v>
      </c>
      <c r="F7207" t="s">
        <v>72</v>
      </c>
      <c r="G7207" t="s">
        <v>73</v>
      </c>
      <c r="H7207" t="s">
        <v>2558</v>
      </c>
      <c r="I7207" t="s">
        <v>2559</v>
      </c>
      <c r="J7207" t="s">
        <v>668</v>
      </c>
      <c r="K7207" s="3">
        <v>100116619908</v>
      </c>
      <c r="L7207" s="10">
        <v>40059</v>
      </c>
      <c r="M7207">
        <v>100.6</v>
      </c>
      <c r="N7207" s="11">
        <v>46</v>
      </c>
      <c r="O7207" s="12">
        <v>2.21</v>
      </c>
      <c r="P7207" s="12">
        <v>1</v>
      </c>
      <c r="Q7207" s="13">
        <v>11.55</v>
      </c>
      <c r="R7207" s="36" t="s">
        <v>1687</v>
      </c>
      <c r="S7207" s="7">
        <f t="shared" si="633"/>
        <v>1</v>
      </c>
      <c r="T7207" s="15" t="str">
        <f>VLOOKUP(R7207,产品分类!$C$2:$D$1278,2,0)</f>
        <v>办公用品</v>
      </c>
    </row>
    <row r="7208" spans="1:20">
      <c r="A7208" s="16">
        <f t="shared" si="636"/>
        <v>40058</v>
      </c>
      <c r="B7208" s="16">
        <f t="shared" si="636"/>
        <v>40058</v>
      </c>
      <c r="C7208" s="9" t="s">
        <v>1616</v>
      </c>
      <c r="D7208">
        <v>10021594078</v>
      </c>
      <c r="E7208" t="s">
        <v>47</v>
      </c>
      <c r="F7208" t="s">
        <v>72</v>
      </c>
      <c r="G7208" t="s">
        <v>73</v>
      </c>
      <c r="H7208" t="s">
        <v>2558</v>
      </c>
      <c r="I7208" t="s">
        <v>2559</v>
      </c>
      <c r="J7208" t="s">
        <v>668</v>
      </c>
      <c r="K7208" s="3">
        <v>100432466513</v>
      </c>
      <c r="L7208" s="10">
        <v>40059</v>
      </c>
      <c r="M7208">
        <v>958.06</v>
      </c>
      <c r="N7208" s="17">
        <v>6</v>
      </c>
      <c r="O7208" s="5">
        <v>165.2</v>
      </c>
      <c r="P7208" s="5">
        <v>19.99</v>
      </c>
      <c r="Q7208" s="6">
        <v>-77.09</v>
      </c>
      <c r="R7208" s="37" t="s">
        <v>1011</v>
      </c>
      <c r="S7208" s="7">
        <f t="shared" si="633"/>
        <v>1</v>
      </c>
      <c r="T7208" s="15" t="str">
        <f>VLOOKUP(R7208,产品分类!$C$2:$D$1278,2,0)</f>
        <v>家具产品</v>
      </c>
    </row>
    <row r="7209" spans="1:20">
      <c r="A7209" s="16">
        <f t="shared" si="636"/>
        <v>40058</v>
      </c>
      <c r="B7209" s="16">
        <f t="shared" si="636"/>
        <v>40058</v>
      </c>
      <c r="C7209" s="9" t="s">
        <v>1764</v>
      </c>
      <c r="D7209">
        <v>10021251752</v>
      </c>
      <c r="E7209" t="s">
        <v>47</v>
      </c>
      <c r="F7209" t="s">
        <v>78</v>
      </c>
      <c r="G7209" t="s">
        <v>79</v>
      </c>
      <c r="H7209" t="s">
        <v>80</v>
      </c>
      <c r="I7209" t="s">
        <v>81</v>
      </c>
      <c r="J7209" t="s">
        <v>668</v>
      </c>
      <c r="K7209" s="3">
        <v>100411416214</v>
      </c>
      <c r="L7209" s="10">
        <v>40060</v>
      </c>
      <c r="M7209">
        <v>14.75</v>
      </c>
      <c r="N7209" s="17">
        <v>2</v>
      </c>
      <c r="O7209" s="5">
        <v>3.89</v>
      </c>
      <c r="P7209" s="5">
        <v>7.01</v>
      </c>
      <c r="Q7209" s="6">
        <v>-11.4195</v>
      </c>
      <c r="R7209" s="37" t="s">
        <v>2017</v>
      </c>
      <c r="S7209" s="7">
        <f t="shared" si="633"/>
        <v>2</v>
      </c>
      <c r="T7209" s="15" t="str">
        <f>VLOOKUP(R7209,产品分类!$C$2:$D$1278,2,0)</f>
        <v>家具产品</v>
      </c>
    </row>
    <row r="7210" spans="1:20">
      <c r="A7210" s="8">
        <f t="shared" si="636"/>
        <v>40058</v>
      </c>
      <c r="B7210" s="8">
        <f t="shared" si="636"/>
        <v>40058</v>
      </c>
      <c r="C7210" s="9" t="s">
        <v>2268</v>
      </c>
      <c r="D7210">
        <v>10021583988</v>
      </c>
      <c r="E7210" t="s">
        <v>47</v>
      </c>
      <c r="F7210" t="s">
        <v>78</v>
      </c>
      <c r="G7210" t="s">
        <v>79</v>
      </c>
      <c r="H7210" t="s">
        <v>80</v>
      </c>
      <c r="I7210" t="s">
        <v>81</v>
      </c>
      <c r="J7210" t="s">
        <v>668</v>
      </c>
      <c r="K7210" s="3">
        <v>100727001235</v>
      </c>
      <c r="L7210" s="10">
        <v>40059</v>
      </c>
      <c r="M7210">
        <v>11262.04</v>
      </c>
      <c r="N7210" s="11">
        <v>31</v>
      </c>
      <c r="O7210" s="12">
        <v>355.98</v>
      </c>
      <c r="P7210" s="12">
        <v>58.92</v>
      </c>
      <c r="Q7210" s="13">
        <v>1660.92</v>
      </c>
      <c r="R7210" s="36" t="s">
        <v>1236</v>
      </c>
      <c r="S7210" s="7">
        <f t="shared" si="633"/>
        <v>1</v>
      </c>
      <c r="T7210" s="15" t="str">
        <f>VLOOKUP(R7210,产品分类!$C$2:$D$1278,2,0)</f>
        <v>办公用品</v>
      </c>
    </row>
    <row r="7211" spans="1:20">
      <c r="A7211" s="16">
        <f>DATE(2012,12,31)-298</f>
        <v>40976</v>
      </c>
      <c r="B7211" s="16">
        <f>DATE(2012,12,31)-298</f>
        <v>40976</v>
      </c>
      <c r="C7211" s="9" t="s">
        <v>193</v>
      </c>
      <c r="D7211">
        <v>10021740100</v>
      </c>
      <c r="E7211" t="s">
        <v>47</v>
      </c>
      <c r="F7211" t="s">
        <v>72</v>
      </c>
      <c r="G7211" t="s">
        <v>73</v>
      </c>
      <c r="H7211" t="s">
        <v>2558</v>
      </c>
      <c r="I7211" t="s">
        <v>2559</v>
      </c>
      <c r="J7211" t="s">
        <v>668</v>
      </c>
      <c r="K7211" s="3">
        <v>100917995181</v>
      </c>
      <c r="L7211" s="10">
        <v>40977</v>
      </c>
      <c r="M7211">
        <v>173.97</v>
      </c>
      <c r="N7211" s="17">
        <v>12</v>
      </c>
      <c r="O7211" s="5">
        <v>13.48</v>
      </c>
      <c r="P7211" s="5">
        <v>4.51</v>
      </c>
      <c r="Q7211" s="6">
        <v>-2.55</v>
      </c>
      <c r="R7211" s="37" t="s">
        <v>287</v>
      </c>
      <c r="S7211" s="7">
        <f t="shared" si="633"/>
        <v>1</v>
      </c>
      <c r="T7211" s="15" t="str">
        <f>VLOOKUP(R7211,产品分类!$C$2:$D$1278,2,0)</f>
        <v>办公用品</v>
      </c>
    </row>
    <row r="7212" spans="1:20">
      <c r="A7212" s="8">
        <f>DATE(2012,12,31)-1448</f>
        <v>39826</v>
      </c>
      <c r="B7212" s="8">
        <f>DATE(2012,12,31)-1448</f>
        <v>39826</v>
      </c>
      <c r="C7212" s="9" t="s">
        <v>193</v>
      </c>
      <c r="D7212">
        <v>10021658616</v>
      </c>
      <c r="E7212" t="s">
        <v>47</v>
      </c>
      <c r="F7212" t="s">
        <v>78</v>
      </c>
      <c r="G7212" t="s">
        <v>79</v>
      </c>
      <c r="H7212" t="s">
        <v>80</v>
      </c>
      <c r="I7212" t="s">
        <v>81</v>
      </c>
      <c r="J7212" t="s">
        <v>668</v>
      </c>
      <c r="K7212" s="3">
        <v>100710232165</v>
      </c>
      <c r="L7212" s="10">
        <v>39826</v>
      </c>
      <c r="M7212">
        <v>39.23</v>
      </c>
      <c r="N7212" s="11">
        <v>17</v>
      </c>
      <c r="O7212" s="12">
        <v>2.08</v>
      </c>
      <c r="P7212" s="12">
        <v>5.33</v>
      </c>
      <c r="Q7212" s="13">
        <v>-66.58</v>
      </c>
      <c r="R7212" s="36" t="s">
        <v>1114</v>
      </c>
      <c r="S7212" s="7">
        <f t="shared" si="633"/>
        <v>0</v>
      </c>
      <c r="T7212" s="15" t="str">
        <f>VLOOKUP(R7212,产品分类!$C$2:$D$1278,2,0)</f>
        <v>家具产品</v>
      </c>
    </row>
    <row r="7213" spans="1:20">
      <c r="A7213" s="8">
        <f>DATE(2012,12,31)-365</f>
        <v>40909</v>
      </c>
      <c r="B7213" s="8">
        <f>DATE(2012,12,31)-365</f>
        <v>40909</v>
      </c>
      <c r="C7213" s="9" t="s">
        <v>523</v>
      </c>
      <c r="D7213">
        <v>10021262903</v>
      </c>
      <c r="E7213" t="s">
        <v>47</v>
      </c>
      <c r="F7213" t="s">
        <v>72</v>
      </c>
      <c r="G7213" t="s">
        <v>73</v>
      </c>
      <c r="H7213" t="s">
        <v>2558</v>
      </c>
      <c r="I7213" t="s">
        <v>2559</v>
      </c>
      <c r="J7213" t="s">
        <v>668</v>
      </c>
      <c r="K7213" s="3">
        <v>100730431315</v>
      </c>
      <c r="L7213" s="10">
        <v>40916</v>
      </c>
      <c r="M7213">
        <v>2354.8</v>
      </c>
      <c r="N7213" s="11">
        <v>45</v>
      </c>
      <c r="O7213" s="12">
        <v>49.99</v>
      </c>
      <c r="P7213" s="12">
        <v>19.99</v>
      </c>
      <c r="Q7213" s="13">
        <v>332.97</v>
      </c>
      <c r="R7213" s="36" t="s">
        <v>1151</v>
      </c>
      <c r="S7213" s="7">
        <f t="shared" si="633"/>
        <v>7</v>
      </c>
      <c r="T7213" s="15" t="str">
        <f>VLOOKUP(R7213,产品分类!$C$2:$D$1278,2,0)</f>
        <v>办公用品</v>
      </c>
    </row>
    <row r="7214" spans="1:20">
      <c r="A7214" s="8">
        <f>DATE(2012,12,31)-365</f>
        <v>40909</v>
      </c>
      <c r="B7214" s="8">
        <f>DATE(2012,12,31)-365</f>
        <v>40909</v>
      </c>
      <c r="C7214" s="9" t="s">
        <v>1661</v>
      </c>
      <c r="D7214">
        <v>10021757153</v>
      </c>
      <c r="E7214" t="s">
        <v>47</v>
      </c>
      <c r="F7214" t="s">
        <v>72</v>
      </c>
      <c r="G7214" t="s">
        <v>73</v>
      </c>
      <c r="H7214" t="s">
        <v>2558</v>
      </c>
      <c r="I7214" t="s">
        <v>2559</v>
      </c>
      <c r="J7214" t="s">
        <v>668</v>
      </c>
      <c r="K7214" s="3">
        <v>100933046131</v>
      </c>
      <c r="L7214" s="10">
        <v>40914</v>
      </c>
      <c r="M7214">
        <v>187.88</v>
      </c>
      <c r="N7214" s="11">
        <v>50</v>
      </c>
      <c r="O7214" s="12">
        <v>3.98</v>
      </c>
      <c r="P7214" s="12">
        <v>2.97</v>
      </c>
      <c r="Q7214" s="13">
        <v>-38.23</v>
      </c>
      <c r="R7214" s="36" t="s">
        <v>422</v>
      </c>
      <c r="S7214" s="7">
        <f t="shared" si="633"/>
        <v>5</v>
      </c>
      <c r="T7214" s="15" t="str">
        <f>VLOOKUP(R7214,产品分类!$C$2:$D$1278,2,0)</f>
        <v>数码电子</v>
      </c>
    </row>
    <row r="7215" spans="1:20">
      <c r="A7215" s="8">
        <f t="shared" ref="A7215:B7217" si="637">DATE(2012,12,31)-579</f>
        <v>40695</v>
      </c>
      <c r="B7215" s="8">
        <f t="shared" si="637"/>
        <v>40695</v>
      </c>
      <c r="C7215" s="9" t="s">
        <v>1661</v>
      </c>
      <c r="D7215">
        <v>10021255150</v>
      </c>
      <c r="E7215" t="s">
        <v>47</v>
      </c>
      <c r="F7215" t="s">
        <v>72</v>
      </c>
      <c r="G7215" t="s">
        <v>73</v>
      </c>
      <c r="H7215" t="s">
        <v>2558</v>
      </c>
      <c r="I7215" t="s">
        <v>2559</v>
      </c>
      <c r="J7215" t="s">
        <v>668</v>
      </c>
      <c r="K7215" s="3">
        <v>100111921466</v>
      </c>
      <c r="L7215" s="10">
        <v>40697</v>
      </c>
      <c r="M7215">
        <v>470.11</v>
      </c>
      <c r="N7215" s="11">
        <v>25</v>
      </c>
      <c r="O7215" s="12">
        <v>19.98</v>
      </c>
      <c r="P7215" s="12">
        <v>5.97</v>
      </c>
      <c r="Q7215" s="13">
        <v>91.09</v>
      </c>
      <c r="R7215" s="36" t="s">
        <v>2261</v>
      </c>
      <c r="S7215" s="7">
        <f t="shared" si="633"/>
        <v>2</v>
      </c>
      <c r="T7215" s="15" t="str">
        <f>VLOOKUP(R7215,产品分类!$C$2:$D$1278,2,0)</f>
        <v>办公用品</v>
      </c>
    </row>
    <row r="7216" spans="1:20">
      <c r="A7216" s="8">
        <f t="shared" si="637"/>
        <v>40695</v>
      </c>
      <c r="B7216" s="8">
        <f t="shared" si="637"/>
        <v>40695</v>
      </c>
      <c r="C7216" s="9" t="s">
        <v>1661</v>
      </c>
      <c r="D7216">
        <v>10021670806</v>
      </c>
      <c r="E7216" t="s">
        <v>47</v>
      </c>
      <c r="F7216" t="s">
        <v>78</v>
      </c>
      <c r="G7216" t="s">
        <v>79</v>
      </c>
      <c r="H7216" t="s">
        <v>80</v>
      </c>
      <c r="I7216" t="s">
        <v>81</v>
      </c>
      <c r="J7216" t="s">
        <v>668</v>
      </c>
      <c r="K7216" s="3">
        <v>100930578511</v>
      </c>
      <c r="L7216" s="10">
        <v>40697</v>
      </c>
      <c r="M7216">
        <v>10854.83</v>
      </c>
      <c r="N7216" s="11">
        <v>43</v>
      </c>
      <c r="O7216" s="12">
        <v>270.97</v>
      </c>
      <c r="P7216" s="12">
        <v>28.06</v>
      </c>
      <c r="Q7216" s="13">
        <v>2039.41</v>
      </c>
      <c r="R7216" s="36" t="s">
        <v>2496</v>
      </c>
      <c r="S7216" s="7">
        <f t="shared" si="633"/>
        <v>2</v>
      </c>
      <c r="T7216" s="15" t="str">
        <f>VLOOKUP(R7216,产品分类!$C$2:$D$1278,2,0)</f>
        <v>家具产品</v>
      </c>
    </row>
    <row r="7217" spans="1:20">
      <c r="A7217" s="8">
        <f t="shared" si="637"/>
        <v>40695</v>
      </c>
      <c r="B7217" s="8">
        <f t="shared" si="637"/>
        <v>40695</v>
      </c>
      <c r="C7217" s="9" t="s">
        <v>800</v>
      </c>
      <c r="D7217">
        <v>10021511219</v>
      </c>
      <c r="E7217" t="s">
        <v>47</v>
      </c>
      <c r="F7217" t="s">
        <v>78</v>
      </c>
      <c r="G7217" t="s">
        <v>79</v>
      </c>
      <c r="H7217" t="s">
        <v>80</v>
      </c>
      <c r="I7217" t="s">
        <v>81</v>
      </c>
      <c r="J7217" t="s">
        <v>668</v>
      </c>
      <c r="K7217" s="3">
        <v>100721233225</v>
      </c>
      <c r="L7217" s="10">
        <v>40697</v>
      </c>
      <c r="M7217">
        <v>51.23</v>
      </c>
      <c r="N7217" s="11">
        <v>19</v>
      </c>
      <c r="O7217" s="12">
        <v>2.94</v>
      </c>
      <c r="P7217" s="12">
        <v>0.96</v>
      </c>
      <c r="Q7217" s="13">
        <v>-5.29</v>
      </c>
      <c r="R7217" s="36" t="s">
        <v>2037</v>
      </c>
      <c r="S7217" s="7">
        <f t="shared" si="633"/>
        <v>2</v>
      </c>
      <c r="T7217" s="15" t="str">
        <f>VLOOKUP(R7217,产品分类!$C$2:$D$1278,2,0)</f>
        <v>家具产品</v>
      </c>
    </row>
    <row r="7218" spans="1:20">
      <c r="A7218" s="8">
        <f>DATE(2012,12,31)-632</f>
        <v>40642</v>
      </c>
      <c r="B7218" s="8">
        <f>DATE(2012,12,31)-632</f>
        <v>40642</v>
      </c>
      <c r="C7218" s="9" t="s">
        <v>149</v>
      </c>
      <c r="D7218">
        <v>10021510184</v>
      </c>
      <c r="E7218" t="s">
        <v>47</v>
      </c>
      <c r="F7218" t="s">
        <v>78</v>
      </c>
      <c r="G7218" t="s">
        <v>79</v>
      </c>
      <c r="H7218" t="s">
        <v>80</v>
      </c>
      <c r="I7218" t="s">
        <v>81</v>
      </c>
      <c r="J7218" t="s">
        <v>668</v>
      </c>
      <c r="K7218" s="3">
        <v>100912778951</v>
      </c>
      <c r="L7218" s="10">
        <v>40644</v>
      </c>
      <c r="M7218">
        <v>195.51</v>
      </c>
      <c r="N7218" s="11">
        <v>37</v>
      </c>
      <c r="O7218" s="12">
        <v>4.98</v>
      </c>
      <c r="P7218" s="12">
        <v>0.49</v>
      </c>
      <c r="Q7218" s="13">
        <v>95.56</v>
      </c>
      <c r="R7218" s="36" t="s">
        <v>1275</v>
      </c>
      <c r="S7218" s="7">
        <f t="shared" si="633"/>
        <v>2</v>
      </c>
      <c r="T7218" s="15" t="str">
        <f>VLOOKUP(R7218,产品分类!$C$2:$D$1278,2,0)</f>
        <v>家具产品</v>
      </c>
    </row>
    <row r="7219" spans="1:20">
      <c r="A7219" s="8">
        <f>DATE(2012,12,31)-632</f>
        <v>40642</v>
      </c>
      <c r="B7219" s="8">
        <f>DATE(2012,12,31)-632</f>
        <v>40642</v>
      </c>
      <c r="C7219" s="9" t="s">
        <v>119</v>
      </c>
      <c r="D7219">
        <v>10021476036</v>
      </c>
      <c r="E7219" t="s">
        <v>47</v>
      </c>
      <c r="F7219" t="s">
        <v>230</v>
      </c>
      <c r="G7219" t="s">
        <v>231</v>
      </c>
      <c r="H7219" t="s">
        <v>2549</v>
      </c>
      <c r="I7219" t="s">
        <v>2550</v>
      </c>
      <c r="J7219" t="s">
        <v>668</v>
      </c>
      <c r="K7219" s="3">
        <v>100913899371</v>
      </c>
      <c r="L7219" s="10">
        <v>40643</v>
      </c>
      <c r="M7219">
        <v>4992.63</v>
      </c>
      <c r="N7219" s="11">
        <v>38</v>
      </c>
      <c r="O7219" s="12">
        <v>140.85</v>
      </c>
      <c r="P7219" s="12">
        <v>19.99</v>
      </c>
      <c r="Q7219" s="13">
        <v>44.13</v>
      </c>
      <c r="R7219" s="36" t="s">
        <v>1552</v>
      </c>
      <c r="S7219" s="7">
        <f t="shared" si="633"/>
        <v>1</v>
      </c>
      <c r="T7219" s="15" t="str">
        <f>VLOOKUP(R7219,产品分类!$C$2:$D$1278,2,0)</f>
        <v>数码电子</v>
      </c>
    </row>
    <row r="7220" spans="1:20">
      <c r="A7220" s="8">
        <f>DATE(2012,12,31)-477</f>
        <v>40797</v>
      </c>
      <c r="B7220" s="8">
        <f>DATE(2012,12,31)-477</f>
        <v>40797</v>
      </c>
      <c r="C7220" s="9" t="s">
        <v>119</v>
      </c>
      <c r="D7220">
        <v>10021532305</v>
      </c>
      <c r="E7220" t="s">
        <v>47</v>
      </c>
      <c r="F7220" t="s">
        <v>230</v>
      </c>
      <c r="G7220" t="s">
        <v>231</v>
      </c>
      <c r="H7220" t="s">
        <v>2549</v>
      </c>
      <c r="I7220" t="s">
        <v>2550</v>
      </c>
      <c r="J7220" t="s">
        <v>668</v>
      </c>
      <c r="K7220" s="3">
        <v>100116209417</v>
      </c>
      <c r="L7220" s="10">
        <v>40799</v>
      </c>
      <c r="M7220">
        <v>248.92</v>
      </c>
      <c r="N7220" s="11">
        <v>42</v>
      </c>
      <c r="O7220" s="12">
        <v>5.58</v>
      </c>
      <c r="P7220" s="12">
        <v>5.3</v>
      </c>
      <c r="Q7220" s="13">
        <v>-66.87</v>
      </c>
      <c r="R7220" s="36" t="s">
        <v>1915</v>
      </c>
      <c r="S7220" s="7">
        <f t="shared" si="633"/>
        <v>2</v>
      </c>
      <c r="T7220" s="15" t="str">
        <f>VLOOKUP(R7220,产品分类!$C$2:$D$1278,2,0)</f>
        <v>办公用品</v>
      </c>
    </row>
    <row r="7221" spans="1:20">
      <c r="A7221" s="8">
        <f>DATE(2012,12,31)-653</f>
        <v>40621</v>
      </c>
      <c r="B7221" s="8">
        <f>DATE(2012,12,31)-653</f>
        <v>40621</v>
      </c>
      <c r="C7221" s="9" t="s">
        <v>1399</v>
      </c>
      <c r="D7221">
        <v>10021510042</v>
      </c>
      <c r="E7221" t="s">
        <v>47</v>
      </c>
      <c r="F7221" t="s">
        <v>230</v>
      </c>
      <c r="G7221" t="s">
        <v>231</v>
      </c>
      <c r="H7221" t="s">
        <v>2549</v>
      </c>
      <c r="I7221" t="s">
        <v>2550</v>
      </c>
      <c r="J7221" t="s">
        <v>668</v>
      </c>
      <c r="K7221" s="3">
        <v>100132666746</v>
      </c>
      <c r="L7221" s="10">
        <v>40622</v>
      </c>
      <c r="M7221">
        <v>133.07</v>
      </c>
      <c r="N7221" s="11">
        <v>35</v>
      </c>
      <c r="O7221" s="12">
        <v>3.74</v>
      </c>
      <c r="P7221" s="12">
        <v>0.94</v>
      </c>
      <c r="Q7221" s="13">
        <v>-15.96</v>
      </c>
      <c r="R7221" s="36" t="s">
        <v>846</v>
      </c>
      <c r="S7221" s="7">
        <f t="shared" si="633"/>
        <v>1</v>
      </c>
      <c r="T7221" s="15" t="str">
        <f>VLOOKUP(R7221,产品分类!$C$2:$D$1278,2,0)</f>
        <v>数码电子</v>
      </c>
    </row>
    <row r="7222" spans="1:20">
      <c r="A7222" s="16">
        <f>DATE(2012,12,31)-1213</f>
        <v>40061</v>
      </c>
      <c r="B7222" s="16">
        <f>DATE(2012,12,31)-1213</f>
        <v>40061</v>
      </c>
      <c r="C7222" s="9" t="s">
        <v>1399</v>
      </c>
      <c r="D7222">
        <v>10021596407</v>
      </c>
      <c r="E7222" t="s">
        <v>47</v>
      </c>
      <c r="F7222" t="s">
        <v>230</v>
      </c>
      <c r="G7222" t="s">
        <v>231</v>
      </c>
      <c r="H7222" t="s">
        <v>2549</v>
      </c>
      <c r="I7222" t="s">
        <v>2550</v>
      </c>
      <c r="J7222" t="s">
        <v>668</v>
      </c>
      <c r="K7222" s="3">
        <v>100932848041</v>
      </c>
      <c r="L7222" s="10">
        <v>40062</v>
      </c>
      <c r="M7222">
        <v>194.09</v>
      </c>
      <c r="N7222" s="17">
        <v>33</v>
      </c>
      <c r="O7222" s="5">
        <v>5.78</v>
      </c>
      <c r="P7222" s="5">
        <v>5.37</v>
      </c>
      <c r="Q7222" s="6">
        <v>-63.35</v>
      </c>
      <c r="R7222" s="37" t="s">
        <v>732</v>
      </c>
      <c r="S7222" s="7">
        <f t="shared" si="633"/>
        <v>1</v>
      </c>
      <c r="T7222" s="15" t="str">
        <f>VLOOKUP(R7222,产品分类!$C$2:$D$1278,2,0)</f>
        <v>家具产品</v>
      </c>
    </row>
    <row r="7223" spans="1:20">
      <c r="A7223" s="8">
        <f>DATE(2012,12,31)-179</f>
        <v>41095</v>
      </c>
      <c r="B7223" s="8">
        <f>DATE(2012,12,31)-179</f>
        <v>41095</v>
      </c>
      <c r="C7223" s="9" t="s">
        <v>2130</v>
      </c>
      <c r="D7223">
        <v>10021451806</v>
      </c>
      <c r="E7223" t="s">
        <v>47</v>
      </c>
      <c r="F7223" t="s">
        <v>434</v>
      </c>
      <c r="G7223" t="s">
        <v>435</v>
      </c>
      <c r="H7223" t="s">
        <v>436</v>
      </c>
      <c r="I7223" t="s">
        <v>437</v>
      </c>
      <c r="J7223" t="s">
        <v>668</v>
      </c>
      <c r="K7223" s="3">
        <v>100326828059</v>
      </c>
      <c r="L7223" s="10">
        <v>41096</v>
      </c>
      <c r="M7223">
        <v>12.11</v>
      </c>
      <c r="N7223" s="11">
        <v>3</v>
      </c>
      <c r="O7223" s="12">
        <v>3.69</v>
      </c>
      <c r="P7223" s="12">
        <v>0.5</v>
      </c>
      <c r="Q7223" s="13">
        <v>-0.98</v>
      </c>
      <c r="R7223" s="36" t="s">
        <v>790</v>
      </c>
      <c r="S7223" s="7">
        <f t="shared" si="633"/>
        <v>1</v>
      </c>
      <c r="T7223" s="15" t="str">
        <f>VLOOKUP(R7223,产品分类!$C$2:$D$1278,2,0)</f>
        <v>数码电子</v>
      </c>
    </row>
    <row r="7224" spans="1:20">
      <c r="A7224" s="16">
        <f>DATE(2012,12,31)-681</f>
        <v>40593</v>
      </c>
      <c r="B7224" s="16">
        <f>DATE(2012,12,31)-681</f>
        <v>40593</v>
      </c>
      <c r="C7224" s="9" t="s">
        <v>2130</v>
      </c>
      <c r="D7224">
        <v>10021428901</v>
      </c>
      <c r="E7224" t="s">
        <v>47</v>
      </c>
      <c r="F7224" t="s">
        <v>434</v>
      </c>
      <c r="G7224" t="s">
        <v>435</v>
      </c>
      <c r="H7224" t="s">
        <v>436</v>
      </c>
      <c r="I7224" t="s">
        <v>437</v>
      </c>
      <c r="J7224" t="s">
        <v>668</v>
      </c>
      <c r="K7224" s="3">
        <v>100431347453</v>
      </c>
      <c r="L7224" s="10">
        <v>40594</v>
      </c>
      <c r="M7224">
        <v>3465.97</v>
      </c>
      <c r="N7224" s="17">
        <v>4</v>
      </c>
      <c r="O7224" s="5">
        <v>896.99</v>
      </c>
      <c r="P7224" s="5">
        <v>19.99</v>
      </c>
      <c r="Q7224" s="6">
        <v>194.3185</v>
      </c>
      <c r="R7224" s="37" t="s">
        <v>465</v>
      </c>
      <c r="S7224" s="7">
        <f t="shared" si="633"/>
        <v>1</v>
      </c>
      <c r="T7224" s="15" t="str">
        <f>VLOOKUP(R7224,产品分类!$C$2:$D$1278,2,0)</f>
        <v>办公用品</v>
      </c>
    </row>
    <row r="7225" spans="1:20">
      <c r="A7225" s="8">
        <f>DATE(2012,12,31)-681</f>
        <v>40593</v>
      </c>
      <c r="B7225" s="8">
        <f>DATE(2012,12,31)-681</f>
        <v>40593</v>
      </c>
      <c r="C7225" s="9" t="s">
        <v>2130</v>
      </c>
      <c r="D7225">
        <v>10021424287</v>
      </c>
      <c r="E7225" t="s">
        <v>47</v>
      </c>
      <c r="F7225" t="s">
        <v>55</v>
      </c>
      <c r="G7225" t="s">
        <v>56</v>
      </c>
      <c r="H7225" t="s">
        <v>2471</v>
      </c>
      <c r="I7225" t="s">
        <v>2472</v>
      </c>
      <c r="J7225" t="s">
        <v>668</v>
      </c>
      <c r="K7225" s="3">
        <v>100928799681</v>
      </c>
      <c r="L7225" s="10">
        <v>40595</v>
      </c>
      <c r="M7225">
        <v>1307.88</v>
      </c>
      <c r="N7225" s="11">
        <v>13</v>
      </c>
      <c r="O7225" s="12">
        <v>100.97</v>
      </c>
      <c r="P7225" s="12">
        <v>7.18</v>
      </c>
      <c r="Q7225" s="13">
        <v>206.86</v>
      </c>
      <c r="R7225" s="36" t="s">
        <v>2411</v>
      </c>
      <c r="S7225" s="7">
        <f t="shared" si="633"/>
        <v>2</v>
      </c>
      <c r="T7225" s="15" t="str">
        <f>VLOOKUP(R7225,产品分类!$C$2:$D$1278,2,0)</f>
        <v>家具产品</v>
      </c>
    </row>
    <row r="7226" spans="1:20">
      <c r="A7226" s="8">
        <f t="shared" ref="A7226:B7229" si="638">DATE(2012,12,31)-891</f>
        <v>40383</v>
      </c>
      <c r="B7226" s="8">
        <f t="shared" si="638"/>
        <v>40383</v>
      </c>
      <c r="C7226" s="9" t="s">
        <v>2130</v>
      </c>
      <c r="D7226">
        <v>10021495344</v>
      </c>
      <c r="E7226" t="s">
        <v>47</v>
      </c>
      <c r="F7226" t="s">
        <v>91</v>
      </c>
      <c r="G7226" t="s">
        <v>92</v>
      </c>
      <c r="H7226" t="s">
        <v>2573</v>
      </c>
      <c r="I7226" t="s">
        <v>2574</v>
      </c>
      <c r="J7226" t="s">
        <v>668</v>
      </c>
      <c r="K7226" s="3">
        <v>10096726441</v>
      </c>
      <c r="L7226" s="10">
        <v>40385</v>
      </c>
      <c r="M7226">
        <v>1846.2</v>
      </c>
      <c r="N7226" s="11">
        <v>26</v>
      </c>
      <c r="O7226" s="12">
        <v>68.81</v>
      </c>
      <c r="P7226" s="12">
        <v>60</v>
      </c>
      <c r="Q7226" s="13">
        <v>-584.93</v>
      </c>
      <c r="R7226" s="36" t="s">
        <v>591</v>
      </c>
      <c r="S7226" s="7">
        <f t="shared" si="633"/>
        <v>2</v>
      </c>
      <c r="T7226" s="15" t="str">
        <f>VLOOKUP(R7226,产品分类!$C$2:$D$1278,2,0)</f>
        <v>家具产品</v>
      </c>
    </row>
    <row r="7227" spans="1:20">
      <c r="A7227" s="16">
        <f t="shared" si="638"/>
        <v>40383</v>
      </c>
      <c r="B7227" s="16">
        <f t="shared" si="638"/>
        <v>40383</v>
      </c>
      <c r="C7227" s="9" t="s">
        <v>60</v>
      </c>
      <c r="D7227">
        <v>10021706006</v>
      </c>
      <c r="E7227" t="s">
        <v>47</v>
      </c>
      <c r="F7227" t="s">
        <v>91</v>
      </c>
      <c r="G7227" t="s">
        <v>92</v>
      </c>
      <c r="H7227" t="s">
        <v>2573</v>
      </c>
      <c r="I7227" t="s">
        <v>2574</v>
      </c>
      <c r="J7227" t="s">
        <v>668</v>
      </c>
      <c r="K7227" s="3">
        <v>100925653801</v>
      </c>
      <c r="L7227" s="10">
        <v>40390</v>
      </c>
      <c r="M7227">
        <v>32.03</v>
      </c>
      <c r="N7227" s="17">
        <v>11</v>
      </c>
      <c r="O7227" s="5">
        <v>3.15</v>
      </c>
      <c r="P7227" s="5">
        <v>0.5</v>
      </c>
      <c r="Q7227" s="6">
        <v>7.41</v>
      </c>
      <c r="R7227" s="37" t="s">
        <v>390</v>
      </c>
      <c r="S7227" s="7">
        <f t="shared" si="633"/>
        <v>7</v>
      </c>
      <c r="T7227" s="15" t="str">
        <f>VLOOKUP(R7227,产品分类!$C$2:$D$1278,2,0)</f>
        <v>办公用品</v>
      </c>
    </row>
    <row r="7228" spans="1:20">
      <c r="A7228" s="16">
        <f t="shared" si="638"/>
        <v>40383</v>
      </c>
      <c r="B7228" s="16">
        <f t="shared" si="638"/>
        <v>40383</v>
      </c>
      <c r="C7228" s="9" t="s">
        <v>60</v>
      </c>
      <c r="D7228">
        <v>10021254885</v>
      </c>
      <c r="E7228" t="s">
        <v>47</v>
      </c>
      <c r="F7228" t="s">
        <v>122</v>
      </c>
      <c r="G7228" t="s">
        <v>123</v>
      </c>
      <c r="H7228" t="s">
        <v>2458</v>
      </c>
      <c r="I7228" t="s">
        <v>2459</v>
      </c>
      <c r="J7228" t="s">
        <v>668</v>
      </c>
      <c r="K7228" s="3">
        <v>100123126286</v>
      </c>
      <c r="L7228" s="10">
        <v>40383</v>
      </c>
      <c r="M7228">
        <v>185.82</v>
      </c>
      <c r="N7228" s="17">
        <v>44</v>
      </c>
      <c r="O7228" s="5">
        <v>4.2</v>
      </c>
      <c r="P7228" s="5">
        <v>2.26</v>
      </c>
      <c r="Q7228" s="6">
        <v>11.45</v>
      </c>
      <c r="R7228" s="37" t="s">
        <v>844</v>
      </c>
      <c r="S7228" s="7">
        <f t="shared" si="633"/>
        <v>0</v>
      </c>
      <c r="T7228" s="15" t="str">
        <f>VLOOKUP(R7228,产品分类!$C$2:$D$1278,2,0)</f>
        <v>办公用品</v>
      </c>
    </row>
    <row r="7229" spans="1:20">
      <c r="A7229" s="16">
        <f t="shared" si="638"/>
        <v>40383</v>
      </c>
      <c r="B7229" s="16">
        <f t="shared" si="638"/>
        <v>40383</v>
      </c>
      <c r="C7229" s="9" t="s">
        <v>2115</v>
      </c>
      <c r="D7229">
        <v>10021748097</v>
      </c>
      <c r="E7229" t="s">
        <v>47</v>
      </c>
      <c r="F7229" t="s">
        <v>91</v>
      </c>
      <c r="G7229" t="s">
        <v>92</v>
      </c>
      <c r="H7229" t="s">
        <v>2573</v>
      </c>
      <c r="I7229" t="s">
        <v>2574</v>
      </c>
      <c r="J7229" t="s">
        <v>668</v>
      </c>
      <c r="K7229" s="3">
        <v>100129915518</v>
      </c>
      <c r="L7229" s="10">
        <v>40390</v>
      </c>
      <c r="M7229">
        <v>372.69</v>
      </c>
      <c r="N7229" s="17">
        <v>42</v>
      </c>
      <c r="O7229" s="5">
        <v>8.04</v>
      </c>
      <c r="P7229" s="5">
        <v>8.94</v>
      </c>
      <c r="Q7229" s="6">
        <v>-177.031</v>
      </c>
      <c r="R7229" s="37" t="s">
        <v>641</v>
      </c>
      <c r="S7229" s="7">
        <f t="shared" si="633"/>
        <v>7</v>
      </c>
      <c r="T7229" s="15" t="str">
        <f>VLOOKUP(R7229,产品分类!$C$2:$D$1278,2,0)</f>
        <v>办公用品</v>
      </c>
    </row>
    <row r="7230" spans="1:20">
      <c r="A7230" s="8">
        <f t="shared" ref="A7230:B7232" si="639">DATE(2012,12,31)-416</f>
        <v>40858</v>
      </c>
      <c r="B7230" s="8">
        <f t="shared" si="639"/>
        <v>40858</v>
      </c>
      <c r="C7230" s="9" t="s">
        <v>440</v>
      </c>
      <c r="D7230">
        <v>10021261469</v>
      </c>
      <c r="E7230" t="s">
        <v>47</v>
      </c>
      <c r="F7230" t="s">
        <v>122</v>
      </c>
      <c r="G7230" t="s">
        <v>123</v>
      </c>
      <c r="H7230" t="s">
        <v>2458</v>
      </c>
      <c r="I7230" t="s">
        <v>2459</v>
      </c>
      <c r="J7230" t="s">
        <v>668</v>
      </c>
      <c r="K7230" s="3">
        <v>100929447301</v>
      </c>
      <c r="L7230" s="10">
        <v>40860</v>
      </c>
      <c r="M7230">
        <v>646.55</v>
      </c>
      <c r="N7230" s="11">
        <v>13</v>
      </c>
      <c r="O7230" s="12">
        <v>48.04</v>
      </c>
      <c r="P7230" s="12">
        <v>5.79</v>
      </c>
      <c r="Q7230" s="13">
        <v>244.13</v>
      </c>
      <c r="R7230" s="36" t="s">
        <v>2111</v>
      </c>
      <c r="S7230" s="7">
        <f t="shared" si="633"/>
        <v>2</v>
      </c>
      <c r="T7230" s="15" t="str">
        <f>VLOOKUP(R7230,产品分类!$C$2:$D$1278,2,0)</f>
        <v>数码电子</v>
      </c>
    </row>
    <row r="7231" spans="1:20">
      <c r="A7231" s="8">
        <f t="shared" si="639"/>
        <v>40858</v>
      </c>
      <c r="B7231" s="8">
        <f t="shared" si="639"/>
        <v>40858</v>
      </c>
      <c r="C7231" s="9" t="s">
        <v>440</v>
      </c>
      <c r="D7231">
        <v>10021753430</v>
      </c>
      <c r="E7231" t="s">
        <v>47</v>
      </c>
      <c r="F7231" t="s">
        <v>91</v>
      </c>
      <c r="G7231" t="s">
        <v>92</v>
      </c>
      <c r="H7231" t="s">
        <v>2573</v>
      </c>
      <c r="I7231" t="s">
        <v>2574</v>
      </c>
      <c r="J7231" t="s">
        <v>668</v>
      </c>
      <c r="K7231" s="3">
        <v>100132281086</v>
      </c>
      <c r="L7231" s="10">
        <v>40860</v>
      </c>
      <c r="M7231">
        <v>1875.18</v>
      </c>
      <c r="N7231" s="11">
        <v>10</v>
      </c>
      <c r="O7231" s="12">
        <v>179.29</v>
      </c>
      <c r="P7231" s="12">
        <v>29.21</v>
      </c>
      <c r="Q7231" s="13">
        <v>-433.290143</v>
      </c>
      <c r="R7231" s="36" t="s">
        <v>1884</v>
      </c>
      <c r="S7231" s="7">
        <f t="shared" si="633"/>
        <v>2</v>
      </c>
      <c r="T7231" s="15" t="str">
        <f>VLOOKUP(R7231,产品分类!$C$2:$D$1278,2,0)</f>
        <v>数码电子</v>
      </c>
    </row>
    <row r="7232" spans="1:20">
      <c r="A7232" s="8">
        <f t="shared" si="639"/>
        <v>40858</v>
      </c>
      <c r="B7232" s="8">
        <f t="shared" si="639"/>
        <v>40858</v>
      </c>
      <c r="C7232" s="9" t="s">
        <v>1764</v>
      </c>
      <c r="D7232">
        <v>10021333747</v>
      </c>
      <c r="E7232" t="s">
        <v>47</v>
      </c>
      <c r="F7232" t="s">
        <v>83</v>
      </c>
      <c r="G7232" t="s">
        <v>84</v>
      </c>
      <c r="H7232" t="s">
        <v>2577</v>
      </c>
      <c r="I7232" t="s">
        <v>2578</v>
      </c>
      <c r="J7232" t="s">
        <v>668</v>
      </c>
      <c r="K7232" s="3">
        <v>100814054312</v>
      </c>
      <c r="L7232" s="10">
        <v>40860</v>
      </c>
      <c r="M7232">
        <v>3587.72</v>
      </c>
      <c r="N7232" s="11">
        <v>47</v>
      </c>
      <c r="O7232" s="12">
        <v>70.89</v>
      </c>
      <c r="P7232" s="12">
        <v>89.3</v>
      </c>
      <c r="Q7232" s="13">
        <v>54.23085</v>
      </c>
      <c r="R7232" s="36" t="s">
        <v>922</v>
      </c>
      <c r="S7232" s="7">
        <f t="shared" si="633"/>
        <v>2</v>
      </c>
      <c r="T7232" s="15" t="str">
        <f>VLOOKUP(R7232,产品分类!$C$2:$D$1278,2,0)</f>
        <v>家具产品</v>
      </c>
    </row>
    <row r="7233" spans="1:20">
      <c r="A7233" s="16">
        <f>DATE(2012,12,31)-10</f>
        <v>41264</v>
      </c>
      <c r="B7233" s="16">
        <f>DATE(2012,12,31)-10</f>
        <v>41264</v>
      </c>
      <c r="C7233" s="9" t="s">
        <v>1764</v>
      </c>
      <c r="D7233">
        <v>10021292825</v>
      </c>
      <c r="E7233" t="s">
        <v>47</v>
      </c>
      <c r="F7233" t="s">
        <v>91</v>
      </c>
      <c r="G7233" t="s">
        <v>92</v>
      </c>
      <c r="H7233" t="s">
        <v>2573</v>
      </c>
      <c r="I7233" t="s">
        <v>2574</v>
      </c>
      <c r="J7233" t="s">
        <v>668</v>
      </c>
      <c r="K7233" s="3">
        <v>10072146485</v>
      </c>
      <c r="L7233" s="10">
        <v>41266</v>
      </c>
      <c r="M7233">
        <v>1390.17</v>
      </c>
      <c r="N7233" s="17">
        <v>13</v>
      </c>
      <c r="O7233" s="5">
        <v>110.98</v>
      </c>
      <c r="P7233" s="5">
        <v>35</v>
      </c>
      <c r="Q7233" s="6">
        <v>-469.84</v>
      </c>
      <c r="R7233" s="37" t="s">
        <v>2576</v>
      </c>
      <c r="S7233" s="7">
        <f t="shared" si="633"/>
        <v>2</v>
      </c>
      <c r="T7233" s="15" t="str">
        <f>VLOOKUP(R7233,产品分类!$C$2:$D$1278,2,0)</f>
        <v>家具产品</v>
      </c>
    </row>
    <row r="7234" spans="1:20">
      <c r="A7234" s="8">
        <f>DATE(2012,12,31)-829</f>
        <v>40445</v>
      </c>
      <c r="B7234" s="8">
        <f>DATE(2012,12,31)-829</f>
        <v>40445</v>
      </c>
      <c r="C7234" s="9" t="s">
        <v>1153</v>
      </c>
      <c r="D7234">
        <v>10021430427</v>
      </c>
      <c r="E7234" t="s">
        <v>47</v>
      </c>
      <c r="F7234" t="s">
        <v>91</v>
      </c>
      <c r="G7234" t="s">
        <v>92</v>
      </c>
      <c r="H7234" t="s">
        <v>2573</v>
      </c>
      <c r="I7234" t="s">
        <v>2574</v>
      </c>
      <c r="J7234" t="s">
        <v>668</v>
      </c>
      <c r="K7234" s="3">
        <v>100131934028</v>
      </c>
      <c r="L7234" s="10">
        <v>40447</v>
      </c>
      <c r="M7234">
        <v>104.51</v>
      </c>
      <c r="N7234" s="11">
        <v>13</v>
      </c>
      <c r="O7234" s="12">
        <v>7.84</v>
      </c>
      <c r="P7234" s="12">
        <v>4.71</v>
      </c>
      <c r="Q7234" s="13">
        <v>-9.2805</v>
      </c>
      <c r="R7234" s="36" t="s">
        <v>2480</v>
      </c>
      <c r="S7234" s="7">
        <f t="shared" si="633"/>
        <v>2</v>
      </c>
      <c r="T7234" s="15" t="str">
        <f>VLOOKUP(R7234,产品分类!$C$2:$D$1278,2,0)</f>
        <v>数码电子</v>
      </c>
    </row>
    <row r="7235" spans="1:20">
      <c r="A7235" s="8">
        <f>DATE(2012,12,31)-1315</f>
        <v>39959</v>
      </c>
      <c r="B7235" s="8">
        <f>DATE(2012,12,31)-1315</f>
        <v>39959</v>
      </c>
      <c r="C7235" s="9" t="s">
        <v>657</v>
      </c>
      <c r="D7235">
        <v>10021283470</v>
      </c>
      <c r="E7235" t="s">
        <v>47</v>
      </c>
      <c r="F7235" t="s">
        <v>55</v>
      </c>
      <c r="G7235" t="s">
        <v>56</v>
      </c>
      <c r="H7235" t="s">
        <v>2471</v>
      </c>
      <c r="I7235" t="s">
        <v>2472</v>
      </c>
      <c r="J7235" t="s">
        <v>668</v>
      </c>
      <c r="K7235" s="3">
        <v>100711038025</v>
      </c>
      <c r="L7235" s="10">
        <v>39966</v>
      </c>
      <c r="M7235">
        <v>227.5</v>
      </c>
      <c r="N7235" s="11">
        <v>37</v>
      </c>
      <c r="O7235" s="12">
        <v>5.94</v>
      </c>
      <c r="P7235" s="12">
        <v>9.92</v>
      </c>
      <c r="Q7235" s="13">
        <v>-256.519</v>
      </c>
      <c r="R7235" s="36" t="s">
        <v>1988</v>
      </c>
      <c r="S7235" s="7">
        <f t="shared" ref="S7235:S7298" si="640">+L7235-B7235</f>
        <v>7</v>
      </c>
      <c r="T7235" s="15" t="str">
        <f>VLOOKUP(R7235,产品分类!$C$2:$D$1278,2,0)</f>
        <v>办公用品</v>
      </c>
    </row>
    <row r="7236" spans="1:20">
      <c r="A7236" s="8">
        <f>DATE(2012,12,31)-1315</f>
        <v>39959</v>
      </c>
      <c r="B7236" s="8">
        <f>DATE(2012,12,31)-1315</f>
        <v>39959</v>
      </c>
      <c r="C7236" s="9" t="s">
        <v>2271</v>
      </c>
      <c r="D7236">
        <v>10021575217</v>
      </c>
      <c r="E7236" t="s">
        <v>47</v>
      </c>
      <c r="F7236" t="s">
        <v>91</v>
      </c>
      <c r="G7236" t="s">
        <v>92</v>
      </c>
      <c r="H7236" t="s">
        <v>2573</v>
      </c>
      <c r="I7236" t="s">
        <v>2574</v>
      </c>
      <c r="J7236" t="s">
        <v>668</v>
      </c>
      <c r="K7236" s="3">
        <v>10075256615</v>
      </c>
      <c r="L7236" s="10">
        <v>39959</v>
      </c>
      <c r="M7236">
        <v>2292.1015</v>
      </c>
      <c r="N7236" s="11">
        <v>21</v>
      </c>
      <c r="O7236" s="12">
        <v>125.99</v>
      </c>
      <c r="P7236" s="12">
        <v>3</v>
      </c>
      <c r="Q7236" s="13">
        <v>398.358</v>
      </c>
      <c r="R7236" s="36" t="s">
        <v>226</v>
      </c>
      <c r="S7236" s="7">
        <f t="shared" si="640"/>
        <v>0</v>
      </c>
      <c r="T7236" s="15" t="str">
        <f>VLOOKUP(R7236,产品分类!$C$2:$D$1278,2,0)</f>
        <v>家具产品</v>
      </c>
    </row>
    <row r="7237" spans="1:20">
      <c r="A7237" s="8">
        <f>DATE(2012,12,31)-399</f>
        <v>40875</v>
      </c>
      <c r="B7237" s="8">
        <f>DATE(2012,12,31)-399</f>
        <v>40875</v>
      </c>
      <c r="C7237" s="9" t="s">
        <v>2271</v>
      </c>
      <c r="D7237">
        <v>10021665330</v>
      </c>
      <c r="E7237" t="s">
        <v>47</v>
      </c>
      <c r="F7237" t="s">
        <v>55</v>
      </c>
      <c r="G7237" t="s">
        <v>56</v>
      </c>
      <c r="H7237" t="s">
        <v>2471</v>
      </c>
      <c r="I7237" t="s">
        <v>2472</v>
      </c>
      <c r="J7237" t="s">
        <v>668</v>
      </c>
      <c r="K7237" s="3">
        <v>100113113876</v>
      </c>
      <c r="L7237" s="10">
        <v>40880</v>
      </c>
      <c r="M7237">
        <v>54.22</v>
      </c>
      <c r="N7237" s="11">
        <v>1</v>
      </c>
      <c r="O7237" s="12">
        <v>48.91</v>
      </c>
      <c r="P7237" s="12">
        <v>5.81</v>
      </c>
      <c r="Q7237" s="13">
        <v>-19.09</v>
      </c>
      <c r="R7237" s="36" t="s">
        <v>812</v>
      </c>
      <c r="S7237" s="7">
        <f t="shared" si="640"/>
        <v>5</v>
      </c>
      <c r="T7237" s="15" t="str">
        <f>VLOOKUP(R7237,产品分类!$C$2:$D$1278,2,0)</f>
        <v>家具产品</v>
      </c>
    </row>
    <row r="7238" spans="1:20">
      <c r="A7238" s="8">
        <f>DATE(2012,12,31)-399</f>
        <v>40875</v>
      </c>
      <c r="B7238" s="8">
        <f>DATE(2012,12,31)-399</f>
        <v>40875</v>
      </c>
      <c r="C7238" s="9" t="s">
        <v>2271</v>
      </c>
      <c r="D7238">
        <v>10021267727</v>
      </c>
      <c r="E7238" t="s">
        <v>47</v>
      </c>
      <c r="F7238" t="s">
        <v>122</v>
      </c>
      <c r="G7238" t="s">
        <v>123</v>
      </c>
      <c r="H7238" t="s">
        <v>2458</v>
      </c>
      <c r="I7238" t="s">
        <v>2459</v>
      </c>
      <c r="J7238" t="s">
        <v>668</v>
      </c>
      <c r="K7238" s="3">
        <v>100932109401</v>
      </c>
      <c r="L7238" s="10">
        <v>40879</v>
      </c>
      <c r="M7238">
        <v>431.11</v>
      </c>
      <c r="N7238" s="11">
        <v>4</v>
      </c>
      <c r="O7238" s="12">
        <v>101.41</v>
      </c>
      <c r="P7238" s="12">
        <v>35</v>
      </c>
      <c r="Q7238" s="13">
        <v>-244.33</v>
      </c>
      <c r="R7238" s="36" t="s">
        <v>749</v>
      </c>
      <c r="S7238" s="7">
        <f t="shared" si="640"/>
        <v>4</v>
      </c>
      <c r="T7238" s="15" t="str">
        <f>VLOOKUP(R7238,产品分类!$C$2:$D$1278,2,0)</f>
        <v>办公用品</v>
      </c>
    </row>
    <row r="7239" spans="1:20">
      <c r="A7239" s="8">
        <f t="shared" ref="A7239:B7241" si="641">DATE(2012,12,31)-252</f>
        <v>41022</v>
      </c>
      <c r="B7239" s="8">
        <f t="shared" si="641"/>
        <v>41022</v>
      </c>
      <c r="C7239" s="9" t="s">
        <v>2271</v>
      </c>
      <c r="D7239">
        <v>10021254667</v>
      </c>
      <c r="E7239" t="s">
        <v>47</v>
      </c>
      <c r="F7239" t="s">
        <v>91</v>
      </c>
      <c r="G7239" t="s">
        <v>92</v>
      </c>
      <c r="H7239" t="s">
        <v>2573</v>
      </c>
      <c r="I7239" t="s">
        <v>2574</v>
      </c>
      <c r="J7239" t="s">
        <v>668</v>
      </c>
      <c r="K7239" s="3">
        <v>100922563381</v>
      </c>
      <c r="L7239" s="10">
        <v>41023</v>
      </c>
      <c r="M7239">
        <v>2193.93</v>
      </c>
      <c r="N7239" s="11">
        <v>10</v>
      </c>
      <c r="O7239" s="12">
        <v>238.4</v>
      </c>
      <c r="P7239" s="12">
        <v>24.49</v>
      </c>
      <c r="Q7239" s="13">
        <v>41.83</v>
      </c>
      <c r="R7239" s="36" t="s">
        <v>1545</v>
      </c>
      <c r="S7239" s="7">
        <f t="shared" si="640"/>
        <v>1</v>
      </c>
      <c r="T7239" s="15" t="str">
        <f>VLOOKUP(R7239,产品分类!$C$2:$D$1278,2,0)</f>
        <v>办公用品</v>
      </c>
    </row>
    <row r="7240" spans="1:20">
      <c r="A7240" s="8">
        <f t="shared" si="641"/>
        <v>41022</v>
      </c>
      <c r="B7240" s="8">
        <f t="shared" si="641"/>
        <v>41022</v>
      </c>
      <c r="C7240" s="9" t="s">
        <v>828</v>
      </c>
      <c r="D7240">
        <v>10021386261</v>
      </c>
      <c r="E7240" t="s">
        <v>47</v>
      </c>
      <c r="F7240" t="s">
        <v>122</v>
      </c>
      <c r="G7240" t="s">
        <v>123</v>
      </c>
      <c r="H7240" t="s">
        <v>2458</v>
      </c>
      <c r="I7240" t="s">
        <v>2459</v>
      </c>
      <c r="J7240" t="s">
        <v>668</v>
      </c>
      <c r="K7240" s="3">
        <v>10048123943</v>
      </c>
      <c r="L7240" s="10">
        <v>41024</v>
      </c>
      <c r="M7240">
        <v>812.498</v>
      </c>
      <c r="N7240" s="11">
        <v>11</v>
      </c>
      <c r="O7240" s="12">
        <v>85.99</v>
      </c>
      <c r="P7240" s="12">
        <v>1.25</v>
      </c>
      <c r="Q7240" s="13">
        <v>128.952</v>
      </c>
      <c r="R7240" s="36" t="s">
        <v>550</v>
      </c>
      <c r="S7240" s="7">
        <f t="shared" si="640"/>
        <v>2</v>
      </c>
      <c r="T7240" s="15" t="str">
        <f>VLOOKUP(R7240,产品分类!$C$2:$D$1278,2,0)</f>
        <v>办公用品</v>
      </c>
    </row>
    <row r="7241" spans="1:20">
      <c r="A7241" s="8">
        <f t="shared" si="641"/>
        <v>41022</v>
      </c>
      <c r="B7241" s="8">
        <f t="shared" si="641"/>
        <v>41022</v>
      </c>
      <c r="C7241" s="9" t="s">
        <v>2355</v>
      </c>
      <c r="D7241">
        <v>10021658333</v>
      </c>
      <c r="E7241" t="s">
        <v>47</v>
      </c>
      <c r="F7241" t="s">
        <v>91</v>
      </c>
      <c r="G7241" t="s">
        <v>92</v>
      </c>
      <c r="H7241" t="s">
        <v>2573</v>
      </c>
      <c r="I7241" t="s">
        <v>2574</v>
      </c>
      <c r="J7241" t="s">
        <v>668</v>
      </c>
      <c r="K7241" s="3">
        <v>10085974122</v>
      </c>
      <c r="L7241" s="10">
        <v>41025</v>
      </c>
      <c r="M7241">
        <v>4657.6515</v>
      </c>
      <c r="N7241" s="11">
        <v>37</v>
      </c>
      <c r="O7241" s="12">
        <v>155.99</v>
      </c>
      <c r="P7241" s="12">
        <v>3.9</v>
      </c>
      <c r="Q7241" s="13">
        <v>1242.846</v>
      </c>
      <c r="R7241" s="36" t="s">
        <v>901</v>
      </c>
      <c r="S7241" s="7">
        <f t="shared" si="640"/>
        <v>3</v>
      </c>
      <c r="T7241" s="15" t="str">
        <f>VLOOKUP(R7241,产品分类!$C$2:$D$1278,2,0)</f>
        <v>家具产品</v>
      </c>
    </row>
    <row r="7242" spans="1:20">
      <c r="A7242" s="8">
        <f>DATE(2012,12,31)-1335</f>
        <v>39939</v>
      </c>
      <c r="B7242" s="8">
        <f>DATE(2012,12,31)-1335</f>
        <v>39939</v>
      </c>
      <c r="C7242" s="9" t="s">
        <v>861</v>
      </c>
      <c r="D7242">
        <v>10021502857</v>
      </c>
      <c r="E7242" t="s">
        <v>47</v>
      </c>
      <c r="F7242" t="s">
        <v>122</v>
      </c>
      <c r="G7242" t="s">
        <v>123</v>
      </c>
      <c r="H7242" t="s">
        <v>2458</v>
      </c>
      <c r="I7242" t="s">
        <v>2459</v>
      </c>
      <c r="J7242" t="s">
        <v>668</v>
      </c>
      <c r="K7242" s="3">
        <v>100729009415</v>
      </c>
      <c r="L7242" s="10">
        <v>39939</v>
      </c>
      <c r="M7242">
        <v>265.92</v>
      </c>
      <c r="N7242" s="11">
        <v>29</v>
      </c>
      <c r="O7242" s="12">
        <v>9.11</v>
      </c>
      <c r="P7242" s="12">
        <v>2.15</v>
      </c>
      <c r="Q7242" s="13">
        <v>79.67</v>
      </c>
      <c r="R7242" s="36" t="s">
        <v>1650</v>
      </c>
      <c r="S7242" s="7">
        <f t="shared" si="640"/>
        <v>0</v>
      </c>
      <c r="T7242" s="15" t="str">
        <f>VLOOKUP(R7242,产品分类!$C$2:$D$1278,2,0)</f>
        <v>办公用品</v>
      </c>
    </row>
    <row r="7243" spans="1:20">
      <c r="A7243" s="8">
        <f>DATE(2012,12,31)-300</f>
        <v>40974</v>
      </c>
      <c r="B7243" s="8">
        <f>DATE(2012,12,31)-300</f>
        <v>40974</v>
      </c>
      <c r="C7243" s="9" t="s">
        <v>861</v>
      </c>
      <c r="D7243">
        <v>10021662490</v>
      </c>
      <c r="E7243" t="s">
        <v>47</v>
      </c>
      <c r="F7243" t="s">
        <v>122</v>
      </c>
      <c r="G7243" t="s">
        <v>123</v>
      </c>
      <c r="H7243" t="s">
        <v>2458</v>
      </c>
      <c r="I7243" t="s">
        <v>2459</v>
      </c>
      <c r="J7243" t="s">
        <v>668</v>
      </c>
      <c r="K7243" s="3">
        <v>100922068471</v>
      </c>
      <c r="L7243" s="10">
        <v>40975</v>
      </c>
      <c r="M7243">
        <v>95.0555</v>
      </c>
      <c r="N7243" s="11">
        <v>2</v>
      </c>
      <c r="O7243" s="12">
        <v>55.99</v>
      </c>
      <c r="P7243" s="12">
        <v>5</v>
      </c>
      <c r="Q7243" s="13">
        <v>-298.166</v>
      </c>
      <c r="R7243" s="36" t="s">
        <v>1098</v>
      </c>
      <c r="S7243" s="7">
        <f t="shared" si="640"/>
        <v>1</v>
      </c>
      <c r="T7243" s="15" t="str">
        <f>VLOOKUP(R7243,产品分类!$C$2:$D$1278,2,0)</f>
        <v>办公用品</v>
      </c>
    </row>
    <row r="7244" spans="1:20">
      <c r="A7244" s="8">
        <f>DATE(2012,12,31)-860</f>
        <v>40414</v>
      </c>
      <c r="B7244" s="8">
        <f>DATE(2012,12,31)-860</f>
        <v>40414</v>
      </c>
      <c r="C7244" s="9" t="s">
        <v>2292</v>
      </c>
      <c r="D7244">
        <v>10021702424</v>
      </c>
      <c r="E7244" t="s">
        <v>47</v>
      </c>
      <c r="F7244" t="s">
        <v>122</v>
      </c>
      <c r="G7244" t="s">
        <v>123</v>
      </c>
      <c r="H7244" t="s">
        <v>2458</v>
      </c>
      <c r="I7244" t="s">
        <v>2459</v>
      </c>
      <c r="J7244" t="s">
        <v>668</v>
      </c>
      <c r="K7244" s="3">
        <v>10044512314</v>
      </c>
      <c r="L7244" s="10">
        <v>40416</v>
      </c>
      <c r="M7244">
        <v>1382.31</v>
      </c>
      <c r="N7244" s="11">
        <v>26</v>
      </c>
      <c r="O7244" s="12">
        <v>51.94</v>
      </c>
      <c r="P7244" s="12">
        <v>19.99</v>
      </c>
      <c r="Q7244" s="13">
        <v>372.26</v>
      </c>
      <c r="R7244" s="36" t="s">
        <v>1420</v>
      </c>
      <c r="S7244" s="7">
        <f t="shared" si="640"/>
        <v>2</v>
      </c>
      <c r="T7244" s="15" t="str">
        <f>VLOOKUP(R7244,产品分类!$C$2:$D$1278,2,0)</f>
        <v>家具产品</v>
      </c>
    </row>
    <row r="7245" spans="1:20">
      <c r="A7245" s="8">
        <f>DATE(2012,12,31)-860</f>
        <v>40414</v>
      </c>
      <c r="B7245" s="8">
        <f>DATE(2012,12,31)-860</f>
        <v>40414</v>
      </c>
      <c r="C7245" s="9" t="s">
        <v>2292</v>
      </c>
      <c r="D7245">
        <v>10021499072</v>
      </c>
      <c r="E7245" t="s">
        <v>47</v>
      </c>
      <c r="F7245" t="s">
        <v>122</v>
      </c>
      <c r="G7245" t="s">
        <v>123</v>
      </c>
      <c r="H7245" t="s">
        <v>2458</v>
      </c>
      <c r="I7245" t="s">
        <v>2459</v>
      </c>
      <c r="J7245" t="s">
        <v>668</v>
      </c>
      <c r="K7245" s="3">
        <v>100324146959</v>
      </c>
      <c r="L7245" s="10">
        <v>40415</v>
      </c>
      <c r="M7245">
        <v>991.36</v>
      </c>
      <c r="N7245" s="11">
        <v>46</v>
      </c>
      <c r="O7245" s="12">
        <v>19.98</v>
      </c>
      <c r="P7245" s="12">
        <v>8.68</v>
      </c>
      <c r="Q7245" s="13">
        <v>212.06</v>
      </c>
      <c r="R7245" s="36" t="s">
        <v>1975</v>
      </c>
      <c r="S7245" s="7">
        <f t="shared" si="640"/>
        <v>1</v>
      </c>
      <c r="T7245" s="15" t="str">
        <f>VLOOKUP(R7245,产品分类!$C$2:$D$1278,2,0)</f>
        <v>办公用品</v>
      </c>
    </row>
    <row r="7246" spans="1:20">
      <c r="A7246" s="8">
        <f>DATE(2012,12,31)-487</f>
        <v>40787</v>
      </c>
      <c r="B7246" s="8">
        <f>DATE(2012,12,31)-487</f>
        <v>40787</v>
      </c>
      <c r="C7246" s="9" t="s">
        <v>2292</v>
      </c>
      <c r="D7246">
        <v>10021269316</v>
      </c>
      <c r="E7246" t="s">
        <v>47</v>
      </c>
      <c r="F7246" t="s">
        <v>83</v>
      </c>
      <c r="G7246" t="s">
        <v>84</v>
      </c>
      <c r="H7246" t="s">
        <v>2577</v>
      </c>
      <c r="I7246" t="s">
        <v>2578</v>
      </c>
      <c r="J7246" t="s">
        <v>668</v>
      </c>
      <c r="K7246" s="3">
        <v>100432440764</v>
      </c>
      <c r="L7246" s="10">
        <v>40788</v>
      </c>
      <c r="M7246">
        <v>206.34</v>
      </c>
      <c r="N7246" s="11">
        <v>24</v>
      </c>
      <c r="O7246" s="12">
        <v>8.46</v>
      </c>
      <c r="P7246" s="12">
        <v>3.62</v>
      </c>
      <c r="Q7246" s="13">
        <v>-38.23</v>
      </c>
      <c r="R7246" s="36" t="s">
        <v>872</v>
      </c>
      <c r="S7246" s="7">
        <f t="shared" si="640"/>
        <v>1</v>
      </c>
      <c r="T7246" s="15" t="str">
        <f>VLOOKUP(R7246,产品分类!$C$2:$D$1278,2,0)</f>
        <v>数码电子</v>
      </c>
    </row>
    <row r="7247" spans="1:20">
      <c r="A7247" s="8">
        <f>DATE(2012,12,31)-1403</f>
        <v>39871</v>
      </c>
      <c r="B7247" s="8">
        <f>DATE(2012,12,31)-1403</f>
        <v>39871</v>
      </c>
      <c r="C7247" s="9" t="s">
        <v>2292</v>
      </c>
      <c r="D7247">
        <v>10021262233</v>
      </c>
      <c r="E7247" t="s">
        <v>47</v>
      </c>
      <c r="F7247" t="s">
        <v>122</v>
      </c>
      <c r="G7247" t="s">
        <v>123</v>
      </c>
      <c r="H7247" t="s">
        <v>2458</v>
      </c>
      <c r="I7247" t="s">
        <v>2459</v>
      </c>
      <c r="J7247" t="s">
        <v>668</v>
      </c>
      <c r="K7247" s="3">
        <v>100929811541</v>
      </c>
      <c r="L7247" s="10">
        <v>39871</v>
      </c>
      <c r="M7247">
        <v>11613.13</v>
      </c>
      <c r="N7247" s="11">
        <v>39</v>
      </c>
      <c r="O7247" s="12">
        <v>294.62</v>
      </c>
      <c r="P7247" s="12">
        <v>42.52</v>
      </c>
      <c r="Q7247" s="13">
        <v>2816.21</v>
      </c>
      <c r="R7247" s="36" t="s">
        <v>327</v>
      </c>
      <c r="S7247" s="7">
        <f t="shared" si="640"/>
        <v>0</v>
      </c>
      <c r="T7247" s="15" t="str">
        <f>VLOOKUP(R7247,产品分类!$C$2:$D$1278,2,0)</f>
        <v>家具产品</v>
      </c>
    </row>
    <row r="7248" spans="1:20">
      <c r="A7248" s="8">
        <f>DATE(2012,12,31)-594</f>
        <v>40680</v>
      </c>
      <c r="B7248" s="8">
        <f>DATE(2012,12,31)-594</f>
        <v>40680</v>
      </c>
      <c r="C7248" s="9" t="s">
        <v>2292</v>
      </c>
      <c r="D7248">
        <v>10021418446</v>
      </c>
      <c r="E7248" t="s">
        <v>47</v>
      </c>
      <c r="F7248" t="s">
        <v>91</v>
      </c>
      <c r="G7248" t="s">
        <v>92</v>
      </c>
      <c r="H7248" t="s">
        <v>2573</v>
      </c>
      <c r="I7248" t="s">
        <v>2574</v>
      </c>
      <c r="J7248" t="s">
        <v>668</v>
      </c>
      <c r="K7248" s="3">
        <v>10092451261</v>
      </c>
      <c r="L7248" s="10">
        <v>40684</v>
      </c>
      <c r="M7248">
        <v>503.3275</v>
      </c>
      <c r="N7248" s="11">
        <v>5</v>
      </c>
      <c r="O7248" s="12">
        <v>125.99</v>
      </c>
      <c r="P7248" s="12">
        <v>5.63</v>
      </c>
      <c r="Q7248" s="13">
        <v>-488.312</v>
      </c>
      <c r="R7248" s="36" t="s">
        <v>672</v>
      </c>
      <c r="S7248" s="7">
        <f t="shared" si="640"/>
        <v>4</v>
      </c>
      <c r="T7248" s="15" t="str">
        <f>VLOOKUP(R7248,产品分类!$C$2:$D$1278,2,0)</f>
        <v>办公用品</v>
      </c>
    </row>
    <row r="7249" spans="1:20">
      <c r="A7249" s="8">
        <f>DATE(2012,12,31)-75</f>
        <v>41199</v>
      </c>
      <c r="B7249" s="8">
        <f>DATE(2012,12,31)-75</f>
        <v>41199</v>
      </c>
      <c r="C7249" s="9" t="s">
        <v>1558</v>
      </c>
      <c r="D7249">
        <v>10021740203</v>
      </c>
      <c r="E7249" t="s">
        <v>47</v>
      </c>
      <c r="F7249" t="s">
        <v>127</v>
      </c>
      <c r="G7249" t="s">
        <v>128</v>
      </c>
      <c r="H7249" t="s">
        <v>2554</v>
      </c>
      <c r="I7249" t="s">
        <v>2555</v>
      </c>
      <c r="J7249" t="s">
        <v>668</v>
      </c>
      <c r="K7249" s="3">
        <v>100918128911</v>
      </c>
      <c r="L7249" s="10">
        <v>41200</v>
      </c>
      <c r="M7249">
        <v>65.5</v>
      </c>
      <c r="N7249" s="11">
        <v>11</v>
      </c>
      <c r="O7249" s="12">
        <v>5.98</v>
      </c>
      <c r="P7249" s="12">
        <v>4.38</v>
      </c>
      <c r="Q7249" s="13">
        <v>-55.94</v>
      </c>
      <c r="R7249" s="36" t="s">
        <v>892</v>
      </c>
      <c r="S7249" s="7">
        <f t="shared" si="640"/>
        <v>1</v>
      </c>
      <c r="T7249" s="15" t="str">
        <f>VLOOKUP(R7249,产品分类!$C$2:$D$1278,2,0)</f>
        <v>家具产品</v>
      </c>
    </row>
    <row r="7250" spans="1:20">
      <c r="A7250" s="8">
        <f t="shared" ref="A7250:B7252" si="642">DATE(2012,12,31)-1347</f>
        <v>39927</v>
      </c>
      <c r="B7250" s="8">
        <f t="shared" si="642"/>
        <v>39927</v>
      </c>
      <c r="C7250" s="9" t="s">
        <v>1250</v>
      </c>
      <c r="D7250">
        <v>10021670816</v>
      </c>
      <c r="E7250" t="s">
        <v>47</v>
      </c>
      <c r="F7250" t="s">
        <v>171</v>
      </c>
      <c r="G7250" t="s">
        <v>172</v>
      </c>
      <c r="H7250" t="s">
        <v>2486</v>
      </c>
      <c r="I7250" t="s">
        <v>2310</v>
      </c>
      <c r="J7250" t="s">
        <v>668</v>
      </c>
      <c r="K7250" s="3">
        <v>100730579925</v>
      </c>
      <c r="L7250" s="10">
        <v>39928</v>
      </c>
      <c r="M7250">
        <v>113.19</v>
      </c>
      <c r="N7250" s="11">
        <v>11</v>
      </c>
      <c r="O7250" s="12">
        <v>9.06</v>
      </c>
      <c r="P7250" s="12">
        <v>9.86</v>
      </c>
      <c r="Q7250" s="13">
        <v>-53.25</v>
      </c>
      <c r="R7250" s="36" t="s">
        <v>2456</v>
      </c>
      <c r="S7250" s="7">
        <f t="shared" si="640"/>
        <v>1</v>
      </c>
      <c r="T7250" s="15" t="str">
        <f>VLOOKUP(R7250,产品分类!$C$2:$D$1278,2,0)</f>
        <v>办公用品</v>
      </c>
    </row>
    <row r="7251" spans="1:20">
      <c r="A7251" s="8">
        <f t="shared" si="642"/>
        <v>39927</v>
      </c>
      <c r="B7251" s="8">
        <f t="shared" si="642"/>
        <v>39927</v>
      </c>
      <c r="C7251" s="9" t="s">
        <v>1074</v>
      </c>
      <c r="D7251">
        <v>10021349503</v>
      </c>
      <c r="E7251" t="s">
        <v>47</v>
      </c>
      <c r="F7251" t="s">
        <v>127</v>
      </c>
      <c r="G7251" t="s">
        <v>128</v>
      </c>
      <c r="H7251" t="s">
        <v>2554</v>
      </c>
      <c r="I7251" t="s">
        <v>2555</v>
      </c>
      <c r="J7251" t="s">
        <v>668</v>
      </c>
      <c r="K7251" s="3">
        <v>100931870831</v>
      </c>
      <c r="L7251" s="10">
        <v>39928</v>
      </c>
      <c r="M7251">
        <v>196.04</v>
      </c>
      <c r="N7251" s="11">
        <v>13</v>
      </c>
      <c r="O7251" s="12">
        <v>14.27</v>
      </c>
      <c r="P7251" s="12">
        <v>7.27</v>
      </c>
      <c r="Q7251" s="13">
        <v>2.125</v>
      </c>
      <c r="R7251" s="36" t="s">
        <v>252</v>
      </c>
      <c r="S7251" s="7">
        <f t="shared" si="640"/>
        <v>1</v>
      </c>
      <c r="T7251" s="15" t="str">
        <f>VLOOKUP(R7251,产品分类!$C$2:$D$1278,2,0)</f>
        <v>办公用品</v>
      </c>
    </row>
    <row r="7252" spans="1:20">
      <c r="A7252" s="8">
        <f t="shared" si="642"/>
        <v>39927</v>
      </c>
      <c r="B7252" s="8">
        <f t="shared" si="642"/>
        <v>39927</v>
      </c>
      <c r="C7252" s="9" t="s">
        <v>2052</v>
      </c>
      <c r="D7252">
        <v>10021664170</v>
      </c>
      <c r="E7252" t="s">
        <v>47</v>
      </c>
      <c r="F7252" t="s">
        <v>171</v>
      </c>
      <c r="G7252" t="s">
        <v>172</v>
      </c>
      <c r="H7252" t="s">
        <v>2486</v>
      </c>
      <c r="I7252" t="s">
        <v>2310</v>
      </c>
      <c r="J7252" t="s">
        <v>668</v>
      </c>
      <c r="K7252" s="3">
        <v>100925057291</v>
      </c>
      <c r="L7252" s="10">
        <v>39930</v>
      </c>
      <c r="M7252">
        <v>140.02</v>
      </c>
      <c r="N7252" s="11">
        <v>28</v>
      </c>
      <c r="O7252" s="12">
        <v>4.91</v>
      </c>
      <c r="P7252" s="12">
        <v>0.5</v>
      </c>
      <c r="Q7252" s="13">
        <v>66.71</v>
      </c>
      <c r="R7252" s="36" t="s">
        <v>486</v>
      </c>
      <c r="S7252" s="7">
        <f t="shared" si="640"/>
        <v>3</v>
      </c>
      <c r="T7252" s="15" t="str">
        <f>VLOOKUP(R7252,产品分类!$C$2:$D$1278,2,0)</f>
        <v>数码电子</v>
      </c>
    </row>
    <row r="7253" spans="1:20">
      <c r="A7253" s="8">
        <f>DATE(2012,12,31)-1213</f>
        <v>40061</v>
      </c>
      <c r="B7253" s="8">
        <f>DATE(2012,12,31)-1213</f>
        <v>40061</v>
      </c>
      <c r="C7253" s="9" t="s">
        <v>1853</v>
      </c>
      <c r="D7253">
        <v>10021257346</v>
      </c>
      <c r="E7253" t="s">
        <v>47</v>
      </c>
      <c r="F7253" t="s">
        <v>97</v>
      </c>
      <c r="G7253" t="s">
        <v>98</v>
      </c>
      <c r="H7253" t="s">
        <v>99</v>
      </c>
      <c r="I7253" t="s">
        <v>98</v>
      </c>
      <c r="J7253" t="s">
        <v>668</v>
      </c>
      <c r="K7253" s="3">
        <v>100126039848</v>
      </c>
      <c r="L7253" s="10">
        <v>40062</v>
      </c>
      <c r="M7253">
        <v>3231.564</v>
      </c>
      <c r="N7253" s="11">
        <v>43</v>
      </c>
      <c r="O7253" s="12">
        <v>85.99</v>
      </c>
      <c r="P7253" s="12">
        <v>0.99</v>
      </c>
      <c r="Q7253" s="13">
        <v>1166.094</v>
      </c>
      <c r="R7253" s="36" t="s">
        <v>444</v>
      </c>
      <c r="S7253" s="7">
        <f t="shared" si="640"/>
        <v>1</v>
      </c>
      <c r="T7253" s="15" t="str">
        <f>VLOOKUP(R7253,产品分类!$C$2:$D$1278,2,0)</f>
        <v>办公用品</v>
      </c>
    </row>
    <row r="7254" spans="1:20">
      <c r="A7254" s="8">
        <f>DATE(2012,12,31)-484</f>
        <v>40790</v>
      </c>
      <c r="B7254" s="8">
        <f>DATE(2012,12,31)-484</f>
        <v>40790</v>
      </c>
      <c r="C7254" s="9" t="s">
        <v>1853</v>
      </c>
      <c r="D7254">
        <v>10021501782</v>
      </c>
      <c r="E7254" t="s">
        <v>47</v>
      </c>
      <c r="F7254" t="s">
        <v>97</v>
      </c>
      <c r="G7254" t="s">
        <v>98</v>
      </c>
      <c r="H7254" t="s">
        <v>99</v>
      </c>
      <c r="I7254" t="s">
        <v>98</v>
      </c>
      <c r="J7254" t="s">
        <v>668</v>
      </c>
      <c r="K7254" s="3">
        <v>100127803938</v>
      </c>
      <c r="L7254" s="10">
        <v>40790</v>
      </c>
      <c r="M7254">
        <v>196.98</v>
      </c>
      <c r="N7254" s="11">
        <v>16</v>
      </c>
      <c r="O7254" s="12">
        <v>12.28</v>
      </c>
      <c r="P7254" s="12">
        <v>6.47</v>
      </c>
      <c r="Q7254" s="13">
        <v>-5.76</v>
      </c>
      <c r="R7254" s="36" t="s">
        <v>2187</v>
      </c>
      <c r="S7254" s="7">
        <f t="shared" si="640"/>
        <v>0</v>
      </c>
      <c r="T7254" s="15" t="str">
        <f>VLOOKUP(R7254,产品分类!$C$2:$D$1278,2,0)</f>
        <v>家具产品</v>
      </c>
    </row>
    <row r="7255" spans="1:20">
      <c r="A7255" s="8">
        <f>DATE(2012,12,31)-484</f>
        <v>40790</v>
      </c>
      <c r="B7255" s="8">
        <f>DATE(2012,12,31)-484</f>
        <v>40790</v>
      </c>
      <c r="C7255" s="9" t="s">
        <v>2222</v>
      </c>
      <c r="D7255">
        <v>10021348229</v>
      </c>
      <c r="E7255" t="s">
        <v>47</v>
      </c>
      <c r="F7255" t="s">
        <v>132</v>
      </c>
      <c r="G7255" t="s">
        <v>133</v>
      </c>
      <c r="H7255" t="s">
        <v>134</v>
      </c>
      <c r="I7255" t="s">
        <v>133</v>
      </c>
      <c r="J7255" t="s">
        <v>668</v>
      </c>
      <c r="K7255" s="3">
        <v>100431340793</v>
      </c>
      <c r="L7255" s="10">
        <v>40793</v>
      </c>
      <c r="M7255">
        <v>1756.695</v>
      </c>
      <c r="N7255" s="11">
        <v>33</v>
      </c>
      <c r="O7255" s="12">
        <v>65.99</v>
      </c>
      <c r="P7255" s="12">
        <v>8.8</v>
      </c>
      <c r="Q7255" s="13">
        <v>164.97</v>
      </c>
      <c r="R7255" s="36" t="s">
        <v>390</v>
      </c>
      <c r="S7255" s="7">
        <f t="shared" si="640"/>
        <v>3</v>
      </c>
      <c r="T7255" s="15" t="str">
        <f>VLOOKUP(R7255,产品分类!$C$2:$D$1278,2,0)</f>
        <v>办公用品</v>
      </c>
    </row>
    <row r="7256" spans="1:20">
      <c r="A7256" s="8">
        <f>DATE(2012,12,31)-355</f>
        <v>40919</v>
      </c>
      <c r="B7256" s="8">
        <f>DATE(2012,12,31)-355</f>
        <v>40919</v>
      </c>
      <c r="C7256" s="9" t="s">
        <v>2222</v>
      </c>
      <c r="D7256">
        <v>10021351961</v>
      </c>
      <c r="E7256" t="s">
        <v>47</v>
      </c>
      <c r="F7256" t="s">
        <v>97</v>
      </c>
      <c r="G7256" t="s">
        <v>98</v>
      </c>
      <c r="H7256" t="s">
        <v>99</v>
      </c>
      <c r="I7256" t="s">
        <v>98</v>
      </c>
      <c r="J7256" t="s">
        <v>668</v>
      </c>
      <c r="K7256" s="3">
        <v>100132510216</v>
      </c>
      <c r="L7256" s="10">
        <v>40921</v>
      </c>
      <c r="M7256">
        <v>171.71</v>
      </c>
      <c r="N7256" s="11">
        <v>1</v>
      </c>
      <c r="O7256" s="12">
        <v>115.99</v>
      </c>
      <c r="P7256" s="12">
        <v>56.14</v>
      </c>
      <c r="Q7256" s="13">
        <v>-343.4673</v>
      </c>
      <c r="R7256" s="36" t="s">
        <v>1815</v>
      </c>
      <c r="S7256" s="7">
        <f t="shared" si="640"/>
        <v>2</v>
      </c>
      <c r="T7256" s="15" t="str">
        <f>VLOOKUP(R7256,产品分类!$C$2:$D$1278,2,0)</f>
        <v>办公用品</v>
      </c>
    </row>
    <row r="7257" spans="1:20">
      <c r="A7257" s="8">
        <f>DATE(2012,12,31)-455</f>
        <v>40819</v>
      </c>
      <c r="B7257" s="8">
        <f>DATE(2012,12,31)-455</f>
        <v>40819</v>
      </c>
      <c r="C7257" s="9" t="s">
        <v>2222</v>
      </c>
      <c r="D7257">
        <v>10021577028</v>
      </c>
      <c r="E7257" t="s">
        <v>47</v>
      </c>
      <c r="F7257" t="s">
        <v>102</v>
      </c>
      <c r="G7257" t="s">
        <v>103</v>
      </c>
      <c r="H7257" t="s">
        <v>2560</v>
      </c>
      <c r="I7257" t="s">
        <v>2561</v>
      </c>
      <c r="J7257" t="s">
        <v>668</v>
      </c>
      <c r="K7257" s="3">
        <v>10013042236</v>
      </c>
      <c r="L7257" s="10">
        <v>40821</v>
      </c>
      <c r="M7257">
        <v>1326.04</v>
      </c>
      <c r="N7257" s="11">
        <v>39</v>
      </c>
      <c r="O7257" s="12">
        <v>32.48</v>
      </c>
      <c r="P7257" s="12">
        <v>35</v>
      </c>
      <c r="Q7257" s="13">
        <v>-1129.96</v>
      </c>
      <c r="R7257" s="36" t="s">
        <v>2445</v>
      </c>
      <c r="S7257" s="7">
        <f t="shared" si="640"/>
        <v>2</v>
      </c>
      <c r="T7257" s="15" t="str">
        <f>VLOOKUP(R7257,产品分类!$C$2:$D$1278,2,0)</f>
        <v>办公用品</v>
      </c>
    </row>
    <row r="7258" spans="1:20">
      <c r="A7258" s="8">
        <f>DATE(2012,12,31)-455</f>
        <v>40819</v>
      </c>
      <c r="B7258" s="8">
        <f>DATE(2012,12,31)-455</f>
        <v>40819</v>
      </c>
      <c r="C7258" s="9" t="s">
        <v>2222</v>
      </c>
      <c r="D7258">
        <v>10021676342</v>
      </c>
      <c r="E7258" t="s">
        <v>47</v>
      </c>
      <c r="F7258" t="s">
        <v>102</v>
      </c>
      <c r="G7258" t="s">
        <v>103</v>
      </c>
      <c r="H7258" t="s">
        <v>2560</v>
      </c>
      <c r="I7258" t="s">
        <v>2561</v>
      </c>
      <c r="J7258" t="s">
        <v>668</v>
      </c>
      <c r="K7258" s="3">
        <v>100432551103</v>
      </c>
      <c r="L7258" s="10">
        <v>40821</v>
      </c>
      <c r="M7258">
        <v>3881.89</v>
      </c>
      <c r="N7258" s="11">
        <v>22</v>
      </c>
      <c r="O7258" s="12">
        <v>182.55</v>
      </c>
      <c r="P7258" s="12">
        <v>69</v>
      </c>
      <c r="Q7258" s="13">
        <v>-803.52</v>
      </c>
      <c r="R7258" s="36" t="s">
        <v>1042</v>
      </c>
      <c r="S7258" s="7">
        <f t="shared" si="640"/>
        <v>2</v>
      </c>
      <c r="T7258" s="15" t="str">
        <f>VLOOKUP(R7258,产品分类!$C$2:$D$1278,2,0)</f>
        <v>家具产品</v>
      </c>
    </row>
    <row r="7259" spans="1:20">
      <c r="A7259" s="8">
        <f>DATE(2012,12,31)-705</f>
        <v>40569</v>
      </c>
      <c r="B7259" s="8">
        <f>DATE(2012,12,31)-705</f>
        <v>40569</v>
      </c>
      <c r="C7259" s="9" t="s">
        <v>1560</v>
      </c>
      <c r="D7259">
        <v>10021621100</v>
      </c>
      <c r="E7259" t="s">
        <v>47</v>
      </c>
      <c r="F7259" t="s">
        <v>102</v>
      </c>
      <c r="G7259" t="s">
        <v>103</v>
      </c>
      <c r="H7259" t="s">
        <v>2560</v>
      </c>
      <c r="I7259" t="s">
        <v>2561</v>
      </c>
      <c r="J7259" t="s">
        <v>668</v>
      </c>
      <c r="K7259" s="3">
        <v>100911121301</v>
      </c>
      <c r="L7259" s="10">
        <v>40570</v>
      </c>
      <c r="M7259">
        <v>1290.37</v>
      </c>
      <c r="N7259" s="11">
        <v>10</v>
      </c>
      <c r="O7259" s="12">
        <v>123.38</v>
      </c>
      <c r="P7259" s="12">
        <v>24.49</v>
      </c>
      <c r="Q7259" s="13">
        <v>231.16</v>
      </c>
      <c r="R7259" s="36" t="s">
        <v>2111</v>
      </c>
      <c r="S7259" s="7">
        <f t="shared" si="640"/>
        <v>1</v>
      </c>
      <c r="T7259" s="15" t="str">
        <f>VLOOKUP(R7259,产品分类!$C$2:$D$1278,2,0)</f>
        <v>数码电子</v>
      </c>
    </row>
    <row r="7260" spans="1:20">
      <c r="A7260" s="8">
        <f>DATE(2012,12,31)-705</f>
        <v>40569</v>
      </c>
      <c r="B7260" s="8">
        <f>DATE(2012,12,31)-705</f>
        <v>40569</v>
      </c>
      <c r="C7260" s="9" t="s">
        <v>1560</v>
      </c>
      <c r="D7260">
        <v>10021386134</v>
      </c>
      <c r="E7260" t="s">
        <v>47</v>
      </c>
      <c r="F7260" t="s">
        <v>102</v>
      </c>
      <c r="G7260" t="s">
        <v>103</v>
      </c>
      <c r="H7260" t="s">
        <v>2560</v>
      </c>
      <c r="I7260" t="s">
        <v>2561</v>
      </c>
      <c r="J7260" t="s">
        <v>668</v>
      </c>
      <c r="K7260" s="3">
        <v>10046183174</v>
      </c>
      <c r="L7260" s="10">
        <v>40570</v>
      </c>
      <c r="M7260">
        <v>23.18</v>
      </c>
      <c r="N7260" s="11">
        <v>2</v>
      </c>
      <c r="O7260" s="12">
        <v>8.6</v>
      </c>
      <c r="P7260" s="12">
        <v>6.19</v>
      </c>
      <c r="Q7260" s="13">
        <v>-14.881</v>
      </c>
      <c r="R7260" s="36" t="s">
        <v>629</v>
      </c>
      <c r="S7260" s="7">
        <f t="shared" si="640"/>
        <v>1</v>
      </c>
      <c r="T7260" s="15" t="str">
        <f>VLOOKUP(R7260,产品分类!$C$2:$D$1278,2,0)</f>
        <v>办公用品</v>
      </c>
    </row>
    <row r="7261" spans="1:20">
      <c r="A7261" s="8">
        <f>DATE(2012,12,31)-1109</f>
        <v>40165</v>
      </c>
      <c r="B7261" s="8">
        <f>DATE(2012,12,31)-1109</f>
        <v>40165</v>
      </c>
      <c r="C7261" s="9" t="s">
        <v>1560</v>
      </c>
      <c r="D7261">
        <v>10021259223</v>
      </c>
      <c r="E7261" t="s">
        <v>47</v>
      </c>
      <c r="F7261" t="s">
        <v>208</v>
      </c>
      <c r="G7261" t="s">
        <v>209</v>
      </c>
      <c r="H7261" t="s">
        <v>2300</v>
      </c>
      <c r="I7261" t="s">
        <v>2301</v>
      </c>
      <c r="J7261" t="s">
        <v>668</v>
      </c>
      <c r="K7261" s="3">
        <v>100323554209</v>
      </c>
      <c r="L7261" s="10">
        <v>40169</v>
      </c>
      <c r="M7261">
        <v>1064.7865</v>
      </c>
      <c r="N7261" s="11">
        <v>12</v>
      </c>
      <c r="O7261" s="12">
        <v>115.99</v>
      </c>
      <c r="P7261" s="12">
        <v>2.5</v>
      </c>
      <c r="Q7261" s="13">
        <v>-181.005</v>
      </c>
      <c r="R7261" s="36" t="s">
        <v>70</v>
      </c>
      <c r="S7261" s="7">
        <f t="shared" si="640"/>
        <v>4</v>
      </c>
      <c r="T7261" s="15" t="str">
        <f>VLOOKUP(R7261,产品分类!$C$2:$D$1278,2,0)</f>
        <v>数码电子</v>
      </c>
    </row>
    <row r="7262" spans="1:20">
      <c r="A7262" s="8">
        <f>DATE(2012,12,31)-1306</f>
        <v>39968</v>
      </c>
      <c r="B7262" s="8">
        <f>DATE(2012,12,31)-1306</f>
        <v>39968</v>
      </c>
      <c r="C7262" s="9" t="s">
        <v>457</v>
      </c>
      <c r="D7262">
        <v>10021672061</v>
      </c>
      <c r="E7262" t="s">
        <v>47</v>
      </c>
      <c r="F7262" t="s">
        <v>304</v>
      </c>
      <c r="G7262" t="s">
        <v>305</v>
      </c>
      <c r="H7262" t="s">
        <v>2527</v>
      </c>
      <c r="I7262" t="s">
        <v>2528</v>
      </c>
      <c r="J7262" t="s">
        <v>668</v>
      </c>
      <c r="K7262" s="3">
        <v>100831296982</v>
      </c>
      <c r="L7262" s="10">
        <v>39969</v>
      </c>
      <c r="M7262">
        <v>2489.85</v>
      </c>
      <c r="N7262" s="11">
        <v>11</v>
      </c>
      <c r="O7262" s="12">
        <v>218.75</v>
      </c>
      <c r="P7262" s="12">
        <v>69.64</v>
      </c>
      <c r="Q7262" s="13">
        <v>-566.5</v>
      </c>
      <c r="R7262" s="36" t="s">
        <v>1711</v>
      </c>
      <c r="S7262" s="7">
        <f t="shared" si="640"/>
        <v>1</v>
      </c>
      <c r="T7262" s="15" t="str">
        <f>VLOOKUP(R7262,产品分类!$C$2:$D$1278,2,0)</f>
        <v>家具产品</v>
      </c>
    </row>
    <row r="7263" spans="1:20">
      <c r="A7263" s="8">
        <f>DATE(2012,12,31)-317</f>
        <v>40957</v>
      </c>
      <c r="B7263" s="8">
        <f>DATE(2012,12,31)-317</f>
        <v>40957</v>
      </c>
      <c r="C7263" s="9" t="s">
        <v>832</v>
      </c>
      <c r="D7263">
        <v>10021334874</v>
      </c>
      <c r="E7263" t="s">
        <v>47</v>
      </c>
      <c r="F7263" t="s">
        <v>304</v>
      </c>
      <c r="G7263" t="s">
        <v>305</v>
      </c>
      <c r="H7263" t="s">
        <v>2527</v>
      </c>
      <c r="I7263" t="s">
        <v>2528</v>
      </c>
      <c r="J7263" t="s">
        <v>668</v>
      </c>
      <c r="K7263" s="3">
        <v>100916819681</v>
      </c>
      <c r="L7263" s="10">
        <v>40964</v>
      </c>
      <c r="M7263">
        <v>1884.208</v>
      </c>
      <c r="N7263" s="11">
        <v>11</v>
      </c>
      <c r="O7263" s="12">
        <v>212.6</v>
      </c>
      <c r="P7263" s="12">
        <v>110.2</v>
      </c>
      <c r="Q7263" s="13">
        <v>-776.72</v>
      </c>
      <c r="R7263" s="36" t="s">
        <v>817</v>
      </c>
      <c r="S7263" s="7">
        <f t="shared" si="640"/>
        <v>7</v>
      </c>
      <c r="T7263" s="15" t="str">
        <f>VLOOKUP(R7263,产品分类!$C$2:$D$1278,2,0)</f>
        <v>办公用品</v>
      </c>
    </row>
    <row r="7264" spans="1:20">
      <c r="A7264" s="8">
        <f>DATE(2012,12,31)-317</f>
        <v>40957</v>
      </c>
      <c r="B7264" s="8">
        <f>DATE(2012,12,31)-317</f>
        <v>40957</v>
      </c>
      <c r="C7264" s="9" t="s">
        <v>1741</v>
      </c>
      <c r="D7264">
        <v>10021645579</v>
      </c>
      <c r="E7264" t="s">
        <v>47</v>
      </c>
      <c r="F7264" t="s">
        <v>102</v>
      </c>
      <c r="G7264" t="s">
        <v>103</v>
      </c>
      <c r="H7264" t="s">
        <v>2560</v>
      </c>
      <c r="I7264" t="s">
        <v>2561</v>
      </c>
      <c r="J7264" t="s">
        <v>668</v>
      </c>
      <c r="K7264" s="3">
        <v>10098043951</v>
      </c>
      <c r="L7264" s="10">
        <v>40957</v>
      </c>
      <c r="M7264">
        <v>93.3385</v>
      </c>
      <c r="N7264" s="11">
        <v>2</v>
      </c>
      <c r="O7264" s="12">
        <v>55.99</v>
      </c>
      <c r="P7264" s="12">
        <v>5</v>
      </c>
      <c r="Q7264" s="13">
        <v>-300.388</v>
      </c>
      <c r="R7264" s="36" t="s">
        <v>2014</v>
      </c>
      <c r="S7264" s="7">
        <f t="shared" si="640"/>
        <v>0</v>
      </c>
      <c r="T7264" s="15" t="str">
        <f>VLOOKUP(R7264,产品分类!$C$2:$D$1278,2,0)</f>
        <v>办公用品</v>
      </c>
    </row>
    <row r="7265" spans="1:20">
      <c r="A7265" s="8">
        <f>DATE(2012,12,31)-1286</f>
        <v>39988</v>
      </c>
      <c r="B7265" s="8">
        <f>DATE(2012,12,31)-1286</f>
        <v>39988</v>
      </c>
      <c r="C7265" s="9" t="s">
        <v>1741</v>
      </c>
      <c r="D7265">
        <v>10021301696</v>
      </c>
      <c r="E7265" t="s">
        <v>47</v>
      </c>
      <c r="F7265" t="s">
        <v>137</v>
      </c>
      <c r="G7265" t="s">
        <v>138</v>
      </c>
      <c r="H7265" t="s">
        <v>2504</v>
      </c>
      <c r="I7265" t="s">
        <v>2505</v>
      </c>
      <c r="J7265" t="s">
        <v>668</v>
      </c>
      <c r="K7265" s="3">
        <v>100110854426</v>
      </c>
      <c r="L7265" s="10">
        <v>39989</v>
      </c>
      <c r="M7265">
        <v>392.81</v>
      </c>
      <c r="N7265" s="11">
        <v>39</v>
      </c>
      <c r="O7265" s="12">
        <v>10.48</v>
      </c>
      <c r="P7265" s="12">
        <v>2.89</v>
      </c>
      <c r="Q7265" s="13">
        <v>13.91</v>
      </c>
      <c r="R7265" s="36" t="s">
        <v>638</v>
      </c>
      <c r="S7265" s="7">
        <f t="shared" si="640"/>
        <v>1</v>
      </c>
      <c r="T7265" s="15" t="str">
        <f>VLOOKUP(R7265,产品分类!$C$2:$D$1278,2,0)</f>
        <v>数码电子</v>
      </c>
    </row>
    <row r="7266" spans="1:20">
      <c r="A7266" s="8">
        <f>DATE(2012,12,31)-1286</f>
        <v>39988</v>
      </c>
      <c r="B7266" s="8">
        <f>DATE(2012,12,31)-1286</f>
        <v>39988</v>
      </c>
      <c r="C7266" s="9" t="s">
        <v>1415</v>
      </c>
      <c r="D7266">
        <v>10021547745</v>
      </c>
      <c r="E7266" t="s">
        <v>47</v>
      </c>
      <c r="F7266" t="s">
        <v>304</v>
      </c>
      <c r="G7266" t="s">
        <v>305</v>
      </c>
      <c r="H7266" t="s">
        <v>2527</v>
      </c>
      <c r="I7266" t="s">
        <v>2528</v>
      </c>
      <c r="J7266" t="s">
        <v>668</v>
      </c>
      <c r="K7266" s="3">
        <v>100432011724</v>
      </c>
      <c r="L7266" s="10">
        <v>39990</v>
      </c>
      <c r="M7266">
        <v>375.76</v>
      </c>
      <c r="N7266" s="11">
        <v>42</v>
      </c>
      <c r="O7266" s="12">
        <v>8.37</v>
      </c>
      <c r="P7266" s="12">
        <v>10.16</v>
      </c>
      <c r="Q7266" s="13">
        <v>-241.63</v>
      </c>
      <c r="R7266" s="36" t="s">
        <v>700</v>
      </c>
      <c r="S7266" s="7">
        <f t="shared" si="640"/>
        <v>2</v>
      </c>
      <c r="T7266" s="15" t="str">
        <f>VLOOKUP(R7266,产品分类!$C$2:$D$1278,2,0)</f>
        <v>家具产品</v>
      </c>
    </row>
    <row r="7267" spans="1:20">
      <c r="A7267" s="8">
        <f>DATE(2012,12,31)-261</f>
        <v>41013</v>
      </c>
      <c r="B7267" s="8">
        <f>DATE(2012,12,31)-261</f>
        <v>41013</v>
      </c>
      <c r="C7267" s="9" t="s">
        <v>1415</v>
      </c>
      <c r="D7267">
        <v>10021466509</v>
      </c>
      <c r="E7267" t="s">
        <v>47</v>
      </c>
      <c r="F7267" t="s">
        <v>171</v>
      </c>
      <c r="G7267" t="s">
        <v>172</v>
      </c>
      <c r="H7267" t="s">
        <v>2486</v>
      </c>
      <c r="I7267" t="s">
        <v>2310</v>
      </c>
      <c r="J7267" t="s">
        <v>668</v>
      </c>
      <c r="K7267" s="3">
        <v>100125477717</v>
      </c>
      <c r="L7267" s="10">
        <v>41013</v>
      </c>
      <c r="M7267">
        <v>68.54</v>
      </c>
      <c r="N7267" s="11">
        <v>25</v>
      </c>
      <c r="O7267" s="12">
        <v>2.88</v>
      </c>
      <c r="P7267" s="12">
        <v>0.5</v>
      </c>
      <c r="Q7267" s="13">
        <v>22.2</v>
      </c>
      <c r="R7267" s="36" t="s">
        <v>1489</v>
      </c>
      <c r="S7267" s="7">
        <f t="shared" si="640"/>
        <v>0</v>
      </c>
      <c r="T7267" s="15" t="str">
        <f>VLOOKUP(R7267,产品分类!$C$2:$D$1278,2,0)</f>
        <v>数码电子</v>
      </c>
    </row>
    <row r="7268" spans="1:20">
      <c r="A7268" s="8">
        <f>DATE(2012,12,31)-261</f>
        <v>41013</v>
      </c>
      <c r="B7268" s="8">
        <f>DATE(2012,12,31)-261</f>
        <v>41013</v>
      </c>
      <c r="C7268" s="9" t="s">
        <v>1971</v>
      </c>
      <c r="D7268">
        <v>10021387057</v>
      </c>
      <c r="E7268" t="s">
        <v>47</v>
      </c>
      <c r="F7268" t="s">
        <v>171</v>
      </c>
      <c r="G7268" t="s">
        <v>172</v>
      </c>
      <c r="H7268" t="s">
        <v>2486</v>
      </c>
      <c r="I7268" t="s">
        <v>2310</v>
      </c>
      <c r="J7268" t="s">
        <v>668</v>
      </c>
      <c r="K7268" s="3">
        <v>100715331025</v>
      </c>
      <c r="L7268" s="10">
        <v>41014</v>
      </c>
      <c r="M7268">
        <v>10351.01</v>
      </c>
      <c r="N7268" s="11">
        <v>19</v>
      </c>
      <c r="O7268" s="12">
        <v>550.98</v>
      </c>
      <c r="P7268" s="12">
        <v>45.7</v>
      </c>
      <c r="Q7268" s="13">
        <v>-1331.553366</v>
      </c>
      <c r="R7268" s="36" t="s">
        <v>2308</v>
      </c>
      <c r="S7268" s="7">
        <f t="shared" si="640"/>
        <v>1</v>
      </c>
      <c r="T7268" s="15" t="str">
        <f>VLOOKUP(R7268,产品分类!$C$2:$D$1278,2,0)</f>
        <v>办公用品</v>
      </c>
    </row>
    <row r="7269" spans="1:20">
      <c r="A7269" s="8">
        <f>DATE(2012,12,31)-1130</f>
        <v>40144</v>
      </c>
      <c r="B7269" s="8">
        <f>DATE(2012,12,31)-1130</f>
        <v>40144</v>
      </c>
      <c r="C7269" s="9" t="s">
        <v>1971</v>
      </c>
      <c r="D7269">
        <v>10021718700</v>
      </c>
      <c r="E7269" t="s">
        <v>47</v>
      </c>
      <c r="F7269" t="s">
        <v>527</v>
      </c>
      <c r="G7269" t="s">
        <v>528</v>
      </c>
      <c r="H7269" t="s">
        <v>2567</v>
      </c>
      <c r="I7269" t="s">
        <v>2568</v>
      </c>
      <c r="J7269" t="s">
        <v>668</v>
      </c>
      <c r="K7269" s="3">
        <v>100813824002</v>
      </c>
      <c r="L7269" s="10">
        <v>40147</v>
      </c>
      <c r="M7269">
        <v>20872.16</v>
      </c>
      <c r="N7269" s="11">
        <v>29</v>
      </c>
      <c r="O7269" s="12">
        <v>699.99</v>
      </c>
      <c r="P7269" s="12">
        <v>24.49</v>
      </c>
      <c r="Q7269" s="13">
        <v>-4437.91</v>
      </c>
      <c r="R7269" s="36" t="s">
        <v>723</v>
      </c>
      <c r="S7269" s="7">
        <f t="shared" si="640"/>
        <v>3</v>
      </c>
      <c r="T7269" s="15" t="str">
        <f>VLOOKUP(R7269,产品分类!$C$2:$D$1278,2,0)</f>
        <v>办公用品</v>
      </c>
    </row>
    <row r="7270" spans="1:20">
      <c r="A7270" s="8">
        <f>DATE(2012,12,31)-151</f>
        <v>41123</v>
      </c>
      <c r="B7270" s="8">
        <f>DATE(2012,12,31)-151</f>
        <v>41123</v>
      </c>
      <c r="C7270" s="9" t="s">
        <v>1971</v>
      </c>
      <c r="D7270">
        <v>10021619887</v>
      </c>
      <c r="E7270" t="s">
        <v>47</v>
      </c>
      <c r="F7270" t="s">
        <v>171</v>
      </c>
      <c r="G7270" t="s">
        <v>172</v>
      </c>
      <c r="H7270" t="s">
        <v>2486</v>
      </c>
      <c r="I7270" t="s">
        <v>2310</v>
      </c>
      <c r="J7270" t="s">
        <v>668</v>
      </c>
      <c r="K7270" s="3">
        <v>10012895277</v>
      </c>
      <c r="L7270" s="10">
        <v>41125</v>
      </c>
      <c r="M7270">
        <v>2006.38</v>
      </c>
      <c r="N7270" s="11">
        <v>48</v>
      </c>
      <c r="O7270" s="12">
        <v>40.98</v>
      </c>
      <c r="P7270" s="12">
        <v>1.99</v>
      </c>
      <c r="Q7270" s="13">
        <v>840.46</v>
      </c>
      <c r="R7270" s="36" t="s">
        <v>724</v>
      </c>
      <c r="S7270" s="7">
        <f t="shared" si="640"/>
        <v>2</v>
      </c>
      <c r="T7270" s="15" t="str">
        <f>VLOOKUP(R7270,产品分类!$C$2:$D$1278,2,0)</f>
        <v>家具产品</v>
      </c>
    </row>
    <row r="7271" spans="1:20">
      <c r="A7271" s="8">
        <f t="shared" ref="A7271:B7274" si="643">DATE(2012,12,31)-353</f>
        <v>40921</v>
      </c>
      <c r="B7271" s="8">
        <f t="shared" si="643"/>
        <v>40921</v>
      </c>
      <c r="C7271" s="9" t="s">
        <v>419</v>
      </c>
      <c r="D7271">
        <v>10021264590</v>
      </c>
      <c r="E7271" t="s">
        <v>47</v>
      </c>
      <c r="F7271" t="s">
        <v>171</v>
      </c>
      <c r="G7271" t="s">
        <v>172</v>
      </c>
      <c r="H7271" t="s">
        <v>2486</v>
      </c>
      <c r="I7271" t="s">
        <v>2310</v>
      </c>
      <c r="J7271" t="s">
        <v>668</v>
      </c>
      <c r="K7271" s="3">
        <v>100131197838</v>
      </c>
      <c r="L7271" s="10">
        <v>40921</v>
      </c>
      <c r="M7271">
        <v>163.27</v>
      </c>
      <c r="N7271" s="11">
        <v>31</v>
      </c>
      <c r="O7271" s="12">
        <v>5.28</v>
      </c>
      <c r="P7271" s="12">
        <v>2.99</v>
      </c>
      <c r="Q7271" s="13">
        <v>-0.621000000000001</v>
      </c>
      <c r="R7271" s="36" t="s">
        <v>1449</v>
      </c>
      <c r="S7271" s="7">
        <f t="shared" si="640"/>
        <v>0</v>
      </c>
      <c r="T7271" s="15" t="str">
        <f>VLOOKUP(R7271,产品分类!$C$2:$D$1278,2,0)</f>
        <v>家具产品</v>
      </c>
    </row>
    <row r="7272" spans="1:20">
      <c r="A7272" s="8">
        <f t="shared" si="643"/>
        <v>40921</v>
      </c>
      <c r="B7272" s="8">
        <f t="shared" si="643"/>
        <v>40921</v>
      </c>
      <c r="C7272" s="9" t="s">
        <v>1261</v>
      </c>
      <c r="D7272">
        <v>10021416582</v>
      </c>
      <c r="E7272" t="s">
        <v>47</v>
      </c>
      <c r="F7272" t="s">
        <v>171</v>
      </c>
      <c r="G7272" t="s">
        <v>172</v>
      </c>
      <c r="H7272" t="s">
        <v>2486</v>
      </c>
      <c r="I7272" t="s">
        <v>2310</v>
      </c>
      <c r="J7272" t="s">
        <v>668</v>
      </c>
      <c r="K7272" s="3">
        <v>10038742559</v>
      </c>
      <c r="L7272" s="10">
        <v>40921</v>
      </c>
      <c r="M7272">
        <v>24559.91</v>
      </c>
      <c r="N7272" s="11">
        <v>47</v>
      </c>
      <c r="O7272" s="12">
        <v>517.48</v>
      </c>
      <c r="P7272" s="12">
        <v>16.63</v>
      </c>
      <c r="Q7272" s="13">
        <v>7358.66</v>
      </c>
      <c r="R7272" s="36" t="s">
        <v>1453</v>
      </c>
      <c r="S7272" s="7">
        <f t="shared" si="640"/>
        <v>0</v>
      </c>
      <c r="T7272" s="15" t="str">
        <f>VLOOKUP(R7272,产品分类!$C$2:$D$1278,2,0)</f>
        <v>办公用品</v>
      </c>
    </row>
    <row r="7273" spans="1:20">
      <c r="A7273" s="8">
        <f t="shared" si="643"/>
        <v>40921</v>
      </c>
      <c r="B7273" s="8">
        <f t="shared" si="643"/>
        <v>40921</v>
      </c>
      <c r="C7273" s="9" t="s">
        <v>303</v>
      </c>
      <c r="D7273">
        <v>10021353206</v>
      </c>
      <c r="E7273" t="s">
        <v>47</v>
      </c>
      <c r="F7273" t="s">
        <v>171</v>
      </c>
      <c r="G7273" t="s">
        <v>172</v>
      </c>
      <c r="H7273" t="s">
        <v>2486</v>
      </c>
      <c r="I7273" t="s">
        <v>2310</v>
      </c>
      <c r="J7273" t="s">
        <v>668</v>
      </c>
      <c r="K7273" s="3">
        <v>100732558485</v>
      </c>
      <c r="L7273" s="10">
        <v>40922</v>
      </c>
      <c r="M7273">
        <v>1217.5</v>
      </c>
      <c r="N7273" s="11">
        <v>21</v>
      </c>
      <c r="O7273" s="12">
        <v>58.14</v>
      </c>
      <c r="P7273" s="12">
        <v>36.61</v>
      </c>
      <c r="Q7273" s="13">
        <v>-412.36</v>
      </c>
      <c r="R7273" s="36" t="s">
        <v>2581</v>
      </c>
      <c r="S7273" s="7">
        <f t="shared" si="640"/>
        <v>1</v>
      </c>
      <c r="T7273" s="15" t="str">
        <f>VLOOKUP(R7273,产品分类!$C$2:$D$1278,2,0)</f>
        <v>办公用品</v>
      </c>
    </row>
    <row r="7274" spans="1:20">
      <c r="A7274" s="8">
        <f t="shared" si="643"/>
        <v>40921</v>
      </c>
      <c r="B7274" s="8">
        <f t="shared" si="643"/>
        <v>40921</v>
      </c>
      <c r="C7274" s="9" t="s">
        <v>303</v>
      </c>
      <c r="D7274">
        <v>10021590335</v>
      </c>
      <c r="E7274" t="s">
        <v>47</v>
      </c>
      <c r="F7274" t="s">
        <v>171</v>
      </c>
      <c r="G7274" t="s">
        <v>172</v>
      </c>
      <c r="H7274" t="s">
        <v>2486</v>
      </c>
      <c r="I7274" t="s">
        <v>2310</v>
      </c>
      <c r="J7274" t="s">
        <v>668</v>
      </c>
      <c r="K7274" s="3">
        <v>100131277857</v>
      </c>
      <c r="L7274" s="10">
        <v>40923</v>
      </c>
      <c r="M7274">
        <v>441.53</v>
      </c>
      <c r="N7274" s="11">
        <v>17</v>
      </c>
      <c r="O7274" s="12">
        <v>25.98</v>
      </c>
      <c r="P7274" s="12">
        <v>14.36</v>
      </c>
      <c r="Q7274" s="13">
        <v>-119.55</v>
      </c>
      <c r="R7274" s="36" t="s">
        <v>1340</v>
      </c>
      <c r="S7274" s="7">
        <f t="shared" si="640"/>
        <v>2</v>
      </c>
      <c r="T7274" s="15" t="str">
        <f>VLOOKUP(R7274,产品分类!$C$2:$D$1278,2,0)</f>
        <v>办公用品</v>
      </c>
    </row>
    <row r="7275" spans="1:20">
      <c r="A7275" s="8">
        <f>DATE(2012,12,31)-1126</f>
        <v>40148</v>
      </c>
      <c r="B7275" s="8">
        <f>DATE(2012,12,31)-1126</f>
        <v>40148</v>
      </c>
      <c r="C7275" s="9" t="s">
        <v>264</v>
      </c>
      <c r="D7275">
        <v>10021312717</v>
      </c>
      <c r="E7275" t="s">
        <v>47</v>
      </c>
      <c r="F7275" t="s">
        <v>342</v>
      </c>
      <c r="G7275" t="s">
        <v>343</v>
      </c>
      <c r="H7275" t="s">
        <v>2582</v>
      </c>
      <c r="I7275" t="s">
        <v>2583</v>
      </c>
      <c r="J7275" t="s">
        <v>668</v>
      </c>
      <c r="K7275" s="3">
        <v>100129301807</v>
      </c>
      <c r="L7275" s="10">
        <v>40150</v>
      </c>
      <c r="M7275">
        <v>67.97</v>
      </c>
      <c r="N7275" s="11">
        <v>29</v>
      </c>
      <c r="O7275" s="12">
        <v>2.28</v>
      </c>
      <c r="P7275" s="12">
        <v>5.2</v>
      </c>
      <c r="Q7275" s="13">
        <v>-109.94</v>
      </c>
      <c r="R7275" s="36" t="s">
        <v>412</v>
      </c>
      <c r="S7275" s="7">
        <f t="shared" si="640"/>
        <v>2</v>
      </c>
      <c r="T7275" s="15" t="str">
        <f>VLOOKUP(R7275,产品分类!$C$2:$D$1278,2,0)</f>
        <v>数码电子</v>
      </c>
    </row>
    <row r="7276" spans="1:20">
      <c r="A7276" s="8">
        <f>DATE(2012,12,31)-400</f>
        <v>40874</v>
      </c>
      <c r="B7276" s="8">
        <f>DATE(2012,12,31)-400</f>
        <v>40874</v>
      </c>
      <c r="C7276" s="9" t="s">
        <v>818</v>
      </c>
      <c r="D7276">
        <v>10021253713</v>
      </c>
      <c r="E7276" t="s">
        <v>47</v>
      </c>
      <c r="F7276" t="s">
        <v>177</v>
      </c>
      <c r="G7276" t="s">
        <v>178</v>
      </c>
      <c r="H7276" t="s">
        <v>2569</v>
      </c>
      <c r="I7276" t="s">
        <v>2570</v>
      </c>
      <c r="J7276" t="s">
        <v>668</v>
      </c>
      <c r="K7276" s="3">
        <v>100120355078</v>
      </c>
      <c r="L7276" s="10">
        <v>40876</v>
      </c>
      <c r="M7276">
        <v>136.85</v>
      </c>
      <c r="N7276" s="11">
        <v>14</v>
      </c>
      <c r="O7276" s="12">
        <v>8.85</v>
      </c>
      <c r="P7276" s="12">
        <v>5.6</v>
      </c>
      <c r="Q7276" s="13">
        <v>-4.4275</v>
      </c>
      <c r="R7276" s="36" t="s">
        <v>607</v>
      </c>
      <c r="S7276" s="7">
        <f t="shared" si="640"/>
        <v>2</v>
      </c>
      <c r="T7276" s="15" t="str">
        <f>VLOOKUP(R7276,产品分类!$C$2:$D$1278,2,0)</f>
        <v>家具产品</v>
      </c>
    </row>
    <row r="7277" spans="1:20">
      <c r="A7277" s="8">
        <f>DATE(2012,12,31)-400</f>
        <v>40874</v>
      </c>
      <c r="B7277" s="8">
        <f>DATE(2012,12,31)-400</f>
        <v>40874</v>
      </c>
      <c r="C7277" s="9" t="s">
        <v>467</v>
      </c>
      <c r="D7277">
        <v>10021589492</v>
      </c>
      <c r="E7277" t="s">
        <v>47</v>
      </c>
      <c r="F7277" t="s">
        <v>183</v>
      </c>
      <c r="G7277" t="s">
        <v>184</v>
      </c>
      <c r="H7277" t="s">
        <v>2575</v>
      </c>
      <c r="I7277" t="s">
        <v>130</v>
      </c>
      <c r="J7277" t="s">
        <v>668</v>
      </c>
      <c r="K7277" s="3">
        <v>100130911358</v>
      </c>
      <c r="L7277" s="10">
        <v>40876</v>
      </c>
      <c r="M7277">
        <v>12.74</v>
      </c>
      <c r="N7277" s="11">
        <v>1</v>
      </c>
      <c r="O7277" s="12">
        <v>7.96</v>
      </c>
      <c r="P7277" s="12">
        <v>4.95</v>
      </c>
      <c r="Q7277" s="13">
        <v>-11.39</v>
      </c>
      <c r="R7277" s="36" t="s">
        <v>1116</v>
      </c>
      <c r="S7277" s="7">
        <f t="shared" si="640"/>
        <v>2</v>
      </c>
      <c r="T7277" s="15" t="str">
        <f>VLOOKUP(R7277,产品分类!$C$2:$D$1278,2,0)</f>
        <v>办公用品</v>
      </c>
    </row>
    <row r="7278" spans="1:20">
      <c r="A7278" s="8">
        <f>DATE(2012,12,31)-1027</f>
        <v>40247</v>
      </c>
      <c r="B7278" s="8">
        <f>DATE(2012,12,31)-1027</f>
        <v>40247</v>
      </c>
      <c r="C7278" s="9" t="s">
        <v>2224</v>
      </c>
      <c r="D7278">
        <v>10021583148</v>
      </c>
      <c r="E7278" t="s">
        <v>47</v>
      </c>
      <c r="F7278" t="s">
        <v>177</v>
      </c>
      <c r="G7278" t="s">
        <v>178</v>
      </c>
      <c r="H7278" t="s">
        <v>2569</v>
      </c>
      <c r="I7278" t="s">
        <v>2570</v>
      </c>
      <c r="J7278" t="s">
        <v>668</v>
      </c>
      <c r="K7278" s="3">
        <v>100322979119</v>
      </c>
      <c r="L7278" s="10">
        <v>40247</v>
      </c>
      <c r="M7278">
        <v>812.06</v>
      </c>
      <c r="N7278" s="11">
        <v>19</v>
      </c>
      <c r="O7278" s="12">
        <v>39.06</v>
      </c>
      <c r="P7278" s="12">
        <v>10.55</v>
      </c>
      <c r="Q7278" s="13">
        <v>220.065</v>
      </c>
      <c r="R7278" s="36" t="s">
        <v>655</v>
      </c>
      <c r="S7278" s="7">
        <f t="shared" si="640"/>
        <v>0</v>
      </c>
      <c r="T7278" s="15" t="str">
        <f>VLOOKUP(R7278,产品分类!$C$2:$D$1278,2,0)</f>
        <v>家具产品</v>
      </c>
    </row>
    <row r="7279" spans="1:20">
      <c r="A7279" s="8">
        <f>DATE(2012,12,31)-841</f>
        <v>40433</v>
      </c>
      <c r="B7279" s="8">
        <f>DATE(2012,12,31)-841</f>
        <v>40433</v>
      </c>
      <c r="C7279" s="9" t="s">
        <v>201</v>
      </c>
      <c r="D7279">
        <v>10021428492</v>
      </c>
      <c r="E7279" t="s">
        <v>47</v>
      </c>
      <c r="F7279" t="s">
        <v>183</v>
      </c>
      <c r="G7279" t="s">
        <v>184</v>
      </c>
      <c r="H7279" t="s">
        <v>2575</v>
      </c>
      <c r="I7279" t="s">
        <v>130</v>
      </c>
      <c r="J7279" t="s">
        <v>668</v>
      </c>
      <c r="K7279" s="3">
        <v>100320729569</v>
      </c>
      <c r="L7279" s="10">
        <v>40433</v>
      </c>
      <c r="M7279">
        <v>104.27</v>
      </c>
      <c r="N7279" s="11">
        <v>8</v>
      </c>
      <c r="O7279" s="12">
        <v>11.97</v>
      </c>
      <c r="P7279" s="12">
        <v>5.81</v>
      </c>
      <c r="Q7279" s="13">
        <v>-23.61</v>
      </c>
      <c r="R7279" s="36" t="s">
        <v>2101</v>
      </c>
      <c r="S7279" s="7">
        <f t="shared" si="640"/>
        <v>0</v>
      </c>
      <c r="T7279" s="15" t="str">
        <f>VLOOKUP(R7279,产品分类!$C$2:$D$1278,2,0)</f>
        <v>办公用品</v>
      </c>
    </row>
    <row r="7280" spans="1:20">
      <c r="A7280" s="8">
        <f>DATE(2012,12,31)-770</f>
        <v>40504</v>
      </c>
      <c r="B7280" s="8">
        <f>DATE(2012,12,31)-770</f>
        <v>40504</v>
      </c>
      <c r="C7280" s="9" t="s">
        <v>201</v>
      </c>
      <c r="D7280">
        <v>10021262740</v>
      </c>
      <c r="E7280" t="s">
        <v>47</v>
      </c>
      <c r="F7280" t="s">
        <v>127</v>
      </c>
      <c r="G7280" t="s">
        <v>128</v>
      </c>
      <c r="H7280" t="s">
        <v>2554</v>
      </c>
      <c r="I7280" t="s">
        <v>2555</v>
      </c>
      <c r="J7280" t="s">
        <v>668</v>
      </c>
      <c r="K7280" s="3">
        <v>100130131048</v>
      </c>
      <c r="L7280" s="10">
        <v>40505</v>
      </c>
      <c r="M7280">
        <v>13.52</v>
      </c>
      <c r="N7280" s="11">
        <v>11</v>
      </c>
      <c r="O7280" s="12">
        <v>0.99</v>
      </c>
      <c r="P7280" s="12">
        <v>2.96</v>
      </c>
      <c r="Q7280" s="13">
        <v>-27.66</v>
      </c>
      <c r="R7280" s="36" t="s">
        <v>1287</v>
      </c>
      <c r="S7280" s="7">
        <f t="shared" si="640"/>
        <v>1</v>
      </c>
      <c r="T7280" s="15" t="str">
        <f>VLOOKUP(R7280,产品分类!$C$2:$D$1278,2,0)</f>
        <v>家具产品</v>
      </c>
    </row>
    <row r="7281" spans="1:20">
      <c r="A7281" s="8">
        <f>DATE(2012,12,31)-117</f>
        <v>41157</v>
      </c>
      <c r="B7281" s="8">
        <f>DATE(2012,12,31)-117</f>
        <v>41157</v>
      </c>
      <c r="C7281" s="9" t="s">
        <v>201</v>
      </c>
      <c r="D7281">
        <v>10021748852</v>
      </c>
      <c r="E7281" t="s">
        <v>47</v>
      </c>
      <c r="F7281" t="s">
        <v>177</v>
      </c>
      <c r="G7281" t="s">
        <v>178</v>
      </c>
      <c r="H7281" t="s">
        <v>2569</v>
      </c>
      <c r="I7281" t="s">
        <v>2570</v>
      </c>
      <c r="J7281" t="s">
        <v>668</v>
      </c>
      <c r="K7281" s="3">
        <v>10043935073</v>
      </c>
      <c r="L7281" s="10">
        <v>41159</v>
      </c>
      <c r="M7281">
        <v>63.33</v>
      </c>
      <c r="N7281" s="11">
        <v>13</v>
      </c>
      <c r="O7281" s="12">
        <v>4.13</v>
      </c>
      <c r="P7281" s="12">
        <v>5.34</v>
      </c>
      <c r="Q7281" s="13">
        <v>-39.9625</v>
      </c>
      <c r="R7281" s="36" t="s">
        <v>827</v>
      </c>
      <c r="S7281" s="7">
        <f t="shared" si="640"/>
        <v>2</v>
      </c>
      <c r="T7281" s="15" t="str">
        <f>VLOOKUP(R7281,产品分类!$C$2:$D$1278,2,0)</f>
        <v>家具产品</v>
      </c>
    </row>
    <row r="7282" spans="1:20">
      <c r="A7282" s="8">
        <f>DATE(2012,12,31)-117</f>
        <v>41157</v>
      </c>
      <c r="B7282" s="8">
        <f>DATE(2012,12,31)-117</f>
        <v>41157</v>
      </c>
      <c r="C7282" s="9" t="s">
        <v>2563</v>
      </c>
      <c r="D7282">
        <v>10021606142</v>
      </c>
      <c r="E7282" t="s">
        <v>47</v>
      </c>
      <c r="F7282" t="s">
        <v>342</v>
      </c>
      <c r="G7282" t="s">
        <v>343</v>
      </c>
      <c r="H7282" t="s">
        <v>2582</v>
      </c>
      <c r="I7282" t="s">
        <v>2583</v>
      </c>
      <c r="J7282" t="s">
        <v>668</v>
      </c>
      <c r="K7282" s="3">
        <v>100114840328</v>
      </c>
      <c r="L7282" s="10">
        <v>41159</v>
      </c>
      <c r="M7282">
        <v>1436.55</v>
      </c>
      <c r="N7282" s="11">
        <v>36</v>
      </c>
      <c r="O7282" s="12">
        <v>40.89</v>
      </c>
      <c r="P7282" s="12">
        <v>18.98</v>
      </c>
      <c r="Q7282" s="13">
        <v>-4.00999999999999</v>
      </c>
      <c r="R7282" s="36" t="s">
        <v>1684</v>
      </c>
      <c r="S7282" s="7">
        <f t="shared" si="640"/>
        <v>2</v>
      </c>
      <c r="T7282" s="15" t="str">
        <f>VLOOKUP(R7282,产品分类!$C$2:$D$1278,2,0)</f>
        <v>办公用品</v>
      </c>
    </row>
    <row r="7283" spans="1:20">
      <c r="A7283" s="8">
        <f>DATE(2012,12,31)-1013</f>
        <v>40261</v>
      </c>
      <c r="B7283" s="8">
        <f>DATE(2012,12,31)-1013</f>
        <v>40261</v>
      </c>
      <c r="C7283" s="9" t="s">
        <v>1084</v>
      </c>
      <c r="D7283">
        <v>10021586586</v>
      </c>
      <c r="E7283" t="s">
        <v>47</v>
      </c>
      <c r="F7283" t="s">
        <v>61</v>
      </c>
      <c r="G7283" t="s">
        <v>62</v>
      </c>
      <c r="H7283" t="s">
        <v>2571</v>
      </c>
      <c r="I7283" t="s">
        <v>2572</v>
      </c>
      <c r="J7283" t="s">
        <v>668</v>
      </c>
      <c r="K7283" s="3">
        <v>100129240346</v>
      </c>
      <c r="L7283" s="10">
        <v>40263</v>
      </c>
      <c r="M7283">
        <v>3922.96</v>
      </c>
      <c r="N7283" s="11">
        <v>38</v>
      </c>
      <c r="O7283" s="12">
        <v>99.99</v>
      </c>
      <c r="P7283" s="12">
        <v>19.99</v>
      </c>
      <c r="Q7283" s="13">
        <v>863.57</v>
      </c>
      <c r="R7283" s="36" t="s">
        <v>874</v>
      </c>
      <c r="S7283" s="7">
        <f t="shared" si="640"/>
        <v>2</v>
      </c>
      <c r="T7283" s="15" t="str">
        <f>VLOOKUP(R7283,产品分类!$C$2:$D$1278,2,0)</f>
        <v>办公用品</v>
      </c>
    </row>
    <row r="7284" spans="1:20">
      <c r="A7284" s="8">
        <f>DATE(2012,12,31)-547</f>
        <v>40727</v>
      </c>
      <c r="B7284" s="8">
        <f>DATE(2012,12,31)-547</f>
        <v>40727</v>
      </c>
      <c r="C7284" s="9" t="s">
        <v>1084</v>
      </c>
      <c r="D7284">
        <v>10021430037</v>
      </c>
      <c r="E7284" t="s">
        <v>47</v>
      </c>
      <c r="F7284" t="s">
        <v>61</v>
      </c>
      <c r="G7284" t="s">
        <v>62</v>
      </c>
      <c r="H7284" t="s">
        <v>2571</v>
      </c>
      <c r="I7284" t="s">
        <v>2572</v>
      </c>
      <c r="J7284" t="s">
        <v>668</v>
      </c>
      <c r="K7284" s="3">
        <v>100831894672</v>
      </c>
      <c r="L7284" s="10">
        <v>40730</v>
      </c>
      <c r="M7284">
        <v>15.6</v>
      </c>
      <c r="N7284" s="11">
        <v>5</v>
      </c>
      <c r="O7284" s="12">
        <v>2.18</v>
      </c>
      <c r="P7284" s="12">
        <v>0.78</v>
      </c>
      <c r="Q7284" s="13">
        <v>1.67</v>
      </c>
      <c r="R7284" s="36" t="s">
        <v>2179</v>
      </c>
      <c r="S7284" s="7">
        <f t="shared" si="640"/>
        <v>3</v>
      </c>
      <c r="T7284" s="15" t="str">
        <f>VLOOKUP(R7284,产品分类!$C$2:$D$1278,2,0)</f>
        <v>家具产品</v>
      </c>
    </row>
    <row r="7285" spans="1:20">
      <c r="A7285" s="8">
        <f>DATE(2012,12,31)-547</f>
        <v>40727</v>
      </c>
      <c r="B7285" s="8">
        <f>DATE(2012,12,31)-547</f>
        <v>40727</v>
      </c>
      <c r="C7285" s="9" t="s">
        <v>403</v>
      </c>
      <c r="D7285">
        <v>10021422487</v>
      </c>
      <c r="E7285" t="s">
        <v>47</v>
      </c>
      <c r="F7285" t="s">
        <v>61</v>
      </c>
      <c r="G7285" t="s">
        <v>62</v>
      </c>
      <c r="H7285" t="s">
        <v>2571</v>
      </c>
      <c r="I7285" t="s">
        <v>2572</v>
      </c>
      <c r="J7285" t="s">
        <v>668</v>
      </c>
      <c r="K7285" s="3">
        <v>100912137061</v>
      </c>
      <c r="L7285" s="10">
        <v>40729</v>
      </c>
      <c r="M7285">
        <v>631.499</v>
      </c>
      <c r="N7285" s="11">
        <v>6</v>
      </c>
      <c r="O7285" s="12">
        <v>125.99</v>
      </c>
      <c r="P7285" s="12">
        <v>8.08</v>
      </c>
      <c r="Q7285" s="13">
        <v>-403.018</v>
      </c>
      <c r="R7285" s="36" t="s">
        <v>329</v>
      </c>
      <c r="S7285" s="7">
        <f t="shared" si="640"/>
        <v>2</v>
      </c>
      <c r="T7285" s="15" t="str">
        <f>VLOOKUP(R7285,产品分类!$C$2:$D$1278,2,0)</f>
        <v>办公用品</v>
      </c>
    </row>
    <row r="7286" spans="1:20">
      <c r="A7286" s="8">
        <f>DATE(2012,12,31)-426</f>
        <v>40848</v>
      </c>
      <c r="B7286" s="8">
        <f>DATE(2012,12,31)-426</f>
        <v>40848</v>
      </c>
      <c r="C7286" s="9" t="s">
        <v>315</v>
      </c>
      <c r="D7286">
        <v>10021427867</v>
      </c>
      <c r="E7286" t="s">
        <v>47</v>
      </c>
      <c r="F7286" t="s">
        <v>61</v>
      </c>
      <c r="G7286" t="s">
        <v>62</v>
      </c>
      <c r="H7286" t="s">
        <v>2571</v>
      </c>
      <c r="I7286" t="s">
        <v>2572</v>
      </c>
      <c r="J7286" t="s">
        <v>668</v>
      </c>
      <c r="K7286" s="3">
        <v>100930713791</v>
      </c>
      <c r="L7286" s="10">
        <v>40848</v>
      </c>
      <c r="M7286">
        <v>261.16</v>
      </c>
      <c r="N7286" s="11">
        <v>39</v>
      </c>
      <c r="O7286" s="12">
        <v>6.48</v>
      </c>
      <c r="P7286" s="12">
        <v>9.68</v>
      </c>
      <c r="Q7286" s="13">
        <v>-220.3</v>
      </c>
      <c r="R7286" s="36" t="s">
        <v>1966</v>
      </c>
      <c r="S7286" s="7">
        <f t="shared" si="640"/>
        <v>0</v>
      </c>
      <c r="T7286" s="15" t="str">
        <f>VLOOKUP(R7286,产品分类!$C$2:$D$1278,2,0)</f>
        <v>数码电子</v>
      </c>
    </row>
    <row r="7287" spans="1:20">
      <c r="A7287" s="8">
        <f>DATE(2012,12,31)-426</f>
        <v>40848</v>
      </c>
      <c r="B7287" s="8">
        <f>DATE(2012,12,31)-426</f>
        <v>40848</v>
      </c>
      <c r="C7287" s="9" t="s">
        <v>315</v>
      </c>
      <c r="D7287">
        <v>10021295654</v>
      </c>
      <c r="E7287" t="s">
        <v>47</v>
      </c>
      <c r="F7287" t="s">
        <v>61</v>
      </c>
      <c r="G7287" t="s">
        <v>62</v>
      </c>
      <c r="H7287" t="s">
        <v>2571</v>
      </c>
      <c r="I7287" t="s">
        <v>2572</v>
      </c>
      <c r="J7287" t="s">
        <v>668</v>
      </c>
      <c r="K7287" s="3">
        <v>10047361814</v>
      </c>
      <c r="L7287" s="10">
        <v>40849</v>
      </c>
      <c r="M7287">
        <v>155.22</v>
      </c>
      <c r="N7287" s="11">
        <v>47</v>
      </c>
      <c r="O7287" s="12">
        <v>3.29</v>
      </c>
      <c r="P7287" s="12">
        <v>1.35</v>
      </c>
      <c r="Q7287" s="13">
        <v>23.34</v>
      </c>
      <c r="R7287" s="36" t="s">
        <v>2377</v>
      </c>
      <c r="S7287" s="7">
        <f t="shared" si="640"/>
        <v>1</v>
      </c>
      <c r="T7287" s="15" t="str">
        <f>VLOOKUP(R7287,产品分类!$C$2:$D$1278,2,0)</f>
        <v>办公用品</v>
      </c>
    </row>
    <row r="7288" spans="1:20">
      <c r="A7288" s="8">
        <f>DATE(2012,12,31)-262</f>
        <v>41012</v>
      </c>
      <c r="B7288" s="8">
        <f>DATE(2012,12,31)-262</f>
        <v>41012</v>
      </c>
      <c r="C7288" s="9" t="s">
        <v>1571</v>
      </c>
      <c r="D7288">
        <v>10021294651</v>
      </c>
      <c r="E7288" t="s">
        <v>47</v>
      </c>
      <c r="F7288" t="s">
        <v>61</v>
      </c>
      <c r="G7288" t="s">
        <v>62</v>
      </c>
      <c r="H7288" t="s">
        <v>2571</v>
      </c>
      <c r="I7288" t="s">
        <v>2572</v>
      </c>
      <c r="J7288" t="s">
        <v>668</v>
      </c>
      <c r="K7288" s="3">
        <v>10094463761</v>
      </c>
      <c r="L7288" s="10">
        <v>41014</v>
      </c>
      <c r="M7288">
        <v>1824.848</v>
      </c>
      <c r="N7288" s="11">
        <v>30</v>
      </c>
      <c r="O7288" s="12">
        <v>65.99</v>
      </c>
      <c r="P7288" s="12">
        <v>8.8</v>
      </c>
      <c r="Q7288" s="13">
        <v>364.23</v>
      </c>
      <c r="R7288" s="36" t="s">
        <v>1456</v>
      </c>
      <c r="S7288" s="7">
        <f t="shared" si="640"/>
        <v>2</v>
      </c>
      <c r="T7288" s="15" t="str">
        <f>VLOOKUP(R7288,产品分类!$C$2:$D$1278,2,0)</f>
        <v>数码电子</v>
      </c>
    </row>
    <row r="7289" spans="1:20">
      <c r="A7289" s="16">
        <f>DATE(2012,12,31)-1032</f>
        <v>40242</v>
      </c>
      <c r="B7289" s="16">
        <f>DATE(2012,12,31)-1032</f>
        <v>40242</v>
      </c>
      <c r="C7289" s="9" t="s">
        <v>1571</v>
      </c>
      <c r="D7289">
        <v>10021450497</v>
      </c>
      <c r="E7289" t="s">
        <v>47</v>
      </c>
      <c r="F7289" t="s">
        <v>61</v>
      </c>
      <c r="G7289" t="s">
        <v>62</v>
      </c>
      <c r="H7289" t="s">
        <v>2571</v>
      </c>
      <c r="I7289" t="s">
        <v>2572</v>
      </c>
      <c r="J7289" t="s">
        <v>668</v>
      </c>
      <c r="K7289" s="3">
        <v>100929326711</v>
      </c>
      <c r="L7289" s="10">
        <v>40244</v>
      </c>
      <c r="M7289">
        <v>17.89</v>
      </c>
      <c r="N7289" s="17">
        <v>1</v>
      </c>
      <c r="O7289" s="5">
        <v>2.88</v>
      </c>
      <c r="P7289" s="5">
        <v>0.5</v>
      </c>
      <c r="Q7289" s="6">
        <v>10.51</v>
      </c>
      <c r="R7289" s="37" t="s">
        <v>443</v>
      </c>
      <c r="S7289" s="7">
        <f t="shared" si="640"/>
        <v>2</v>
      </c>
      <c r="T7289" s="15" t="str">
        <f>VLOOKUP(R7289,产品分类!$C$2:$D$1278,2,0)</f>
        <v>办公用品</v>
      </c>
    </row>
    <row r="7290" spans="1:20">
      <c r="A7290" s="8">
        <f>DATE(2012,12,31)-1032</f>
        <v>40242</v>
      </c>
      <c r="B7290" s="8">
        <f>DATE(2012,12,31)-1032</f>
        <v>40242</v>
      </c>
      <c r="C7290" s="9" t="s">
        <v>832</v>
      </c>
      <c r="D7290">
        <v>10021261279</v>
      </c>
      <c r="E7290" t="s">
        <v>47</v>
      </c>
      <c r="F7290" t="s">
        <v>61</v>
      </c>
      <c r="G7290" t="s">
        <v>62</v>
      </c>
      <c r="H7290" t="s">
        <v>2571</v>
      </c>
      <c r="I7290" t="s">
        <v>2572</v>
      </c>
      <c r="J7290" t="s">
        <v>668</v>
      </c>
      <c r="K7290" s="3">
        <v>100429392474</v>
      </c>
      <c r="L7290" s="10">
        <v>40244</v>
      </c>
      <c r="M7290">
        <v>137.18</v>
      </c>
      <c r="N7290" s="11">
        <v>47</v>
      </c>
      <c r="O7290" s="12">
        <v>2.94</v>
      </c>
      <c r="P7290" s="12">
        <v>0.96</v>
      </c>
      <c r="Q7290" s="13">
        <v>6.04</v>
      </c>
      <c r="R7290" s="36" t="s">
        <v>2127</v>
      </c>
      <c r="S7290" s="7">
        <f t="shared" si="640"/>
        <v>2</v>
      </c>
      <c r="T7290" s="15" t="str">
        <f>VLOOKUP(R7290,产品分类!$C$2:$D$1278,2,0)</f>
        <v>家具产品</v>
      </c>
    </row>
    <row r="7291" spans="1:20">
      <c r="A7291" s="8">
        <f>DATE(2012,12,31)-751</f>
        <v>40523</v>
      </c>
      <c r="B7291" s="8">
        <f>DATE(2012,12,31)-751</f>
        <v>40523</v>
      </c>
      <c r="C7291" s="9" t="s">
        <v>1721</v>
      </c>
      <c r="D7291">
        <v>10021332334</v>
      </c>
      <c r="E7291" t="s">
        <v>47</v>
      </c>
      <c r="F7291" t="s">
        <v>61</v>
      </c>
      <c r="G7291" t="s">
        <v>62</v>
      </c>
      <c r="H7291" t="s">
        <v>2571</v>
      </c>
      <c r="I7291" t="s">
        <v>2572</v>
      </c>
      <c r="J7291" t="s">
        <v>668</v>
      </c>
      <c r="K7291" s="3">
        <v>10098975371</v>
      </c>
      <c r="L7291" s="10">
        <v>40524</v>
      </c>
      <c r="M7291">
        <v>612.93</v>
      </c>
      <c r="N7291" s="11">
        <v>25</v>
      </c>
      <c r="O7291" s="12">
        <v>24.92</v>
      </c>
      <c r="P7291" s="12">
        <v>12.98</v>
      </c>
      <c r="Q7291" s="13">
        <v>-5.037</v>
      </c>
      <c r="R7291" s="36" t="s">
        <v>456</v>
      </c>
      <c r="S7291" s="7">
        <f t="shared" si="640"/>
        <v>1</v>
      </c>
      <c r="T7291" s="15" t="str">
        <f>VLOOKUP(R7291,产品分类!$C$2:$D$1278,2,0)</f>
        <v>办公用品</v>
      </c>
    </row>
    <row r="7292" spans="1:20">
      <c r="A7292" s="8">
        <f>DATE(2012,12,31)-751</f>
        <v>40523</v>
      </c>
      <c r="B7292" s="8">
        <f>DATE(2012,12,31)-751</f>
        <v>40523</v>
      </c>
      <c r="C7292" s="9" t="s">
        <v>780</v>
      </c>
      <c r="D7292">
        <v>10021594796</v>
      </c>
      <c r="E7292" t="s">
        <v>47</v>
      </c>
      <c r="F7292" t="s">
        <v>253</v>
      </c>
      <c r="G7292" t="s">
        <v>254</v>
      </c>
      <c r="H7292" t="s">
        <v>2579</v>
      </c>
      <c r="I7292" t="s">
        <v>2580</v>
      </c>
      <c r="J7292" t="s">
        <v>668</v>
      </c>
      <c r="K7292" s="3">
        <v>100932770821</v>
      </c>
      <c r="L7292" s="10">
        <v>40524</v>
      </c>
      <c r="M7292">
        <v>1551.34</v>
      </c>
      <c r="N7292" s="11">
        <v>12</v>
      </c>
      <c r="O7292" s="12">
        <v>120.98</v>
      </c>
      <c r="P7292" s="12">
        <v>78.64</v>
      </c>
      <c r="Q7292" s="13">
        <v>-483.12</v>
      </c>
      <c r="R7292" s="36" t="s">
        <v>652</v>
      </c>
      <c r="S7292" s="7">
        <f t="shared" si="640"/>
        <v>1</v>
      </c>
      <c r="T7292" s="15" t="str">
        <f>VLOOKUP(R7292,产品分类!$C$2:$D$1278,2,0)</f>
        <v>办公用品</v>
      </c>
    </row>
    <row r="7293" spans="1:20">
      <c r="A7293" s="8">
        <f>DATE(2012,12,31)-432</f>
        <v>40842</v>
      </c>
      <c r="B7293" s="8">
        <f>DATE(2012,12,31)-432</f>
        <v>40842</v>
      </c>
      <c r="C7293" s="9" t="s">
        <v>780</v>
      </c>
      <c r="D7293">
        <v>10021584485</v>
      </c>
      <c r="E7293" t="s">
        <v>47</v>
      </c>
      <c r="F7293" t="s">
        <v>61</v>
      </c>
      <c r="G7293" t="s">
        <v>62</v>
      </c>
      <c r="H7293" t="s">
        <v>2571</v>
      </c>
      <c r="I7293" t="s">
        <v>2572</v>
      </c>
      <c r="J7293" t="s">
        <v>668</v>
      </c>
      <c r="K7293" s="3">
        <v>100127422706</v>
      </c>
      <c r="L7293" s="10">
        <v>40843</v>
      </c>
      <c r="M7293">
        <v>267</v>
      </c>
      <c r="N7293" s="11">
        <v>19</v>
      </c>
      <c r="O7293" s="12">
        <v>14.45</v>
      </c>
      <c r="P7293" s="12">
        <v>7.17</v>
      </c>
      <c r="Q7293" s="13">
        <v>-2.829</v>
      </c>
      <c r="R7293" s="36" t="s">
        <v>1453</v>
      </c>
      <c r="S7293" s="7">
        <f t="shared" si="640"/>
        <v>1</v>
      </c>
      <c r="T7293" s="15" t="str">
        <f>VLOOKUP(R7293,产品分类!$C$2:$D$1278,2,0)</f>
        <v>办公用品</v>
      </c>
    </row>
    <row r="7294" spans="1:20">
      <c r="A7294" s="8">
        <f>DATE(2012,12,31)-1066</f>
        <v>40208</v>
      </c>
      <c r="B7294" s="8">
        <f>DATE(2012,12,31)-1066</f>
        <v>40208</v>
      </c>
      <c r="C7294" s="9" t="s">
        <v>1019</v>
      </c>
      <c r="D7294">
        <v>10021395293</v>
      </c>
      <c r="E7294" t="s">
        <v>47</v>
      </c>
      <c r="F7294" t="s">
        <v>61</v>
      </c>
      <c r="G7294" t="s">
        <v>62</v>
      </c>
      <c r="H7294" t="s">
        <v>2571</v>
      </c>
      <c r="I7294" t="s">
        <v>2572</v>
      </c>
      <c r="J7294" t="s">
        <v>668</v>
      </c>
      <c r="K7294" s="3">
        <v>10079465015</v>
      </c>
      <c r="L7294" s="10">
        <v>40209</v>
      </c>
      <c r="M7294">
        <v>3.85</v>
      </c>
      <c r="N7294" s="11">
        <v>1</v>
      </c>
      <c r="O7294" s="12">
        <v>3.08</v>
      </c>
      <c r="P7294" s="12">
        <v>0.99</v>
      </c>
      <c r="Q7294" s="13">
        <v>-1.36</v>
      </c>
      <c r="R7294" s="36" t="s">
        <v>1851</v>
      </c>
      <c r="S7294" s="7">
        <f t="shared" si="640"/>
        <v>1</v>
      </c>
      <c r="T7294" s="15" t="str">
        <f>VLOOKUP(R7294,产品分类!$C$2:$D$1278,2,0)</f>
        <v>办公用品</v>
      </c>
    </row>
    <row r="7295" spans="1:20">
      <c r="A7295" s="8">
        <f>DATE(2012,12,31)-1066</f>
        <v>40208</v>
      </c>
      <c r="B7295" s="8">
        <f>DATE(2012,12,31)-1066</f>
        <v>40208</v>
      </c>
      <c r="C7295" s="9" t="s">
        <v>1019</v>
      </c>
      <c r="D7295">
        <v>10021445391</v>
      </c>
      <c r="E7295" t="s">
        <v>47</v>
      </c>
      <c r="F7295" t="s">
        <v>61</v>
      </c>
      <c r="G7295" t="s">
        <v>62</v>
      </c>
      <c r="H7295" t="s">
        <v>2571</v>
      </c>
      <c r="I7295" t="s">
        <v>2572</v>
      </c>
      <c r="J7295" t="s">
        <v>668</v>
      </c>
      <c r="K7295" s="3">
        <v>100413157733</v>
      </c>
      <c r="L7295" s="10">
        <v>40210</v>
      </c>
      <c r="M7295">
        <v>547.0005</v>
      </c>
      <c r="N7295" s="11">
        <v>10</v>
      </c>
      <c r="O7295" s="12">
        <v>65.99</v>
      </c>
      <c r="P7295" s="12">
        <v>3.9</v>
      </c>
      <c r="Q7295" s="13">
        <v>-97.196</v>
      </c>
      <c r="R7295" s="36" t="s">
        <v>1599</v>
      </c>
      <c r="S7295" s="7">
        <f t="shared" si="640"/>
        <v>2</v>
      </c>
      <c r="T7295" s="15" t="str">
        <f>VLOOKUP(R7295,产品分类!$C$2:$D$1278,2,0)</f>
        <v>家具产品</v>
      </c>
    </row>
    <row r="7296" spans="1:20">
      <c r="A7296" s="8">
        <f>DATE(2012,12,31)-149</f>
        <v>41125</v>
      </c>
      <c r="B7296" s="8">
        <f>DATE(2012,12,31)-149</f>
        <v>41125</v>
      </c>
      <c r="C7296" s="9" t="s">
        <v>586</v>
      </c>
      <c r="D7296">
        <v>10021368764</v>
      </c>
      <c r="E7296" t="s">
        <v>47</v>
      </c>
      <c r="F7296" t="s">
        <v>253</v>
      </c>
      <c r="G7296" t="s">
        <v>254</v>
      </c>
      <c r="H7296" t="s">
        <v>2579</v>
      </c>
      <c r="I7296" t="s">
        <v>2580</v>
      </c>
      <c r="J7296" t="s">
        <v>668</v>
      </c>
      <c r="K7296" s="3">
        <v>100429279344</v>
      </c>
      <c r="L7296" s="10">
        <v>41126</v>
      </c>
      <c r="M7296">
        <v>91.94</v>
      </c>
      <c r="N7296" s="11">
        <v>23</v>
      </c>
      <c r="O7296" s="12">
        <v>3.95</v>
      </c>
      <c r="P7296" s="12">
        <v>2</v>
      </c>
      <c r="Q7296" s="13">
        <v>-10.11</v>
      </c>
      <c r="R7296" s="36" t="s">
        <v>2250</v>
      </c>
      <c r="S7296" s="7">
        <f t="shared" si="640"/>
        <v>1</v>
      </c>
      <c r="T7296" s="15" t="str">
        <f>VLOOKUP(R7296,产品分类!$C$2:$D$1278,2,0)</f>
        <v>数码电子</v>
      </c>
    </row>
    <row r="7297" spans="1:20">
      <c r="A7297" s="8">
        <f>DATE(2012,12,31)-149</f>
        <v>41125</v>
      </c>
      <c r="B7297" s="8">
        <f>DATE(2012,12,31)-149</f>
        <v>41125</v>
      </c>
      <c r="C7297" s="9" t="s">
        <v>586</v>
      </c>
      <c r="D7297">
        <v>10021579461</v>
      </c>
      <c r="E7297" t="s">
        <v>47</v>
      </c>
      <c r="F7297" t="s">
        <v>61</v>
      </c>
      <c r="G7297" t="s">
        <v>62</v>
      </c>
      <c r="H7297" t="s">
        <v>2571</v>
      </c>
      <c r="I7297" t="s">
        <v>2572</v>
      </c>
      <c r="J7297" t="s">
        <v>668</v>
      </c>
      <c r="K7297" s="3">
        <v>100420327844</v>
      </c>
      <c r="L7297" s="10">
        <v>41127</v>
      </c>
      <c r="M7297">
        <v>377.03</v>
      </c>
      <c r="N7297" s="11">
        <v>6</v>
      </c>
      <c r="O7297" s="12">
        <v>64.98</v>
      </c>
      <c r="P7297" s="12">
        <v>6.88</v>
      </c>
      <c r="Q7297" s="13">
        <v>-78.82</v>
      </c>
      <c r="R7297" s="36" t="s">
        <v>1215</v>
      </c>
      <c r="S7297" s="7">
        <f t="shared" si="640"/>
        <v>2</v>
      </c>
      <c r="T7297" s="15" t="str">
        <f>VLOOKUP(R7297,产品分类!$C$2:$D$1278,2,0)</f>
        <v>家具产品</v>
      </c>
    </row>
    <row r="7298" spans="1:20">
      <c r="A7298" s="8">
        <f>DATE(2012,12,31)-705</f>
        <v>40569</v>
      </c>
      <c r="B7298" s="8">
        <f>DATE(2012,12,31)-705</f>
        <v>40569</v>
      </c>
      <c r="C7298" s="9" t="s">
        <v>861</v>
      </c>
      <c r="D7298">
        <v>10021431877</v>
      </c>
      <c r="E7298" t="s">
        <v>47</v>
      </c>
      <c r="F7298" t="s">
        <v>61</v>
      </c>
      <c r="G7298" t="s">
        <v>62</v>
      </c>
      <c r="H7298" t="s">
        <v>2571</v>
      </c>
      <c r="I7298" t="s">
        <v>2572</v>
      </c>
      <c r="J7298" t="s">
        <v>668</v>
      </c>
      <c r="K7298" s="3">
        <v>100332265499</v>
      </c>
      <c r="L7298" s="10">
        <v>40570</v>
      </c>
      <c r="M7298">
        <v>92.24</v>
      </c>
      <c r="N7298" s="11">
        <v>19</v>
      </c>
      <c r="O7298" s="12">
        <v>4.82</v>
      </c>
      <c r="P7298" s="12">
        <v>5.24</v>
      </c>
      <c r="Q7298" s="13">
        <v>-60.582</v>
      </c>
      <c r="R7298" s="36" t="s">
        <v>493</v>
      </c>
      <c r="S7298" s="7">
        <f t="shared" si="640"/>
        <v>1</v>
      </c>
      <c r="T7298" s="15" t="str">
        <f>VLOOKUP(R7298,产品分类!$C$2:$D$1278,2,0)</f>
        <v>办公用品</v>
      </c>
    </row>
    <row r="7299" spans="1:20">
      <c r="A7299" s="8">
        <f>DATE(2012,12,31)-263</f>
        <v>41011</v>
      </c>
      <c r="B7299" s="8">
        <f>DATE(2012,12,31)-263</f>
        <v>41011</v>
      </c>
      <c r="C7299" s="9" t="s">
        <v>2095</v>
      </c>
      <c r="D7299">
        <v>10021574296</v>
      </c>
      <c r="E7299" t="s">
        <v>47</v>
      </c>
      <c r="F7299" t="s">
        <v>61</v>
      </c>
      <c r="G7299" t="s">
        <v>62</v>
      </c>
      <c r="H7299" t="s">
        <v>2571</v>
      </c>
      <c r="I7299" t="s">
        <v>2572</v>
      </c>
      <c r="J7299" t="s">
        <v>668</v>
      </c>
      <c r="K7299" s="3">
        <v>10041877223</v>
      </c>
      <c r="L7299" s="10">
        <v>41012</v>
      </c>
      <c r="M7299">
        <v>131.09</v>
      </c>
      <c r="N7299" s="11">
        <v>10</v>
      </c>
      <c r="O7299" s="12">
        <v>12.22</v>
      </c>
      <c r="P7299" s="12">
        <v>2.85</v>
      </c>
      <c r="Q7299" s="13">
        <v>10.94</v>
      </c>
      <c r="R7299" s="36" t="s">
        <v>541</v>
      </c>
      <c r="S7299" s="7">
        <f t="shared" ref="S7299:S7362" si="644">+L7299-B7299</f>
        <v>1</v>
      </c>
      <c r="T7299" s="15" t="str">
        <f>VLOOKUP(R7299,产品分类!$C$2:$D$1278,2,0)</f>
        <v>办公用品</v>
      </c>
    </row>
    <row r="7300" spans="1:20">
      <c r="A7300" s="8">
        <f>DATE(2012,12,31)-263</f>
        <v>41011</v>
      </c>
      <c r="B7300" s="8">
        <f>DATE(2012,12,31)-263</f>
        <v>41011</v>
      </c>
      <c r="C7300" s="9" t="s">
        <v>176</v>
      </c>
      <c r="D7300">
        <v>10021414159</v>
      </c>
      <c r="E7300" t="s">
        <v>47</v>
      </c>
      <c r="F7300" t="s">
        <v>61</v>
      </c>
      <c r="G7300" t="s">
        <v>62</v>
      </c>
      <c r="H7300" t="s">
        <v>2571</v>
      </c>
      <c r="I7300" t="s">
        <v>2572</v>
      </c>
      <c r="J7300" t="s">
        <v>668</v>
      </c>
      <c r="K7300" s="3">
        <v>10095565361</v>
      </c>
      <c r="L7300" s="10">
        <v>41012</v>
      </c>
      <c r="M7300">
        <v>1817.9</v>
      </c>
      <c r="N7300" s="11">
        <v>33</v>
      </c>
      <c r="O7300" s="12">
        <v>54.96</v>
      </c>
      <c r="P7300" s="12">
        <v>10.75</v>
      </c>
      <c r="Q7300" s="13">
        <v>700.31</v>
      </c>
      <c r="R7300" s="36" t="s">
        <v>385</v>
      </c>
      <c r="S7300" s="7">
        <f t="shared" si="644"/>
        <v>1</v>
      </c>
      <c r="T7300" s="15" t="str">
        <f>VLOOKUP(R7300,产品分类!$C$2:$D$1278,2,0)</f>
        <v>数码电子</v>
      </c>
    </row>
    <row r="7301" spans="1:20">
      <c r="A7301" s="8">
        <f>DATE(2012,12,31)-1418</f>
        <v>39856</v>
      </c>
      <c r="B7301" s="8">
        <f>DATE(2012,12,31)-1418</f>
        <v>39856</v>
      </c>
      <c r="C7301" s="9" t="s">
        <v>176</v>
      </c>
      <c r="D7301">
        <v>10021262747</v>
      </c>
      <c r="E7301" t="s">
        <v>47</v>
      </c>
      <c r="F7301" t="s">
        <v>61</v>
      </c>
      <c r="G7301" t="s">
        <v>62</v>
      </c>
      <c r="H7301" t="s">
        <v>2571</v>
      </c>
      <c r="I7301" t="s">
        <v>2572</v>
      </c>
      <c r="J7301" t="s">
        <v>668</v>
      </c>
      <c r="K7301" s="3">
        <v>100930131741</v>
      </c>
      <c r="L7301" s="10">
        <v>39859</v>
      </c>
      <c r="M7301">
        <v>240.52</v>
      </c>
      <c r="N7301" s="11">
        <v>37</v>
      </c>
      <c r="O7301" s="12">
        <v>6.48</v>
      </c>
      <c r="P7301" s="12">
        <v>8.19</v>
      </c>
      <c r="Q7301" s="13">
        <v>-164.18</v>
      </c>
      <c r="R7301" s="36" t="s">
        <v>2321</v>
      </c>
      <c r="S7301" s="7">
        <f t="shared" si="644"/>
        <v>3</v>
      </c>
      <c r="T7301" s="15" t="str">
        <f>VLOOKUP(R7301,产品分类!$C$2:$D$1278,2,0)</f>
        <v>数码电子</v>
      </c>
    </row>
    <row r="7302" spans="1:20">
      <c r="A7302" s="8">
        <f>DATE(2012,12,31)-123</f>
        <v>41151</v>
      </c>
      <c r="B7302" s="8">
        <f>DATE(2012,12,31)-123</f>
        <v>41151</v>
      </c>
      <c r="C7302" s="9" t="s">
        <v>176</v>
      </c>
      <c r="D7302">
        <v>10021682261</v>
      </c>
      <c r="E7302" t="s">
        <v>47</v>
      </c>
      <c r="F7302" t="s">
        <v>72</v>
      </c>
      <c r="G7302" t="s">
        <v>73</v>
      </c>
      <c r="H7302" t="s">
        <v>2558</v>
      </c>
      <c r="I7302" t="s">
        <v>2559</v>
      </c>
      <c r="J7302" t="s">
        <v>668</v>
      </c>
      <c r="K7302" s="3">
        <v>100432982574</v>
      </c>
      <c r="L7302" s="10">
        <v>41153</v>
      </c>
      <c r="M7302">
        <v>2700.78</v>
      </c>
      <c r="N7302" s="11">
        <v>29</v>
      </c>
      <c r="O7302" s="12">
        <v>95.98</v>
      </c>
      <c r="P7302" s="12">
        <v>58.2</v>
      </c>
      <c r="Q7302" s="13">
        <v>-793.36</v>
      </c>
      <c r="R7302" s="36" t="s">
        <v>1368</v>
      </c>
      <c r="S7302" s="7">
        <f t="shared" si="644"/>
        <v>2</v>
      </c>
      <c r="T7302" s="15" t="str">
        <f>VLOOKUP(R7302,产品分类!$C$2:$D$1278,2,0)</f>
        <v>数码电子</v>
      </c>
    </row>
    <row r="7303" spans="1:20">
      <c r="A7303" s="8">
        <f>DATE(2012,12,31)-788</f>
        <v>40486</v>
      </c>
      <c r="B7303" s="8">
        <f>DATE(2012,12,31)-788</f>
        <v>40486</v>
      </c>
      <c r="C7303" s="9" t="s">
        <v>176</v>
      </c>
      <c r="D7303">
        <v>10021753745</v>
      </c>
      <c r="E7303" t="s">
        <v>47</v>
      </c>
      <c r="F7303" t="s">
        <v>66</v>
      </c>
      <c r="G7303" t="s">
        <v>67</v>
      </c>
      <c r="H7303" t="s">
        <v>2584</v>
      </c>
      <c r="I7303" t="s">
        <v>2585</v>
      </c>
      <c r="J7303" t="s">
        <v>668</v>
      </c>
      <c r="K7303" s="3">
        <v>100832458242</v>
      </c>
      <c r="L7303" s="10">
        <v>40488</v>
      </c>
      <c r="M7303">
        <v>1236.954</v>
      </c>
      <c r="N7303" s="11">
        <v>23</v>
      </c>
      <c r="O7303" s="12">
        <v>65.99</v>
      </c>
      <c r="P7303" s="12">
        <v>4.2</v>
      </c>
      <c r="Q7303" s="13">
        <v>119.889</v>
      </c>
      <c r="R7303" s="36" t="s">
        <v>1510</v>
      </c>
      <c r="S7303" s="7">
        <f t="shared" si="644"/>
        <v>2</v>
      </c>
      <c r="T7303" s="15" t="str">
        <f>VLOOKUP(R7303,产品分类!$C$2:$D$1278,2,0)</f>
        <v>办公用品</v>
      </c>
    </row>
    <row r="7304" spans="1:20">
      <c r="A7304" s="8">
        <f>DATE(2012,12,31)-1420</f>
        <v>39854</v>
      </c>
      <c r="B7304" s="8">
        <f>DATE(2012,12,31)-1420</f>
        <v>39854</v>
      </c>
      <c r="C7304" s="9" t="s">
        <v>1247</v>
      </c>
      <c r="D7304">
        <v>10021343728</v>
      </c>
      <c r="E7304" t="s">
        <v>47</v>
      </c>
      <c r="F7304" t="s">
        <v>83</v>
      </c>
      <c r="G7304" t="s">
        <v>84</v>
      </c>
      <c r="H7304" t="s">
        <v>2577</v>
      </c>
      <c r="I7304" t="s">
        <v>2578</v>
      </c>
      <c r="J7304" t="s">
        <v>668</v>
      </c>
      <c r="K7304" s="3">
        <v>100829157312</v>
      </c>
      <c r="L7304" s="10">
        <v>39861</v>
      </c>
      <c r="M7304">
        <v>63.85</v>
      </c>
      <c r="N7304" s="11">
        <v>5</v>
      </c>
      <c r="O7304" s="12">
        <v>12.22</v>
      </c>
      <c r="P7304" s="12">
        <v>2.85</v>
      </c>
      <c r="Q7304" s="13">
        <v>40.44</v>
      </c>
      <c r="R7304" s="36" t="s">
        <v>1554</v>
      </c>
      <c r="S7304" s="7">
        <f t="shared" si="644"/>
        <v>7</v>
      </c>
      <c r="T7304" s="15" t="str">
        <f>VLOOKUP(R7304,产品分类!$C$2:$D$1278,2,0)</f>
        <v>办公用品</v>
      </c>
    </row>
    <row r="7305" spans="1:20">
      <c r="A7305" s="8">
        <f>DATE(2012,12,31)-620</f>
        <v>40654</v>
      </c>
      <c r="B7305" s="8">
        <f>DATE(2012,12,31)-620</f>
        <v>40654</v>
      </c>
      <c r="C7305" s="9" t="s">
        <v>809</v>
      </c>
      <c r="D7305">
        <v>10021337786</v>
      </c>
      <c r="E7305" t="s">
        <v>47</v>
      </c>
      <c r="F7305" t="s">
        <v>171</v>
      </c>
      <c r="G7305" t="s">
        <v>172</v>
      </c>
      <c r="H7305" t="s">
        <v>2486</v>
      </c>
      <c r="I7305" t="s">
        <v>2310</v>
      </c>
      <c r="J7305" t="s">
        <v>668</v>
      </c>
      <c r="K7305" s="3">
        <v>100122760427</v>
      </c>
      <c r="L7305" s="10">
        <v>40655</v>
      </c>
      <c r="M7305">
        <v>10261.25</v>
      </c>
      <c r="N7305" s="11">
        <v>49</v>
      </c>
      <c r="O7305" s="12">
        <v>212.6</v>
      </c>
      <c r="P7305" s="12">
        <v>52.2</v>
      </c>
      <c r="Q7305" s="13">
        <v>611.11</v>
      </c>
      <c r="R7305" s="36" t="s">
        <v>1281</v>
      </c>
      <c r="S7305" s="7">
        <f t="shared" si="644"/>
        <v>1</v>
      </c>
      <c r="T7305" s="15" t="str">
        <f>VLOOKUP(R7305,产品分类!$C$2:$D$1278,2,0)</f>
        <v>办公用品</v>
      </c>
    </row>
    <row r="7306" spans="1:20">
      <c r="A7306" s="8">
        <f>DATE(2012,12,31)-509</f>
        <v>40765</v>
      </c>
      <c r="B7306" s="8">
        <f>DATE(2012,12,31)-509</f>
        <v>40765</v>
      </c>
      <c r="C7306" s="9" t="s">
        <v>809</v>
      </c>
      <c r="D7306">
        <v>10021687189</v>
      </c>
      <c r="E7306" t="s">
        <v>47</v>
      </c>
      <c r="F7306" t="s">
        <v>152</v>
      </c>
      <c r="G7306" t="s">
        <v>153</v>
      </c>
      <c r="H7306" t="s">
        <v>2536</v>
      </c>
      <c r="I7306" t="s">
        <v>2537</v>
      </c>
      <c r="J7306" t="s">
        <v>668</v>
      </c>
      <c r="K7306" s="3">
        <v>100114968877</v>
      </c>
      <c r="L7306" s="10">
        <v>40766</v>
      </c>
      <c r="M7306">
        <v>1410.44</v>
      </c>
      <c r="N7306" s="11">
        <v>19</v>
      </c>
      <c r="O7306" s="12">
        <v>78.69</v>
      </c>
      <c r="P7306" s="12">
        <v>19.99</v>
      </c>
      <c r="Q7306" s="13">
        <v>545.11</v>
      </c>
      <c r="R7306" s="36" t="s">
        <v>1167</v>
      </c>
      <c r="S7306" s="7">
        <f t="shared" si="644"/>
        <v>1</v>
      </c>
      <c r="T7306" s="15" t="str">
        <f>VLOOKUP(R7306,产品分类!$C$2:$D$1278,2,0)</f>
        <v>家具产品</v>
      </c>
    </row>
    <row r="7307" spans="1:20">
      <c r="A7307" s="8">
        <f>DATE(2012,12,31)-224</f>
        <v>41050</v>
      </c>
      <c r="B7307" s="8">
        <f>DATE(2012,12,31)-224</f>
        <v>41050</v>
      </c>
      <c r="C7307" s="9" t="s">
        <v>1348</v>
      </c>
      <c r="D7307">
        <v>10021679918</v>
      </c>
      <c r="E7307" t="s">
        <v>47</v>
      </c>
      <c r="F7307" t="s">
        <v>66</v>
      </c>
      <c r="G7307" t="s">
        <v>67</v>
      </c>
      <c r="H7307" t="s">
        <v>2584</v>
      </c>
      <c r="I7307" t="s">
        <v>2585</v>
      </c>
      <c r="J7307" t="s">
        <v>668</v>
      </c>
      <c r="K7307" s="3">
        <v>100731210805</v>
      </c>
      <c r="L7307" s="10">
        <v>41054</v>
      </c>
      <c r="M7307">
        <v>1134.05</v>
      </c>
      <c r="N7307" s="11">
        <v>7</v>
      </c>
      <c r="O7307" s="12">
        <v>172.99</v>
      </c>
      <c r="P7307" s="12">
        <v>19.99</v>
      </c>
      <c r="Q7307" s="13">
        <v>149.498</v>
      </c>
      <c r="R7307" s="36" t="s">
        <v>2139</v>
      </c>
      <c r="S7307" s="7">
        <f t="shared" si="644"/>
        <v>4</v>
      </c>
      <c r="T7307" s="15" t="str">
        <f>VLOOKUP(R7307,产品分类!$C$2:$D$1278,2,0)</f>
        <v>数码电子</v>
      </c>
    </row>
    <row r="7308" spans="1:20">
      <c r="A7308" s="8">
        <f>DATE(2012,12,31)-224</f>
        <v>41050</v>
      </c>
      <c r="B7308" s="8">
        <f>DATE(2012,12,31)-224</f>
        <v>41050</v>
      </c>
      <c r="C7308" s="9" t="s">
        <v>734</v>
      </c>
      <c r="D7308">
        <v>10021402346</v>
      </c>
      <c r="E7308" t="s">
        <v>47</v>
      </c>
      <c r="F7308" t="s">
        <v>48</v>
      </c>
      <c r="G7308" t="s">
        <v>49</v>
      </c>
      <c r="H7308" t="s">
        <v>2539</v>
      </c>
      <c r="I7308" t="s">
        <v>2540</v>
      </c>
      <c r="J7308" t="s">
        <v>668</v>
      </c>
      <c r="K7308" s="3">
        <v>10019829246</v>
      </c>
      <c r="L7308" s="10">
        <v>41059</v>
      </c>
      <c r="M7308">
        <v>1470.0495</v>
      </c>
      <c r="N7308" s="11">
        <v>28</v>
      </c>
      <c r="O7308" s="12">
        <v>65.99</v>
      </c>
      <c r="P7308" s="12">
        <v>4.99</v>
      </c>
      <c r="Q7308" s="13">
        <v>185.94</v>
      </c>
      <c r="R7308" s="36" t="s">
        <v>499</v>
      </c>
      <c r="S7308" s="7">
        <f t="shared" si="644"/>
        <v>9</v>
      </c>
      <c r="T7308" s="15" t="str">
        <f>VLOOKUP(R7308,产品分类!$C$2:$D$1278,2,0)</f>
        <v>办公用品</v>
      </c>
    </row>
    <row r="7309" spans="1:20">
      <c r="A7309" s="8">
        <f>DATE(2012,12,31)-1159</f>
        <v>40115</v>
      </c>
      <c r="B7309" s="8">
        <f>DATE(2012,12,31)-1159</f>
        <v>40115</v>
      </c>
      <c r="C7309" s="9" t="s">
        <v>370</v>
      </c>
      <c r="D7309">
        <v>10021394318</v>
      </c>
      <c r="E7309" t="s">
        <v>47</v>
      </c>
      <c r="F7309" t="s">
        <v>78</v>
      </c>
      <c r="G7309" t="s">
        <v>79</v>
      </c>
      <c r="H7309" t="s">
        <v>80</v>
      </c>
      <c r="I7309" t="s">
        <v>81</v>
      </c>
      <c r="J7309" t="s">
        <v>668</v>
      </c>
      <c r="K7309" s="3">
        <v>100130145458</v>
      </c>
      <c r="L7309" s="10">
        <v>40117</v>
      </c>
      <c r="M7309">
        <v>287.54</v>
      </c>
      <c r="N7309" s="11">
        <v>48</v>
      </c>
      <c r="O7309" s="12">
        <v>5.98</v>
      </c>
      <c r="P7309" s="12">
        <v>0.96</v>
      </c>
      <c r="Q7309" s="13">
        <v>57.28</v>
      </c>
      <c r="R7309" s="36" t="s">
        <v>2586</v>
      </c>
      <c r="S7309" s="7">
        <f t="shared" si="644"/>
        <v>2</v>
      </c>
      <c r="T7309" s="15" t="str">
        <f>VLOOKUP(R7309,产品分类!$C$2:$D$1278,2,0)</f>
        <v>数码电子</v>
      </c>
    </row>
    <row r="7310" spans="1:20">
      <c r="A7310" s="8">
        <f>DATE(2012,12,31)-1159</f>
        <v>40115</v>
      </c>
      <c r="B7310" s="8">
        <f>DATE(2012,12,31)-1159</f>
        <v>40115</v>
      </c>
      <c r="C7310" s="9" t="s">
        <v>275</v>
      </c>
      <c r="D7310">
        <v>10021394531</v>
      </c>
      <c r="E7310" t="s">
        <v>47</v>
      </c>
      <c r="F7310" t="s">
        <v>72</v>
      </c>
      <c r="G7310" t="s">
        <v>73</v>
      </c>
      <c r="H7310" t="s">
        <v>2558</v>
      </c>
      <c r="I7310" t="s">
        <v>2559</v>
      </c>
      <c r="J7310" t="s">
        <v>668</v>
      </c>
      <c r="K7310" s="3">
        <v>100731244925</v>
      </c>
      <c r="L7310" s="10">
        <v>40116</v>
      </c>
      <c r="M7310">
        <v>88.315</v>
      </c>
      <c r="N7310" s="11">
        <v>5</v>
      </c>
      <c r="O7310" s="12">
        <v>20.99</v>
      </c>
      <c r="P7310" s="12">
        <v>0.99</v>
      </c>
      <c r="Q7310" s="13">
        <v>-72.402</v>
      </c>
      <c r="R7310" s="36" t="s">
        <v>612</v>
      </c>
      <c r="S7310" s="7">
        <f t="shared" si="644"/>
        <v>1</v>
      </c>
      <c r="T7310" s="15" t="str">
        <f>VLOOKUP(R7310,产品分类!$C$2:$D$1278,2,0)</f>
        <v>办公用品</v>
      </c>
    </row>
    <row r="7311" spans="1:20">
      <c r="A7311" s="8">
        <f>DATE(2012,12,31)-820</f>
        <v>40454</v>
      </c>
      <c r="B7311" s="8">
        <f>DATE(2012,12,31)-820</f>
        <v>40454</v>
      </c>
      <c r="C7311" s="9" t="s">
        <v>275</v>
      </c>
      <c r="D7311">
        <v>10021734570</v>
      </c>
      <c r="E7311" t="s">
        <v>47</v>
      </c>
      <c r="F7311" t="s">
        <v>91</v>
      </c>
      <c r="G7311" t="s">
        <v>92</v>
      </c>
      <c r="H7311" t="s">
        <v>2573</v>
      </c>
      <c r="I7311" t="s">
        <v>2574</v>
      </c>
      <c r="J7311" t="s">
        <v>668</v>
      </c>
      <c r="K7311" s="3">
        <v>100931972351</v>
      </c>
      <c r="L7311" s="10">
        <v>40455</v>
      </c>
      <c r="M7311">
        <v>2379.15</v>
      </c>
      <c r="N7311" s="11">
        <v>18</v>
      </c>
      <c r="O7311" s="12">
        <v>130.98</v>
      </c>
      <c r="P7311" s="12">
        <v>30</v>
      </c>
      <c r="Q7311" s="13">
        <v>-261.77</v>
      </c>
      <c r="R7311" s="36" t="s">
        <v>670</v>
      </c>
      <c r="S7311" s="7">
        <f t="shared" si="644"/>
        <v>1</v>
      </c>
      <c r="T7311" s="15" t="str">
        <f>VLOOKUP(R7311,产品分类!$C$2:$D$1278,2,0)</f>
        <v>办公用品</v>
      </c>
    </row>
    <row r="7312" spans="1:20">
      <c r="A7312" s="8">
        <f>DATE(2012,12,31)-626</f>
        <v>40648</v>
      </c>
      <c r="B7312" s="8">
        <f>DATE(2012,12,31)-626</f>
        <v>40648</v>
      </c>
      <c r="C7312" s="9" t="s">
        <v>578</v>
      </c>
      <c r="D7312">
        <v>10021372694</v>
      </c>
      <c r="E7312" t="s">
        <v>47</v>
      </c>
      <c r="F7312" t="s">
        <v>91</v>
      </c>
      <c r="G7312" t="s">
        <v>92</v>
      </c>
      <c r="H7312" t="s">
        <v>2573</v>
      </c>
      <c r="I7312" t="s">
        <v>2574</v>
      </c>
      <c r="J7312" t="s">
        <v>668</v>
      </c>
      <c r="K7312" s="3">
        <v>100931982791</v>
      </c>
      <c r="L7312" s="10">
        <v>40649</v>
      </c>
      <c r="M7312">
        <v>31.14</v>
      </c>
      <c r="N7312" s="11">
        <v>4</v>
      </c>
      <c r="O7312" s="12">
        <v>6.48</v>
      </c>
      <c r="P7312" s="12">
        <v>5.86</v>
      </c>
      <c r="Q7312" s="13">
        <v>-14.59</v>
      </c>
      <c r="R7312" s="36" t="s">
        <v>1902</v>
      </c>
      <c r="S7312" s="7">
        <f t="shared" si="644"/>
        <v>1</v>
      </c>
      <c r="T7312" s="15" t="str">
        <f>VLOOKUP(R7312,产品分类!$C$2:$D$1278,2,0)</f>
        <v>办公用品</v>
      </c>
    </row>
    <row r="7313" spans="1:20">
      <c r="A7313" s="8">
        <f>DATE(2012,12,31)-98</f>
        <v>41176</v>
      </c>
      <c r="B7313" s="8">
        <f>DATE(2012,12,31)-98</f>
        <v>41176</v>
      </c>
      <c r="C7313" s="9" t="s">
        <v>714</v>
      </c>
      <c r="D7313">
        <v>10021618961</v>
      </c>
      <c r="E7313" t="s">
        <v>47</v>
      </c>
      <c r="F7313" t="s">
        <v>91</v>
      </c>
      <c r="G7313" t="s">
        <v>92</v>
      </c>
      <c r="H7313" t="s">
        <v>2573</v>
      </c>
      <c r="I7313" t="s">
        <v>2574</v>
      </c>
      <c r="J7313" t="s">
        <v>668</v>
      </c>
      <c r="K7313" s="3">
        <v>10035105469</v>
      </c>
      <c r="L7313" s="10">
        <v>41180</v>
      </c>
      <c r="M7313">
        <v>112.6</v>
      </c>
      <c r="N7313" s="11">
        <v>41</v>
      </c>
      <c r="O7313" s="12">
        <v>2.88</v>
      </c>
      <c r="P7313" s="12">
        <v>1.01</v>
      </c>
      <c r="Q7313" s="13">
        <v>0.49</v>
      </c>
      <c r="R7313" s="36" t="s">
        <v>1801</v>
      </c>
      <c r="S7313" s="7">
        <f t="shared" si="644"/>
        <v>4</v>
      </c>
      <c r="T7313" s="15" t="str">
        <f>VLOOKUP(R7313,产品分类!$C$2:$D$1278,2,0)</f>
        <v>办公用品</v>
      </c>
    </row>
    <row r="7314" spans="1:20">
      <c r="A7314" s="8">
        <f>DATE(2012,12,31)-422</f>
        <v>40852</v>
      </c>
      <c r="B7314" s="8">
        <f>DATE(2012,12,31)-422</f>
        <v>40852</v>
      </c>
      <c r="C7314" s="9" t="s">
        <v>714</v>
      </c>
      <c r="D7314">
        <v>10021374742</v>
      </c>
      <c r="E7314" t="s">
        <v>47</v>
      </c>
      <c r="F7314" t="s">
        <v>91</v>
      </c>
      <c r="G7314" t="s">
        <v>92</v>
      </c>
      <c r="H7314" t="s">
        <v>2573</v>
      </c>
      <c r="I7314" t="s">
        <v>2574</v>
      </c>
      <c r="J7314" t="s">
        <v>668</v>
      </c>
      <c r="K7314" s="3">
        <v>100331963549</v>
      </c>
      <c r="L7314" s="10">
        <v>40854</v>
      </c>
      <c r="M7314">
        <v>617.26</v>
      </c>
      <c r="N7314" s="11">
        <v>48</v>
      </c>
      <c r="O7314" s="12">
        <v>12.28</v>
      </c>
      <c r="P7314" s="12">
        <v>6.13</v>
      </c>
      <c r="Q7314" s="13">
        <v>-37.52</v>
      </c>
      <c r="R7314" s="36" t="s">
        <v>569</v>
      </c>
      <c r="S7314" s="7">
        <f t="shared" si="644"/>
        <v>2</v>
      </c>
      <c r="T7314" s="15" t="str">
        <f>VLOOKUP(R7314,产品分类!$C$2:$D$1278,2,0)</f>
        <v>家具产品</v>
      </c>
    </row>
    <row r="7315" spans="1:20">
      <c r="A7315" s="8">
        <f>DATE(2012,12,31)-422</f>
        <v>40852</v>
      </c>
      <c r="B7315" s="8">
        <f>DATE(2012,12,31)-422</f>
        <v>40852</v>
      </c>
      <c r="C7315" s="9" t="s">
        <v>1348</v>
      </c>
      <c r="D7315">
        <v>10021321442</v>
      </c>
      <c r="E7315" t="s">
        <v>47</v>
      </c>
      <c r="F7315" t="s">
        <v>91</v>
      </c>
      <c r="G7315" t="s">
        <v>92</v>
      </c>
      <c r="H7315" t="s">
        <v>2573</v>
      </c>
      <c r="I7315" t="s">
        <v>2574</v>
      </c>
      <c r="J7315" t="s">
        <v>668</v>
      </c>
      <c r="K7315" s="3">
        <v>100432397303</v>
      </c>
      <c r="L7315" s="10">
        <v>40852</v>
      </c>
      <c r="M7315">
        <v>13104.992</v>
      </c>
      <c r="N7315" s="11">
        <v>45</v>
      </c>
      <c r="O7315" s="12">
        <v>349.45</v>
      </c>
      <c r="P7315" s="12">
        <v>60</v>
      </c>
      <c r="Q7315" s="13">
        <v>5626.42</v>
      </c>
      <c r="R7315" s="36" t="s">
        <v>408</v>
      </c>
      <c r="S7315" s="7">
        <f t="shared" si="644"/>
        <v>0</v>
      </c>
      <c r="T7315" s="15" t="str">
        <f>VLOOKUP(R7315,产品分类!$C$2:$D$1278,2,0)</f>
        <v>家具产品</v>
      </c>
    </row>
    <row r="7316" spans="1:20">
      <c r="A7316" s="8">
        <f>DATE(2012,12,31)-1063</f>
        <v>40211</v>
      </c>
      <c r="B7316" s="8">
        <f>DATE(2012,12,31)-1063</f>
        <v>40211</v>
      </c>
      <c r="C7316" s="9" t="s">
        <v>1348</v>
      </c>
      <c r="D7316">
        <v>10021686948</v>
      </c>
      <c r="E7316" t="s">
        <v>47</v>
      </c>
      <c r="F7316" t="s">
        <v>55</v>
      </c>
      <c r="G7316" t="s">
        <v>56</v>
      </c>
      <c r="H7316" t="s">
        <v>2471</v>
      </c>
      <c r="I7316" t="s">
        <v>2472</v>
      </c>
      <c r="J7316" t="s">
        <v>668</v>
      </c>
      <c r="K7316" s="3">
        <v>100917569481</v>
      </c>
      <c r="L7316" s="10">
        <v>40218</v>
      </c>
      <c r="M7316">
        <v>5.7</v>
      </c>
      <c r="N7316" s="11">
        <v>1</v>
      </c>
      <c r="O7316" s="12">
        <v>3.95</v>
      </c>
      <c r="P7316" s="12">
        <v>2</v>
      </c>
      <c r="Q7316" s="13">
        <v>-2.34</v>
      </c>
      <c r="R7316" s="36" t="s">
        <v>1820</v>
      </c>
      <c r="S7316" s="7">
        <f t="shared" si="644"/>
        <v>7</v>
      </c>
      <c r="T7316" s="15" t="str">
        <f>VLOOKUP(R7316,产品分类!$C$2:$D$1278,2,0)</f>
        <v>数码电子</v>
      </c>
    </row>
    <row r="7317" spans="1:20">
      <c r="A7317" s="8">
        <f>DATE(2012,12,31)-185</f>
        <v>41089</v>
      </c>
      <c r="B7317" s="8">
        <f>DATE(2012,12,31)-185</f>
        <v>41089</v>
      </c>
      <c r="C7317" s="9" t="s">
        <v>536</v>
      </c>
      <c r="D7317">
        <v>10021569707</v>
      </c>
      <c r="E7317" t="s">
        <v>47</v>
      </c>
      <c r="F7317" t="s">
        <v>127</v>
      </c>
      <c r="G7317" t="s">
        <v>128</v>
      </c>
      <c r="H7317" t="s">
        <v>2554</v>
      </c>
      <c r="I7317" t="s">
        <v>2555</v>
      </c>
      <c r="J7317" t="s">
        <v>668</v>
      </c>
      <c r="K7317" s="3">
        <v>1001111827</v>
      </c>
      <c r="L7317" s="10">
        <v>41090</v>
      </c>
      <c r="M7317">
        <v>757.11</v>
      </c>
      <c r="N7317" s="11">
        <v>4</v>
      </c>
      <c r="O7317" s="12">
        <v>180.98</v>
      </c>
      <c r="P7317" s="12">
        <v>30</v>
      </c>
      <c r="Q7317" s="13">
        <v>-224.35</v>
      </c>
      <c r="R7317" s="36" t="s">
        <v>2179</v>
      </c>
      <c r="S7317" s="7">
        <f t="shared" si="644"/>
        <v>1</v>
      </c>
      <c r="T7317" s="15" t="str">
        <f>VLOOKUP(R7317,产品分类!$C$2:$D$1278,2,0)</f>
        <v>家具产品</v>
      </c>
    </row>
    <row r="7318" spans="1:20">
      <c r="A7318" s="16">
        <f>DATE(2012,12,31)-170</f>
        <v>41104</v>
      </c>
      <c r="B7318" s="16">
        <f>DATE(2012,12,31)-170</f>
        <v>41104</v>
      </c>
      <c r="C7318" s="9" t="s">
        <v>2223</v>
      </c>
      <c r="D7318">
        <v>10021359444</v>
      </c>
      <c r="E7318" t="s">
        <v>47</v>
      </c>
      <c r="F7318" t="s">
        <v>97</v>
      </c>
      <c r="G7318" t="s">
        <v>98</v>
      </c>
      <c r="H7318" t="s">
        <v>99</v>
      </c>
      <c r="I7318" t="s">
        <v>98</v>
      </c>
      <c r="J7318" t="s">
        <v>668</v>
      </c>
      <c r="K7318" s="3">
        <v>100828022682</v>
      </c>
      <c r="L7318" s="10">
        <v>41104</v>
      </c>
      <c r="M7318">
        <v>5126.3</v>
      </c>
      <c r="N7318" s="17">
        <v>23</v>
      </c>
      <c r="O7318" s="5">
        <v>223.98</v>
      </c>
      <c r="P7318" s="5">
        <v>15.01</v>
      </c>
      <c r="Q7318" s="6">
        <v>2019.192</v>
      </c>
      <c r="R7318" s="37" t="s">
        <v>1194</v>
      </c>
      <c r="S7318" s="7">
        <f t="shared" si="644"/>
        <v>0</v>
      </c>
      <c r="T7318" s="15" t="str">
        <f>VLOOKUP(R7318,产品分类!$C$2:$D$1278,2,0)</f>
        <v>办公用品</v>
      </c>
    </row>
    <row r="7319" spans="1:20">
      <c r="A7319" s="8">
        <f>DATE(2012,12,31)-880</f>
        <v>40394</v>
      </c>
      <c r="B7319" s="8">
        <f>DATE(2012,12,31)-880</f>
        <v>40394</v>
      </c>
      <c r="C7319" s="9" t="s">
        <v>2223</v>
      </c>
      <c r="D7319">
        <v>10021733157</v>
      </c>
      <c r="E7319" t="s">
        <v>47</v>
      </c>
      <c r="F7319" t="s">
        <v>132</v>
      </c>
      <c r="G7319" t="s">
        <v>133</v>
      </c>
      <c r="H7319" t="s">
        <v>134</v>
      </c>
      <c r="I7319" t="s">
        <v>133</v>
      </c>
      <c r="J7319" t="s">
        <v>668</v>
      </c>
      <c r="K7319" s="3">
        <v>100332898299</v>
      </c>
      <c r="L7319" s="10">
        <v>40398</v>
      </c>
      <c r="M7319">
        <v>152.28</v>
      </c>
      <c r="N7319" s="11">
        <v>41</v>
      </c>
      <c r="O7319" s="12">
        <v>3.81</v>
      </c>
      <c r="P7319" s="12">
        <v>5.44</v>
      </c>
      <c r="Q7319" s="13">
        <v>-154.813</v>
      </c>
      <c r="R7319" s="36" t="s">
        <v>872</v>
      </c>
      <c r="S7319" s="7">
        <f t="shared" si="644"/>
        <v>4</v>
      </c>
      <c r="T7319" s="15" t="str">
        <f>VLOOKUP(R7319,产品分类!$C$2:$D$1278,2,0)</f>
        <v>数码电子</v>
      </c>
    </row>
    <row r="7320" spans="1:20">
      <c r="A7320" s="8">
        <f>DATE(2012,12,31)-377</f>
        <v>40897</v>
      </c>
      <c r="B7320" s="8">
        <f>DATE(2012,12,31)-377</f>
        <v>40897</v>
      </c>
      <c r="C7320" s="9" t="s">
        <v>1512</v>
      </c>
      <c r="D7320">
        <v>10021457378</v>
      </c>
      <c r="E7320" t="s">
        <v>47</v>
      </c>
      <c r="F7320" t="s">
        <v>97</v>
      </c>
      <c r="G7320" t="s">
        <v>98</v>
      </c>
      <c r="H7320" t="s">
        <v>99</v>
      </c>
      <c r="I7320" t="s">
        <v>98</v>
      </c>
      <c r="J7320" t="s">
        <v>668</v>
      </c>
      <c r="K7320" s="3">
        <v>100129810596</v>
      </c>
      <c r="L7320" s="10">
        <v>40898</v>
      </c>
      <c r="M7320">
        <v>3853.47</v>
      </c>
      <c r="N7320" s="11">
        <v>27</v>
      </c>
      <c r="O7320" s="12">
        <v>152.48</v>
      </c>
      <c r="P7320" s="12">
        <v>6.5</v>
      </c>
      <c r="Q7320" s="13">
        <v>21.4999999999999</v>
      </c>
      <c r="R7320" s="36" t="s">
        <v>187</v>
      </c>
      <c r="S7320" s="7">
        <f t="shared" si="644"/>
        <v>1</v>
      </c>
      <c r="T7320" s="15" t="str">
        <f>VLOOKUP(R7320,产品分类!$C$2:$D$1278,2,0)</f>
        <v>数码电子</v>
      </c>
    </row>
    <row r="7321" spans="1:20">
      <c r="A7321" s="8">
        <f>DATE(2012,12,31)-377</f>
        <v>40897</v>
      </c>
      <c r="B7321" s="8">
        <f>DATE(2012,12,31)-377</f>
        <v>40897</v>
      </c>
      <c r="C7321" s="9" t="s">
        <v>1512</v>
      </c>
      <c r="D7321">
        <v>10021402489</v>
      </c>
      <c r="E7321" t="s">
        <v>47</v>
      </c>
      <c r="F7321" t="s">
        <v>102</v>
      </c>
      <c r="G7321" t="s">
        <v>103</v>
      </c>
      <c r="H7321" t="s">
        <v>2560</v>
      </c>
      <c r="I7321" t="s">
        <v>2561</v>
      </c>
      <c r="J7321" t="s">
        <v>668</v>
      </c>
      <c r="K7321" s="3">
        <v>100731857745</v>
      </c>
      <c r="L7321" s="10">
        <v>40899</v>
      </c>
      <c r="M7321">
        <v>28.23</v>
      </c>
      <c r="N7321" s="11">
        <v>5</v>
      </c>
      <c r="O7321" s="12">
        <v>4.98</v>
      </c>
      <c r="P7321" s="12">
        <v>4.7</v>
      </c>
      <c r="Q7321" s="13">
        <v>-14.69</v>
      </c>
      <c r="R7321" s="36" t="s">
        <v>301</v>
      </c>
      <c r="S7321" s="7">
        <f t="shared" si="644"/>
        <v>2</v>
      </c>
      <c r="T7321" s="15" t="str">
        <f>VLOOKUP(R7321,产品分类!$C$2:$D$1278,2,0)</f>
        <v>数码电子</v>
      </c>
    </row>
    <row r="7322" spans="1:20">
      <c r="A7322" s="8">
        <f>DATE(2012,12,31)-1215</f>
        <v>40059</v>
      </c>
      <c r="B7322" s="8">
        <f>DATE(2012,12,31)-1215</f>
        <v>40059</v>
      </c>
      <c r="C7322" s="9" t="s">
        <v>970</v>
      </c>
      <c r="D7322">
        <v>10021760195</v>
      </c>
      <c r="E7322" t="s">
        <v>47</v>
      </c>
      <c r="F7322" t="s">
        <v>171</v>
      </c>
      <c r="G7322" t="s">
        <v>172</v>
      </c>
      <c r="H7322" t="s">
        <v>2486</v>
      </c>
      <c r="I7322" t="s">
        <v>2310</v>
      </c>
      <c r="J7322" t="s">
        <v>668</v>
      </c>
      <c r="K7322" s="3">
        <v>100133371508</v>
      </c>
      <c r="L7322" s="10">
        <v>40061</v>
      </c>
      <c r="M7322">
        <v>541.47</v>
      </c>
      <c r="N7322" s="11">
        <v>49</v>
      </c>
      <c r="O7322" s="12">
        <v>10.98</v>
      </c>
      <c r="P7322" s="12">
        <v>4.8</v>
      </c>
      <c r="Q7322" s="13">
        <v>90.62</v>
      </c>
      <c r="R7322" s="36" t="s">
        <v>1317</v>
      </c>
      <c r="S7322" s="7">
        <f t="shared" si="644"/>
        <v>2</v>
      </c>
      <c r="T7322" s="15" t="str">
        <f>VLOOKUP(R7322,产品分类!$C$2:$D$1278,2,0)</f>
        <v>家具产品</v>
      </c>
    </row>
    <row r="7323" spans="1:20">
      <c r="A7323" s="8">
        <f>DATE(2012,12,31)-1456</f>
        <v>39818</v>
      </c>
      <c r="B7323" s="8">
        <f>DATE(2012,12,31)-1456</f>
        <v>39818</v>
      </c>
      <c r="C7323" s="9" t="s">
        <v>681</v>
      </c>
      <c r="D7323">
        <v>10021492201</v>
      </c>
      <c r="E7323" t="s">
        <v>47</v>
      </c>
      <c r="F7323" t="s">
        <v>342</v>
      </c>
      <c r="G7323" t="s">
        <v>343</v>
      </c>
      <c r="H7323" t="s">
        <v>2582</v>
      </c>
      <c r="I7323" t="s">
        <v>2583</v>
      </c>
      <c r="J7323" t="s">
        <v>668</v>
      </c>
      <c r="K7323" s="3">
        <v>100932433321</v>
      </c>
      <c r="L7323" s="10">
        <v>39820</v>
      </c>
      <c r="M7323">
        <v>700.73</v>
      </c>
      <c r="N7323" s="11">
        <v>6</v>
      </c>
      <c r="O7323" s="12">
        <v>120.97</v>
      </c>
      <c r="P7323" s="12">
        <v>26.3</v>
      </c>
      <c r="Q7323" s="13">
        <v>-188.5812</v>
      </c>
      <c r="R7323" s="36" t="s">
        <v>283</v>
      </c>
      <c r="S7323" s="7">
        <f t="shared" si="644"/>
        <v>2</v>
      </c>
      <c r="T7323" s="15" t="str">
        <f>VLOOKUP(R7323,产品分类!$C$2:$D$1278,2,0)</f>
        <v>办公用品</v>
      </c>
    </row>
    <row r="7324" spans="1:20">
      <c r="A7324" s="8">
        <f>DATE(2012,12,31)-437</f>
        <v>40837</v>
      </c>
      <c r="B7324" s="8">
        <f>DATE(2012,12,31)-437</f>
        <v>40837</v>
      </c>
      <c r="C7324" s="9" t="s">
        <v>681</v>
      </c>
      <c r="D7324">
        <v>10021326455</v>
      </c>
      <c r="E7324" t="s">
        <v>47</v>
      </c>
      <c r="F7324" t="s">
        <v>253</v>
      </c>
      <c r="G7324" t="s">
        <v>254</v>
      </c>
      <c r="H7324" t="s">
        <v>2579</v>
      </c>
      <c r="I7324" t="s">
        <v>2580</v>
      </c>
      <c r="J7324" t="s">
        <v>668</v>
      </c>
      <c r="K7324" s="3">
        <v>100929793361</v>
      </c>
      <c r="L7324" s="10">
        <v>40837</v>
      </c>
      <c r="M7324">
        <v>655.33</v>
      </c>
      <c r="N7324" s="11">
        <v>31</v>
      </c>
      <c r="O7324" s="12">
        <v>21.38</v>
      </c>
      <c r="P7324" s="12">
        <v>8.99</v>
      </c>
      <c r="Q7324" s="13">
        <v>-57.16</v>
      </c>
      <c r="R7324" s="36" t="s">
        <v>1114</v>
      </c>
      <c r="S7324" s="7">
        <f t="shared" si="644"/>
        <v>0</v>
      </c>
      <c r="T7324" s="15" t="str">
        <f>VLOOKUP(R7324,产品分类!$C$2:$D$1278,2,0)</f>
        <v>家具产品</v>
      </c>
    </row>
    <row r="7325" spans="1:20">
      <c r="A7325" s="16">
        <f>DATE(2012,12,31)-1115</f>
        <v>40159</v>
      </c>
      <c r="B7325" s="16">
        <f>DATE(2012,12,31)-1115</f>
        <v>40159</v>
      </c>
      <c r="C7325" s="9" t="s">
        <v>781</v>
      </c>
      <c r="D7325">
        <v>10021304952</v>
      </c>
      <c r="E7325" t="s">
        <v>47</v>
      </c>
      <c r="F7325" t="s">
        <v>83</v>
      </c>
      <c r="G7325" t="s">
        <v>84</v>
      </c>
      <c r="H7325" t="s">
        <v>2577</v>
      </c>
      <c r="I7325" t="s">
        <v>2578</v>
      </c>
      <c r="J7325" t="s">
        <v>668</v>
      </c>
      <c r="K7325" s="3">
        <v>100825209282</v>
      </c>
      <c r="L7325" s="10">
        <v>40161</v>
      </c>
      <c r="M7325">
        <v>1072.36</v>
      </c>
      <c r="N7325" s="17">
        <v>36</v>
      </c>
      <c r="O7325" s="5">
        <v>29.14</v>
      </c>
      <c r="P7325" s="5">
        <v>4.86</v>
      </c>
      <c r="Q7325" s="6">
        <v>440.48</v>
      </c>
      <c r="R7325" s="37" t="s">
        <v>354</v>
      </c>
      <c r="S7325" s="7">
        <f t="shared" si="644"/>
        <v>2</v>
      </c>
      <c r="T7325" s="15" t="str">
        <f>VLOOKUP(R7325,产品分类!$C$2:$D$1278,2,0)</f>
        <v>办公用品</v>
      </c>
    </row>
    <row r="7326" spans="1:20">
      <c r="A7326" s="8">
        <f>DATE(2012,12,31)-1115</f>
        <v>40159</v>
      </c>
      <c r="B7326" s="8">
        <f>DATE(2012,12,31)-1115</f>
        <v>40159</v>
      </c>
      <c r="C7326" s="9" t="s">
        <v>781</v>
      </c>
      <c r="D7326">
        <v>10021402338</v>
      </c>
      <c r="E7326" t="s">
        <v>47</v>
      </c>
      <c r="F7326" t="s">
        <v>61</v>
      </c>
      <c r="G7326" t="s">
        <v>62</v>
      </c>
      <c r="H7326" t="s">
        <v>2571</v>
      </c>
      <c r="I7326" t="s">
        <v>2572</v>
      </c>
      <c r="J7326" t="s">
        <v>668</v>
      </c>
      <c r="K7326" s="3">
        <v>100918086151</v>
      </c>
      <c r="L7326" s="10">
        <v>40161</v>
      </c>
      <c r="M7326">
        <v>857.84</v>
      </c>
      <c r="N7326" s="11">
        <v>39</v>
      </c>
      <c r="O7326" s="12">
        <v>20.89</v>
      </c>
      <c r="P7326" s="12">
        <v>11.52</v>
      </c>
      <c r="Q7326" s="13">
        <v>-309.43</v>
      </c>
      <c r="R7326" s="36" t="s">
        <v>765</v>
      </c>
      <c r="S7326" s="7">
        <f t="shared" si="644"/>
        <v>2</v>
      </c>
      <c r="T7326" s="15" t="str">
        <f>VLOOKUP(R7326,产品分类!$C$2:$D$1278,2,0)</f>
        <v>办公用品</v>
      </c>
    </row>
    <row r="7327" spans="1:20">
      <c r="A7327" s="8">
        <f>DATE(2012,12,31)-1430</f>
        <v>39844</v>
      </c>
      <c r="B7327" s="8">
        <f>DATE(2012,12,31)-1430</f>
        <v>39844</v>
      </c>
      <c r="C7327" s="9" t="s">
        <v>1206</v>
      </c>
      <c r="D7327">
        <v>10021602062</v>
      </c>
      <c r="E7327" t="s">
        <v>47</v>
      </c>
      <c r="F7327" t="s">
        <v>61</v>
      </c>
      <c r="G7327" t="s">
        <v>62</v>
      </c>
      <c r="H7327" t="s">
        <v>2571</v>
      </c>
      <c r="I7327" t="s">
        <v>2572</v>
      </c>
      <c r="J7327" t="s">
        <v>668</v>
      </c>
      <c r="K7327" s="3">
        <v>10038808439</v>
      </c>
      <c r="L7327" s="10">
        <v>39846</v>
      </c>
      <c r="M7327">
        <v>49.81</v>
      </c>
      <c r="N7327" s="11">
        <v>6</v>
      </c>
      <c r="O7327" s="12">
        <v>7.64</v>
      </c>
      <c r="P7327" s="12">
        <v>5.83</v>
      </c>
      <c r="Q7327" s="13">
        <v>-16.95</v>
      </c>
      <c r="R7327" s="36" t="s">
        <v>1375</v>
      </c>
      <c r="S7327" s="7">
        <f t="shared" si="644"/>
        <v>2</v>
      </c>
      <c r="T7327" s="15" t="str">
        <f>VLOOKUP(R7327,产品分类!$C$2:$D$1278,2,0)</f>
        <v>办公用品</v>
      </c>
    </row>
    <row r="7328" spans="1:20">
      <c r="A7328" s="8">
        <f>DATE(2012,12,31)-1430</f>
        <v>39844</v>
      </c>
      <c r="B7328" s="8">
        <f>DATE(2012,12,31)-1430</f>
        <v>39844</v>
      </c>
      <c r="C7328" s="9" t="s">
        <v>2079</v>
      </c>
      <c r="D7328">
        <v>10021655440</v>
      </c>
      <c r="E7328" t="s">
        <v>47</v>
      </c>
      <c r="F7328" t="s">
        <v>78</v>
      </c>
      <c r="G7328" t="s">
        <v>79</v>
      </c>
      <c r="H7328" t="s">
        <v>80</v>
      </c>
      <c r="I7328" t="s">
        <v>81</v>
      </c>
      <c r="J7328" t="s">
        <v>668</v>
      </c>
      <c r="K7328" s="3">
        <v>100933258721</v>
      </c>
      <c r="L7328" s="10">
        <v>39845</v>
      </c>
      <c r="M7328">
        <v>9141.64</v>
      </c>
      <c r="N7328" s="11">
        <v>40</v>
      </c>
      <c r="O7328" s="12">
        <v>218.75</v>
      </c>
      <c r="P7328" s="12">
        <v>69.64</v>
      </c>
      <c r="Q7328" s="13">
        <v>-528.653125</v>
      </c>
      <c r="R7328" s="36" t="s">
        <v>1125</v>
      </c>
      <c r="S7328" s="7">
        <f t="shared" si="644"/>
        <v>1</v>
      </c>
      <c r="T7328" s="15" t="str">
        <f>VLOOKUP(R7328,产品分类!$C$2:$D$1278,2,0)</f>
        <v>家具产品</v>
      </c>
    </row>
    <row r="7329" spans="1:20">
      <c r="A7329" s="16">
        <f>DATE(2012,12,31)-104</f>
        <v>41170</v>
      </c>
      <c r="B7329" s="16">
        <f>DATE(2012,12,31)-104</f>
        <v>41170</v>
      </c>
      <c r="C7329" s="9" t="s">
        <v>2079</v>
      </c>
      <c r="D7329">
        <v>10021716879</v>
      </c>
      <c r="E7329" t="s">
        <v>47</v>
      </c>
      <c r="F7329" t="s">
        <v>2517</v>
      </c>
      <c r="G7329" t="s">
        <v>2518</v>
      </c>
      <c r="H7329" t="s">
        <v>2587</v>
      </c>
      <c r="I7329" t="s">
        <v>2588</v>
      </c>
      <c r="J7329" t="s">
        <v>668</v>
      </c>
      <c r="K7329" s="3">
        <v>100113918396</v>
      </c>
      <c r="L7329" s="10">
        <v>41171</v>
      </c>
      <c r="M7329">
        <v>3500.49</v>
      </c>
      <c r="N7329" s="17">
        <v>32</v>
      </c>
      <c r="O7329" s="5">
        <v>111.03</v>
      </c>
      <c r="P7329" s="5">
        <v>8.64</v>
      </c>
      <c r="Q7329" s="6">
        <v>230.64</v>
      </c>
      <c r="R7329" s="37" t="s">
        <v>1702</v>
      </c>
      <c r="S7329" s="7">
        <f t="shared" si="644"/>
        <v>1</v>
      </c>
      <c r="T7329" s="15" t="str">
        <f>VLOOKUP(R7329,产品分类!$C$2:$D$1278,2,0)</f>
        <v>办公用品</v>
      </c>
    </row>
    <row r="7330" spans="1:20">
      <c r="A7330" s="8">
        <f>DATE(2012,12,31)-630</f>
        <v>40644</v>
      </c>
      <c r="B7330" s="8">
        <f>DATE(2012,12,31)-630</f>
        <v>40644</v>
      </c>
      <c r="C7330" s="9" t="s">
        <v>1992</v>
      </c>
      <c r="D7330">
        <v>10021642705</v>
      </c>
      <c r="E7330" t="s">
        <v>47</v>
      </c>
      <c r="F7330" t="s">
        <v>61</v>
      </c>
      <c r="G7330" t="s">
        <v>62</v>
      </c>
      <c r="H7330" t="s">
        <v>2571</v>
      </c>
      <c r="I7330" t="s">
        <v>2572</v>
      </c>
      <c r="J7330" t="s">
        <v>668</v>
      </c>
      <c r="K7330" s="3">
        <v>10014318428</v>
      </c>
      <c r="L7330" s="10">
        <v>40646</v>
      </c>
      <c r="M7330">
        <v>1734.4</v>
      </c>
      <c r="N7330" s="11">
        <v>49</v>
      </c>
      <c r="O7330" s="12">
        <v>35.41</v>
      </c>
      <c r="P7330" s="12">
        <v>1.99</v>
      </c>
      <c r="Q7330" s="13">
        <v>749.16</v>
      </c>
      <c r="R7330" s="36" t="s">
        <v>120</v>
      </c>
      <c r="S7330" s="7">
        <f t="shared" si="644"/>
        <v>2</v>
      </c>
      <c r="T7330" s="15" t="str">
        <f>VLOOKUP(R7330,产品分类!$C$2:$D$1278,2,0)</f>
        <v>家具产品</v>
      </c>
    </row>
    <row r="7331" spans="1:20">
      <c r="A7331" s="8">
        <f>DATE(2012,12,31)-630</f>
        <v>40644</v>
      </c>
      <c r="B7331" s="8">
        <f>DATE(2012,12,31)-630</f>
        <v>40644</v>
      </c>
      <c r="C7331" s="9" t="s">
        <v>2341</v>
      </c>
      <c r="D7331">
        <v>10021360699</v>
      </c>
      <c r="E7331" t="s">
        <v>47</v>
      </c>
      <c r="F7331" t="s">
        <v>253</v>
      </c>
      <c r="G7331" t="s">
        <v>254</v>
      </c>
      <c r="H7331" t="s">
        <v>2579</v>
      </c>
      <c r="I7331" t="s">
        <v>2580</v>
      </c>
      <c r="J7331" t="s">
        <v>668</v>
      </c>
      <c r="K7331" s="3">
        <v>100132857988</v>
      </c>
      <c r="L7331" s="10">
        <v>40645</v>
      </c>
      <c r="M7331">
        <v>1128.03</v>
      </c>
      <c r="N7331" s="11">
        <v>25</v>
      </c>
      <c r="O7331" s="12">
        <v>42.76</v>
      </c>
      <c r="P7331" s="12">
        <v>6.22</v>
      </c>
      <c r="Q7331" s="13">
        <v>256.3</v>
      </c>
      <c r="R7331" s="36" t="s">
        <v>1341</v>
      </c>
      <c r="S7331" s="7">
        <f t="shared" si="644"/>
        <v>1</v>
      </c>
      <c r="T7331" s="15" t="str">
        <f>VLOOKUP(R7331,产品分类!$C$2:$D$1278,2,0)</f>
        <v>办公用品</v>
      </c>
    </row>
    <row r="7332" spans="1:20">
      <c r="A7332" s="8">
        <f>DATE(2012,12,31)-843</f>
        <v>40431</v>
      </c>
      <c r="B7332" s="8">
        <f>DATE(2012,12,31)-843</f>
        <v>40431</v>
      </c>
      <c r="C7332" s="9" t="s">
        <v>1941</v>
      </c>
      <c r="D7332">
        <v>10021752320</v>
      </c>
      <c r="E7332" t="s">
        <v>47</v>
      </c>
      <c r="F7332" t="s">
        <v>66</v>
      </c>
      <c r="G7332" t="s">
        <v>67</v>
      </c>
      <c r="H7332" t="s">
        <v>2584</v>
      </c>
      <c r="I7332" t="s">
        <v>2585</v>
      </c>
      <c r="J7332" t="s">
        <v>668</v>
      </c>
      <c r="K7332" s="3">
        <v>100831969912</v>
      </c>
      <c r="L7332" s="10">
        <v>40432</v>
      </c>
      <c r="M7332">
        <v>6767.43</v>
      </c>
      <c r="N7332" s="11">
        <v>22</v>
      </c>
      <c r="O7332" s="12">
        <v>320.98</v>
      </c>
      <c r="P7332" s="12">
        <v>58.95</v>
      </c>
      <c r="Q7332" s="13">
        <v>803.48</v>
      </c>
      <c r="R7332" s="36" t="s">
        <v>1875</v>
      </c>
      <c r="S7332" s="7">
        <f t="shared" si="644"/>
        <v>1</v>
      </c>
      <c r="T7332" s="15" t="str">
        <f>VLOOKUP(R7332,产品分类!$C$2:$D$1278,2,0)</f>
        <v>家具产品</v>
      </c>
    </row>
    <row r="7333" spans="1:20">
      <c r="A7333" s="8">
        <f>DATE(2012,12,31)-888</f>
        <v>40386</v>
      </c>
      <c r="B7333" s="8">
        <f>DATE(2012,12,31)-888</f>
        <v>40386</v>
      </c>
      <c r="C7333" s="9" t="s">
        <v>341</v>
      </c>
      <c r="D7333">
        <v>10021462484</v>
      </c>
      <c r="E7333" t="s">
        <v>47</v>
      </c>
      <c r="F7333" t="s">
        <v>48</v>
      </c>
      <c r="G7333" t="s">
        <v>49</v>
      </c>
      <c r="H7333" t="s">
        <v>2539</v>
      </c>
      <c r="I7333" t="s">
        <v>2540</v>
      </c>
      <c r="J7333" t="s">
        <v>668</v>
      </c>
      <c r="K7333" s="3">
        <v>100121007028</v>
      </c>
      <c r="L7333" s="10">
        <v>40388</v>
      </c>
      <c r="M7333">
        <v>1020.88</v>
      </c>
      <c r="N7333" s="11">
        <v>47</v>
      </c>
      <c r="O7333" s="12">
        <v>22.72</v>
      </c>
      <c r="P7333" s="12">
        <v>8.99</v>
      </c>
      <c r="Q7333" s="13">
        <v>173.94</v>
      </c>
      <c r="R7333" s="36" t="s">
        <v>1125</v>
      </c>
      <c r="S7333" s="7">
        <f t="shared" si="644"/>
        <v>2</v>
      </c>
      <c r="T7333" s="15" t="str">
        <f>VLOOKUP(R7333,产品分类!$C$2:$D$1278,2,0)</f>
        <v>家具产品</v>
      </c>
    </row>
    <row r="7334" spans="1:20">
      <c r="A7334" s="8">
        <f>DATE(2012,12,31)-700</f>
        <v>40574</v>
      </c>
      <c r="B7334" s="8">
        <f>DATE(2012,12,31)-700</f>
        <v>40574</v>
      </c>
      <c r="C7334" s="9" t="s">
        <v>1541</v>
      </c>
      <c r="D7334">
        <v>10021663479</v>
      </c>
      <c r="E7334" t="s">
        <v>47</v>
      </c>
      <c r="F7334" t="s">
        <v>152</v>
      </c>
      <c r="G7334" t="s">
        <v>153</v>
      </c>
      <c r="H7334" t="s">
        <v>2536</v>
      </c>
      <c r="I7334" t="s">
        <v>2537</v>
      </c>
      <c r="J7334" t="s">
        <v>668</v>
      </c>
      <c r="K7334" s="3">
        <v>100123935288</v>
      </c>
      <c r="L7334" s="10">
        <v>40574</v>
      </c>
      <c r="M7334">
        <v>848.2</v>
      </c>
      <c r="N7334" s="11">
        <v>21</v>
      </c>
      <c r="O7334" s="12">
        <v>40.98</v>
      </c>
      <c r="P7334" s="12">
        <v>5.33</v>
      </c>
      <c r="Q7334" s="13">
        <v>163.78</v>
      </c>
      <c r="R7334" s="36" t="s">
        <v>652</v>
      </c>
      <c r="S7334" s="7">
        <f t="shared" si="644"/>
        <v>0</v>
      </c>
      <c r="T7334" s="15" t="str">
        <f>VLOOKUP(R7334,产品分类!$C$2:$D$1278,2,0)</f>
        <v>办公用品</v>
      </c>
    </row>
    <row r="7335" spans="1:20">
      <c r="A7335" s="8">
        <f>DATE(2012,12,31)-700</f>
        <v>40574</v>
      </c>
      <c r="B7335" s="8">
        <f>DATE(2012,12,31)-700</f>
        <v>40574</v>
      </c>
      <c r="C7335" s="9" t="s">
        <v>1321</v>
      </c>
      <c r="D7335">
        <v>10021446063</v>
      </c>
      <c r="E7335" t="s">
        <v>47</v>
      </c>
      <c r="F7335" t="s">
        <v>66</v>
      </c>
      <c r="G7335" t="s">
        <v>67</v>
      </c>
      <c r="H7335" t="s">
        <v>2584</v>
      </c>
      <c r="I7335" t="s">
        <v>2585</v>
      </c>
      <c r="J7335" t="s">
        <v>668</v>
      </c>
      <c r="K7335" s="3">
        <v>100816174272</v>
      </c>
      <c r="L7335" s="10">
        <v>40576</v>
      </c>
      <c r="M7335">
        <v>717.21</v>
      </c>
      <c r="N7335" s="11">
        <v>30</v>
      </c>
      <c r="O7335" s="12">
        <v>22.23</v>
      </c>
      <c r="P7335" s="12">
        <v>3.63</v>
      </c>
      <c r="Q7335" s="13">
        <v>217.06</v>
      </c>
      <c r="R7335" s="36" t="s">
        <v>2041</v>
      </c>
      <c r="S7335" s="7">
        <f t="shared" si="644"/>
        <v>2</v>
      </c>
      <c r="T7335" s="15" t="str">
        <f>VLOOKUP(R7335,产品分类!$C$2:$D$1278,2,0)</f>
        <v>办公用品</v>
      </c>
    </row>
    <row r="7336" spans="1:20">
      <c r="A7336" s="8">
        <f>DATE(2012,12,31)-727</f>
        <v>40547</v>
      </c>
      <c r="B7336" s="8">
        <f>DATE(2012,12,31)-727</f>
        <v>40547</v>
      </c>
      <c r="C7336" s="9" t="s">
        <v>1129</v>
      </c>
      <c r="D7336">
        <v>10021433667</v>
      </c>
      <c r="E7336" t="s">
        <v>47</v>
      </c>
      <c r="F7336" t="s">
        <v>152</v>
      </c>
      <c r="G7336" t="s">
        <v>153</v>
      </c>
      <c r="H7336" t="s">
        <v>2536</v>
      </c>
      <c r="I7336" t="s">
        <v>2537</v>
      </c>
      <c r="J7336" t="s">
        <v>668</v>
      </c>
      <c r="K7336" s="3">
        <v>100132627406</v>
      </c>
      <c r="L7336" s="10">
        <v>40548</v>
      </c>
      <c r="M7336">
        <v>11883.2</v>
      </c>
      <c r="N7336" s="11">
        <v>41</v>
      </c>
      <c r="O7336" s="12">
        <v>300.97</v>
      </c>
      <c r="P7336" s="12">
        <v>7.18</v>
      </c>
      <c r="Q7336" s="13">
        <v>4160.88</v>
      </c>
      <c r="R7336" s="36" t="s">
        <v>1337</v>
      </c>
      <c r="S7336" s="7">
        <f t="shared" si="644"/>
        <v>1</v>
      </c>
      <c r="T7336" s="15" t="str">
        <f>VLOOKUP(R7336,产品分类!$C$2:$D$1278,2,0)</f>
        <v>办公用品</v>
      </c>
    </row>
    <row r="7337" spans="1:20">
      <c r="A7337" s="8">
        <f>DATE(2012,12,31)-1309</f>
        <v>39965</v>
      </c>
      <c r="B7337" s="8">
        <f>DATE(2012,12,31)-1309</f>
        <v>39965</v>
      </c>
      <c r="C7337" s="9" t="s">
        <v>1129</v>
      </c>
      <c r="D7337">
        <v>10021417451</v>
      </c>
      <c r="E7337" t="s">
        <v>47</v>
      </c>
      <c r="F7337" t="s">
        <v>48</v>
      </c>
      <c r="G7337" t="s">
        <v>49</v>
      </c>
      <c r="H7337" t="s">
        <v>2539</v>
      </c>
      <c r="I7337" t="s">
        <v>2540</v>
      </c>
      <c r="J7337" t="s">
        <v>668</v>
      </c>
      <c r="K7337" s="3">
        <v>10093258831</v>
      </c>
      <c r="L7337" s="10">
        <v>39966</v>
      </c>
      <c r="M7337">
        <v>124.06</v>
      </c>
      <c r="N7337" s="11">
        <v>17</v>
      </c>
      <c r="O7337" s="12">
        <v>7.78</v>
      </c>
      <c r="P7337" s="12">
        <v>2.5</v>
      </c>
      <c r="Q7337" s="13">
        <v>15.74</v>
      </c>
      <c r="R7337" s="36" t="s">
        <v>1800</v>
      </c>
      <c r="S7337" s="7">
        <f t="shared" si="644"/>
        <v>1</v>
      </c>
      <c r="T7337" s="15" t="str">
        <f>VLOOKUP(R7337,产品分类!$C$2:$D$1278,2,0)</f>
        <v>办公用品</v>
      </c>
    </row>
    <row r="7338" spans="1:20">
      <c r="A7338" s="8">
        <f>DATE(2012,12,31)-543</f>
        <v>40731</v>
      </c>
      <c r="B7338" s="8">
        <f>DATE(2012,12,31)-543</f>
        <v>40731</v>
      </c>
      <c r="C7338" s="9" t="s">
        <v>222</v>
      </c>
      <c r="D7338">
        <v>10021266128</v>
      </c>
      <c r="E7338" t="s">
        <v>47</v>
      </c>
      <c r="F7338" t="s">
        <v>66</v>
      </c>
      <c r="G7338" t="s">
        <v>67</v>
      </c>
      <c r="H7338" t="s">
        <v>2584</v>
      </c>
      <c r="I7338" t="s">
        <v>2585</v>
      </c>
      <c r="J7338" t="s">
        <v>668</v>
      </c>
      <c r="K7338" s="3">
        <v>100112041598</v>
      </c>
      <c r="L7338" s="10">
        <v>40733</v>
      </c>
      <c r="M7338">
        <v>49.86</v>
      </c>
      <c r="N7338" s="11">
        <v>4</v>
      </c>
      <c r="O7338" s="12">
        <v>11.97</v>
      </c>
      <c r="P7338" s="12">
        <v>4.98</v>
      </c>
      <c r="Q7338" s="13">
        <v>-21.77</v>
      </c>
      <c r="R7338" s="36" t="s">
        <v>702</v>
      </c>
      <c r="S7338" s="7">
        <f t="shared" si="644"/>
        <v>2</v>
      </c>
      <c r="T7338" s="15" t="str">
        <f>VLOOKUP(R7338,产品分类!$C$2:$D$1278,2,0)</f>
        <v>办公用品</v>
      </c>
    </row>
    <row r="7339" spans="1:20">
      <c r="A7339" s="16">
        <f>DATE(2012,12,31)-543</f>
        <v>40731</v>
      </c>
      <c r="B7339" s="16">
        <f>DATE(2012,12,31)-543</f>
        <v>40731</v>
      </c>
      <c r="C7339" s="9" t="s">
        <v>222</v>
      </c>
      <c r="D7339">
        <v>10021269001</v>
      </c>
      <c r="E7339" t="s">
        <v>47</v>
      </c>
      <c r="F7339" t="s">
        <v>66</v>
      </c>
      <c r="G7339" t="s">
        <v>67</v>
      </c>
      <c r="H7339" t="s">
        <v>2584</v>
      </c>
      <c r="I7339" t="s">
        <v>2585</v>
      </c>
      <c r="J7339" t="s">
        <v>668</v>
      </c>
      <c r="K7339" s="3">
        <v>100432425103</v>
      </c>
      <c r="L7339" s="10">
        <v>40733</v>
      </c>
      <c r="M7339">
        <v>197.49</v>
      </c>
      <c r="N7339" s="17">
        <v>32</v>
      </c>
      <c r="O7339" s="5">
        <v>5.74</v>
      </c>
      <c r="P7339" s="5">
        <v>5.01</v>
      </c>
      <c r="Q7339" s="6">
        <v>-52.8425</v>
      </c>
      <c r="R7339" s="37" t="s">
        <v>1707</v>
      </c>
      <c r="S7339" s="7">
        <f t="shared" si="644"/>
        <v>2</v>
      </c>
      <c r="T7339" s="15" t="str">
        <f>VLOOKUP(R7339,产品分类!$C$2:$D$1278,2,0)</f>
        <v>办公用品</v>
      </c>
    </row>
    <row r="7340" spans="1:20">
      <c r="A7340" s="8">
        <f>DATE(2012,12,31)-361</f>
        <v>40913</v>
      </c>
      <c r="B7340" s="8">
        <f>DATE(2012,12,31)-361</f>
        <v>40913</v>
      </c>
      <c r="C7340" s="9" t="s">
        <v>477</v>
      </c>
      <c r="D7340">
        <v>10021424549</v>
      </c>
      <c r="E7340" t="s">
        <v>47</v>
      </c>
      <c r="F7340" t="s">
        <v>66</v>
      </c>
      <c r="G7340" t="s">
        <v>67</v>
      </c>
      <c r="H7340" t="s">
        <v>2584</v>
      </c>
      <c r="I7340" t="s">
        <v>2585</v>
      </c>
      <c r="J7340" t="s">
        <v>668</v>
      </c>
      <c r="K7340" s="3">
        <v>100927667021</v>
      </c>
      <c r="L7340" s="10">
        <v>40913</v>
      </c>
      <c r="M7340">
        <v>4962.05</v>
      </c>
      <c r="N7340" s="11">
        <v>50</v>
      </c>
      <c r="O7340" s="12">
        <v>119.99</v>
      </c>
      <c r="P7340" s="12">
        <v>56.14</v>
      </c>
      <c r="Q7340" s="13">
        <v>335.29</v>
      </c>
      <c r="R7340" s="36" t="s">
        <v>1025</v>
      </c>
      <c r="S7340" s="7">
        <f t="shared" si="644"/>
        <v>0</v>
      </c>
      <c r="T7340" s="15" t="str">
        <f>VLOOKUP(R7340,产品分类!$C$2:$D$1278,2,0)</f>
        <v>办公用品</v>
      </c>
    </row>
    <row r="7341" spans="1:20">
      <c r="A7341" s="8">
        <f>DATE(2012,12,31)-361</f>
        <v>40913</v>
      </c>
      <c r="B7341" s="8">
        <f>DATE(2012,12,31)-361</f>
        <v>40913</v>
      </c>
      <c r="C7341" s="9" t="s">
        <v>613</v>
      </c>
      <c r="D7341">
        <v>10021264850</v>
      </c>
      <c r="E7341" t="s">
        <v>47</v>
      </c>
      <c r="F7341" t="s">
        <v>66</v>
      </c>
      <c r="G7341" t="s">
        <v>67</v>
      </c>
      <c r="H7341" t="s">
        <v>2584</v>
      </c>
      <c r="I7341" t="s">
        <v>2585</v>
      </c>
      <c r="J7341" t="s">
        <v>668</v>
      </c>
      <c r="K7341" s="3">
        <v>100331231929</v>
      </c>
      <c r="L7341" s="10">
        <v>40916</v>
      </c>
      <c r="M7341">
        <v>192.39</v>
      </c>
      <c r="N7341" s="11">
        <v>19</v>
      </c>
      <c r="O7341" s="12">
        <v>10.23</v>
      </c>
      <c r="P7341" s="12">
        <v>4.68</v>
      </c>
      <c r="Q7341" s="13">
        <v>-31.67</v>
      </c>
      <c r="R7341" s="36" t="s">
        <v>738</v>
      </c>
      <c r="S7341" s="7">
        <f t="shared" si="644"/>
        <v>3</v>
      </c>
      <c r="T7341" s="15" t="str">
        <f>VLOOKUP(R7341,产品分类!$C$2:$D$1278,2,0)</f>
        <v>数码电子</v>
      </c>
    </row>
    <row r="7342" spans="1:20">
      <c r="A7342" s="8">
        <f>DATE(2012,12,31)-272</f>
        <v>41002</v>
      </c>
      <c r="B7342" s="8">
        <f>DATE(2012,12,31)-272</f>
        <v>41002</v>
      </c>
      <c r="C7342" s="9" t="s">
        <v>1448</v>
      </c>
      <c r="D7342">
        <v>10021364509</v>
      </c>
      <c r="E7342" t="s">
        <v>47</v>
      </c>
      <c r="F7342" t="s">
        <v>152</v>
      </c>
      <c r="G7342" t="s">
        <v>153</v>
      </c>
      <c r="H7342" t="s">
        <v>2536</v>
      </c>
      <c r="I7342" t="s">
        <v>2537</v>
      </c>
      <c r="J7342" t="s">
        <v>668</v>
      </c>
      <c r="K7342" s="3">
        <v>100114357406</v>
      </c>
      <c r="L7342" s="10">
        <v>41003</v>
      </c>
      <c r="M7342">
        <v>168.99</v>
      </c>
      <c r="N7342" s="11">
        <v>8</v>
      </c>
      <c r="O7342" s="12">
        <v>20.95</v>
      </c>
      <c r="P7342" s="12">
        <v>4</v>
      </c>
      <c r="Q7342" s="13">
        <v>-47.37</v>
      </c>
      <c r="R7342" s="36" t="s">
        <v>1540</v>
      </c>
      <c r="S7342" s="7">
        <f t="shared" si="644"/>
        <v>1</v>
      </c>
      <c r="T7342" s="15" t="str">
        <f>VLOOKUP(R7342,产品分类!$C$2:$D$1278,2,0)</f>
        <v>数码电子</v>
      </c>
    </row>
    <row r="7343" spans="1:20">
      <c r="A7343" s="8">
        <f>DATE(2012,12,31)-246</f>
        <v>41028</v>
      </c>
      <c r="B7343" s="8">
        <f>DATE(2012,12,31)-246</f>
        <v>41028</v>
      </c>
      <c r="C7343" s="9" t="s">
        <v>1592</v>
      </c>
      <c r="D7343">
        <v>10021657273</v>
      </c>
      <c r="E7343" t="s">
        <v>47</v>
      </c>
      <c r="F7343" t="s">
        <v>66</v>
      </c>
      <c r="G7343" t="s">
        <v>67</v>
      </c>
      <c r="H7343" t="s">
        <v>2584</v>
      </c>
      <c r="I7343" t="s">
        <v>2585</v>
      </c>
      <c r="J7343" t="s">
        <v>668</v>
      </c>
      <c r="K7343" s="3">
        <v>10011013627</v>
      </c>
      <c r="L7343" s="10">
        <v>41030</v>
      </c>
      <c r="M7343">
        <v>120.38</v>
      </c>
      <c r="N7343" s="11">
        <v>6</v>
      </c>
      <c r="O7343" s="12">
        <v>20.48</v>
      </c>
      <c r="P7343" s="12">
        <v>6.32</v>
      </c>
      <c r="Q7343" s="13">
        <v>-29.77</v>
      </c>
      <c r="R7343" s="36" t="s">
        <v>1802</v>
      </c>
      <c r="S7343" s="7">
        <f t="shared" si="644"/>
        <v>2</v>
      </c>
      <c r="T7343" s="15" t="str">
        <f>VLOOKUP(R7343,产品分类!$C$2:$D$1278,2,0)</f>
        <v>办公用品</v>
      </c>
    </row>
    <row r="7344" spans="1:20">
      <c r="A7344" s="8">
        <f>DATE(2012,12,31)-1374</f>
        <v>39900</v>
      </c>
      <c r="B7344" s="8">
        <f>DATE(2012,12,31)-1374</f>
        <v>39900</v>
      </c>
      <c r="C7344" s="9" t="s">
        <v>1592</v>
      </c>
      <c r="D7344">
        <v>10021737491</v>
      </c>
      <c r="E7344" t="s">
        <v>47</v>
      </c>
      <c r="F7344" t="s">
        <v>66</v>
      </c>
      <c r="G7344" t="s">
        <v>67</v>
      </c>
      <c r="H7344" t="s">
        <v>2584</v>
      </c>
      <c r="I7344" t="s">
        <v>2585</v>
      </c>
      <c r="J7344" t="s">
        <v>668</v>
      </c>
      <c r="K7344" s="3">
        <v>100110433946</v>
      </c>
      <c r="L7344" s="10">
        <v>39900</v>
      </c>
      <c r="M7344">
        <v>958.18</v>
      </c>
      <c r="N7344" s="11">
        <v>10</v>
      </c>
      <c r="O7344" s="12">
        <v>90.97</v>
      </c>
      <c r="P7344" s="12">
        <v>14</v>
      </c>
      <c r="Q7344" s="13">
        <v>126.81</v>
      </c>
      <c r="R7344" s="36" t="s">
        <v>1081</v>
      </c>
      <c r="S7344" s="7">
        <f t="shared" si="644"/>
        <v>0</v>
      </c>
      <c r="T7344" s="15" t="str">
        <f>VLOOKUP(R7344,产品分类!$C$2:$D$1278,2,0)</f>
        <v>办公用品</v>
      </c>
    </row>
    <row r="7345" spans="1:20">
      <c r="A7345" s="8">
        <f>DATE(2012,12,31)-665</f>
        <v>40609</v>
      </c>
      <c r="B7345" s="8">
        <f>DATE(2012,12,31)-665</f>
        <v>40609</v>
      </c>
      <c r="C7345" s="9" t="s">
        <v>551</v>
      </c>
      <c r="D7345">
        <v>10021285606</v>
      </c>
      <c r="E7345" t="s">
        <v>47</v>
      </c>
      <c r="F7345" t="s">
        <v>66</v>
      </c>
      <c r="G7345" t="s">
        <v>67</v>
      </c>
      <c r="H7345" t="s">
        <v>2584</v>
      </c>
      <c r="I7345" t="s">
        <v>2585</v>
      </c>
      <c r="J7345" t="s">
        <v>668</v>
      </c>
      <c r="K7345" s="3">
        <v>100124838258</v>
      </c>
      <c r="L7345" s="10">
        <v>40611</v>
      </c>
      <c r="M7345">
        <v>6230.68</v>
      </c>
      <c r="N7345" s="11">
        <v>38</v>
      </c>
      <c r="O7345" s="12">
        <v>217.85</v>
      </c>
      <c r="P7345" s="12">
        <v>29.1</v>
      </c>
      <c r="Q7345" s="13">
        <v>835.46</v>
      </c>
      <c r="R7345" s="36" t="s">
        <v>354</v>
      </c>
      <c r="S7345" s="7">
        <f t="shared" si="644"/>
        <v>2</v>
      </c>
      <c r="T7345" s="15" t="str">
        <f>VLOOKUP(R7345,产品分类!$C$2:$D$1278,2,0)</f>
        <v>办公用品</v>
      </c>
    </row>
    <row r="7346" spans="1:20">
      <c r="A7346" s="8">
        <f>DATE(2012,12,31)-665</f>
        <v>40609</v>
      </c>
      <c r="B7346" s="8">
        <f>DATE(2012,12,31)-665</f>
        <v>40609</v>
      </c>
      <c r="C7346" s="9" t="s">
        <v>407</v>
      </c>
      <c r="D7346">
        <v>10021263857</v>
      </c>
      <c r="E7346" t="s">
        <v>47</v>
      </c>
      <c r="F7346" t="s">
        <v>152</v>
      </c>
      <c r="G7346" t="s">
        <v>153</v>
      </c>
      <c r="H7346" t="s">
        <v>2589</v>
      </c>
      <c r="I7346" t="s">
        <v>2590</v>
      </c>
      <c r="J7346" t="s">
        <v>668</v>
      </c>
      <c r="K7346" s="3">
        <v>100730847675</v>
      </c>
      <c r="L7346" s="10">
        <v>40612</v>
      </c>
      <c r="M7346">
        <v>1391.816</v>
      </c>
      <c r="N7346" s="11">
        <v>8</v>
      </c>
      <c r="O7346" s="12">
        <v>209.37</v>
      </c>
      <c r="P7346" s="12">
        <v>69</v>
      </c>
      <c r="Q7346" s="13">
        <v>-344.82</v>
      </c>
      <c r="R7346" s="36" t="s">
        <v>1627</v>
      </c>
      <c r="S7346" s="7">
        <f t="shared" si="644"/>
        <v>3</v>
      </c>
      <c r="T7346" s="15" t="str">
        <f>VLOOKUP(R7346,产品分类!$C$2:$D$1278,2,0)</f>
        <v>办公用品</v>
      </c>
    </row>
    <row r="7347" spans="1:20">
      <c r="A7347" s="8">
        <f>DATE(2012,12,31)-125</f>
        <v>41149</v>
      </c>
      <c r="B7347" s="8">
        <f>DATE(2012,12,31)-125</f>
        <v>41149</v>
      </c>
      <c r="C7347" s="9" t="s">
        <v>2363</v>
      </c>
      <c r="D7347">
        <v>10021659056</v>
      </c>
      <c r="E7347" t="s">
        <v>47</v>
      </c>
      <c r="F7347" t="s">
        <v>208</v>
      </c>
      <c r="G7347" t="s">
        <v>209</v>
      </c>
      <c r="H7347" t="s">
        <v>2300</v>
      </c>
      <c r="I7347" t="s">
        <v>2301</v>
      </c>
      <c r="J7347" t="s">
        <v>668</v>
      </c>
      <c r="K7347" s="3">
        <v>100114359927</v>
      </c>
      <c r="L7347" s="10">
        <v>41151</v>
      </c>
      <c r="M7347">
        <v>367.09</v>
      </c>
      <c r="N7347" s="11">
        <v>16</v>
      </c>
      <c r="O7347" s="12">
        <v>22.98</v>
      </c>
      <c r="P7347" s="12">
        <v>1.99</v>
      </c>
      <c r="Q7347" s="13">
        <v>74.2</v>
      </c>
      <c r="R7347" s="36" t="s">
        <v>2282</v>
      </c>
      <c r="S7347" s="7">
        <f t="shared" si="644"/>
        <v>2</v>
      </c>
      <c r="T7347" s="15" t="str">
        <f>VLOOKUP(R7347,产品分类!$C$2:$D$1278,2,0)</f>
        <v>数码电子</v>
      </c>
    </row>
    <row r="7348" spans="1:20">
      <c r="A7348" s="8">
        <f>DATE(2012,12,31)-125</f>
        <v>41149</v>
      </c>
      <c r="B7348" s="8">
        <f>DATE(2012,12,31)-125</f>
        <v>41149</v>
      </c>
      <c r="C7348" s="9" t="s">
        <v>1006</v>
      </c>
      <c r="D7348">
        <v>10021346176</v>
      </c>
      <c r="E7348" t="s">
        <v>47</v>
      </c>
      <c r="F7348" t="s">
        <v>72</v>
      </c>
      <c r="G7348" t="s">
        <v>73</v>
      </c>
      <c r="H7348" t="s">
        <v>2558</v>
      </c>
      <c r="I7348" t="s">
        <v>2559</v>
      </c>
      <c r="J7348" t="s">
        <v>668</v>
      </c>
      <c r="K7348" s="3">
        <v>100930555831</v>
      </c>
      <c r="L7348" s="10">
        <v>41151</v>
      </c>
      <c r="M7348">
        <v>139.66</v>
      </c>
      <c r="N7348" s="11">
        <v>23</v>
      </c>
      <c r="O7348" s="12">
        <v>5.68</v>
      </c>
      <c r="P7348" s="12">
        <v>1.39</v>
      </c>
      <c r="Q7348" s="13">
        <v>46.69</v>
      </c>
      <c r="R7348" s="36" t="s">
        <v>878</v>
      </c>
      <c r="S7348" s="7">
        <f t="shared" si="644"/>
        <v>2</v>
      </c>
      <c r="T7348" s="15" t="str">
        <f>VLOOKUP(R7348,产品分类!$C$2:$D$1278,2,0)</f>
        <v>数码电子</v>
      </c>
    </row>
    <row r="7349" spans="1:20">
      <c r="A7349" s="8">
        <f>DATE(2012,12,31)-1440</f>
        <v>39834</v>
      </c>
      <c r="B7349" s="8">
        <f>DATE(2012,12,31)-1440</f>
        <v>39834</v>
      </c>
      <c r="C7349" s="9" t="s">
        <v>2071</v>
      </c>
      <c r="D7349">
        <v>10021669638</v>
      </c>
      <c r="E7349" t="s">
        <v>47</v>
      </c>
      <c r="F7349" t="s">
        <v>72</v>
      </c>
      <c r="G7349" t="s">
        <v>73</v>
      </c>
      <c r="H7349" t="s">
        <v>2591</v>
      </c>
      <c r="I7349" t="s">
        <v>2592</v>
      </c>
      <c r="J7349" t="s">
        <v>668</v>
      </c>
      <c r="K7349" s="3">
        <v>100129847398</v>
      </c>
      <c r="L7349" s="10">
        <v>39838</v>
      </c>
      <c r="M7349">
        <v>147.71</v>
      </c>
      <c r="N7349" s="11">
        <v>36</v>
      </c>
      <c r="O7349" s="12">
        <v>3.98</v>
      </c>
      <c r="P7349" s="12">
        <v>0.7</v>
      </c>
      <c r="Q7349" s="13">
        <v>40.04</v>
      </c>
      <c r="R7349" s="36" t="s">
        <v>505</v>
      </c>
      <c r="S7349" s="7">
        <f t="shared" si="644"/>
        <v>4</v>
      </c>
      <c r="T7349" s="15" t="str">
        <f>VLOOKUP(R7349,产品分类!$C$2:$D$1278,2,0)</f>
        <v>家具产品</v>
      </c>
    </row>
    <row r="7350" spans="1:20">
      <c r="A7350" s="8">
        <f>DATE(2012,12,31)-616</f>
        <v>40658</v>
      </c>
      <c r="B7350" s="8">
        <f>DATE(2012,12,31)-616</f>
        <v>40658</v>
      </c>
      <c r="C7350" s="9" t="s">
        <v>2071</v>
      </c>
      <c r="D7350">
        <v>10021257526</v>
      </c>
      <c r="E7350" t="s">
        <v>47</v>
      </c>
      <c r="F7350" t="s">
        <v>72</v>
      </c>
      <c r="G7350" t="s">
        <v>73</v>
      </c>
      <c r="H7350" t="s">
        <v>2591</v>
      </c>
      <c r="I7350" t="s">
        <v>2592</v>
      </c>
      <c r="J7350" t="s">
        <v>668</v>
      </c>
      <c r="K7350" s="3">
        <v>100126410926</v>
      </c>
      <c r="L7350" s="10">
        <v>40658</v>
      </c>
      <c r="M7350">
        <v>24.95</v>
      </c>
      <c r="N7350" s="11">
        <v>11</v>
      </c>
      <c r="O7350" s="12">
        <v>2.18</v>
      </c>
      <c r="P7350" s="12">
        <v>1.38</v>
      </c>
      <c r="Q7350" s="13">
        <v>-5.14</v>
      </c>
      <c r="R7350" s="36" t="s">
        <v>1648</v>
      </c>
      <c r="S7350" s="7">
        <f t="shared" si="644"/>
        <v>0</v>
      </c>
      <c r="T7350" s="15" t="str">
        <f>VLOOKUP(R7350,产品分类!$C$2:$D$1278,2,0)</f>
        <v>办公用品</v>
      </c>
    </row>
    <row r="7351" spans="1:20">
      <c r="A7351" s="16">
        <f>DATE(2012,12,31)-1169</f>
        <v>40105</v>
      </c>
      <c r="B7351" s="16">
        <f>DATE(2012,12,31)-1169</f>
        <v>40105</v>
      </c>
      <c r="C7351" s="9" t="s">
        <v>945</v>
      </c>
      <c r="D7351">
        <v>10021589767</v>
      </c>
      <c r="E7351" t="s">
        <v>47</v>
      </c>
      <c r="F7351" t="s">
        <v>72</v>
      </c>
      <c r="G7351" t="s">
        <v>73</v>
      </c>
      <c r="H7351" t="s">
        <v>2591</v>
      </c>
      <c r="I7351" t="s">
        <v>2592</v>
      </c>
      <c r="J7351" t="s">
        <v>668</v>
      </c>
      <c r="K7351" s="3">
        <v>100931209961</v>
      </c>
      <c r="L7351" s="10">
        <v>40109</v>
      </c>
      <c r="M7351">
        <v>67.22</v>
      </c>
      <c r="N7351" s="17">
        <v>4</v>
      </c>
      <c r="O7351" s="5">
        <v>4.48</v>
      </c>
      <c r="P7351" s="5">
        <v>49</v>
      </c>
      <c r="Q7351" s="6">
        <v>-139.53</v>
      </c>
      <c r="R7351" s="37" t="s">
        <v>1102</v>
      </c>
      <c r="S7351" s="7">
        <f t="shared" si="644"/>
        <v>4</v>
      </c>
      <c r="T7351" s="15" t="str">
        <f>VLOOKUP(R7351,产品分类!$C$2:$D$1278,2,0)</f>
        <v>家具产品</v>
      </c>
    </row>
    <row r="7352" spans="1:20">
      <c r="A7352" s="8">
        <f>DATE(2012,12,31)-1169</f>
        <v>40105</v>
      </c>
      <c r="B7352" s="8">
        <f>DATE(2012,12,31)-1169</f>
        <v>40105</v>
      </c>
      <c r="C7352" s="9" t="s">
        <v>562</v>
      </c>
      <c r="D7352">
        <v>10021370829</v>
      </c>
      <c r="E7352" t="s">
        <v>47</v>
      </c>
      <c r="F7352" t="s">
        <v>72</v>
      </c>
      <c r="G7352" t="s">
        <v>73</v>
      </c>
      <c r="H7352" t="s">
        <v>2591</v>
      </c>
      <c r="I7352" t="s">
        <v>2592</v>
      </c>
      <c r="J7352" t="s">
        <v>668</v>
      </c>
      <c r="K7352" s="3">
        <v>100331341819</v>
      </c>
      <c r="L7352" s="10">
        <v>40109</v>
      </c>
      <c r="M7352">
        <v>76.85</v>
      </c>
      <c r="N7352" s="11">
        <v>18</v>
      </c>
      <c r="O7352" s="12">
        <v>4.24</v>
      </c>
      <c r="P7352" s="12">
        <v>5.41</v>
      </c>
      <c r="Q7352" s="13">
        <v>-64.078</v>
      </c>
      <c r="R7352" s="36" t="s">
        <v>1989</v>
      </c>
      <c r="S7352" s="7">
        <f t="shared" si="644"/>
        <v>4</v>
      </c>
      <c r="T7352" s="15" t="str">
        <f>VLOOKUP(R7352,产品分类!$C$2:$D$1278,2,0)</f>
        <v>家具产品</v>
      </c>
    </row>
    <row r="7353" spans="1:20">
      <c r="A7353" s="8">
        <f>DATE(2012,12,31)-730</f>
        <v>40544</v>
      </c>
      <c r="B7353" s="8">
        <f>DATE(2012,12,31)-730</f>
        <v>40544</v>
      </c>
      <c r="C7353" s="9" t="s">
        <v>2247</v>
      </c>
      <c r="D7353">
        <v>10021461380</v>
      </c>
      <c r="E7353" t="s">
        <v>47</v>
      </c>
      <c r="F7353" t="s">
        <v>72</v>
      </c>
      <c r="G7353" t="s">
        <v>73</v>
      </c>
      <c r="H7353" t="s">
        <v>2591</v>
      </c>
      <c r="I7353" t="s">
        <v>2592</v>
      </c>
      <c r="J7353" t="s">
        <v>668</v>
      </c>
      <c r="K7353" s="3">
        <v>100415248343</v>
      </c>
      <c r="L7353" s="10">
        <v>40547</v>
      </c>
      <c r="M7353">
        <v>1163.75</v>
      </c>
      <c r="N7353" s="11">
        <v>18</v>
      </c>
      <c r="O7353" s="12">
        <v>63.98</v>
      </c>
      <c r="P7353" s="12">
        <v>19.99</v>
      </c>
      <c r="Q7353" s="13">
        <v>222.173</v>
      </c>
      <c r="R7353" s="36" t="s">
        <v>993</v>
      </c>
      <c r="S7353" s="7">
        <f t="shared" si="644"/>
        <v>3</v>
      </c>
      <c r="T7353" s="15" t="str">
        <f>VLOOKUP(R7353,产品分类!$C$2:$D$1278,2,0)</f>
        <v>数码电子</v>
      </c>
    </row>
    <row r="7354" spans="1:20">
      <c r="A7354" s="8">
        <f>DATE(2012,12,31)-815</f>
        <v>40459</v>
      </c>
      <c r="B7354" s="8">
        <f>DATE(2012,12,31)-815</f>
        <v>40459</v>
      </c>
      <c r="C7354" s="9" t="s">
        <v>598</v>
      </c>
      <c r="D7354">
        <v>10021423343</v>
      </c>
      <c r="E7354" t="s">
        <v>47</v>
      </c>
      <c r="F7354" t="s">
        <v>230</v>
      </c>
      <c r="G7354" t="s">
        <v>231</v>
      </c>
      <c r="H7354" t="s">
        <v>2549</v>
      </c>
      <c r="I7354" t="s">
        <v>2550</v>
      </c>
      <c r="J7354" t="s">
        <v>668</v>
      </c>
      <c r="K7354" s="3">
        <v>100127800256</v>
      </c>
      <c r="L7354" s="10">
        <v>40461</v>
      </c>
      <c r="M7354">
        <v>834.2155</v>
      </c>
      <c r="N7354" s="11">
        <v>6</v>
      </c>
      <c r="O7354" s="12">
        <v>155.99</v>
      </c>
      <c r="P7354" s="12">
        <v>8.08</v>
      </c>
      <c r="Q7354" s="13">
        <v>-449.416</v>
      </c>
      <c r="R7354" s="36" t="s">
        <v>2147</v>
      </c>
      <c r="S7354" s="7">
        <f t="shared" si="644"/>
        <v>2</v>
      </c>
      <c r="T7354" s="15" t="str">
        <f>VLOOKUP(R7354,产品分类!$C$2:$D$1278,2,0)</f>
        <v>办公用品</v>
      </c>
    </row>
    <row r="7355" spans="1:20">
      <c r="A7355" s="8">
        <f t="shared" ref="A7355:B7357" si="645">DATE(2012,12,31)-566</f>
        <v>40708</v>
      </c>
      <c r="B7355" s="8">
        <f t="shared" si="645"/>
        <v>40708</v>
      </c>
      <c r="C7355" s="9" t="s">
        <v>598</v>
      </c>
      <c r="D7355">
        <v>10021248608</v>
      </c>
      <c r="E7355" t="s">
        <v>47</v>
      </c>
      <c r="F7355" t="s">
        <v>78</v>
      </c>
      <c r="G7355" t="s">
        <v>79</v>
      </c>
      <c r="H7355" t="s">
        <v>80</v>
      </c>
      <c r="I7355" t="s">
        <v>81</v>
      </c>
      <c r="J7355" t="s">
        <v>668</v>
      </c>
      <c r="K7355" s="3">
        <v>10073202355</v>
      </c>
      <c r="L7355" s="10">
        <v>40712</v>
      </c>
      <c r="M7355">
        <v>742.84</v>
      </c>
      <c r="N7355" s="11">
        <v>9</v>
      </c>
      <c r="O7355" s="12">
        <v>70.98</v>
      </c>
      <c r="P7355" s="12">
        <v>59.81</v>
      </c>
      <c r="Q7355" s="13">
        <v>-320.7</v>
      </c>
      <c r="R7355" s="36" t="s">
        <v>844</v>
      </c>
      <c r="S7355" s="7">
        <f t="shared" si="644"/>
        <v>4</v>
      </c>
      <c r="T7355" s="15" t="str">
        <f>VLOOKUP(R7355,产品分类!$C$2:$D$1278,2,0)</f>
        <v>办公用品</v>
      </c>
    </row>
    <row r="7356" spans="1:20">
      <c r="A7356" s="8">
        <f t="shared" si="645"/>
        <v>40708</v>
      </c>
      <c r="B7356" s="8">
        <f t="shared" si="645"/>
        <v>40708</v>
      </c>
      <c r="C7356" s="9" t="s">
        <v>1606</v>
      </c>
      <c r="D7356">
        <v>10021627289</v>
      </c>
      <c r="E7356" t="s">
        <v>47</v>
      </c>
      <c r="F7356" t="s">
        <v>78</v>
      </c>
      <c r="G7356" t="s">
        <v>79</v>
      </c>
      <c r="H7356" t="s">
        <v>80</v>
      </c>
      <c r="I7356" t="s">
        <v>81</v>
      </c>
      <c r="J7356" t="s">
        <v>668</v>
      </c>
      <c r="K7356" s="3">
        <v>100729284195</v>
      </c>
      <c r="L7356" s="10">
        <v>40715</v>
      </c>
      <c r="M7356">
        <v>2070.68</v>
      </c>
      <c r="N7356" s="11">
        <v>14</v>
      </c>
      <c r="O7356" s="12">
        <v>152.48</v>
      </c>
      <c r="P7356" s="12">
        <v>4</v>
      </c>
      <c r="Q7356" s="13">
        <v>-281.67</v>
      </c>
      <c r="R7356" s="36" t="s">
        <v>202</v>
      </c>
      <c r="S7356" s="7">
        <f t="shared" si="644"/>
        <v>7</v>
      </c>
      <c r="T7356" s="15" t="str">
        <f>VLOOKUP(R7356,产品分类!$C$2:$D$1278,2,0)</f>
        <v>办公用品</v>
      </c>
    </row>
    <row r="7357" spans="1:20">
      <c r="A7357" s="8">
        <f t="shared" si="645"/>
        <v>40708</v>
      </c>
      <c r="B7357" s="8">
        <f t="shared" si="645"/>
        <v>40708</v>
      </c>
      <c r="C7357" s="9" t="s">
        <v>1606</v>
      </c>
      <c r="D7357">
        <v>10021692580</v>
      </c>
      <c r="E7357" t="s">
        <v>47</v>
      </c>
      <c r="F7357" t="s">
        <v>230</v>
      </c>
      <c r="G7357" t="s">
        <v>231</v>
      </c>
      <c r="H7357" t="s">
        <v>2549</v>
      </c>
      <c r="I7357" t="s">
        <v>2550</v>
      </c>
      <c r="J7357" t="s">
        <v>668</v>
      </c>
      <c r="K7357" s="3">
        <v>100913727911</v>
      </c>
      <c r="L7357" s="10">
        <v>40715</v>
      </c>
      <c r="M7357">
        <v>764.13</v>
      </c>
      <c r="N7357" s="11">
        <v>15</v>
      </c>
      <c r="O7357" s="12">
        <v>55.98</v>
      </c>
      <c r="P7357" s="12">
        <v>4.86</v>
      </c>
      <c r="Q7357" s="13">
        <v>276.98</v>
      </c>
      <c r="R7357" s="36" t="s">
        <v>456</v>
      </c>
      <c r="S7357" s="7">
        <f t="shared" si="644"/>
        <v>7</v>
      </c>
      <c r="T7357" s="15" t="str">
        <f>VLOOKUP(R7357,产品分类!$C$2:$D$1278,2,0)</f>
        <v>办公用品</v>
      </c>
    </row>
    <row r="7358" spans="1:20">
      <c r="A7358" s="8">
        <f>DATE(2012,12,31)-299</f>
        <v>40975</v>
      </c>
      <c r="B7358" s="8">
        <f>DATE(2012,12,31)-299</f>
        <v>40975</v>
      </c>
      <c r="C7358" s="9" t="s">
        <v>2025</v>
      </c>
      <c r="D7358">
        <v>10021624927</v>
      </c>
      <c r="E7358" t="s">
        <v>47</v>
      </c>
      <c r="F7358" t="s">
        <v>2517</v>
      </c>
      <c r="G7358" t="s">
        <v>2518</v>
      </c>
      <c r="H7358" t="s">
        <v>2587</v>
      </c>
      <c r="I7358" t="s">
        <v>2588</v>
      </c>
      <c r="J7358" t="s">
        <v>668</v>
      </c>
      <c r="K7358" s="3">
        <v>100925611771</v>
      </c>
      <c r="L7358" s="10">
        <v>40980</v>
      </c>
      <c r="M7358">
        <v>64.34</v>
      </c>
      <c r="N7358" s="11">
        <v>11</v>
      </c>
      <c r="O7358" s="12">
        <v>5.85</v>
      </c>
      <c r="P7358" s="12">
        <v>2.27</v>
      </c>
      <c r="Q7358" s="13">
        <v>-8.37</v>
      </c>
      <c r="R7358" s="36" t="s">
        <v>1646</v>
      </c>
      <c r="S7358" s="7">
        <f t="shared" si="644"/>
        <v>5</v>
      </c>
      <c r="T7358" s="15" t="str">
        <f>VLOOKUP(R7358,产品分类!$C$2:$D$1278,2,0)</f>
        <v>数码电子</v>
      </c>
    </row>
    <row r="7359" spans="1:20">
      <c r="A7359" s="8">
        <f>DATE(2012,12,31)-299</f>
        <v>40975</v>
      </c>
      <c r="B7359" s="8">
        <f>DATE(2012,12,31)-299</f>
        <v>40975</v>
      </c>
      <c r="C7359" s="9" t="s">
        <v>1823</v>
      </c>
      <c r="D7359">
        <v>10021452654</v>
      </c>
      <c r="E7359" t="s">
        <v>47</v>
      </c>
      <c r="F7359" t="s">
        <v>2517</v>
      </c>
      <c r="G7359" t="s">
        <v>2518</v>
      </c>
      <c r="H7359" t="s">
        <v>2587</v>
      </c>
      <c r="I7359" t="s">
        <v>2588</v>
      </c>
      <c r="J7359" t="s">
        <v>668</v>
      </c>
      <c r="K7359" s="3">
        <v>100410226144</v>
      </c>
      <c r="L7359" s="10">
        <v>40984</v>
      </c>
      <c r="M7359">
        <v>693.02</v>
      </c>
      <c r="N7359" s="11">
        <v>10</v>
      </c>
      <c r="O7359" s="12">
        <v>70.97</v>
      </c>
      <c r="P7359" s="12">
        <v>3.5</v>
      </c>
      <c r="Q7359" s="13">
        <v>97.36</v>
      </c>
      <c r="R7359" s="36" t="s">
        <v>1051</v>
      </c>
      <c r="S7359" s="7">
        <f t="shared" si="644"/>
        <v>9</v>
      </c>
      <c r="T7359" s="15" t="str">
        <f>VLOOKUP(R7359,产品分类!$C$2:$D$1278,2,0)</f>
        <v>家具产品</v>
      </c>
    </row>
    <row r="7360" spans="1:20">
      <c r="A7360" s="8">
        <f>DATE(2012,12,31)-723</f>
        <v>40551</v>
      </c>
      <c r="B7360" s="8">
        <f>DATE(2012,12,31)-723</f>
        <v>40551</v>
      </c>
      <c r="C7360" s="9" t="s">
        <v>1823</v>
      </c>
      <c r="D7360">
        <v>10021622817</v>
      </c>
      <c r="E7360" t="s">
        <v>47</v>
      </c>
      <c r="F7360" t="s">
        <v>55</v>
      </c>
      <c r="G7360" t="s">
        <v>56</v>
      </c>
      <c r="H7360" t="s">
        <v>2471</v>
      </c>
      <c r="I7360" t="s">
        <v>2472</v>
      </c>
      <c r="J7360" t="s">
        <v>668</v>
      </c>
      <c r="K7360" s="3">
        <v>100119163497</v>
      </c>
      <c r="L7360" s="10">
        <v>40556</v>
      </c>
      <c r="M7360">
        <v>1499.5275</v>
      </c>
      <c r="N7360" s="11">
        <v>29</v>
      </c>
      <c r="O7360" s="12">
        <v>65.99</v>
      </c>
      <c r="P7360" s="12">
        <v>5.26</v>
      </c>
      <c r="Q7360" s="13">
        <v>188.982</v>
      </c>
      <c r="R7360" s="36" t="s">
        <v>296</v>
      </c>
      <c r="S7360" s="7">
        <f t="shared" si="644"/>
        <v>5</v>
      </c>
      <c r="T7360" s="15" t="str">
        <f>VLOOKUP(R7360,产品分类!$C$2:$D$1278,2,0)</f>
        <v>家具产品</v>
      </c>
    </row>
    <row r="7361" spans="1:20">
      <c r="A7361" s="8">
        <f>DATE(2012,12,31)-237</f>
        <v>41037</v>
      </c>
      <c r="B7361" s="8">
        <f>DATE(2012,12,31)-237</f>
        <v>41037</v>
      </c>
      <c r="C7361" s="9" t="s">
        <v>1191</v>
      </c>
      <c r="D7361">
        <v>10021740328</v>
      </c>
      <c r="E7361" t="s">
        <v>47</v>
      </c>
      <c r="F7361" t="s">
        <v>91</v>
      </c>
      <c r="G7361" t="s">
        <v>92</v>
      </c>
      <c r="H7361" t="s">
        <v>2573</v>
      </c>
      <c r="I7361" t="s">
        <v>2574</v>
      </c>
      <c r="J7361" t="s">
        <v>668</v>
      </c>
      <c r="K7361" s="3">
        <v>100119314048</v>
      </c>
      <c r="L7361" s="10">
        <v>41038</v>
      </c>
      <c r="M7361">
        <v>2045.066</v>
      </c>
      <c r="N7361" s="11">
        <v>14</v>
      </c>
      <c r="O7361" s="12">
        <v>175.99</v>
      </c>
      <c r="P7361" s="12">
        <v>8.99</v>
      </c>
      <c r="Q7361" s="13">
        <v>-4.675</v>
      </c>
      <c r="R7361" s="36" t="s">
        <v>310</v>
      </c>
      <c r="S7361" s="7">
        <f t="shared" si="644"/>
        <v>1</v>
      </c>
      <c r="T7361" s="15" t="str">
        <f>VLOOKUP(R7361,产品分类!$C$2:$D$1278,2,0)</f>
        <v>办公用品</v>
      </c>
    </row>
    <row r="7362" spans="1:20">
      <c r="A7362" s="8">
        <f>DATE(2012,12,31)-237</f>
        <v>41037</v>
      </c>
      <c r="B7362" s="8">
        <f>DATE(2012,12,31)-237</f>
        <v>41037</v>
      </c>
      <c r="C7362" s="9" t="s">
        <v>145</v>
      </c>
      <c r="D7362">
        <v>10021255091</v>
      </c>
      <c r="E7362" t="s">
        <v>47</v>
      </c>
      <c r="F7362" t="s">
        <v>91</v>
      </c>
      <c r="G7362" t="s">
        <v>92</v>
      </c>
      <c r="H7362" t="s">
        <v>2573</v>
      </c>
      <c r="I7362" t="s">
        <v>2574</v>
      </c>
      <c r="J7362" t="s">
        <v>668</v>
      </c>
      <c r="K7362" s="3">
        <v>100323704879</v>
      </c>
      <c r="L7362" s="10">
        <v>41039</v>
      </c>
      <c r="M7362">
        <v>26.41</v>
      </c>
      <c r="N7362" s="11">
        <v>4</v>
      </c>
      <c r="O7362" s="12">
        <v>5.18</v>
      </c>
      <c r="P7362" s="12">
        <v>5.74</v>
      </c>
      <c r="Q7362" s="13">
        <v>-16.5255</v>
      </c>
      <c r="R7362" s="36" t="s">
        <v>972</v>
      </c>
      <c r="S7362" s="7">
        <f t="shared" si="644"/>
        <v>2</v>
      </c>
      <c r="T7362" s="15" t="str">
        <f>VLOOKUP(R7362,产品分类!$C$2:$D$1278,2,0)</f>
        <v>办公用品</v>
      </c>
    </row>
    <row r="7363" spans="1:20">
      <c r="A7363" s="8">
        <f>DATE(2012,12,31)-448</f>
        <v>40826</v>
      </c>
      <c r="B7363" s="8">
        <f>DATE(2012,12,31)-448</f>
        <v>40826</v>
      </c>
      <c r="C7363" s="9" t="s">
        <v>1764</v>
      </c>
      <c r="D7363">
        <v>10021428058</v>
      </c>
      <c r="E7363" t="s">
        <v>47</v>
      </c>
      <c r="F7363" t="s">
        <v>91</v>
      </c>
      <c r="G7363" t="s">
        <v>92</v>
      </c>
      <c r="H7363" t="s">
        <v>2573</v>
      </c>
      <c r="I7363" t="s">
        <v>2574</v>
      </c>
      <c r="J7363" t="s">
        <v>668</v>
      </c>
      <c r="K7363" s="3">
        <v>100931014911</v>
      </c>
      <c r="L7363" s="10">
        <v>40828</v>
      </c>
      <c r="M7363">
        <v>20.25</v>
      </c>
      <c r="N7363" s="11">
        <v>4</v>
      </c>
      <c r="O7363" s="12">
        <v>4.77</v>
      </c>
      <c r="P7363" s="12">
        <v>2.39</v>
      </c>
      <c r="Q7363" s="13">
        <v>-22.13</v>
      </c>
      <c r="R7363" s="36" t="s">
        <v>625</v>
      </c>
      <c r="S7363" s="7">
        <f t="shared" ref="S7363:S7426" si="646">+L7363-B7363</f>
        <v>2</v>
      </c>
      <c r="T7363" s="15" t="str">
        <f>VLOOKUP(R7363,产品分类!$C$2:$D$1278,2,0)</f>
        <v>办公用品</v>
      </c>
    </row>
    <row r="7364" spans="1:20">
      <c r="A7364" s="8">
        <f>DATE(2012,12,31)-448</f>
        <v>40826</v>
      </c>
      <c r="B7364" s="8">
        <f>DATE(2012,12,31)-448</f>
        <v>40826</v>
      </c>
      <c r="C7364" s="9" t="s">
        <v>1764</v>
      </c>
      <c r="D7364">
        <v>10021590787</v>
      </c>
      <c r="E7364" t="s">
        <v>47</v>
      </c>
      <c r="F7364" t="s">
        <v>122</v>
      </c>
      <c r="G7364" t="s">
        <v>123</v>
      </c>
      <c r="H7364" t="s">
        <v>2458</v>
      </c>
      <c r="I7364" t="s">
        <v>2459</v>
      </c>
      <c r="J7364" t="s">
        <v>668</v>
      </c>
      <c r="K7364" s="3">
        <v>100431548243</v>
      </c>
      <c r="L7364" s="10">
        <v>40828</v>
      </c>
      <c r="M7364">
        <v>52.62</v>
      </c>
      <c r="N7364" s="11">
        <v>22</v>
      </c>
      <c r="O7364" s="12">
        <v>2.21</v>
      </c>
      <c r="P7364" s="12">
        <v>1.12</v>
      </c>
      <c r="Q7364" s="13">
        <v>-4.64</v>
      </c>
      <c r="R7364" s="36" t="s">
        <v>1837</v>
      </c>
      <c r="S7364" s="7">
        <f t="shared" si="646"/>
        <v>2</v>
      </c>
      <c r="T7364" s="15" t="str">
        <f>VLOOKUP(R7364,产品分类!$C$2:$D$1278,2,0)</f>
        <v>数码电子</v>
      </c>
    </row>
    <row r="7365" spans="1:20">
      <c r="A7365" s="8">
        <f>DATE(2012,12,31)-125</f>
        <v>41149</v>
      </c>
      <c r="B7365" s="8">
        <f>DATE(2012,12,31)-125</f>
        <v>41149</v>
      </c>
      <c r="C7365" s="9" t="s">
        <v>201</v>
      </c>
      <c r="D7365">
        <v>10021504873</v>
      </c>
      <c r="E7365" t="s">
        <v>47</v>
      </c>
      <c r="F7365" t="s">
        <v>91</v>
      </c>
      <c r="G7365" t="s">
        <v>92</v>
      </c>
      <c r="H7365" t="s">
        <v>2573</v>
      </c>
      <c r="I7365" t="s">
        <v>2574</v>
      </c>
      <c r="J7365" t="s">
        <v>668</v>
      </c>
      <c r="K7365" s="3">
        <v>100430728163</v>
      </c>
      <c r="L7365" s="10">
        <v>41151</v>
      </c>
      <c r="M7365">
        <v>979.44</v>
      </c>
      <c r="N7365" s="11">
        <v>46</v>
      </c>
      <c r="O7365" s="12">
        <v>19.98</v>
      </c>
      <c r="P7365" s="12">
        <v>5.86</v>
      </c>
      <c r="Q7365" s="13">
        <v>320.67</v>
      </c>
      <c r="R7365" s="36" t="s">
        <v>755</v>
      </c>
      <c r="S7365" s="7">
        <f t="shared" si="646"/>
        <v>2</v>
      </c>
      <c r="T7365" s="15" t="str">
        <f>VLOOKUP(R7365,产品分类!$C$2:$D$1278,2,0)</f>
        <v>办公用品</v>
      </c>
    </row>
    <row r="7366" spans="1:20">
      <c r="A7366" s="8">
        <f>DATE(2012,12,31)-155</f>
        <v>41119</v>
      </c>
      <c r="B7366" s="8">
        <f>DATE(2012,12,31)-155</f>
        <v>41119</v>
      </c>
      <c r="C7366" s="9" t="s">
        <v>1221</v>
      </c>
      <c r="D7366">
        <v>10021350994</v>
      </c>
      <c r="E7366" t="s">
        <v>47</v>
      </c>
      <c r="F7366" t="s">
        <v>55</v>
      </c>
      <c r="G7366" t="s">
        <v>56</v>
      </c>
      <c r="H7366" t="s">
        <v>2471</v>
      </c>
      <c r="I7366" t="s">
        <v>2472</v>
      </c>
      <c r="J7366" t="s">
        <v>668</v>
      </c>
      <c r="K7366" s="3">
        <v>100110126938</v>
      </c>
      <c r="L7366" s="10">
        <v>41121</v>
      </c>
      <c r="M7366">
        <v>112.79</v>
      </c>
      <c r="N7366" s="11">
        <v>3</v>
      </c>
      <c r="O7366" s="12">
        <v>20.98</v>
      </c>
      <c r="P7366" s="12">
        <v>53.03</v>
      </c>
      <c r="Q7366" s="13">
        <v>-95.39</v>
      </c>
      <c r="R7366" s="36" t="s">
        <v>1886</v>
      </c>
      <c r="S7366" s="7">
        <f t="shared" si="646"/>
        <v>2</v>
      </c>
      <c r="T7366" s="15" t="str">
        <f>VLOOKUP(R7366,产品分类!$C$2:$D$1278,2,0)</f>
        <v>数码电子</v>
      </c>
    </row>
    <row r="7367" spans="1:20">
      <c r="A7367" s="8">
        <f>DATE(2012,12,31)-175</f>
        <v>41099</v>
      </c>
      <c r="B7367" s="8">
        <f>DATE(2012,12,31)-175</f>
        <v>41099</v>
      </c>
      <c r="C7367" s="9" t="s">
        <v>386</v>
      </c>
      <c r="D7367">
        <v>10021348707</v>
      </c>
      <c r="E7367" t="s">
        <v>47</v>
      </c>
      <c r="F7367" t="s">
        <v>55</v>
      </c>
      <c r="G7367" t="s">
        <v>56</v>
      </c>
      <c r="H7367" t="s">
        <v>2471</v>
      </c>
      <c r="I7367" t="s">
        <v>2472</v>
      </c>
      <c r="J7367" t="s">
        <v>668</v>
      </c>
      <c r="K7367" s="3">
        <v>100131606716</v>
      </c>
      <c r="L7367" s="10">
        <v>41106</v>
      </c>
      <c r="M7367">
        <v>1041.66</v>
      </c>
      <c r="N7367" s="11">
        <v>34</v>
      </c>
      <c r="O7367" s="12">
        <v>28.53</v>
      </c>
      <c r="P7367" s="12">
        <v>1.49</v>
      </c>
      <c r="Q7367" s="13">
        <v>480.5305</v>
      </c>
      <c r="R7367" s="36" t="s">
        <v>1833</v>
      </c>
      <c r="S7367" s="7">
        <f t="shared" si="646"/>
        <v>7</v>
      </c>
      <c r="T7367" s="15" t="str">
        <f>VLOOKUP(R7367,产品分类!$C$2:$D$1278,2,0)</f>
        <v>办公用品</v>
      </c>
    </row>
    <row r="7368" spans="1:20">
      <c r="A7368" s="8">
        <f t="shared" ref="A7368:B7370" si="647">DATE(2012,12,31)-465</f>
        <v>40809</v>
      </c>
      <c r="B7368" s="8">
        <f t="shared" si="647"/>
        <v>40809</v>
      </c>
      <c r="C7368" s="9" t="s">
        <v>386</v>
      </c>
      <c r="D7368">
        <v>10021395667</v>
      </c>
      <c r="E7368" t="s">
        <v>47</v>
      </c>
      <c r="F7368" t="s">
        <v>122</v>
      </c>
      <c r="G7368" t="s">
        <v>123</v>
      </c>
      <c r="H7368" t="s">
        <v>2458</v>
      </c>
      <c r="I7368" t="s">
        <v>2459</v>
      </c>
      <c r="J7368" t="s">
        <v>668</v>
      </c>
      <c r="K7368" s="3">
        <v>100313821519</v>
      </c>
      <c r="L7368" s="10">
        <v>40811</v>
      </c>
      <c r="M7368">
        <v>220.79</v>
      </c>
      <c r="N7368" s="11">
        <v>7</v>
      </c>
      <c r="O7368" s="12">
        <v>30.97</v>
      </c>
      <c r="P7368" s="12">
        <v>4</v>
      </c>
      <c r="Q7368" s="13">
        <v>-91.51</v>
      </c>
      <c r="R7368" s="36" t="s">
        <v>876</v>
      </c>
      <c r="S7368" s="7">
        <f t="shared" si="646"/>
        <v>2</v>
      </c>
      <c r="T7368" s="15" t="str">
        <f>VLOOKUP(R7368,产品分类!$C$2:$D$1278,2,0)</f>
        <v>办公用品</v>
      </c>
    </row>
    <row r="7369" spans="1:20">
      <c r="A7369" s="8">
        <f t="shared" si="647"/>
        <v>40809</v>
      </c>
      <c r="B7369" s="8">
        <f t="shared" si="647"/>
        <v>40809</v>
      </c>
      <c r="C7369" s="9" t="s">
        <v>1638</v>
      </c>
      <c r="D7369">
        <v>10021296486</v>
      </c>
      <c r="E7369" t="s">
        <v>47</v>
      </c>
      <c r="F7369" t="s">
        <v>55</v>
      </c>
      <c r="G7369" t="s">
        <v>56</v>
      </c>
      <c r="H7369" t="s">
        <v>2471</v>
      </c>
      <c r="I7369" t="s">
        <v>2472</v>
      </c>
      <c r="J7369" t="s">
        <v>668</v>
      </c>
      <c r="K7369" s="3">
        <v>100922018981</v>
      </c>
      <c r="L7369" s="10">
        <v>40811</v>
      </c>
      <c r="M7369">
        <v>755.19</v>
      </c>
      <c r="N7369" s="11">
        <v>41</v>
      </c>
      <c r="O7369" s="12">
        <v>17.67</v>
      </c>
      <c r="P7369" s="12">
        <v>8.99</v>
      </c>
      <c r="Q7369" s="13">
        <v>81.44</v>
      </c>
      <c r="R7369" s="36" t="s">
        <v>1626</v>
      </c>
      <c r="S7369" s="7">
        <f t="shared" si="646"/>
        <v>2</v>
      </c>
      <c r="T7369" s="15" t="str">
        <f>VLOOKUP(R7369,产品分类!$C$2:$D$1278,2,0)</f>
        <v>办公用品</v>
      </c>
    </row>
    <row r="7370" spans="1:20">
      <c r="A7370" s="16">
        <f t="shared" si="647"/>
        <v>40809</v>
      </c>
      <c r="B7370" s="16">
        <f t="shared" si="647"/>
        <v>40809</v>
      </c>
      <c r="C7370" s="9" t="s">
        <v>1638</v>
      </c>
      <c r="D7370">
        <v>10021248498</v>
      </c>
      <c r="E7370" t="s">
        <v>47</v>
      </c>
      <c r="F7370" t="s">
        <v>253</v>
      </c>
      <c r="G7370" t="s">
        <v>254</v>
      </c>
      <c r="H7370" t="s">
        <v>2579</v>
      </c>
      <c r="I7370" t="s">
        <v>2580</v>
      </c>
      <c r="J7370" t="s">
        <v>668</v>
      </c>
      <c r="K7370" s="3">
        <v>10082549532</v>
      </c>
      <c r="L7370" s="10">
        <v>40809</v>
      </c>
      <c r="M7370">
        <v>201.14</v>
      </c>
      <c r="N7370" s="17">
        <v>37</v>
      </c>
      <c r="O7370" s="5">
        <v>5.81</v>
      </c>
      <c r="P7370" s="5">
        <v>3.37</v>
      </c>
      <c r="Q7370" s="6">
        <v>-51.25</v>
      </c>
      <c r="R7370" s="37" t="s">
        <v>1222</v>
      </c>
      <c r="S7370" s="7">
        <f t="shared" si="646"/>
        <v>0</v>
      </c>
      <c r="T7370" s="15" t="str">
        <f>VLOOKUP(R7370,产品分类!$C$2:$D$1278,2,0)</f>
        <v>数码电子</v>
      </c>
    </row>
    <row r="7371" spans="1:20">
      <c r="A7371" s="8">
        <f>DATE(2012,12,31)-784</f>
        <v>40490</v>
      </c>
      <c r="B7371" s="8">
        <f>DATE(2012,12,31)-784</f>
        <v>40490</v>
      </c>
      <c r="C7371" s="9" t="s">
        <v>571</v>
      </c>
      <c r="D7371">
        <v>10021745938</v>
      </c>
      <c r="E7371" t="s">
        <v>47</v>
      </c>
      <c r="F7371" t="s">
        <v>55</v>
      </c>
      <c r="G7371" t="s">
        <v>56</v>
      </c>
      <c r="H7371" t="s">
        <v>2471</v>
      </c>
      <c r="I7371" t="s">
        <v>2472</v>
      </c>
      <c r="J7371" t="s">
        <v>668</v>
      </c>
      <c r="K7371" s="3">
        <v>100326695949</v>
      </c>
      <c r="L7371" s="10">
        <v>40491</v>
      </c>
      <c r="M7371">
        <v>125.54</v>
      </c>
      <c r="N7371" s="11">
        <v>14</v>
      </c>
      <c r="O7371" s="12">
        <v>7.68</v>
      </c>
      <c r="P7371" s="12">
        <v>6.16</v>
      </c>
      <c r="Q7371" s="13">
        <v>-15.7435</v>
      </c>
      <c r="R7371" s="36" t="s">
        <v>1324</v>
      </c>
      <c r="S7371" s="7">
        <f t="shared" si="646"/>
        <v>1</v>
      </c>
      <c r="T7371" s="15" t="str">
        <f>VLOOKUP(R7371,产品分类!$C$2:$D$1278,2,0)</f>
        <v>家具产品</v>
      </c>
    </row>
    <row r="7372" spans="1:20">
      <c r="A7372" s="8">
        <f>DATE(2012,12,31)-911</f>
        <v>40363</v>
      </c>
      <c r="B7372" s="8">
        <f>DATE(2012,12,31)-911</f>
        <v>40363</v>
      </c>
      <c r="C7372" s="9" t="s">
        <v>309</v>
      </c>
      <c r="D7372">
        <v>10021498077</v>
      </c>
      <c r="E7372" t="s">
        <v>47</v>
      </c>
      <c r="F7372" t="s">
        <v>91</v>
      </c>
      <c r="G7372" t="s">
        <v>92</v>
      </c>
      <c r="H7372" t="s">
        <v>2573</v>
      </c>
      <c r="I7372" t="s">
        <v>2574</v>
      </c>
      <c r="J7372" t="s">
        <v>668</v>
      </c>
      <c r="K7372" s="3">
        <v>100421181854</v>
      </c>
      <c r="L7372" s="10">
        <v>40363</v>
      </c>
      <c r="M7372">
        <v>5699.22</v>
      </c>
      <c r="N7372" s="11">
        <v>46</v>
      </c>
      <c r="O7372" s="12">
        <v>150.98</v>
      </c>
      <c r="P7372" s="12">
        <v>13.99</v>
      </c>
      <c r="Q7372" s="13">
        <v>2812.63</v>
      </c>
      <c r="R7372" s="36" t="s">
        <v>1140</v>
      </c>
      <c r="S7372" s="7">
        <f t="shared" si="646"/>
        <v>0</v>
      </c>
      <c r="T7372" s="15" t="str">
        <f>VLOOKUP(R7372,产品分类!$C$2:$D$1278,2,0)</f>
        <v>家具产品</v>
      </c>
    </row>
    <row r="7373" spans="1:20">
      <c r="A7373" s="8">
        <f>DATE(2012,12,31)-813</f>
        <v>40461</v>
      </c>
      <c r="B7373" s="8">
        <f>DATE(2012,12,31)-813</f>
        <v>40461</v>
      </c>
      <c r="C7373" s="9" t="s">
        <v>250</v>
      </c>
      <c r="D7373">
        <v>10021349957</v>
      </c>
      <c r="E7373" t="s">
        <v>47</v>
      </c>
      <c r="F7373" t="s">
        <v>91</v>
      </c>
      <c r="G7373" t="s">
        <v>92</v>
      </c>
      <c r="H7373" t="s">
        <v>2573</v>
      </c>
      <c r="I7373" t="s">
        <v>2574</v>
      </c>
      <c r="J7373" t="s">
        <v>668</v>
      </c>
      <c r="K7373" s="3">
        <v>100932134061</v>
      </c>
      <c r="L7373" s="10">
        <v>40462</v>
      </c>
      <c r="M7373">
        <v>26.08</v>
      </c>
      <c r="N7373" s="11">
        <v>13</v>
      </c>
      <c r="O7373" s="12">
        <v>1.86</v>
      </c>
      <c r="P7373" s="12">
        <v>2.58</v>
      </c>
      <c r="Q7373" s="13">
        <v>-27.29</v>
      </c>
      <c r="R7373" s="36" t="s">
        <v>886</v>
      </c>
      <c r="S7373" s="7">
        <f t="shared" si="646"/>
        <v>1</v>
      </c>
      <c r="T7373" s="15" t="str">
        <f>VLOOKUP(R7373,产品分类!$C$2:$D$1278,2,0)</f>
        <v>办公用品</v>
      </c>
    </row>
    <row r="7374" spans="1:20">
      <c r="A7374" s="8">
        <f>DATE(2012,12,31)-460</f>
        <v>40814</v>
      </c>
      <c r="B7374" s="8">
        <f>DATE(2012,12,31)-460</f>
        <v>40814</v>
      </c>
      <c r="C7374" s="9" t="s">
        <v>1976</v>
      </c>
      <c r="D7374">
        <v>10021667769</v>
      </c>
      <c r="E7374" t="s">
        <v>47</v>
      </c>
      <c r="F7374" t="s">
        <v>55</v>
      </c>
      <c r="G7374" t="s">
        <v>56</v>
      </c>
      <c r="H7374" t="s">
        <v>2471</v>
      </c>
      <c r="I7374" t="s">
        <v>2472</v>
      </c>
      <c r="J7374" t="s">
        <v>668</v>
      </c>
      <c r="K7374" s="3">
        <v>100328609979</v>
      </c>
      <c r="L7374" s="10">
        <v>40814</v>
      </c>
      <c r="M7374">
        <v>596.56</v>
      </c>
      <c r="N7374" s="11">
        <v>20</v>
      </c>
      <c r="O7374" s="12">
        <v>29.99</v>
      </c>
      <c r="P7374" s="12">
        <v>5.5</v>
      </c>
      <c r="Q7374" s="13">
        <v>60.7</v>
      </c>
      <c r="R7374" s="36" t="s">
        <v>2542</v>
      </c>
      <c r="S7374" s="7">
        <f t="shared" si="646"/>
        <v>0</v>
      </c>
      <c r="T7374" s="15" t="str">
        <f>VLOOKUP(R7374,产品分类!$C$2:$D$1278,2,0)</f>
        <v>办公用品</v>
      </c>
    </row>
    <row r="7375" spans="1:20">
      <c r="A7375" s="16">
        <f>DATE(2012,12,31)-767</f>
        <v>40507</v>
      </c>
      <c r="B7375" s="16">
        <f>DATE(2012,12,31)-767</f>
        <v>40507</v>
      </c>
      <c r="C7375" s="9" t="s">
        <v>1976</v>
      </c>
      <c r="D7375">
        <v>10021389249</v>
      </c>
      <c r="E7375" t="s">
        <v>47</v>
      </c>
      <c r="F7375" t="s">
        <v>91</v>
      </c>
      <c r="G7375" t="s">
        <v>92</v>
      </c>
      <c r="H7375" t="s">
        <v>2573</v>
      </c>
      <c r="I7375" t="s">
        <v>2574</v>
      </c>
      <c r="J7375" t="s">
        <v>668</v>
      </c>
      <c r="K7375" s="3">
        <v>100131614618</v>
      </c>
      <c r="L7375" s="10">
        <v>40509</v>
      </c>
      <c r="M7375">
        <v>667.55</v>
      </c>
      <c r="N7375" s="17">
        <v>28</v>
      </c>
      <c r="O7375" s="5">
        <v>21.98</v>
      </c>
      <c r="P7375" s="5">
        <v>2.87</v>
      </c>
      <c r="Q7375" s="6">
        <v>204.74</v>
      </c>
      <c r="R7375" s="37" t="s">
        <v>1184</v>
      </c>
      <c r="S7375" s="7">
        <f t="shared" si="646"/>
        <v>2</v>
      </c>
      <c r="T7375" s="15" t="str">
        <f>VLOOKUP(R7375,产品分类!$C$2:$D$1278,2,0)</f>
        <v>数码电子</v>
      </c>
    </row>
    <row r="7376" spans="1:20">
      <c r="A7376" s="8">
        <f>DATE(2012,12,31)-373</f>
        <v>40901</v>
      </c>
      <c r="B7376" s="8">
        <f>DATE(2012,12,31)-373</f>
        <v>40901</v>
      </c>
      <c r="C7376" s="9" t="s">
        <v>1568</v>
      </c>
      <c r="D7376">
        <v>10021593873</v>
      </c>
      <c r="E7376" t="s">
        <v>47</v>
      </c>
      <c r="F7376" t="s">
        <v>91</v>
      </c>
      <c r="G7376" t="s">
        <v>92</v>
      </c>
      <c r="H7376" t="s">
        <v>2573</v>
      </c>
      <c r="I7376" t="s">
        <v>2574</v>
      </c>
      <c r="J7376" t="s">
        <v>668</v>
      </c>
      <c r="K7376" s="3">
        <v>100932455381</v>
      </c>
      <c r="L7376" s="10">
        <v>40902</v>
      </c>
      <c r="M7376">
        <v>317.82</v>
      </c>
      <c r="N7376" s="11">
        <v>8</v>
      </c>
      <c r="O7376" s="12">
        <v>37.76</v>
      </c>
      <c r="P7376" s="12">
        <v>12.9</v>
      </c>
      <c r="Q7376" s="13">
        <v>-33.09</v>
      </c>
      <c r="R7376" s="36" t="s">
        <v>585</v>
      </c>
      <c r="S7376" s="7">
        <f t="shared" si="646"/>
        <v>1</v>
      </c>
      <c r="T7376" s="15" t="str">
        <f>VLOOKUP(R7376,产品分类!$C$2:$D$1278,2,0)</f>
        <v>家具产品</v>
      </c>
    </row>
    <row r="7377" spans="1:20">
      <c r="A7377" s="16">
        <f>DATE(2012,12,31)-348</f>
        <v>40926</v>
      </c>
      <c r="B7377" s="16">
        <f>DATE(2012,12,31)-348</f>
        <v>40926</v>
      </c>
      <c r="C7377" s="9" t="s">
        <v>1568</v>
      </c>
      <c r="D7377">
        <v>10021529434</v>
      </c>
      <c r="E7377" t="s">
        <v>47</v>
      </c>
      <c r="F7377" t="s">
        <v>122</v>
      </c>
      <c r="G7377" t="s">
        <v>123</v>
      </c>
      <c r="H7377" t="s">
        <v>2458</v>
      </c>
      <c r="I7377" t="s">
        <v>2459</v>
      </c>
      <c r="J7377" t="s">
        <v>668</v>
      </c>
      <c r="K7377" s="3">
        <v>100128078906</v>
      </c>
      <c r="L7377" s="10">
        <v>40928</v>
      </c>
      <c r="M7377">
        <v>5934.39</v>
      </c>
      <c r="N7377" s="17">
        <v>32</v>
      </c>
      <c r="O7377" s="5">
        <v>193.17</v>
      </c>
      <c r="P7377" s="5">
        <v>19.99</v>
      </c>
      <c r="Q7377" s="6">
        <v>519.55</v>
      </c>
      <c r="R7377" s="37" t="s">
        <v>217</v>
      </c>
      <c r="S7377" s="7">
        <f t="shared" si="646"/>
        <v>2</v>
      </c>
      <c r="T7377" s="15" t="str">
        <f>VLOOKUP(R7377,产品分类!$C$2:$D$1278,2,0)</f>
        <v>办公用品</v>
      </c>
    </row>
    <row r="7378" spans="1:20">
      <c r="A7378" s="8">
        <f>DATE(2012,12,31)-995</f>
        <v>40279</v>
      </c>
      <c r="B7378" s="8">
        <f>DATE(2012,12,31)-995</f>
        <v>40279</v>
      </c>
      <c r="C7378" s="9" t="s">
        <v>1900</v>
      </c>
      <c r="D7378">
        <v>10021575075</v>
      </c>
      <c r="E7378" t="s">
        <v>47</v>
      </c>
      <c r="F7378" t="s">
        <v>91</v>
      </c>
      <c r="G7378" t="s">
        <v>92</v>
      </c>
      <c r="H7378" t="s">
        <v>2573</v>
      </c>
      <c r="I7378" t="s">
        <v>2574</v>
      </c>
      <c r="J7378" t="s">
        <v>668</v>
      </c>
      <c r="K7378" s="3">
        <v>10013051498</v>
      </c>
      <c r="L7378" s="10">
        <v>40279</v>
      </c>
      <c r="M7378">
        <v>30.17</v>
      </c>
      <c r="N7378" s="11">
        <v>8</v>
      </c>
      <c r="O7378" s="12">
        <v>3.28</v>
      </c>
      <c r="P7378" s="12">
        <v>3.97</v>
      </c>
      <c r="Q7378" s="13">
        <v>-22.84</v>
      </c>
      <c r="R7378" s="36" t="s">
        <v>1026</v>
      </c>
      <c r="S7378" s="7">
        <f t="shared" si="646"/>
        <v>0</v>
      </c>
      <c r="T7378" s="15" t="str">
        <f>VLOOKUP(R7378,产品分类!$C$2:$D$1278,2,0)</f>
        <v>数码电子</v>
      </c>
    </row>
    <row r="7379" spans="1:20">
      <c r="A7379" s="8">
        <f>DATE(2012,12,31)-995</f>
        <v>40279</v>
      </c>
      <c r="B7379" s="8">
        <f>DATE(2012,12,31)-995</f>
        <v>40279</v>
      </c>
      <c r="C7379" s="9" t="s">
        <v>1736</v>
      </c>
      <c r="D7379">
        <v>10021742763</v>
      </c>
      <c r="E7379" t="s">
        <v>47</v>
      </c>
      <c r="F7379" t="s">
        <v>171</v>
      </c>
      <c r="G7379" t="s">
        <v>172</v>
      </c>
      <c r="H7379" t="s">
        <v>2486</v>
      </c>
      <c r="I7379" t="s">
        <v>2310</v>
      </c>
      <c r="J7379" t="s">
        <v>668</v>
      </c>
      <c r="K7379" s="3">
        <v>100825188222</v>
      </c>
      <c r="L7379" s="10">
        <v>40280</v>
      </c>
      <c r="M7379">
        <v>1158.601</v>
      </c>
      <c r="N7379" s="11">
        <v>25</v>
      </c>
      <c r="O7379" s="12">
        <v>55.99</v>
      </c>
      <c r="P7379" s="12">
        <v>2.5</v>
      </c>
      <c r="Q7379" s="13">
        <v>-155.298</v>
      </c>
      <c r="R7379" s="36" t="s">
        <v>1839</v>
      </c>
      <c r="S7379" s="7">
        <f t="shared" si="646"/>
        <v>1</v>
      </c>
      <c r="T7379" s="15" t="str">
        <f>VLOOKUP(R7379,产品分类!$C$2:$D$1278,2,0)</f>
        <v>办公用品</v>
      </c>
    </row>
    <row r="7380" spans="1:20">
      <c r="A7380" s="8">
        <f>DATE(2012,12,31)-1236</f>
        <v>40038</v>
      </c>
      <c r="B7380" s="8">
        <f>DATE(2012,12,31)-1236</f>
        <v>40038</v>
      </c>
      <c r="C7380" s="9" t="s">
        <v>60</v>
      </c>
      <c r="D7380">
        <v>10021665300</v>
      </c>
      <c r="E7380" t="s">
        <v>47</v>
      </c>
      <c r="F7380" t="s">
        <v>171</v>
      </c>
      <c r="G7380" t="s">
        <v>172</v>
      </c>
      <c r="H7380" t="s">
        <v>2486</v>
      </c>
      <c r="I7380" t="s">
        <v>2310</v>
      </c>
      <c r="J7380" t="s">
        <v>668</v>
      </c>
      <c r="K7380" s="3">
        <v>10088776282</v>
      </c>
      <c r="L7380" s="10">
        <v>40039</v>
      </c>
      <c r="M7380">
        <v>1917.61</v>
      </c>
      <c r="N7380" s="11">
        <v>15</v>
      </c>
      <c r="O7380" s="12">
        <v>124.49</v>
      </c>
      <c r="P7380" s="12">
        <v>51.94</v>
      </c>
      <c r="Q7380" s="13">
        <v>-286.9</v>
      </c>
      <c r="R7380" s="36" t="s">
        <v>337</v>
      </c>
      <c r="S7380" s="7">
        <f t="shared" si="646"/>
        <v>1</v>
      </c>
      <c r="T7380" s="15" t="str">
        <f>VLOOKUP(R7380,产品分类!$C$2:$D$1278,2,0)</f>
        <v>数码电子</v>
      </c>
    </row>
    <row r="7381" spans="1:20">
      <c r="A7381" s="8">
        <f>DATE(2012,12,31)-684</f>
        <v>40590</v>
      </c>
      <c r="B7381" s="8">
        <f>DATE(2012,12,31)-684</f>
        <v>40590</v>
      </c>
      <c r="C7381" s="9" t="s">
        <v>60</v>
      </c>
      <c r="D7381">
        <v>10021743479</v>
      </c>
      <c r="E7381" t="s">
        <v>47</v>
      </c>
      <c r="F7381" t="s">
        <v>171</v>
      </c>
      <c r="G7381" t="s">
        <v>172</v>
      </c>
      <c r="H7381" t="s">
        <v>2486</v>
      </c>
      <c r="I7381" t="s">
        <v>2310</v>
      </c>
      <c r="J7381" t="s">
        <v>668</v>
      </c>
      <c r="K7381" s="3">
        <v>100425737493</v>
      </c>
      <c r="L7381" s="10">
        <v>40592</v>
      </c>
      <c r="M7381">
        <v>138.05</v>
      </c>
      <c r="N7381" s="11">
        <v>19</v>
      </c>
      <c r="O7381" s="12">
        <v>7.37</v>
      </c>
      <c r="P7381" s="12">
        <v>5.53</v>
      </c>
      <c r="Q7381" s="13">
        <v>-100.49</v>
      </c>
      <c r="R7381" s="36" t="s">
        <v>445</v>
      </c>
      <c r="S7381" s="7">
        <f t="shared" si="646"/>
        <v>2</v>
      </c>
      <c r="T7381" s="15" t="str">
        <f>VLOOKUP(R7381,产品分类!$C$2:$D$1278,2,0)</f>
        <v>数码电子</v>
      </c>
    </row>
    <row r="7382" spans="1:20">
      <c r="A7382" s="8">
        <f>DATE(2012,12,31)-1393</f>
        <v>39881</v>
      </c>
      <c r="B7382" s="8">
        <f>DATE(2012,12,31)-1393</f>
        <v>39881</v>
      </c>
      <c r="C7382" s="9" t="s">
        <v>893</v>
      </c>
      <c r="D7382">
        <v>10021250096</v>
      </c>
      <c r="E7382" t="s">
        <v>47</v>
      </c>
      <c r="F7382" t="s">
        <v>132</v>
      </c>
      <c r="G7382" t="s">
        <v>133</v>
      </c>
      <c r="H7382" t="s">
        <v>134</v>
      </c>
      <c r="I7382" t="s">
        <v>133</v>
      </c>
      <c r="J7382" t="s">
        <v>668</v>
      </c>
      <c r="K7382" s="3">
        <v>100113504278</v>
      </c>
      <c r="L7382" s="10">
        <v>39883</v>
      </c>
      <c r="M7382">
        <v>118.51</v>
      </c>
      <c r="N7382" s="11">
        <v>21</v>
      </c>
      <c r="O7382" s="12">
        <v>3.25</v>
      </c>
      <c r="P7382" s="12">
        <v>49</v>
      </c>
      <c r="Q7382" s="13">
        <v>-948.71</v>
      </c>
      <c r="R7382" s="36" t="s">
        <v>2593</v>
      </c>
      <c r="S7382" s="7">
        <f t="shared" si="646"/>
        <v>2</v>
      </c>
      <c r="T7382" s="15" t="str">
        <f>VLOOKUP(R7382,产品分类!$C$2:$D$1278,2,0)</f>
        <v>数码电子</v>
      </c>
    </row>
    <row r="7383" spans="1:20">
      <c r="A7383" s="8">
        <f t="shared" ref="A7383:B7387" si="648">DATE(2012,12,31)-801</f>
        <v>40473</v>
      </c>
      <c r="B7383" s="8">
        <f t="shared" si="648"/>
        <v>40473</v>
      </c>
      <c r="C7383" s="9" t="s">
        <v>858</v>
      </c>
      <c r="D7383">
        <v>10021344576</v>
      </c>
      <c r="E7383" t="s">
        <v>47</v>
      </c>
      <c r="F7383" t="s">
        <v>132</v>
      </c>
      <c r="G7383" t="s">
        <v>133</v>
      </c>
      <c r="H7383" t="s">
        <v>134</v>
      </c>
      <c r="I7383" t="s">
        <v>133</v>
      </c>
      <c r="J7383" t="s">
        <v>668</v>
      </c>
      <c r="K7383" s="3">
        <v>100829631702</v>
      </c>
      <c r="L7383" s="10">
        <v>40475</v>
      </c>
      <c r="M7383">
        <v>48.26</v>
      </c>
      <c r="N7383" s="11">
        <v>9</v>
      </c>
      <c r="O7383" s="12">
        <v>5.18</v>
      </c>
      <c r="P7383" s="12">
        <v>2.04</v>
      </c>
      <c r="Q7383" s="13">
        <v>2.76</v>
      </c>
      <c r="R7383" s="36" t="s">
        <v>2055</v>
      </c>
      <c r="S7383" s="7">
        <f t="shared" si="646"/>
        <v>2</v>
      </c>
      <c r="T7383" s="15" t="str">
        <f>VLOOKUP(R7383,产品分类!$C$2:$D$1278,2,0)</f>
        <v>数码电子</v>
      </c>
    </row>
    <row r="7384" spans="1:20">
      <c r="A7384" s="8">
        <f t="shared" si="648"/>
        <v>40473</v>
      </c>
      <c r="B7384" s="8">
        <f t="shared" si="648"/>
        <v>40473</v>
      </c>
      <c r="C7384" s="9" t="s">
        <v>1934</v>
      </c>
      <c r="D7384">
        <v>10021334897</v>
      </c>
      <c r="E7384" t="s">
        <v>47</v>
      </c>
      <c r="F7384" t="s">
        <v>97</v>
      </c>
      <c r="G7384" t="s">
        <v>98</v>
      </c>
      <c r="H7384" t="s">
        <v>99</v>
      </c>
      <c r="I7384" t="s">
        <v>98</v>
      </c>
      <c r="J7384" t="s">
        <v>668</v>
      </c>
      <c r="K7384" s="3">
        <v>100416913523</v>
      </c>
      <c r="L7384" s="10">
        <v>40474</v>
      </c>
      <c r="M7384">
        <v>1718.43</v>
      </c>
      <c r="N7384" s="11">
        <v>6</v>
      </c>
      <c r="O7384" s="12">
        <v>259.71</v>
      </c>
      <c r="P7384" s="12">
        <v>66.67</v>
      </c>
      <c r="Q7384" s="13">
        <v>-192.492</v>
      </c>
      <c r="R7384" s="36" t="s">
        <v>2449</v>
      </c>
      <c r="S7384" s="7">
        <f t="shared" si="646"/>
        <v>1</v>
      </c>
      <c r="T7384" s="15" t="str">
        <f>VLOOKUP(R7384,产品分类!$C$2:$D$1278,2,0)</f>
        <v>办公用品</v>
      </c>
    </row>
    <row r="7385" spans="1:20">
      <c r="A7385" s="8">
        <f t="shared" si="648"/>
        <v>40473</v>
      </c>
      <c r="B7385" s="8">
        <f t="shared" si="648"/>
        <v>40473</v>
      </c>
      <c r="C7385" s="9" t="s">
        <v>1934</v>
      </c>
      <c r="D7385">
        <v>10021496993</v>
      </c>
      <c r="E7385" t="s">
        <v>47</v>
      </c>
      <c r="F7385" t="s">
        <v>132</v>
      </c>
      <c r="G7385" t="s">
        <v>133</v>
      </c>
      <c r="H7385" t="s">
        <v>134</v>
      </c>
      <c r="I7385" t="s">
        <v>133</v>
      </c>
      <c r="J7385" t="s">
        <v>668</v>
      </c>
      <c r="K7385" s="3">
        <v>100916002371</v>
      </c>
      <c r="L7385" s="10">
        <v>40476</v>
      </c>
      <c r="M7385">
        <v>8920.08</v>
      </c>
      <c r="N7385" s="11">
        <v>24</v>
      </c>
      <c r="O7385" s="12">
        <v>367.99</v>
      </c>
      <c r="P7385" s="12">
        <v>19.99</v>
      </c>
      <c r="Q7385" s="13">
        <v>3545.894</v>
      </c>
      <c r="R7385" s="36" t="s">
        <v>505</v>
      </c>
      <c r="S7385" s="7">
        <f t="shared" si="646"/>
        <v>3</v>
      </c>
      <c r="T7385" s="15" t="str">
        <f>VLOOKUP(R7385,产品分类!$C$2:$D$1278,2,0)</f>
        <v>家具产品</v>
      </c>
    </row>
    <row r="7386" spans="1:20">
      <c r="A7386" s="16">
        <f t="shared" si="648"/>
        <v>40473</v>
      </c>
      <c r="B7386" s="16">
        <f t="shared" si="648"/>
        <v>40473</v>
      </c>
      <c r="C7386" s="9" t="s">
        <v>1934</v>
      </c>
      <c r="D7386">
        <v>10021502758</v>
      </c>
      <c r="E7386" t="s">
        <v>47</v>
      </c>
      <c r="F7386" t="s">
        <v>132</v>
      </c>
      <c r="G7386" t="s">
        <v>133</v>
      </c>
      <c r="H7386" t="s">
        <v>134</v>
      </c>
      <c r="I7386" t="s">
        <v>133</v>
      </c>
      <c r="J7386" t="s">
        <v>668</v>
      </c>
      <c r="K7386" s="3">
        <v>100928968341</v>
      </c>
      <c r="L7386" s="10">
        <v>40476</v>
      </c>
      <c r="M7386">
        <v>188.7</v>
      </c>
      <c r="N7386" s="17">
        <v>49</v>
      </c>
      <c r="O7386" s="5">
        <v>4.13</v>
      </c>
      <c r="P7386" s="5">
        <v>0.5</v>
      </c>
      <c r="Q7386" s="6">
        <v>77.02</v>
      </c>
      <c r="R7386" s="37" t="s">
        <v>621</v>
      </c>
      <c r="S7386" s="7">
        <f t="shared" si="646"/>
        <v>3</v>
      </c>
      <c r="T7386" s="15" t="str">
        <f>VLOOKUP(R7386,产品分类!$C$2:$D$1278,2,0)</f>
        <v>数码电子</v>
      </c>
    </row>
    <row r="7387" spans="1:20">
      <c r="A7387" s="8">
        <f t="shared" si="648"/>
        <v>40473</v>
      </c>
      <c r="B7387" s="8">
        <f t="shared" si="648"/>
        <v>40473</v>
      </c>
      <c r="C7387" s="9" t="s">
        <v>598</v>
      </c>
      <c r="D7387">
        <v>10021467460</v>
      </c>
      <c r="E7387" t="s">
        <v>47</v>
      </c>
      <c r="F7387" t="s">
        <v>304</v>
      </c>
      <c r="G7387" t="s">
        <v>305</v>
      </c>
      <c r="H7387" t="s">
        <v>2527</v>
      </c>
      <c r="I7387" t="s">
        <v>2528</v>
      </c>
      <c r="J7387" t="s">
        <v>668</v>
      </c>
      <c r="K7387" s="3">
        <v>100116172887</v>
      </c>
      <c r="L7387" s="10">
        <v>40475</v>
      </c>
      <c r="M7387">
        <v>14358.64</v>
      </c>
      <c r="N7387" s="11">
        <v>36</v>
      </c>
      <c r="O7387" s="12">
        <v>400.98</v>
      </c>
      <c r="P7387" s="12">
        <v>76.37</v>
      </c>
      <c r="Q7387" s="13">
        <v>-969.048366</v>
      </c>
      <c r="R7387" s="36" t="s">
        <v>834</v>
      </c>
      <c r="S7387" s="7">
        <f t="shared" si="646"/>
        <v>2</v>
      </c>
      <c r="T7387" s="15" t="str">
        <f>VLOOKUP(R7387,产品分类!$C$2:$D$1278,2,0)</f>
        <v>家具产品</v>
      </c>
    </row>
    <row r="7388" spans="1:20">
      <c r="A7388" s="16">
        <f>DATE(2012,12,31)-1227</f>
        <v>40047</v>
      </c>
      <c r="B7388" s="16">
        <f>DATE(2012,12,31)-1227</f>
        <v>40047</v>
      </c>
      <c r="C7388" s="9" t="s">
        <v>598</v>
      </c>
      <c r="D7388">
        <v>10021269708</v>
      </c>
      <c r="E7388" t="s">
        <v>47</v>
      </c>
      <c r="F7388" t="s">
        <v>102</v>
      </c>
      <c r="G7388" t="s">
        <v>103</v>
      </c>
      <c r="H7388" t="s">
        <v>2560</v>
      </c>
      <c r="I7388" t="s">
        <v>2561</v>
      </c>
      <c r="J7388" t="s">
        <v>668</v>
      </c>
      <c r="K7388" s="3">
        <v>100332458189</v>
      </c>
      <c r="L7388" s="10">
        <v>40049</v>
      </c>
      <c r="M7388">
        <v>2055.98</v>
      </c>
      <c r="N7388" s="17">
        <v>40</v>
      </c>
      <c r="O7388" s="5">
        <v>47.9</v>
      </c>
      <c r="P7388" s="5">
        <v>5.86</v>
      </c>
      <c r="Q7388" s="6">
        <v>1016.86</v>
      </c>
      <c r="R7388" s="37" t="s">
        <v>365</v>
      </c>
      <c r="S7388" s="7">
        <f t="shared" si="646"/>
        <v>2</v>
      </c>
      <c r="T7388" s="15" t="str">
        <f>VLOOKUP(R7388,产品分类!$C$2:$D$1278,2,0)</f>
        <v>数码电子</v>
      </c>
    </row>
    <row r="7389" spans="1:20">
      <c r="A7389" s="8">
        <f>DATE(2012,12,31)-591</f>
        <v>40683</v>
      </c>
      <c r="B7389" s="8">
        <f>DATE(2012,12,31)-591</f>
        <v>40683</v>
      </c>
      <c r="C7389" s="9" t="s">
        <v>632</v>
      </c>
      <c r="D7389">
        <v>10021590926</v>
      </c>
      <c r="E7389" t="s">
        <v>47</v>
      </c>
      <c r="F7389" t="s">
        <v>102</v>
      </c>
      <c r="G7389" t="s">
        <v>103</v>
      </c>
      <c r="H7389" t="s">
        <v>2560</v>
      </c>
      <c r="I7389" t="s">
        <v>2561</v>
      </c>
      <c r="J7389" t="s">
        <v>668</v>
      </c>
      <c r="K7389" s="3">
        <v>100931604781</v>
      </c>
      <c r="L7389" s="10">
        <v>40685</v>
      </c>
      <c r="M7389">
        <v>101.14</v>
      </c>
      <c r="N7389" s="11">
        <v>16</v>
      </c>
      <c r="O7389" s="12">
        <v>5.98</v>
      </c>
      <c r="P7389" s="12">
        <v>5.46</v>
      </c>
      <c r="Q7389" s="13">
        <v>-32.62</v>
      </c>
      <c r="R7389" s="36" t="s">
        <v>522</v>
      </c>
      <c r="S7389" s="7">
        <f t="shared" si="646"/>
        <v>2</v>
      </c>
      <c r="T7389" s="15" t="str">
        <f>VLOOKUP(R7389,产品分类!$C$2:$D$1278,2,0)</f>
        <v>家具产品</v>
      </c>
    </row>
    <row r="7390" spans="1:20">
      <c r="A7390" s="8">
        <f t="shared" ref="A7390:B7393" si="649">DATE(2012,12,31)-633</f>
        <v>40641</v>
      </c>
      <c r="B7390" s="8">
        <f t="shared" si="649"/>
        <v>40641</v>
      </c>
      <c r="C7390" s="9" t="s">
        <v>54</v>
      </c>
      <c r="D7390">
        <v>10021646668</v>
      </c>
      <c r="E7390" t="s">
        <v>47</v>
      </c>
      <c r="F7390" t="s">
        <v>137</v>
      </c>
      <c r="G7390" t="s">
        <v>138</v>
      </c>
      <c r="H7390" t="s">
        <v>2504</v>
      </c>
      <c r="I7390" t="s">
        <v>2505</v>
      </c>
      <c r="J7390" t="s">
        <v>668</v>
      </c>
      <c r="K7390" s="3">
        <v>100317375179</v>
      </c>
      <c r="L7390" s="10">
        <v>40642</v>
      </c>
      <c r="M7390">
        <v>701.46</v>
      </c>
      <c r="N7390" s="11">
        <v>43</v>
      </c>
      <c r="O7390" s="12">
        <v>15.99</v>
      </c>
      <c r="P7390" s="12">
        <v>9.4</v>
      </c>
      <c r="Q7390" s="13">
        <v>-90.1407</v>
      </c>
      <c r="R7390" s="36" t="s">
        <v>1570</v>
      </c>
      <c r="S7390" s="7">
        <f t="shared" si="646"/>
        <v>1</v>
      </c>
      <c r="T7390" s="15" t="str">
        <f>VLOOKUP(R7390,产品分类!$C$2:$D$1278,2,0)</f>
        <v>办公用品</v>
      </c>
    </row>
    <row r="7391" spans="1:20">
      <c r="A7391" s="8">
        <f t="shared" si="649"/>
        <v>40641</v>
      </c>
      <c r="B7391" s="8">
        <f t="shared" si="649"/>
        <v>40641</v>
      </c>
      <c r="C7391" s="9" t="s">
        <v>54</v>
      </c>
      <c r="D7391">
        <v>10021265225</v>
      </c>
      <c r="E7391" t="s">
        <v>47</v>
      </c>
      <c r="F7391" t="s">
        <v>304</v>
      </c>
      <c r="G7391" t="s">
        <v>305</v>
      </c>
      <c r="H7391" t="s">
        <v>2527</v>
      </c>
      <c r="I7391" t="s">
        <v>2528</v>
      </c>
      <c r="J7391" t="s">
        <v>668</v>
      </c>
      <c r="K7391" s="3">
        <v>100126447197</v>
      </c>
      <c r="L7391" s="10">
        <v>40642</v>
      </c>
      <c r="M7391">
        <v>53.94</v>
      </c>
      <c r="N7391" s="11">
        <v>19</v>
      </c>
      <c r="O7391" s="12">
        <v>2.78</v>
      </c>
      <c r="P7391" s="12">
        <v>1.25</v>
      </c>
      <c r="Q7391" s="13">
        <v>-6.53</v>
      </c>
      <c r="R7391" s="36" t="s">
        <v>458</v>
      </c>
      <c r="S7391" s="7">
        <f t="shared" si="646"/>
        <v>1</v>
      </c>
      <c r="T7391" s="15" t="str">
        <f>VLOOKUP(R7391,产品分类!$C$2:$D$1278,2,0)</f>
        <v>家具产品</v>
      </c>
    </row>
    <row r="7392" spans="1:20">
      <c r="A7392" s="8">
        <f t="shared" si="649"/>
        <v>40641</v>
      </c>
      <c r="B7392" s="8">
        <f t="shared" si="649"/>
        <v>40641</v>
      </c>
      <c r="C7392" s="9" t="s">
        <v>726</v>
      </c>
      <c r="D7392">
        <v>10021748368</v>
      </c>
      <c r="E7392" t="s">
        <v>47</v>
      </c>
      <c r="F7392" t="s">
        <v>304</v>
      </c>
      <c r="G7392" t="s">
        <v>305</v>
      </c>
      <c r="H7392" t="s">
        <v>2527</v>
      </c>
      <c r="I7392" t="s">
        <v>2528</v>
      </c>
      <c r="J7392" t="s">
        <v>668</v>
      </c>
      <c r="K7392" s="3">
        <v>100330183889</v>
      </c>
      <c r="L7392" s="10">
        <v>40642</v>
      </c>
      <c r="M7392">
        <v>46.94</v>
      </c>
      <c r="N7392" s="11">
        <v>7</v>
      </c>
      <c r="O7392" s="12">
        <v>6.47</v>
      </c>
      <c r="P7392" s="12">
        <v>1.22</v>
      </c>
      <c r="Q7392" s="13">
        <v>7.34</v>
      </c>
      <c r="R7392" s="36" t="s">
        <v>1398</v>
      </c>
      <c r="S7392" s="7">
        <f t="shared" si="646"/>
        <v>1</v>
      </c>
      <c r="T7392" s="15" t="str">
        <f>VLOOKUP(R7392,产品分类!$C$2:$D$1278,2,0)</f>
        <v>办公用品</v>
      </c>
    </row>
    <row r="7393" spans="1:20">
      <c r="A7393" s="8">
        <f t="shared" si="649"/>
        <v>40641</v>
      </c>
      <c r="B7393" s="8">
        <f t="shared" si="649"/>
        <v>40641</v>
      </c>
      <c r="C7393" s="9" t="s">
        <v>726</v>
      </c>
      <c r="D7393">
        <v>10021368554</v>
      </c>
      <c r="E7393" t="s">
        <v>47</v>
      </c>
      <c r="F7393" t="s">
        <v>102</v>
      </c>
      <c r="G7393" t="s">
        <v>103</v>
      </c>
      <c r="H7393" t="s">
        <v>2560</v>
      </c>
      <c r="I7393" t="s">
        <v>2561</v>
      </c>
      <c r="J7393" t="s">
        <v>668</v>
      </c>
      <c r="K7393" s="3">
        <v>100322317799</v>
      </c>
      <c r="L7393" s="10">
        <v>40642</v>
      </c>
      <c r="M7393">
        <v>77.99</v>
      </c>
      <c r="N7393" s="11">
        <v>20</v>
      </c>
      <c r="O7393" s="12">
        <v>3.93</v>
      </c>
      <c r="P7393" s="12">
        <v>0.99</v>
      </c>
      <c r="Q7393" s="13">
        <v>19.68</v>
      </c>
      <c r="R7393" s="36" t="s">
        <v>1892</v>
      </c>
      <c r="S7393" s="7">
        <f t="shared" si="646"/>
        <v>1</v>
      </c>
      <c r="T7393" s="15" t="str">
        <f>VLOOKUP(R7393,产品分类!$C$2:$D$1278,2,0)</f>
        <v>办公用品</v>
      </c>
    </row>
    <row r="7394" spans="1:20">
      <c r="A7394" s="8">
        <f t="shared" ref="A7394:B7397" si="650">DATE(2012,12,31)-419</f>
        <v>40855</v>
      </c>
      <c r="B7394" s="8">
        <f t="shared" si="650"/>
        <v>40855</v>
      </c>
      <c r="C7394" s="9" t="s">
        <v>1347</v>
      </c>
      <c r="D7394">
        <v>10021346099</v>
      </c>
      <c r="E7394" t="s">
        <v>47</v>
      </c>
      <c r="F7394" t="s">
        <v>171</v>
      </c>
      <c r="G7394" t="s">
        <v>172</v>
      </c>
      <c r="H7394" t="s">
        <v>2486</v>
      </c>
      <c r="I7394" t="s">
        <v>2310</v>
      </c>
      <c r="J7394" t="s">
        <v>668</v>
      </c>
      <c r="K7394" s="3">
        <v>100930544131</v>
      </c>
      <c r="L7394" s="10">
        <v>40859</v>
      </c>
      <c r="M7394">
        <v>136.98</v>
      </c>
      <c r="N7394" s="11">
        <v>16</v>
      </c>
      <c r="O7394" s="12">
        <v>8.74</v>
      </c>
      <c r="P7394" s="12">
        <v>1.39</v>
      </c>
      <c r="Q7394" s="13">
        <v>44.12</v>
      </c>
      <c r="R7394" s="36" t="s">
        <v>1632</v>
      </c>
      <c r="S7394" s="7">
        <f t="shared" si="646"/>
        <v>4</v>
      </c>
      <c r="T7394" s="15" t="str">
        <f>VLOOKUP(R7394,产品分类!$C$2:$D$1278,2,0)</f>
        <v>数码电子</v>
      </c>
    </row>
    <row r="7395" spans="1:20">
      <c r="A7395" s="16">
        <f t="shared" si="650"/>
        <v>40855</v>
      </c>
      <c r="B7395" s="16">
        <f t="shared" si="650"/>
        <v>40855</v>
      </c>
      <c r="C7395" s="9" t="s">
        <v>101</v>
      </c>
      <c r="D7395">
        <v>10021459567</v>
      </c>
      <c r="E7395" t="s">
        <v>47</v>
      </c>
      <c r="F7395" t="s">
        <v>177</v>
      </c>
      <c r="G7395" t="s">
        <v>178</v>
      </c>
      <c r="H7395" t="s">
        <v>2569</v>
      </c>
      <c r="I7395" t="s">
        <v>2570</v>
      </c>
      <c r="J7395" t="s">
        <v>668</v>
      </c>
      <c r="K7395" s="3">
        <v>10092274871</v>
      </c>
      <c r="L7395" s="10">
        <v>40860</v>
      </c>
      <c r="M7395">
        <v>225.17</v>
      </c>
      <c r="N7395" s="17">
        <v>39</v>
      </c>
      <c r="O7395" s="5">
        <v>5.78</v>
      </c>
      <c r="P7395" s="5">
        <v>8.09</v>
      </c>
      <c r="Q7395" s="6">
        <v>-183.05</v>
      </c>
      <c r="R7395" s="37" t="s">
        <v>195</v>
      </c>
      <c r="S7395" s="7">
        <f t="shared" si="646"/>
        <v>5</v>
      </c>
      <c r="T7395" s="15" t="str">
        <f>VLOOKUP(R7395,产品分类!$C$2:$D$1278,2,0)</f>
        <v>家具产品</v>
      </c>
    </row>
    <row r="7396" spans="1:20">
      <c r="A7396" s="8">
        <f t="shared" si="650"/>
        <v>40855</v>
      </c>
      <c r="B7396" s="8">
        <f t="shared" si="650"/>
        <v>40855</v>
      </c>
      <c r="C7396" s="9" t="s">
        <v>2070</v>
      </c>
      <c r="D7396">
        <v>10021498508</v>
      </c>
      <c r="E7396" t="s">
        <v>47</v>
      </c>
      <c r="F7396" t="s">
        <v>527</v>
      </c>
      <c r="G7396" t="s">
        <v>528</v>
      </c>
      <c r="H7396" t="s">
        <v>2567</v>
      </c>
      <c r="I7396" t="s">
        <v>2568</v>
      </c>
      <c r="J7396" t="s">
        <v>668</v>
      </c>
      <c r="K7396" s="3">
        <v>100422410164</v>
      </c>
      <c r="L7396" s="10">
        <v>40855</v>
      </c>
      <c r="M7396">
        <v>1112.157</v>
      </c>
      <c r="N7396" s="11">
        <v>24</v>
      </c>
      <c r="O7396" s="12">
        <v>55.99</v>
      </c>
      <c r="P7396" s="12">
        <v>3.3</v>
      </c>
      <c r="Q7396" s="13">
        <v>140.805</v>
      </c>
      <c r="R7396" s="36" t="s">
        <v>1651</v>
      </c>
      <c r="S7396" s="7">
        <f t="shared" si="646"/>
        <v>0</v>
      </c>
      <c r="T7396" s="15" t="str">
        <f>VLOOKUP(R7396,产品分类!$C$2:$D$1278,2,0)</f>
        <v>数码电子</v>
      </c>
    </row>
    <row r="7397" spans="1:20">
      <c r="A7397" s="8">
        <f t="shared" si="650"/>
        <v>40855</v>
      </c>
      <c r="B7397" s="8">
        <f t="shared" si="650"/>
        <v>40855</v>
      </c>
      <c r="C7397" s="9" t="s">
        <v>2461</v>
      </c>
      <c r="D7397">
        <v>10021529275</v>
      </c>
      <c r="E7397" t="s">
        <v>47</v>
      </c>
      <c r="F7397" t="s">
        <v>527</v>
      </c>
      <c r="G7397" t="s">
        <v>528</v>
      </c>
      <c r="H7397" t="s">
        <v>2594</v>
      </c>
      <c r="I7397" t="s">
        <v>2595</v>
      </c>
      <c r="J7397" t="s">
        <v>668</v>
      </c>
      <c r="K7397" s="3">
        <v>100110886016</v>
      </c>
      <c r="L7397" s="10">
        <v>40855</v>
      </c>
      <c r="M7397">
        <v>1865.5885</v>
      </c>
      <c r="N7397" s="11">
        <v>40</v>
      </c>
      <c r="O7397" s="12">
        <v>55.99</v>
      </c>
      <c r="P7397" s="12">
        <v>1.25</v>
      </c>
      <c r="Q7397" s="13">
        <v>972.9</v>
      </c>
      <c r="R7397" s="36" t="s">
        <v>969</v>
      </c>
      <c r="S7397" s="7">
        <f t="shared" si="646"/>
        <v>0</v>
      </c>
      <c r="T7397" s="15" t="str">
        <f>VLOOKUP(R7397,产品分类!$C$2:$D$1278,2,0)</f>
        <v>家具产品</v>
      </c>
    </row>
    <row r="7398" spans="1:20">
      <c r="A7398" s="16">
        <f>DATE(2012,12,31)-233</f>
        <v>41041</v>
      </c>
      <c r="B7398" s="16">
        <f>DATE(2012,12,31)-233</f>
        <v>41041</v>
      </c>
      <c r="C7398" s="9" t="s">
        <v>2461</v>
      </c>
      <c r="D7398">
        <v>10021346286</v>
      </c>
      <c r="E7398" t="s">
        <v>47</v>
      </c>
      <c r="F7398" t="s">
        <v>527</v>
      </c>
      <c r="G7398" t="s">
        <v>528</v>
      </c>
      <c r="H7398" t="s">
        <v>2594</v>
      </c>
      <c r="I7398" t="s">
        <v>2595</v>
      </c>
      <c r="J7398" t="s">
        <v>668</v>
      </c>
      <c r="K7398" s="3">
        <v>100730573525</v>
      </c>
      <c r="L7398" s="10">
        <v>41046</v>
      </c>
      <c r="M7398">
        <v>26.23</v>
      </c>
      <c r="N7398" s="17">
        <v>3</v>
      </c>
      <c r="O7398" s="5">
        <v>6.48</v>
      </c>
      <c r="P7398" s="5">
        <v>6.6</v>
      </c>
      <c r="Q7398" s="6">
        <v>-13.72</v>
      </c>
      <c r="R7398" s="37" t="s">
        <v>491</v>
      </c>
      <c r="S7398" s="7">
        <f t="shared" si="646"/>
        <v>5</v>
      </c>
      <c r="T7398" s="15" t="str">
        <f>VLOOKUP(R7398,产品分类!$C$2:$D$1278,2,0)</f>
        <v>办公用品</v>
      </c>
    </row>
    <row r="7399" spans="1:20">
      <c r="A7399" s="8">
        <f>DATE(2012,12,31)-858</f>
        <v>40416</v>
      </c>
      <c r="B7399" s="8">
        <f>DATE(2012,12,31)-858</f>
        <v>40416</v>
      </c>
      <c r="C7399" s="9" t="s">
        <v>2461</v>
      </c>
      <c r="D7399">
        <v>10021645194</v>
      </c>
      <c r="E7399" t="s">
        <v>47</v>
      </c>
      <c r="F7399" t="s">
        <v>171</v>
      </c>
      <c r="G7399" t="s">
        <v>172</v>
      </c>
      <c r="H7399" t="s">
        <v>2486</v>
      </c>
      <c r="I7399" t="s">
        <v>2310</v>
      </c>
      <c r="J7399" t="s">
        <v>668</v>
      </c>
      <c r="K7399" s="3">
        <v>10012436087</v>
      </c>
      <c r="L7399" s="10">
        <v>40423</v>
      </c>
      <c r="M7399">
        <v>210.46</v>
      </c>
      <c r="N7399" s="11">
        <v>44</v>
      </c>
      <c r="O7399" s="12">
        <v>4.49</v>
      </c>
      <c r="P7399" s="12">
        <v>1.49</v>
      </c>
      <c r="Q7399" s="13">
        <v>50.0395</v>
      </c>
      <c r="R7399" s="36" t="s">
        <v>224</v>
      </c>
      <c r="S7399" s="7">
        <f t="shared" si="646"/>
        <v>7</v>
      </c>
      <c r="T7399" s="15" t="str">
        <f>VLOOKUP(R7399,产品分类!$C$2:$D$1278,2,0)</f>
        <v>办公用品</v>
      </c>
    </row>
    <row r="7400" spans="1:20">
      <c r="A7400" s="8">
        <f>DATE(2012,12,31)-523</f>
        <v>40751</v>
      </c>
      <c r="B7400" s="8">
        <f>DATE(2012,12,31)-523</f>
        <v>40751</v>
      </c>
      <c r="C7400" s="9" t="s">
        <v>567</v>
      </c>
      <c r="D7400">
        <v>10021718049</v>
      </c>
      <c r="E7400" t="s">
        <v>47</v>
      </c>
      <c r="F7400" t="s">
        <v>527</v>
      </c>
      <c r="G7400" t="s">
        <v>528</v>
      </c>
      <c r="H7400" t="s">
        <v>2594</v>
      </c>
      <c r="I7400" t="s">
        <v>2595</v>
      </c>
      <c r="J7400" t="s">
        <v>668</v>
      </c>
      <c r="K7400" s="3">
        <v>10094941381</v>
      </c>
      <c r="L7400" s="10">
        <v>40752</v>
      </c>
      <c r="M7400">
        <v>92.15</v>
      </c>
      <c r="N7400" s="11">
        <v>20</v>
      </c>
      <c r="O7400" s="12">
        <v>4.91</v>
      </c>
      <c r="P7400" s="12">
        <v>0.5</v>
      </c>
      <c r="Q7400" s="13">
        <v>36.98</v>
      </c>
      <c r="R7400" s="36" t="s">
        <v>1262</v>
      </c>
      <c r="S7400" s="7">
        <f t="shared" si="646"/>
        <v>1</v>
      </c>
      <c r="T7400" s="15" t="str">
        <f>VLOOKUP(R7400,产品分类!$C$2:$D$1278,2,0)</f>
        <v>办公用品</v>
      </c>
    </row>
    <row r="7401" spans="1:20">
      <c r="A7401" s="8">
        <f>DATE(2012,12,31)-1006</f>
        <v>40268</v>
      </c>
      <c r="B7401" s="8">
        <f>DATE(2012,12,31)-1006</f>
        <v>40268</v>
      </c>
      <c r="C7401" s="9" t="s">
        <v>1110</v>
      </c>
      <c r="D7401">
        <v>10021498290</v>
      </c>
      <c r="E7401" t="s">
        <v>47</v>
      </c>
      <c r="F7401" t="s">
        <v>171</v>
      </c>
      <c r="G7401" t="s">
        <v>172</v>
      </c>
      <c r="H7401" t="s">
        <v>2486</v>
      </c>
      <c r="I7401" t="s">
        <v>2310</v>
      </c>
      <c r="J7401" t="s">
        <v>668</v>
      </c>
      <c r="K7401" s="3">
        <v>100921750051</v>
      </c>
      <c r="L7401" s="10">
        <v>40269</v>
      </c>
      <c r="M7401">
        <v>5735.79</v>
      </c>
      <c r="N7401" s="11">
        <v>44</v>
      </c>
      <c r="O7401" s="12">
        <v>136.98</v>
      </c>
      <c r="P7401" s="12">
        <v>24.49</v>
      </c>
      <c r="Q7401" s="13">
        <v>828.27</v>
      </c>
      <c r="R7401" s="36" t="s">
        <v>126</v>
      </c>
      <c r="S7401" s="7">
        <f t="shared" si="646"/>
        <v>1</v>
      </c>
      <c r="T7401" s="15" t="str">
        <f>VLOOKUP(R7401,产品分类!$C$2:$D$1278,2,0)</f>
        <v>家具产品</v>
      </c>
    </row>
    <row r="7402" spans="1:20">
      <c r="A7402" s="8">
        <f>DATE(2012,12,31)-291</f>
        <v>40983</v>
      </c>
      <c r="B7402" s="8">
        <f>DATE(2012,12,31)-291</f>
        <v>40983</v>
      </c>
      <c r="C7402" s="9" t="s">
        <v>623</v>
      </c>
      <c r="D7402">
        <v>10021251628</v>
      </c>
      <c r="E7402" t="s">
        <v>47</v>
      </c>
      <c r="F7402" t="s">
        <v>171</v>
      </c>
      <c r="G7402" t="s">
        <v>172</v>
      </c>
      <c r="H7402" t="s">
        <v>2486</v>
      </c>
      <c r="I7402" t="s">
        <v>2310</v>
      </c>
      <c r="J7402" t="s">
        <v>668</v>
      </c>
      <c r="K7402" s="3">
        <v>100911032571</v>
      </c>
      <c r="L7402" s="10">
        <v>40983</v>
      </c>
      <c r="M7402">
        <v>33.39</v>
      </c>
      <c r="N7402" s="11">
        <v>8</v>
      </c>
      <c r="O7402" s="12">
        <v>3.36</v>
      </c>
      <c r="P7402" s="12">
        <v>6.27</v>
      </c>
      <c r="Q7402" s="13">
        <v>-35.512</v>
      </c>
      <c r="R7402" s="36" t="s">
        <v>109</v>
      </c>
      <c r="S7402" s="7">
        <f t="shared" si="646"/>
        <v>0</v>
      </c>
      <c r="T7402" s="15" t="str">
        <f>VLOOKUP(R7402,产品分类!$C$2:$D$1278,2,0)</f>
        <v>数码电子</v>
      </c>
    </row>
    <row r="7403" spans="1:20">
      <c r="A7403" s="8">
        <f t="shared" ref="A7403:B7405" si="651">DATE(2012,12,31)-250</f>
        <v>41024</v>
      </c>
      <c r="B7403" s="8">
        <f t="shared" si="651"/>
        <v>41024</v>
      </c>
      <c r="C7403" s="9" t="s">
        <v>1751</v>
      </c>
      <c r="D7403">
        <v>10021626669</v>
      </c>
      <c r="E7403" t="s">
        <v>47</v>
      </c>
      <c r="F7403" t="s">
        <v>171</v>
      </c>
      <c r="G7403" t="s">
        <v>172</v>
      </c>
      <c r="H7403" t="s">
        <v>2486</v>
      </c>
      <c r="I7403" t="s">
        <v>2310</v>
      </c>
      <c r="J7403" t="s">
        <v>668</v>
      </c>
      <c r="K7403" s="3">
        <v>100719711605</v>
      </c>
      <c r="L7403" s="10">
        <v>41026</v>
      </c>
      <c r="M7403">
        <v>43.61</v>
      </c>
      <c r="N7403" s="11">
        <v>5</v>
      </c>
      <c r="O7403" s="12">
        <v>7.59</v>
      </c>
      <c r="P7403" s="12">
        <v>4</v>
      </c>
      <c r="Q7403" s="13">
        <v>22.85</v>
      </c>
      <c r="R7403" s="36" t="s">
        <v>939</v>
      </c>
      <c r="S7403" s="7">
        <f t="shared" si="646"/>
        <v>2</v>
      </c>
      <c r="T7403" s="15" t="str">
        <f>VLOOKUP(R7403,产品分类!$C$2:$D$1278,2,0)</f>
        <v>办公用品</v>
      </c>
    </row>
    <row r="7404" spans="1:20">
      <c r="A7404" s="8">
        <f t="shared" si="651"/>
        <v>41024</v>
      </c>
      <c r="B7404" s="8">
        <f t="shared" si="651"/>
        <v>41024</v>
      </c>
      <c r="C7404" s="9" t="s">
        <v>1268</v>
      </c>
      <c r="D7404">
        <v>10021497359</v>
      </c>
      <c r="E7404" t="s">
        <v>47</v>
      </c>
      <c r="F7404" t="s">
        <v>177</v>
      </c>
      <c r="G7404" t="s">
        <v>178</v>
      </c>
      <c r="H7404" t="s">
        <v>2569</v>
      </c>
      <c r="I7404" t="s">
        <v>2570</v>
      </c>
      <c r="J7404" t="s">
        <v>668</v>
      </c>
      <c r="K7404" s="3">
        <v>100917288041</v>
      </c>
      <c r="L7404" s="10">
        <v>41026</v>
      </c>
      <c r="M7404">
        <v>343.05</v>
      </c>
      <c r="N7404" s="11">
        <v>39</v>
      </c>
      <c r="O7404" s="12">
        <v>9.11</v>
      </c>
      <c r="P7404" s="12">
        <v>2.15</v>
      </c>
      <c r="Q7404" s="13">
        <v>98.86</v>
      </c>
      <c r="R7404" s="36" t="s">
        <v>753</v>
      </c>
      <c r="S7404" s="7">
        <f t="shared" si="646"/>
        <v>2</v>
      </c>
      <c r="T7404" s="15" t="str">
        <f>VLOOKUP(R7404,产品分类!$C$2:$D$1278,2,0)</f>
        <v>家具产品</v>
      </c>
    </row>
    <row r="7405" spans="1:20">
      <c r="A7405" s="8">
        <f t="shared" si="651"/>
        <v>41024</v>
      </c>
      <c r="B7405" s="8">
        <f t="shared" si="651"/>
        <v>41024</v>
      </c>
      <c r="C7405" s="9" t="s">
        <v>2440</v>
      </c>
      <c r="D7405">
        <v>10021496415</v>
      </c>
      <c r="E7405" t="s">
        <v>47</v>
      </c>
      <c r="F7405" t="s">
        <v>177</v>
      </c>
      <c r="G7405" t="s">
        <v>178</v>
      </c>
      <c r="H7405" t="s">
        <v>2569</v>
      </c>
      <c r="I7405" t="s">
        <v>2570</v>
      </c>
      <c r="J7405" t="s">
        <v>668</v>
      </c>
      <c r="K7405" s="3">
        <v>100311283609</v>
      </c>
      <c r="L7405" s="10">
        <v>41024</v>
      </c>
      <c r="M7405">
        <v>44.63</v>
      </c>
      <c r="N7405" s="11">
        <v>7</v>
      </c>
      <c r="O7405" s="12">
        <v>5.78</v>
      </c>
      <c r="P7405" s="12">
        <v>5.67</v>
      </c>
      <c r="Q7405" s="13">
        <v>-21.19</v>
      </c>
      <c r="R7405" s="36" t="s">
        <v>1506</v>
      </c>
      <c r="S7405" s="7">
        <f t="shared" si="646"/>
        <v>0</v>
      </c>
      <c r="T7405" s="15" t="str">
        <f>VLOOKUP(R7405,产品分类!$C$2:$D$1278,2,0)</f>
        <v>办公用品</v>
      </c>
    </row>
    <row r="7406" spans="1:20">
      <c r="A7406" s="8">
        <f>DATE(2012,12,31)-233</f>
        <v>41041</v>
      </c>
      <c r="B7406" s="8">
        <f>DATE(2012,12,31)-233</f>
        <v>41041</v>
      </c>
      <c r="C7406" s="9" t="s">
        <v>2404</v>
      </c>
      <c r="D7406">
        <v>10021333120</v>
      </c>
      <c r="E7406" t="s">
        <v>47</v>
      </c>
      <c r="F7406" t="s">
        <v>167</v>
      </c>
      <c r="G7406" t="s">
        <v>168</v>
      </c>
      <c r="H7406" t="s">
        <v>169</v>
      </c>
      <c r="I7406" t="s">
        <v>168</v>
      </c>
      <c r="J7406" t="s">
        <v>668</v>
      </c>
      <c r="K7406" s="3">
        <v>10015972548</v>
      </c>
      <c r="L7406" s="10">
        <v>41042</v>
      </c>
      <c r="M7406">
        <v>187.13</v>
      </c>
      <c r="N7406" s="11">
        <v>9</v>
      </c>
      <c r="O7406" s="12">
        <v>20.28</v>
      </c>
      <c r="P7406" s="12">
        <v>14.39</v>
      </c>
      <c r="Q7406" s="13">
        <v>12.4</v>
      </c>
      <c r="R7406" s="36" t="s">
        <v>212</v>
      </c>
      <c r="S7406" s="7">
        <f t="shared" si="646"/>
        <v>1</v>
      </c>
      <c r="T7406" s="15" t="str">
        <f>VLOOKUP(R7406,产品分类!$C$2:$D$1278,2,0)</f>
        <v>家具产品</v>
      </c>
    </row>
    <row r="7407" spans="1:20">
      <c r="A7407" s="8">
        <f>DATE(2012,12,31)-233</f>
        <v>41041</v>
      </c>
      <c r="B7407" s="8">
        <f>DATE(2012,12,31)-233</f>
        <v>41041</v>
      </c>
      <c r="C7407" s="9" t="s">
        <v>2149</v>
      </c>
      <c r="D7407">
        <v>10021612236</v>
      </c>
      <c r="E7407" t="s">
        <v>47</v>
      </c>
      <c r="F7407" t="s">
        <v>183</v>
      </c>
      <c r="G7407" t="s">
        <v>184</v>
      </c>
      <c r="H7407" t="s">
        <v>2575</v>
      </c>
      <c r="I7407" t="s">
        <v>130</v>
      </c>
      <c r="J7407" t="s">
        <v>668</v>
      </c>
      <c r="K7407" s="3">
        <v>100125542318</v>
      </c>
      <c r="L7407" s="10">
        <v>41042</v>
      </c>
      <c r="M7407">
        <v>2255.1945</v>
      </c>
      <c r="N7407" s="11">
        <v>46</v>
      </c>
      <c r="O7407" s="12">
        <v>55.99</v>
      </c>
      <c r="P7407" s="12">
        <v>5</v>
      </c>
      <c r="Q7407" s="13">
        <v>74.511</v>
      </c>
      <c r="R7407" s="36" t="s">
        <v>1396</v>
      </c>
      <c r="S7407" s="7">
        <f t="shared" si="646"/>
        <v>1</v>
      </c>
      <c r="T7407" s="15" t="str">
        <f>VLOOKUP(R7407,产品分类!$C$2:$D$1278,2,0)</f>
        <v>家具产品</v>
      </c>
    </row>
    <row r="7408" spans="1:20">
      <c r="A7408" s="8">
        <f>DATE(2012,12,31)-1020</f>
        <v>40254</v>
      </c>
      <c r="B7408" s="8">
        <f>DATE(2012,12,31)-1020</f>
        <v>40254</v>
      </c>
      <c r="C7408" s="9" t="s">
        <v>2149</v>
      </c>
      <c r="D7408">
        <v>10021279970</v>
      </c>
      <c r="E7408" t="s">
        <v>47</v>
      </c>
      <c r="F7408" t="s">
        <v>177</v>
      </c>
      <c r="G7408" t="s">
        <v>178</v>
      </c>
      <c r="H7408" t="s">
        <v>2569</v>
      </c>
      <c r="I7408" t="s">
        <v>2570</v>
      </c>
      <c r="J7408" t="s">
        <v>668</v>
      </c>
      <c r="K7408" s="3">
        <v>10019716836</v>
      </c>
      <c r="L7408" s="10">
        <v>40255</v>
      </c>
      <c r="M7408">
        <v>195.57</v>
      </c>
      <c r="N7408" s="11">
        <v>32</v>
      </c>
      <c r="O7408" s="12">
        <v>5.98</v>
      </c>
      <c r="P7408" s="12">
        <v>7.5</v>
      </c>
      <c r="Q7408" s="13">
        <v>-132.93</v>
      </c>
      <c r="R7408" s="36" t="s">
        <v>1204</v>
      </c>
      <c r="S7408" s="7">
        <f t="shared" si="646"/>
        <v>1</v>
      </c>
      <c r="T7408" s="15" t="str">
        <f>VLOOKUP(R7408,产品分类!$C$2:$D$1278,2,0)</f>
        <v>办公用品</v>
      </c>
    </row>
    <row r="7409" spans="1:20">
      <c r="A7409" s="8">
        <f>DATE(2012,12,31)-309</f>
        <v>40965</v>
      </c>
      <c r="B7409" s="8">
        <f>DATE(2012,12,31)-309</f>
        <v>40965</v>
      </c>
      <c r="C7409" s="9" t="s">
        <v>632</v>
      </c>
      <c r="D7409">
        <v>10021349844</v>
      </c>
      <c r="E7409" t="s">
        <v>47</v>
      </c>
      <c r="F7409" t="s">
        <v>127</v>
      </c>
      <c r="G7409" t="s">
        <v>128</v>
      </c>
      <c r="H7409" t="s">
        <v>2554</v>
      </c>
      <c r="I7409" t="s">
        <v>2555</v>
      </c>
      <c r="J7409" t="s">
        <v>668</v>
      </c>
      <c r="K7409" s="3">
        <v>100932097351</v>
      </c>
      <c r="L7409" s="10">
        <v>40971</v>
      </c>
      <c r="M7409">
        <v>322.82</v>
      </c>
      <c r="N7409" s="11">
        <v>35</v>
      </c>
      <c r="O7409" s="12">
        <v>9.31</v>
      </c>
      <c r="P7409" s="12">
        <v>3.98</v>
      </c>
      <c r="Q7409" s="13">
        <v>-17.58</v>
      </c>
      <c r="R7409" s="36" t="s">
        <v>237</v>
      </c>
      <c r="S7409" s="7">
        <f t="shared" si="646"/>
        <v>6</v>
      </c>
      <c r="T7409" s="15" t="str">
        <f>VLOOKUP(R7409,产品分类!$C$2:$D$1278,2,0)</f>
        <v>数码电子</v>
      </c>
    </row>
    <row r="7410" spans="1:20">
      <c r="A7410" s="8">
        <f>DATE(2012,12,31)-797</f>
        <v>40477</v>
      </c>
      <c r="B7410" s="8">
        <f>DATE(2012,12,31)-797</f>
        <v>40477</v>
      </c>
      <c r="C7410" s="9" t="s">
        <v>873</v>
      </c>
      <c r="D7410">
        <v>10021387067</v>
      </c>
      <c r="E7410" t="s">
        <v>47</v>
      </c>
      <c r="F7410" t="s">
        <v>61</v>
      </c>
      <c r="G7410" t="s">
        <v>62</v>
      </c>
      <c r="H7410" t="s">
        <v>2571</v>
      </c>
      <c r="I7410" t="s">
        <v>2572</v>
      </c>
      <c r="J7410" t="s">
        <v>668</v>
      </c>
      <c r="K7410" s="3">
        <v>100415473884</v>
      </c>
      <c r="L7410" s="10">
        <v>40477</v>
      </c>
      <c r="M7410">
        <v>1323.31</v>
      </c>
      <c r="N7410" s="11">
        <v>38</v>
      </c>
      <c r="O7410" s="12">
        <v>35.89</v>
      </c>
      <c r="P7410" s="12">
        <v>14.72</v>
      </c>
      <c r="Q7410" s="13">
        <v>146.64</v>
      </c>
      <c r="R7410" s="36" t="s">
        <v>1121</v>
      </c>
      <c r="S7410" s="7">
        <f t="shared" si="646"/>
        <v>0</v>
      </c>
      <c r="T7410" s="15" t="str">
        <f>VLOOKUP(R7410,产品分类!$C$2:$D$1278,2,0)</f>
        <v>家具产品</v>
      </c>
    </row>
    <row r="7411" spans="1:20">
      <c r="A7411" s="8">
        <f>DATE(2012,12,31)-1253</f>
        <v>40021</v>
      </c>
      <c r="B7411" s="8">
        <f>DATE(2012,12,31)-1253</f>
        <v>40021</v>
      </c>
      <c r="C7411" s="9" t="s">
        <v>1714</v>
      </c>
      <c r="D7411">
        <v>10021741629</v>
      </c>
      <c r="E7411" t="s">
        <v>47</v>
      </c>
      <c r="F7411" t="s">
        <v>253</v>
      </c>
      <c r="G7411" t="s">
        <v>254</v>
      </c>
      <c r="H7411" t="s">
        <v>2579</v>
      </c>
      <c r="I7411" t="s">
        <v>2580</v>
      </c>
      <c r="J7411" t="s">
        <v>668</v>
      </c>
      <c r="K7411" s="3">
        <v>100823505582</v>
      </c>
      <c r="L7411" s="10">
        <v>40026</v>
      </c>
      <c r="M7411">
        <v>223.34</v>
      </c>
      <c r="N7411" s="11">
        <v>39</v>
      </c>
      <c r="O7411" s="12">
        <v>6.3</v>
      </c>
      <c r="P7411" s="12">
        <v>0.5</v>
      </c>
      <c r="Q7411" s="13">
        <v>95.42</v>
      </c>
      <c r="R7411" s="36" t="s">
        <v>1503</v>
      </c>
      <c r="S7411" s="7">
        <f t="shared" si="646"/>
        <v>5</v>
      </c>
      <c r="T7411" s="15" t="str">
        <f>VLOOKUP(R7411,产品分类!$C$2:$D$1278,2,0)</f>
        <v>办公用品</v>
      </c>
    </row>
    <row r="7412" spans="1:20">
      <c r="A7412" s="8">
        <f>DATE(2012,12,31)-424</f>
        <v>40850</v>
      </c>
      <c r="B7412" s="8">
        <f>DATE(2012,12,31)-424</f>
        <v>40850</v>
      </c>
      <c r="C7412" s="9" t="s">
        <v>457</v>
      </c>
      <c r="D7412">
        <v>10021337638</v>
      </c>
      <c r="E7412" t="s">
        <v>47</v>
      </c>
      <c r="F7412" t="s">
        <v>61</v>
      </c>
      <c r="G7412" t="s">
        <v>62</v>
      </c>
      <c r="H7412" t="s">
        <v>2571</v>
      </c>
      <c r="I7412" t="s">
        <v>2572</v>
      </c>
      <c r="J7412" t="s">
        <v>668</v>
      </c>
      <c r="K7412" s="3">
        <v>100722612755</v>
      </c>
      <c r="L7412" s="10">
        <v>40851</v>
      </c>
      <c r="M7412">
        <v>509.49</v>
      </c>
      <c r="N7412" s="11">
        <v>13</v>
      </c>
      <c r="O7412" s="12">
        <v>40.99</v>
      </c>
      <c r="P7412" s="12">
        <v>8.97</v>
      </c>
      <c r="Q7412" s="13">
        <v>-51.1821</v>
      </c>
      <c r="R7412" s="36" t="s">
        <v>1522</v>
      </c>
      <c r="S7412" s="7">
        <f t="shared" si="646"/>
        <v>1</v>
      </c>
      <c r="T7412" s="15" t="str">
        <f>VLOOKUP(R7412,产品分类!$C$2:$D$1278,2,0)</f>
        <v>办公用品</v>
      </c>
    </row>
    <row r="7413" spans="1:20">
      <c r="A7413" s="8">
        <f>DATE(2012,12,31)-1015</f>
        <v>40259</v>
      </c>
      <c r="B7413" s="8">
        <f>DATE(2012,12,31)-1015</f>
        <v>40259</v>
      </c>
      <c r="C7413" s="9" t="s">
        <v>457</v>
      </c>
      <c r="D7413">
        <v>10021331311</v>
      </c>
      <c r="E7413" t="s">
        <v>47</v>
      </c>
      <c r="F7413" t="s">
        <v>61</v>
      </c>
      <c r="G7413" t="s">
        <v>62</v>
      </c>
      <c r="H7413" t="s">
        <v>2571</v>
      </c>
      <c r="I7413" t="s">
        <v>2572</v>
      </c>
      <c r="J7413" t="s">
        <v>668</v>
      </c>
      <c r="K7413" s="3">
        <v>10072316305</v>
      </c>
      <c r="L7413" s="10">
        <v>40261</v>
      </c>
      <c r="M7413">
        <v>739.07</v>
      </c>
      <c r="N7413" s="11">
        <v>36</v>
      </c>
      <c r="O7413" s="12">
        <v>20.95</v>
      </c>
      <c r="P7413" s="12">
        <v>5.99</v>
      </c>
      <c r="Q7413" s="13">
        <v>-71.55</v>
      </c>
      <c r="R7413" s="36" t="s">
        <v>1360</v>
      </c>
      <c r="S7413" s="7">
        <f t="shared" si="646"/>
        <v>2</v>
      </c>
      <c r="T7413" s="15" t="str">
        <f>VLOOKUP(R7413,产品分类!$C$2:$D$1278,2,0)</f>
        <v>办公用品</v>
      </c>
    </row>
    <row r="7414" spans="1:20">
      <c r="A7414" s="8">
        <f>DATE(2012,12,31)-1015</f>
        <v>40259</v>
      </c>
      <c r="B7414" s="8">
        <f>DATE(2012,12,31)-1015</f>
        <v>40259</v>
      </c>
      <c r="C7414" s="9" t="s">
        <v>457</v>
      </c>
      <c r="D7414">
        <v>10021526666</v>
      </c>
      <c r="E7414" t="s">
        <v>47</v>
      </c>
      <c r="F7414" t="s">
        <v>61</v>
      </c>
      <c r="G7414" t="s">
        <v>62</v>
      </c>
      <c r="H7414" t="s">
        <v>2571</v>
      </c>
      <c r="I7414" t="s">
        <v>2572</v>
      </c>
      <c r="J7414" t="s">
        <v>668</v>
      </c>
      <c r="K7414" s="3">
        <v>100124959128</v>
      </c>
      <c r="L7414" s="10">
        <v>40261</v>
      </c>
      <c r="M7414">
        <v>38.58</v>
      </c>
      <c r="N7414" s="11">
        <v>4</v>
      </c>
      <c r="O7414" s="12">
        <v>9.11</v>
      </c>
      <c r="P7414" s="12">
        <v>2.15</v>
      </c>
      <c r="Q7414" s="13">
        <v>-2.82</v>
      </c>
      <c r="R7414" s="36" t="s">
        <v>2165</v>
      </c>
      <c r="S7414" s="7">
        <f t="shared" si="646"/>
        <v>2</v>
      </c>
      <c r="T7414" s="15" t="str">
        <f>VLOOKUP(R7414,产品分类!$C$2:$D$1278,2,0)</f>
        <v>办公用品</v>
      </c>
    </row>
    <row r="7415" spans="1:20">
      <c r="A7415" s="8">
        <f>DATE(2012,12,31)-228</f>
        <v>41046</v>
      </c>
      <c r="B7415" s="8">
        <f>DATE(2012,12,31)-228</f>
        <v>41046</v>
      </c>
      <c r="C7415" s="9" t="s">
        <v>457</v>
      </c>
      <c r="D7415">
        <v>10021388066</v>
      </c>
      <c r="E7415" t="s">
        <v>47</v>
      </c>
      <c r="F7415" t="s">
        <v>61</v>
      </c>
      <c r="G7415" t="s">
        <v>62</v>
      </c>
      <c r="H7415" t="s">
        <v>2571</v>
      </c>
      <c r="I7415" t="s">
        <v>2572</v>
      </c>
      <c r="J7415" t="s">
        <v>668</v>
      </c>
      <c r="K7415" s="3">
        <v>100124449368</v>
      </c>
      <c r="L7415" s="10">
        <v>41048</v>
      </c>
      <c r="M7415">
        <v>22.75</v>
      </c>
      <c r="N7415" s="11">
        <v>5</v>
      </c>
      <c r="O7415" s="12">
        <v>4.76</v>
      </c>
      <c r="P7415" s="12">
        <v>0.88</v>
      </c>
      <c r="Q7415" s="13">
        <v>-0.449999999999999</v>
      </c>
      <c r="R7415" s="36" t="s">
        <v>691</v>
      </c>
      <c r="S7415" s="7">
        <f t="shared" si="646"/>
        <v>2</v>
      </c>
      <c r="T7415" s="15" t="str">
        <f>VLOOKUP(R7415,产品分类!$C$2:$D$1278,2,0)</f>
        <v>办公用品</v>
      </c>
    </row>
    <row r="7416" spans="1:20">
      <c r="A7416" s="8">
        <f>DATE(2012,12,31)-1218</f>
        <v>40056</v>
      </c>
      <c r="B7416" s="8">
        <f>DATE(2012,12,31)-1218</f>
        <v>40056</v>
      </c>
      <c r="C7416" s="9" t="s">
        <v>457</v>
      </c>
      <c r="D7416">
        <v>10021371796</v>
      </c>
      <c r="E7416" t="s">
        <v>47</v>
      </c>
      <c r="F7416" t="s">
        <v>61</v>
      </c>
      <c r="G7416" t="s">
        <v>62</v>
      </c>
      <c r="H7416" t="s">
        <v>2596</v>
      </c>
      <c r="I7416" t="s">
        <v>2597</v>
      </c>
      <c r="J7416" t="s">
        <v>668</v>
      </c>
      <c r="K7416" s="3">
        <v>100732212415</v>
      </c>
      <c r="L7416" s="10">
        <v>40058</v>
      </c>
      <c r="M7416">
        <v>265.75</v>
      </c>
      <c r="N7416" s="11">
        <v>25</v>
      </c>
      <c r="O7416" s="12">
        <v>10.98</v>
      </c>
      <c r="P7416" s="12">
        <v>5.14</v>
      </c>
      <c r="Q7416" s="13">
        <v>13.9995</v>
      </c>
      <c r="R7416" s="36" t="s">
        <v>1048</v>
      </c>
      <c r="S7416" s="7">
        <f t="shared" si="646"/>
        <v>2</v>
      </c>
      <c r="T7416" s="15" t="str">
        <f>VLOOKUP(R7416,产品分类!$C$2:$D$1278,2,0)</f>
        <v>办公用品</v>
      </c>
    </row>
    <row r="7417" spans="1:20">
      <c r="A7417" s="8">
        <f>DATE(2012,12,31)-600</f>
        <v>40674</v>
      </c>
      <c r="B7417" s="8">
        <f>DATE(2012,12,31)-600</f>
        <v>40674</v>
      </c>
      <c r="C7417" s="9" t="s">
        <v>1535</v>
      </c>
      <c r="D7417">
        <v>10021591426</v>
      </c>
      <c r="E7417" t="s">
        <v>47</v>
      </c>
      <c r="F7417" t="s">
        <v>61</v>
      </c>
      <c r="G7417" t="s">
        <v>62</v>
      </c>
      <c r="H7417" t="s">
        <v>2596</v>
      </c>
      <c r="I7417" t="s">
        <v>2597</v>
      </c>
      <c r="J7417" t="s">
        <v>668</v>
      </c>
      <c r="K7417" s="3">
        <v>100831787482</v>
      </c>
      <c r="L7417" s="10">
        <v>40675</v>
      </c>
      <c r="M7417">
        <v>1893.29</v>
      </c>
      <c r="N7417" s="11">
        <v>50</v>
      </c>
      <c r="O7417" s="12">
        <v>37.7</v>
      </c>
      <c r="P7417" s="12">
        <v>2.99</v>
      </c>
      <c r="Q7417" s="13">
        <v>857.344</v>
      </c>
      <c r="R7417" s="36" t="s">
        <v>736</v>
      </c>
      <c r="S7417" s="7">
        <f t="shared" si="646"/>
        <v>1</v>
      </c>
      <c r="T7417" s="15" t="str">
        <f>VLOOKUP(R7417,产品分类!$C$2:$D$1278,2,0)</f>
        <v>数码电子</v>
      </c>
    </row>
    <row r="7418" spans="1:20">
      <c r="A7418" s="8">
        <f>DATE(2012,12,31)-600</f>
        <v>40674</v>
      </c>
      <c r="B7418" s="8">
        <f>DATE(2012,12,31)-600</f>
        <v>40674</v>
      </c>
      <c r="C7418" s="9" t="s">
        <v>108</v>
      </c>
      <c r="D7418">
        <v>10021349747</v>
      </c>
      <c r="E7418" t="s">
        <v>47</v>
      </c>
      <c r="F7418" t="s">
        <v>61</v>
      </c>
      <c r="G7418" t="s">
        <v>62</v>
      </c>
      <c r="H7418" t="s">
        <v>2596</v>
      </c>
      <c r="I7418" t="s">
        <v>2597</v>
      </c>
      <c r="J7418" t="s">
        <v>668</v>
      </c>
      <c r="K7418" s="3">
        <v>100131892296</v>
      </c>
      <c r="L7418" s="10">
        <v>40676</v>
      </c>
      <c r="M7418">
        <v>2628.047</v>
      </c>
      <c r="N7418" s="11">
        <v>49</v>
      </c>
      <c r="O7418" s="12">
        <v>65.99</v>
      </c>
      <c r="P7418" s="12">
        <v>19.99</v>
      </c>
      <c r="Q7418" s="13">
        <v>-137.951</v>
      </c>
      <c r="R7418" s="36" t="s">
        <v>1990</v>
      </c>
      <c r="S7418" s="7">
        <f t="shared" si="646"/>
        <v>2</v>
      </c>
      <c r="T7418" s="15" t="str">
        <f>VLOOKUP(R7418,产品分类!$C$2:$D$1278,2,0)</f>
        <v>家具产品</v>
      </c>
    </row>
    <row r="7419" spans="1:20">
      <c r="A7419" s="8">
        <f t="shared" ref="A7419:B7422" si="652">DATE(2012,12,31)-1397</f>
        <v>39877</v>
      </c>
      <c r="B7419" s="8">
        <f t="shared" si="652"/>
        <v>39877</v>
      </c>
      <c r="C7419" s="9" t="s">
        <v>46</v>
      </c>
      <c r="D7419">
        <v>10021626631</v>
      </c>
      <c r="E7419" t="s">
        <v>47</v>
      </c>
      <c r="F7419" t="s">
        <v>61</v>
      </c>
      <c r="G7419" t="s">
        <v>62</v>
      </c>
      <c r="H7419" t="s">
        <v>2596</v>
      </c>
      <c r="I7419" t="s">
        <v>2597</v>
      </c>
      <c r="J7419" t="s">
        <v>668</v>
      </c>
      <c r="K7419" s="3">
        <v>100811581572</v>
      </c>
      <c r="L7419" s="10">
        <v>39877</v>
      </c>
      <c r="M7419">
        <v>2051.8235</v>
      </c>
      <c r="N7419" s="11">
        <v>36</v>
      </c>
      <c r="O7419" s="12">
        <v>65.99</v>
      </c>
      <c r="P7419" s="12">
        <v>8.8</v>
      </c>
      <c r="Q7419" s="13">
        <v>350.361</v>
      </c>
      <c r="R7419" s="36" t="s">
        <v>349</v>
      </c>
      <c r="S7419" s="7">
        <f t="shared" si="646"/>
        <v>0</v>
      </c>
      <c r="T7419" s="15" t="str">
        <f>VLOOKUP(R7419,产品分类!$C$2:$D$1278,2,0)</f>
        <v>数码电子</v>
      </c>
    </row>
    <row r="7420" spans="1:20">
      <c r="A7420" s="8">
        <f t="shared" si="652"/>
        <v>39877</v>
      </c>
      <c r="B7420" s="8">
        <f t="shared" si="652"/>
        <v>39877</v>
      </c>
      <c r="C7420" s="9" t="s">
        <v>46</v>
      </c>
      <c r="D7420">
        <v>10021283247</v>
      </c>
      <c r="E7420" t="s">
        <v>47</v>
      </c>
      <c r="F7420" t="s">
        <v>83</v>
      </c>
      <c r="G7420" t="s">
        <v>84</v>
      </c>
      <c r="H7420" t="s">
        <v>2577</v>
      </c>
      <c r="I7420" t="s">
        <v>2578</v>
      </c>
      <c r="J7420" t="s">
        <v>668</v>
      </c>
      <c r="K7420" s="3">
        <v>100126937238</v>
      </c>
      <c r="L7420" s="10">
        <v>39879</v>
      </c>
      <c r="M7420">
        <v>185.79</v>
      </c>
      <c r="N7420" s="11">
        <v>5</v>
      </c>
      <c r="O7420" s="12">
        <v>34.98</v>
      </c>
      <c r="P7420" s="12">
        <v>7.53</v>
      </c>
      <c r="Q7420" s="13">
        <v>-159.68</v>
      </c>
      <c r="R7420" s="36" t="s">
        <v>863</v>
      </c>
      <c r="S7420" s="7">
        <f t="shared" si="646"/>
        <v>2</v>
      </c>
      <c r="T7420" s="15" t="str">
        <f>VLOOKUP(R7420,产品分类!$C$2:$D$1278,2,0)</f>
        <v>办公用品</v>
      </c>
    </row>
    <row r="7421" spans="1:20">
      <c r="A7421" s="8">
        <f t="shared" si="652"/>
        <v>39877</v>
      </c>
      <c r="B7421" s="8">
        <f t="shared" si="652"/>
        <v>39877</v>
      </c>
      <c r="C7421" s="9" t="s">
        <v>46</v>
      </c>
      <c r="D7421">
        <v>10021656968</v>
      </c>
      <c r="E7421" t="s">
        <v>47</v>
      </c>
      <c r="F7421" t="s">
        <v>61</v>
      </c>
      <c r="G7421" t="s">
        <v>62</v>
      </c>
      <c r="H7421" t="s">
        <v>2596</v>
      </c>
      <c r="I7421" t="s">
        <v>2597</v>
      </c>
      <c r="J7421" t="s">
        <v>668</v>
      </c>
      <c r="K7421" s="3">
        <v>10044702773</v>
      </c>
      <c r="L7421" s="10">
        <v>39880</v>
      </c>
      <c r="M7421">
        <v>196.41</v>
      </c>
      <c r="N7421" s="11">
        <v>9</v>
      </c>
      <c r="O7421" s="12">
        <v>19.99</v>
      </c>
      <c r="P7421" s="12">
        <v>11.17</v>
      </c>
      <c r="Q7421" s="13">
        <v>27.91</v>
      </c>
      <c r="R7421" s="36" t="s">
        <v>1681</v>
      </c>
      <c r="S7421" s="7">
        <f t="shared" si="646"/>
        <v>3</v>
      </c>
      <c r="T7421" s="15" t="str">
        <f>VLOOKUP(R7421,产品分类!$C$2:$D$1278,2,0)</f>
        <v>办公用品</v>
      </c>
    </row>
    <row r="7422" spans="1:20">
      <c r="A7422" s="8">
        <f t="shared" si="652"/>
        <v>39877</v>
      </c>
      <c r="B7422" s="8">
        <f t="shared" si="652"/>
        <v>39877</v>
      </c>
      <c r="C7422" s="9" t="s">
        <v>46</v>
      </c>
      <c r="D7422">
        <v>10021285463</v>
      </c>
      <c r="E7422" t="s">
        <v>47</v>
      </c>
      <c r="F7422" t="s">
        <v>83</v>
      </c>
      <c r="G7422" t="s">
        <v>84</v>
      </c>
      <c r="H7422" t="s">
        <v>2577</v>
      </c>
      <c r="I7422" t="s">
        <v>2578</v>
      </c>
      <c r="J7422" t="s">
        <v>668</v>
      </c>
      <c r="K7422" s="3">
        <v>10046632823</v>
      </c>
      <c r="L7422" s="10">
        <v>39879</v>
      </c>
      <c r="M7422">
        <v>186.67</v>
      </c>
      <c r="N7422" s="11">
        <v>9</v>
      </c>
      <c r="O7422" s="12">
        <v>19.98</v>
      </c>
      <c r="P7422" s="12">
        <v>8.68</v>
      </c>
      <c r="Q7422" s="13">
        <v>2.06</v>
      </c>
      <c r="R7422" s="36" t="s">
        <v>1203</v>
      </c>
      <c r="S7422" s="7">
        <f t="shared" si="646"/>
        <v>2</v>
      </c>
      <c r="T7422" s="15" t="str">
        <f>VLOOKUP(R7422,产品分类!$C$2:$D$1278,2,0)</f>
        <v>家具产品</v>
      </c>
    </row>
    <row r="7423" spans="1:20">
      <c r="A7423" s="8">
        <f>DATE(2012,12,31)-1195</f>
        <v>40079</v>
      </c>
      <c r="B7423" s="8">
        <f>DATE(2012,12,31)-1195</f>
        <v>40079</v>
      </c>
      <c r="C7423" s="9" t="s">
        <v>2286</v>
      </c>
      <c r="D7423">
        <v>10021334017</v>
      </c>
      <c r="E7423" t="s">
        <v>47</v>
      </c>
      <c r="F7423" t="s">
        <v>61</v>
      </c>
      <c r="G7423" t="s">
        <v>62</v>
      </c>
      <c r="H7423" t="s">
        <v>2596</v>
      </c>
      <c r="I7423" t="s">
        <v>2597</v>
      </c>
      <c r="J7423" t="s">
        <v>668</v>
      </c>
      <c r="K7423" s="3">
        <v>10034963729</v>
      </c>
      <c r="L7423" s="10">
        <v>40080</v>
      </c>
      <c r="M7423">
        <v>575.36</v>
      </c>
      <c r="N7423" s="11">
        <v>29</v>
      </c>
      <c r="O7423" s="12">
        <v>20.27</v>
      </c>
      <c r="P7423" s="12">
        <v>3.99</v>
      </c>
      <c r="Q7423" s="13">
        <v>84.05</v>
      </c>
      <c r="R7423" s="36" t="s">
        <v>618</v>
      </c>
      <c r="S7423" s="7">
        <f t="shared" si="646"/>
        <v>1</v>
      </c>
      <c r="T7423" s="15" t="str">
        <f>VLOOKUP(R7423,产品分类!$C$2:$D$1278,2,0)</f>
        <v>办公用品</v>
      </c>
    </row>
    <row r="7424" spans="1:20">
      <c r="A7424" s="8">
        <f>DATE(2012,12,31)-296</f>
        <v>40978</v>
      </c>
      <c r="B7424" s="8">
        <f>DATE(2012,12,31)-296</f>
        <v>40978</v>
      </c>
      <c r="C7424" s="9" t="s">
        <v>2286</v>
      </c>
      <c r="D7424">
        <v>10021495223</v>
      </c>
      <c r="E7424" t="s">
        <v>47</v>
      </c>
      <c r="F7424" t="s">
        <v>253</v>
      </c>
      <c r="G7424" t="s">
        <v>254</v>
      </c>
      <c r="H7424" t="s">
        <v>2579</v>
      </c>
      <c r="I7424" t="s">
        <v>2580</v>
      </c>
      <c r="J7424" t="s">
        <v>668</v>
      </c>
      <c r="K7424" s="3">
        <v>10015957798</v>
      </c>
      <c r="L7424" s="10">
        <v>40979</v>
      </c>
      <c r="M7424">
        <v>186.93</v>
      </c>
      <c r="N7424" s="11">
        <v>47</v>
      </c>
      <c r="O7424" s="12">
        <v>4.13</v>
      </c>
      <c r="P7424" s="12">
        <v>0.99</v>
      </c>
      <c r="Q7424" s="13">
        <v>56.44</v>
      </c>
      <c r="R7424" s="36" t="s">
        <v>642</v>
      </c>
      <c r="S7424" s="7">
        <f t="shared" si="646"/>
        <v>1</v>
      </c>
      <c r="T7424" s="15" t="str">
        <f>VLOOKUP(R7424,产品分类!$C$2:$D$1278,2,0)</f>
        <v>家具产品</v>
      </c>
    </row>
    <row r="7425" spans="1:20">
      <c r="A7425" s="8">
        <f>DATE(2012,12,31)-56</f>
        <v>41218</v>
      </c>
      <c r="B7425" s="8">
        <f>DATE(2012,12,31)-56</f>
        <v>41218</v>
      </c>
      <c r="C7425" s="9" t="s">
        <v>2286</v>
      </c>
      <c r="D7425">
        <v>10021683447</v>
      </c>
      <c r="E7425" t="s">
        <v>47</v>
      </c>
      <c r="F7425" t="s">
        <v>171</v>
      </c>
      <c r="G7425" t="s">
        <v>172</v>
      </c>
      <c r="H7425" t="s">
        <v>2486</v>
      </c>
      <c r="I7425" t="s">
        <v>2310</v>
      </c>
      <c r="J7425" t="s">
        <v>668</v>
      </c>
      <c r="K7425" s="3">
        <v>100933278511</v>
      </c>
      <c r="L7425" s="10">
        <v>41219</v>
      </c>
      <c r="M7425">
        <v>621.21</v>
      </c>
      <c r="N7425" s="11">
        <v>22</v>
      </c>
      <c r="O7425" s="12">
        <v>29.74</v>
      </c>
      <c r="P7425" s="12">
        <v>6.64</v>
      </c>
      <c r="Q7425" s="13">
        <v>-42.35</v>
      </c>
      <c r="R7425" s="36" t="s">
        <v>1274</v>
      </c>
      <c r="S7425" s="7">
        <f t="shared" si="646"/>
        <v>1</v>
      </c>
      <c r="T7425" s="15" t="str">
        <f>VLOOKUP(R7425,产品分类!$C$2:$D$1278,2,0)</f>
        <v>家具产品</v>
      </c>
    </row>
    <row r="7426" spans="1:20">
      <c r="A7426" s="8">
        <f>DATE(2012,12,31)-496</f>
        <v>40778</v>
      </c>
      <c r="B7426" s="8">
        <f>DATE(2012,12,31)-496</f>
        <v>40778</v>
      </c>
      <c r="C7426" s="9" t="s">
        <v>2286</v>
      </c>
      <c r="D7426">
        <v>10021491541</v>
      </c>
      <c r="E7426" t="s">
        <v>47</v>
      </c>
      <c r="F7426" t="s">
        <v>152</v>
      </c>
      <c r="G7426" t="s">
        <v>153</v>
      </c>
      <c r="H7426" t="s">
        <v>2589</v>
      </c>
      <c r="I7426" t="s">
        <v>2590</v>
      </c>
      <c r="J7426" t="s">
        <v>668</v>
      </c>
      <c r="K7426" s="3">
        <v>100933052151</v>
      </c>
      <c r="L7426" s="10">
        <v>40778</v>
      </c>
      <c r="M7426">
        <v>214.19</v>
      </c>
      <c r="N7426" s="11">
        <v>29</v>
      </c>
      <c r="O7426" s="12">
        <v>6.48</v>
      </c>
      <c r="P7426" s="12">
        <v>5.94</v>
      </c>
      <c r="Q7426" s="13">
        <v>-40.56</v>
      </c>
      <c r="R7426" s="36" t="s">
        <v>856</v>
      </c>
      <c r="S7426" s="7">
        <f t="shared" si="646"/>
        <v>0</v>
      </c>
      <c r="T7426" s="15" t="str">
        <f>VLOOKUP(R7426,产品分类!$C$2:$D$1278,2,0)</f>
        <v>数码电子</v>
      </c>
    </row>
    <row r="7427" spans="1:20">
      <c r="A7427" s="8">
        <f>DATE(2012,12,31)-1194</f>
        <v>40080</v>
      </c>
      <c r="B7427" s="8">
        <f>DATE(2012,12,31)-1194</f>
        <v>40080</v>
      </c>
      <c r="C7427" s="9" t="s">
        <v>551</v>
      </c>
      <c r="D7427">
        <v>10021687405</v>
      </c>
      <c r="E7427" t="s">
        <v>47</v>
      </c>
      <c r="F7427" t="s">
        <v>72</v>
      </c>
      <c r="G7427" t="s">
        <v>73</v>
      </c>
      <c r="H7427" t="s">
        <v>2591</v>
      </c>
      <c r="I7427" t="s">
        <v>2592</v>
      </c>
      <c r="J7427" t="s">
        <v>668</v>
      </c>
      <c r="K7427" s="3">
        <v>100933287611</v>
      </c>
      <c r="L7427" s="10">
        <v>40083</v>
      </c>
      <c r="M7427">
        <v>268.18</v>
      </c>
      <c r="N7427" s="11">
        <v>10</v>
      </c>
      <c r="O7427" s="12">
        <v>28.53</v>
      </c>
      <c r="P7427" s="12">
        <v>1.49</v>
      </c>
      <c r="Q7427" s="13">
        <v>74.6385</v>
      </c>
      <c r="R7427" s="36" t="s">
        <v>784</v>
      </c>
      <c r="S7427" s="7">
        <f t="shared" ref="S7427:S7490" si="653">+L7427-B7427</f>
        <v>3</v>
      </c>
      <c r="T7427" s="15" t="str">
        <f>VLOOKUP(R7427,产品分类!$C$2:$D$1278,2,0)</f>
        <v>数码电子</v>
      </c>
    </row>
    <row r="7428" spans="1:20">
      <c r="A7428" s="8">
        <f>DATE(2012,12,31)-1194</f>
        <v>40080</v>
      </c>
      <c r="B7428" s="8">
        <f>DATE(2012,12,31)-1194</f>
        <v>40080</v>
      </c>
      <c r="C7428" s="9" t="s">
        <v>977</v>
      </c>
      <c r="D7428">
        <v>10021405024</v>
      </c>
      <c r="E7428" t="s">
        <v>47</v>
      </c>
      <c r="F7428" t="s">
        <v>72</v>
      </c>
      <c r="G7428" t="s">
        <v>73</v>
      </c>
      <c r="H7428" t="s">
        <v>2591</v>
      </c>
      <c r="I7428" t="s">
        <v>2592</v>
      </c>
      <c r="J7428" t="s">
        <v>668</v>
      </c>
      <c r="K7428" s="3">
        <v>100932937961</v>
      </c>
      <c r="L7428" s="10">
        <v>40081</v>
      </c>
      <c r="M7428">
        <v>477.054</v>
      </c>
      <c r="N7428" s="11">
        <v>9</v>
      </c>
      <c r="O7428" s="12">
        <v>65.99</v>
      </c>
      <c r="P7428" s="12">
        <v>3.99</v>
      </c>
      <c r="Q7428" s="13">
        <v>-170.533</v>
      </c>
      <c r="R7428" s="36" t="s">
        <v>2405</v>
      </c>
      <c r="S7428" s="7">
        <f t="shared" si="653"/>
        <v>1</v>
      </c>
      <c r="T7428" s="15" t="str">
        <f>VLOOKUP(R7428,产品分类!$C$2:$D$1278,2,0)</f>
        <v>家具产品</v>
      </c>
    </row>
    <row r="7429" spans="1:20">
      <c r="A7429" s="8">
        <f>DATE(2012,12,31)-27</f>
        <v>41247</v>
      </c>
      <c r="B7429" s="8">
        <f>DATE(2012,12,31)-27</f>
        <v>41247</v>
      </c>
      <c r="C7429" s="9" t="s">
        <v>673</v>
      </c>
      <c r="D7429">
        <v>10021632402</v>
      </c>
      <c r="E7429" t="s">
        <v>47</v>
      </c>
      <c r="F7429" t="s">
        <v>72</v>
      </c>
      <c r="G7429" t="s">
        <v>73</v>
      </c>
      <c r="H7429" t="s">
        <v>2591</v>
      </c>
      <c r="I7429" t="s">
        <v>2592</v>
      </c>
      <c r="J7429" t="s">
        <v>668</v>
      </c>
      <c r="K7429" s="3">
        <v>100433202064</v>
      </c>
      <c r="L7429" s="10">
        <v>41250</v>
      </c>
      <c r="M7429">
        <v>228.01</v>
      </c>
      <c r="N7429" s="11">
        <v>36</v>
      </c>
      <c r="O7429" s="12">
        <v>6.48</v>
      </c>
      <c r="P7429" s="12">
        <v>8.73</v>
      </c>
      <c r="Q7429" s="13">
        <v>-185.54</v>
      </c>
      <c r="R7429" s="36" t="s">
        <v>827</v>
      </c>
      <c r="S7429" s="7">
        <f t="shared" si="653"/>
        <v>3</v>
      </c>
      <c r="T7429" s="15" t="str">
        <f>VLOOKUP(R7429,产品分类!$C$2:$D$1278,2,0)</f>
        <v>家具产品</v>
      </c>
    </row>
    <row r="7430" spans="1:20">
      <c r="A7430" s="8">
        <f>DATE(2012,12,31)-309</f>
        <v>40965</v>
      </c>
      <c r="B7430" s="8">
        <f>DATE(2012,12,31)-309</f>
        <v>40965</v>
      </c>
      <c r="C7430" s="9" t="s">
        <v>467</v>
      </c>
      <c r="D7430">
        <v>10021652351</v>
      </c>
      <c r="E7430" t="s">
        <v>47</v>
      </c>
      <c r="F7430" t="s">
        <v>230</v>
      </c>
      <c r="G7430" t="s">
        <v>231</v>
      </c>
      <c r="H7430" t="s">
        <v>2549</v>
      </c>
      <c r="I7430" t="s">
        <v>2550</v>
      </c>
      <c r="J7430" t="s">
        <v>668</v>
      </c>
      <c r="K7430" s="3">
        <v>100933249801</v>
      </c>
      <c r="L7430" s="10">
        <v>40966</v>
      </c>
      <c r="M7430">
        <v>433.44</v>
      </c>
      <c r="N7430" s="11">
        <v>29</v>
      </c>
      <c r="O7430" s="12">
        <v>15.68</v>
      </c>
      <c r="P7430" s="12">
        <v>3.73</v>
      </c>
      <c r="Q7430" s="13">
        <v>147.46</v>
      </c>
      <c r="R7430" s="36" t="s">
        <v>594</v>
      </c>
      <c r="S7430" s="7">
        <f t="shared" si="653"/>
        <v>1</v>
      </c>
      <c r="T7430" s="15" t="str">
        <f>VLOOKUP(R7430,产品分类!$C$2:$D$1278,2,0)</f>
        <v>数码电子</v>
      </c>
    </row>
    <row r="7431" spans="1:20">
      <c r="A7431" s="8">
        <f>DATE(2012,12,31)-1169</f>
        <v>40105</v>
      </c>
      <c r="B7431" s="8">
        <f>DATE(2012,12,31)-1169</f>
        <v>40105</v>
      </c>
      <c r="C7431" s="9" t="s">
        <v>1159</v>
      </c>
      <c r="D7431">
        <v>10021515976</v>
      </c>
      <c r="E7431" t="s">
        <v>47</v>
      </c>
      <c r="F7431" t="s">
        <v>122</v>
      </c>
      <c r="G7431" t="s">
        <v>123</v>
      </c>
      <c r="H7431" t="s">
        <v>2458</v>
      </c>
      <c r="I7431" t="s">
        <v>2459</v>
      </c>
      <c r="J7431" t="s">
        <v>668</v>
      </c>
      <c r="K7431" s="3">
        <v>100933067831</v>
      </c>
      <c r="L7431" s="10">
        <v>40105</v>
      </c>
      <c r="M7431">
        <v>21.71</v>
      </c>
      <c r="N7431" s="11">
        <v>2</v>
      </c>
      <c r="O7431" s="12">
        <v>6.48</v>
      </c>
      <c r="P7431" s="12">
        <v>9.54</v>
      </c>
      <c r="Q7431" s="13">
        <v>-15.13</v>
      </c>
      <c r="R7431" s="36" t="s">
        <v>690</v>
      </c>
      <c r="S7431" s="7">
        <f t="shared" si="653"/>
        <v>0</v>
      </c>
      <c r="T7431" s="15" t="str">
        <f>VLOOKUP(R7431,产品分类!$C$2:$D$1278,2,0)</f>
        <v>办公用品</v>
      </c>
    </row>
    <row r="7432" spans="1:20">
      <c r="A7432" s="16">
        <f>DATE(2012,12,31)-170</f>
        <v>41104</v>
      </c>
      <c r="B7432" s="16">
        <f>DATE(2012,12,31)-170</f>
        <v>41104</v>
      </c>
      <c r="C7432" s="9" t="s">
        <v>1529</v>
      </c>
      <c r="D7432">
        <v>10021434734</v>
      </c>
      <c r="E7432" t="s">
        <v>47</v>
      </c>
      <c r="F7432" t="s">
        <v>91</v>
      </c>
      <c r="G7432" t="s">
        <v>92</v>
      </c>
      <c r="H7432" t="s">
        <v>2573</v>
      </c>
      <c r="I7432" t="s">
        <v>2574</v>
      </c>
      <c r="J7432" t="s">
        <v>668</v>
      </c>
      <c r="K7432" s="3">
        <v>100132962468</v>
      </c>
      <c r="L7432" s="10">
        <v>41111</v>
      </c>
      <c r="M7432">
        <v>13.29</v>
      </c>
      <c r="N7432" s="17">
        <v>2</v>
      </c>
      <c r="O7432" s="5">
        <v>4.24</v>
      </c>
      <c r="P7432" s="5">
        <v>5.41</v>
      </c>
      <c r="Q7432" s="6">
        <v>-10.327</v>
      </c>
      <c r="R7432" s="37" t="s">
        <v>996</v>
      </c>
      <c r="S7432" s="7">
        <f t="shared" si="653"/>
        <v>7</v>
      </c>
      <c r="T7432" s="15" t="str">
        <f>VLOOKUP(R7432,产品分类!$C$2:$D$1278,2,0)</f>
        <v>家具产品</v>
      </c>
    </row>
    <row r="7433" spans="1:20">
      <c r="A7433" s="8">
        <f>DATE(2012,12,31)-794</f>
        <v>40480</v>
      </c>
      <c r="B7433" s="8">
        <f>DATE(2012,12,31)-794</f>
        <v>40480</v>
      </c>
      <c r="C7433" s="9" t="s">
        <v>1529</v>
      </c>
      <c r="D7433">
        <v>10021276168</v>
      </c>
      <c r="E7433" t="s">
        <v>47</v>
      </c>
      <c r="F7433" t="s">
        <v>55</v>
      </c>
      <c r="G7433" t="s">
        <v>56</v>
      </c>
      <c r="H7433" t="s">
        <v>2471</v>
      </c>
      <c r="I7433" t="s">
        <v>2472</v>
      </c>
      <c r="J7433" t="s">
        <v>668</v>
      </c>
      <c r="K7433" s="3">
        <v>100432775394</v>
      </c>
      <c r="L7433" s="10">
        <v>40481</v>
      </c>
      <c r="M7433">
        <v>2423.06</v>
      </c>
      <c r="N7433" s="11">
        <v>7</v>
      </c>
      <c r="O7433" s="12">
        <v>348.21</v>
      </c>
      <c r="P7433" s="12">
        <v>40.19</v>
      </c>
      <c r="Q7433" s="13">
        <v>-94.2656</v>
      </c>
      <c r="R7433" s="36" t="s">
        <v>1449</v>
      </c>
      <c r="S7433" s="7">
        <f t="shared" si="653"/>
        <v>1</v>
      </c>
      <c r="T7433" s="15" t="str">
        <f>VLOOKUP(R7433,产品分类!$C$2:$D$1278,2,0)</f>
        <v>家具产品</v>
      </c>
    </row>
    <row r="7434" spans="1:20">
      <c r="A7434" s="8">
        <f>DATE(2012,12,31)-1231</f>
        <v>40043</v>
      </c>
      <c r="B7434" s="8">
        <f>DATE(2012,12,31)-1231</f>
        <v>40043</v>
      </c>
      <c r="C7434" s="9" t="s">
        <v>1529</v>
      </c>
      <c r="D7434">
        <v>10021604747</v>
      </c>
      <c r="E7434" t="s">
        <v>47</v>
      </c>
      <c r="F7434" t="s">
        <v>171</v>
      </c>
      <c r="G7434" t="s">
        <v>172</v>
      </c>
      <c r="H7434" t="s">
        <v>2486</v>
      </c>
      <c r="I7434" t="s">
        <v>2310</v>
      </c>
      <c r="J7434" t="s">
        <v>668</v>
      </c>
      <c r="K7434" s="3">
        <v>100133186496</v>
      </c>
      <c r="L7434" s="10">
        <v>40046</v>
      </c>
      <c r="M7434">
        <v>5442.142</v>
      </c>
      <c r="N7434" s="11">
        <v>34</v>
      </c>
      <c r="O7434" s="12">
        <v>175.99</v>
      </c>
      <c r="P7434" s="12">
        <v>4.99</v>
      </c>
      <c r="Q7434" s="13">
        <v>1640.295</v>
      </c>
      <c r="R7434" s="36" t="s">
        <v>591</v>
      </c>
      <c r="S7434" s="7">
        <f t="shared" si="653"/>
        <v>3</v>
      </c>
      <c r="T7434" s="15" t="str">
        <f>VLOOKUP(R7434,产品分类!$C$2:$D$1278,2,0)</f>
        <v>家具产品</v>
      </c>
    </row>
    <row r="7435" spans="1:20">
      <c r="A7435" s="8">
        <f>DATE(2012,12,31)-1369</f>
        <v>39905</v>
      </c>
      <c r="B7435" s="8">
        <f>DATE(2012,12,31)-1369</f>
        <v>39905</v>
      </c>
      <c r="C7435" s="9" t="s">
        <v>470</v>
      </c>
      <c r="D7435">
        <v>10021680527</v>
      </c>
      <c r="E7435" t="s">
        <v>47</v>
      </c>
      <c r="F7435" t="s">
        <v>61</v>
      </c>
      <c r="G7435" t="s">
        <v>62</v>
      </c>
      <c r="H7435" t="s">
        <v>2596</v>
      </c>
      <c r="I7435" t="s">
        <v>2597</v>
      </c>
      <c r="J7435" t="s">
        <v>668</v>
      </c>
      <c r="K7435" s="3">
        <v>100433267324</v>
      </c>
      <c r="L7435" s="10">
        <v>39907</v>
      </c>
      <c r="M7435">
        <v>14075.99</v>
      </c>
      <c r="N7435" s="11">
        <v>40</v>
      </c>
      <c r="O7435" s="12">
        <v>355.98</v>
      </c>
      <c r="P7435" s="12">
        <v>58.92</v>
      </c>
      <c r="Q7435" s="13">
        <v>1894.14</v>
      </c>
      <c r="R7435" s="36" t="s">
        <v>1295</v>
      </c>
      <c r="S7435" s="7">
        <f t="shared" si="653"/>
        <v>2</v>
      </c>
      <c r="T7435" s="15" t="str">
        <f>VLOOKUP(R7435,产品分类!$C$2:$D$1278,2,0)</f>
        <v>数码电子</v>
      </c>
    </row>
    <row r="7436" spans="1:20">
      <c r="A7436" s="8">
        <f>DATE(2012,12,31)-430</f>
        <v>40844</v>
      </c>
      <c r="B7436" s="8">
        <f>DATE(2012,12,31)-430</f>
        <v>40844</v>
      </c>
      <c r="C7436" s="9" t="s">
        <v>470</v>
      </c>
      <c r="D7436">
        <v>10021377997</v>
      </c>
      <c r="E7436" t="s">
        <v>47</v>
      </c>
      <c r="F7436" t="s">
        <v>61</v>
      </c>
      <c r="G7436" t="s">
        <v>62</v>
      </c>
      <c r="H7436" t="s">
        <v>2596</v>
      </c>
      <c r="I7436" t="s">
        <v>2597</v>
      </c>
      <c r="J7436" t="s">
        <v>668</v>
      </c>
      <c r="K7436" s="3">
        <v>100332903409</v>
      </c>
      <c r="L7436" s="10">
        <v>40845</v>
      </c>
      <c r="M7436">
        <v>25.07</v>
      </c>
      <c r="N7436" s="11">
        <v>2</v>
      </c>
      <c r="O7436" s="12">
        <v>9.49</v>
      </c>
      <c r="P7436" s="12">
        <v>5.76</v>
      </c>
      <c r="Q7436" s="13">
        <v>-27.6747</v>
      </c>
      <c r="R7436" s="36" t="s">
        <v>1020</v>
      </c>
      <c r="S7436" s="7">
        <f t="shared" si="653"/>
        <v>1</v>
      </c>
      <c r="T7436" s="15" t="str">
        <f>VLOOKUP(R7436,产品分类!$C$2:$D$1278,2,0)</f>
        <v>办公用品</v>
      </c>
    </row>
    <row r="7437" spans="1:20">
      <c r="A7437" s="8">
        <f>DATE(2012,12,31)-221</f>
        <v>41053</v>
      </c>
      <c r="B7437" s="8">
        <f>DATE(2012,12,31)-221</f>
        <v>41053</v>
      </c>
      <c r="C7437" s="9" t="s">
        <v>149</v>
      </c>
      <c r="D7437">
        <v>10021731598</v>
      </c>
      <c r="E7437" t="s">
        <v>47</v>
      </c>
      <c r="F7437" t="s">
        <v>61</v>
      </c>
      <c r="G7437" t="s">
        <v>62</v>
      </c>
      <c r="H7437" t="s">
        <v>2596</v>
      </c>
      <c r="I7437" t="s">
        <v>2597</v>
      </c>
      <c r="J7437" t="s">
        <v>668</v>
      </c>
      <c r="K7437" s="3">
        <v>100133346768</v>
      </c>
      <c r="L7437" s="10">
        <v>41055</v>
      </c>
      <c r="M7437">
        <v>1042.96</v>
      </c>
      <c r="N7437" s="11">
        <v>6</v>
      </c>
      <c r="O7437" s="12">
        <v>165.98</v>
      </c>
      <c r="P7437" s="12">
        <v>19.99</v>
      </c>
      <c r="Q7437" s="13">
        <v>163.8035</v>
      </c>
      <c r="R7437" s="36" t="s">
        <v>1903</v>
      </c>
      <c r="S7437" s="7">
        <f t="shared" si="653"/>
        <v>2</v>
      </c>
      <c r="T7437" s="15" t="str">
        <f>VLOOKUP(R7437,产品分类!$C$2:$D$1278,2,0)</f>
        <v>家具产品</v>
      </c>
    </row>
    <row r="7438" spans="1:20">
      <c r="A7438" s="8">
        <f>DATE(2012,12,31)-1276</f>
        <v>39998</v>
      </c>
      <c r="B7438" s="8">
        <f>DATE(2012,12,31)-1276</f>
        <v>39998</v>
      </c>
      <c r="C7438" s="9" t="s">
        <v>2341</v>
      </c>
      <c r="D7438">
        <v>10021634451</v>
      </c>
      <c r="E7438" t="s">
        <v>47</v>
      </c>
      <c r="F7438" t="s">
        <v>48</v>
      </c>
      <c r="G7438" t="s">
        <v>49</v>
      </c>
      <c r="H7438" t="s">
        <v>2539</v>
      </c>
      <c r="I7438" t="s">
        <v>2540</v>
      </c>
      <c r="J7438" t="s">
        <v>1225</v>
      </c>
      <c r="K7438" s="3">
        <v>100133210498</v>
      </c>
      <c r="L7438" s="10">
        <v>40000</v>
      </c>
      <c r="M7438">
        <v>8413.23</v>
      </c>
      <c r="N7438" s="11">
        <v>23</v>
      </c>
      <c r="O7438" s="12">
        <v>363.25</v>
      </c>
      <c r="P7438" s="12">
        <v>19.99</v>
      </c>
      <c r="Q7438" s="13">
        <v>2464.75</v>
      </c>
      <c r="R7438" s="36" t="s">
        <v>314</v>
      </c>
      <c r="S7438" s="7">
        <f t="shared" si="653"/>
        <v>2</v>
      </c>
      <c r="T7438" s="15" t="str">
        <f>VLOOKUP(R7438,产品分类!$C$2:$D$1278,2,0)</f>
        <v>家具产品</v>
      </c>
    </row>
    <row r="7439" spans="1:20">
      <c r="A7439" s="8">
        <f>DATE(2012,12,31)-1276</f>
        <v>39998</v>
      </c>
      <c r="B7439" s="8">
        <f>DATE(2012,12,31)-1276</f>
        <v>39998</v>
      </c>
      <c r="C7439" s="9" t="s">
        <v>2563</v>
      </c>
      <c r="D7439">
        <v>10021683317</v>
      </c>
      <c r="E7439" t="s">
        <v>47</v>
      </c>
      <c r="F7439" t="s">
        <v>66</v>
      </c>
      <c r="G7439" t="s">
        <v>67</v>
      </c>
      <c r="H7439" t="s">
        <v>2584</v>
      </c>
      <c r="I7439" t="s">
        <v>2585</v>
      </c>
      <c r="J7439" t="s">
        <v>1225</v>
      </c>
      <c r="K7439" s="3">
        <v>100733277855</v>
      </c>
      <c r="L7439" s="10">
        <v>39999</v>
      </c>
      <c r="M7439">
        <v>105.45</v>
      </c>
      <c r="N7439" s="11">
        <v>30</v>
      </c>
      <c r="O7439" s="12">
        <v>3.34</v>
      </c>
      <c r="P7439" s="12">
        <v>7.49</v>
      </c>
      <c r="Q7439" s="13">
        <v>-173.36</v>
      </c>
      <c r="R7439" s="36" t="s">
        <v>1770</v>
      </c>
      <c r="S7439" s="7">
        <f t="shared" si="653"/>
        <v>1</v>
      </c>
      <c r="T7439" s="15" t="str">
        <f>VLOOKUP(R7439,产品分类!$C$2:$D$1278,2,0)</f>
        <v>数码电子</v>
      </c>
    </row>
    <row r="7440" spans="1:20">
      <c r="A7440" s="8">
        <f>DATE(2012,12,31)-834</f>
        <v>40440</v>
      </c>
      <c r="B7440" s="8">
        <f>DATE(2012,12,31)-834</f>
        <v>40440</v>
      </c>
      <c r="C7440" s="9" t="s">
        <v>1237</v>
      </c>
      <c r="D7440">
        <v>10021568011</v>
      </c>
      <c r="E7440" t="s">
        <v>47</v>
      </c>
      <c r="F7440" t="s">
        <v>78</v>
      </c>
      <c r="G7440" t="s">
        <v>79</v>
      </c>
      <c r="H7440" t="s">
        <v>80</v>
      </c>
      <c r="I7440" t="s">
        <v>81</v>
      </c>
      <c r="J7440" t="s">
        <v>1225</v>
      </c>
      <c r="K7440" s="3">
        <v>100733145365</v>
      </c>
      <c r="L7440" s="10">
        <v>40440</v>
      </c>
      <c r="M7440">
        <v>2667.92</v>
      </c>
      <c r="N7440" s="11">
        <v>33</v>
      </c>
      <c r="O7440" s="12">
        <v>78.69</v>
      </c>
      <c r="P7440" s="12">
        <v>19.99</v>
      </c>
      <c r="Q7440" s="13">
        <v>1049.02</v>
      </c>
      <c r="R7440" s="36" t="s">
        <v>741</v>
      </c>
      <c r="S7440" s="7">
        <f t="shared" si="653"/>
        <v>0</v>
      </c>
      <c r="T7440" s="15" t="str">
        <f>VLOOKUP(R7440,产品分类!$C$2:$D$1278,2,0)</f>
        <v>办公用品</v>
      </c>
    </row>
    <row r="7441" spans="1:20">
      <c r="A7441" s="8">
        <f>DATE(2012,12,31)-834</f>
        <v>40440</v>
      </c>
      <c r="B7441" s="8">
        <f>DATE(2012,12,31)-834</f>
        <v>40440</v>
      </c>
      <c r="C7441" s="9" t="s">
        <v>800</v>
      </c>
      <c r="D7441">
        <v>10021271503</v>
      </c>
      <c r="E7441" t="s">
        <v>47</v>
      </c>
      <c r="F7441" t="s">
        <v>230</v>
      </c>
      <c r="G7441" t="s">
        <v>231</v>
      </c>
      <c r="H7441" t="s">
        <v>2549</v>
      </c>
      <c r="I7441" t="s">
        <v>2550</v>
      </c>
      <c r="J7441" t="s">
        <v>1225</v>
      </c>
      <c r="K7441" s="3">
        <v>100932759311</v>
      </c>
      <c r="L7441" s="10">
        <v>40442</v>
      </c>
      <c r="M7441">
        <v>2236.15</v>
      </c>
      <c r="N7441" s="11">
        <v>15</v>
      </c>
      <c r="O7441" s="12">
        <v>145.98</v>
      </c>
      <c r="P7441" s="12">
        <v>51.92</v>
      </c>
      <c r="Q7441" s="13">
        <v>-310.95</v>
      </c>
      <c r="R7441" s="36" t="s">
        <v>2598</v>
      </c>
      <c r="S7441" s="7">
        <f t="shared" si="653"/>
        <v>2</v>
      </c>
      <c r="T7441" s="15" t="str">
        <f>VLOOKUP(R7441,产品分类!$C$2:$D$1278,2,0)</f>
        <v>家具产品</v>
      </c>
    </row>
    <row r="7442" spans="1:20">
      <c r="A7442" s="16">
        <f>DATE(2012,12,31)-1041</f>
        <v>40233</v>
      </c>
      <c r="B7442" s="16">
        <f>DATE(2012,12,31)-1041</f>
        <v>40233</v>
      </c>
      <c r="C7442" s="9" t="s">
        <v>667</v>
      </c>
      <c r="D7442">
        <v>10021534421</v>
      </c>
      <c r="E7442" t="s">
        <v>47</v>
      </c>
      <c r="F7442" t="s">
        <v>122</v>
      </c>
      <c r="G7442" t="s">
        <v>123</v>
      </c>
      <c r="H7442" t="s">
        <v>2458</v>
      </c>
      <c r="I7442" t="s">
        <v>2459</v>
      </c>
      <c r="J7442" t="s">
        <v>1225</v>
      </c>
      <c r="K7442" s="3">
        <v>100933084571</v>
      </c>
      <c r="L7442" s="10">
        <v>40235</v>
      </c>
      <c r="M7442">
        <v>181.95</v>
      </c>
      <c r="N7442" s="17">
        <v>36</v>
      </c>
      <c r="O7442" s="5">
        <v>4.89</v>
      </c>
      <c r="P7442" s="5">
        <v>6.07</v>
      </c>
      <c r="Q7442" s="6">
        <v>-132.2615</v>
      </c>
      <c r="R7442" s="37" t="s">
        <v>1324</v>
      </c>
      <c r="S7442" s="7">
        <f t="shared" si="653"/>
        <v>2</v>
      </c>
      <c r="T7442" s="15" t="str">
        <f>VLOOKUP(R7442,产品分类!$C$2:$D$1278,2,0)</f>
        <v>家具产品</v>
      </c>
    </row>
    <row r="7443" spans="1:20">
      <c r="A7443" s="8">
        <f>DATE(2012,12,31)-996</f>
        <v>40278</v>
      </c>
      <c r="B7443" s="8">
        <f>DATE(2012,12,31)-996</f>
        <v>40278</v>
      </c>
      <c r="C7443" s="9" t="s">
        <v>667</v>
      </c>
      <c r="D7443">
        <v>10021313543</v>
      </c>
      <c r="E7443" t="s">
        <v>47</v>
      </c>
      <c r="F7443" t="s">
        <v>208</v>
      </c>
      <c r="G7443" t="s">
        <v>209</v>
      </c>
      <c r="H7443" t="s">
        <v>2300</v>
      </c>
      <c r="I7443" t="s">
        <v>2301</v>
      </c>
      <c r="J7443" t="s">
        <v>1225</v>
      </c>
      <c r="K7443" s="3">
        <v>100132814868</v>
      </c>
      <c r="L7443" s="10">
        <v>40287</v>
      </c>
      <c r="M7443">
        <v>11002.66</v>
      </c>
      <c r="N7443" s="11">
        <v>46</v>
      </c>
      <c r="O7443" s="12">
        <v>243.98</v>
      </c>
      <c r="P7443" s="12">
        <v>43.32</v>
      </c>
      <c r="Q7443" s="13">
        <v>2349.29</v>
      </c>
      <c r="R7443" s="36" t="s">
        <v>1449</v>
      </c>
      <c r="S7443" s="7">
        <f t="shared" si="653"/>
        <v>9</v>
      </c>
      <c r="T7443" s="15" t="str">
        <f>VLOOKUP(R7443,产品分类!$C$2:$D$1278,2,0)</f>
        <v>家具产品</v>
      </c>
    </row>
    <row r="7444" spans="1:20">
      <c r="A7444" s="16">
        <f>DATE(2012,12,31)-1296</f>
        <v>39978</v>
      </c>
      <c r="B7444" s="16">
        <f>DATE(2012,12,31)-1296</f>
        <v>39978</v>
      </c>
      <c r="C7444" s="9" t="s">
        <v>697</v>
      </c>
      <c r="D7444">
        <v>10021701717</v>
      </c>
      <c r="E7444" t="s">
        <v>47</v>
      </c>
      <c r="F7444" t="s">
        <v>171</v>
      </c>
      <c r="G7444" t="s">
        <v>172</v>
      </c>
      <c r="H7444" t="s">
        <v>2486</v>
      </c>
      <c r="I7444" t="s">
        <v>2310</v>
      </c>
      <c r="J7444" t="s">
        <v>1225</v>
      </c>
      <c r="K7444" s="3">
        <v>100733302595</v>
      </c>
      <c r="L7444" s="10">
        <v>39978</v>
      </c>
      <c r="M7444">
        <v>7046.61</v>
      </c>
      <c r="N7444" s="17">
        <v>24</v>
      </c>
      <c r="O7444" s="5">
        <v>315.98</v>
      </c>
      <c r="P7444" s="5">
        <v>19.99</v>
      </c>
      <c r="Q7444" s="6">
        <v>2595.1775</v>
      </c>
      <c r="R7444" s="37" t="s">
        <v>636</v>
      </c>
      <c r="S7444" s="7">
        <f t="shared" si="653"/>
        <v>0</v>
      </c>
      <c r="T7444" s="15" t="str">
        <f>VLOOKUP(R7444,产品分类!$C$2:$D$1278,2,0)</f>
        <v>数码电子</v>
      </c>
    </row>
    <row r="7445" spans="1:20">
      <c r="A7445" s="8">
        <f t="shared" ref="A7445:B7447" si="654">DATE(2012,12,31)-171</f>
        <v>41103</v>
      </c>
      <c r="B7445" s="8">
        <f t="shared" si="654"/>
        <v>41103</v>
      </c>
      <c r="C7445" s="9" t="s">
        <v>1188</v>
      </c>
      <c r="D7445">
        <v>10021636555</v>
      </c>
      <c r="E7445" t="s">
        <v>47</v>
      </c>
      <c r="F7445" t="s">
        <v>97</v>
      </c>
      <c r="G7445" t="s">
        <v>98</v>
      </c>
      <c r="H7445" t="s">
        <v>99</v>
      </c>
      <c r="I7445" t="s">
        <v>98</v>
      </c>
      <c r="J7445" t="s">
        <v>1225</v>
      </c>
      <c r="K7445" s="3">
        <v>100432528613</v>
      </c>
      <c r="L7445" s="10">
        <v>41104</v>
      </c>
      <c r="M7445">
        <v>13934.53</v>
      </c>
      <c r="N7445" s="11">
        <v>50</v>
      </c>
      <c r="O7445" s="12">
        <v>299.99</v>
      </c>
      <c r="P7445" s="12">
        <v>11.64</v>
      </c>
      <c r="Q7445" s="13">
        <v>4352.83</v>
      </c>
      <c r="R7445" s="36" t="s">
        <v>1679</v>
      </c>
      <c r="S7445" s="7">
        <f t="shared" si="653"/>
        <v>1</v>
      </c>
      <c r="T7445" s="15" t="str">
        <f>VLOOKUP(R7445,产品分类!$C$2:$D$1278,2,0)</f>
        <v>办公用品</v>
      </c>
    </row>
    <row r="7446" spans="1:20">
      <c r="A7446" s="8">
        <f t="shared" si="654"/>
        <v>41103</v>
      </c>
      <c r="B7446" s="8">
        <f t="shared" si="654"/>
        <v>41103</v>
      </c>
      <c r="C7446" s="9" t="s">
        <v>1662</v>
      </c>
      <c r="D7446">
        <v>10021700783</v>
      </c>
      <c r="E7446" t="s">
        <v>47</v>
      </c>
      <c r="F7446" t="s">
        <v>91</v>
      </c>
      <c r="G7446" t="s">
        <v>92</v>
      </c>
      <c r="H7446" t="s">
        <v>2573</v>
      </c>
      <c r="I7446" t="s">
        <v>2574</v>
      </c>
      <c r="J7446" t="s">
        <v>1225</v>
      </c>
      <c r="K7446" s="3">
        <v>100732861965</v>
      </c>
      <c r="L7446" s="10">
        <v>41104</v>
      </c>
      <c r="M7446">
        <v>1233.76</v>
      </c>
      <c r="N7446" s="11">
        <v>38</v>
      </c>
      <c r="O7446" s="12">
        <v>33.98</v>
      </c>
      <c r="P7446" s="12">
        <v>19.99</v>
      </c>
      <c r="Q7446" s="13">
        <v>-168.08</v>
      </c>
      <c r="R7446" s="36" t="s">
        <v>418</v>
      </c>
      <c r="S7446" s="7">
        <f t="shared" si="653"/>
        <v>1</v>
      </c>
      <c r="T7446" s="15" t="str">
        <f>VLOOKUP(R7446,产品分类!$C$2:$D$1278,2,0)</f>
        <v>数码电子</v>
      </c>
    </row>
    <row r="7447" spans="1:20">
      <c r="A7447" s="8">
        <f t="shared" si="654"/>
        <v>41103</v>
      </c>
      <c r="B7447" s="8">
        <f t="shared" si="654"/>
        <v>41103</v>
      </c>
      <c r="C7447" s="9" t="s">
        <v>1662</v>
      </c>
      <c r="D7447">
        <v>10021750620</v>
      </c>
      <c r="E7447" t="s">
        <v>47</v>
      </c>
      <c r="F7447" t="s">
        <v>152</v>
      </c>
      <c r="G7447" t="s">
        <v>153</v>
      </c>
      <c r="H7447" t="s">
        <v>2589</v>
      </c>
      <c r="I7447" t="s">
        <v>2590</v>
      </c>
      <c r="J7447" t="s">
        <v>1225</v>
      </c>
      <c r="K7447" s="3">
        <v>100731353645</v>
      </c>
      <c r="L7447" s="10">
        <v>41104</v>
      </c>
      <c r="M7447">
        <v>2377.28</v>
      </c>
      <c r="N7447" s="11">
        <v>49</v>
      </c>
      <c r="O7447" s="12">
        <v>55.99</v>
      </c>
      <c r="P7447" s="12">
        <v>5</v>
      </c>
      <c r="Q7447" s="13">
        <v>-5.786</v>
      </c>
      <c r="R7447" s="36" t="s">
        <v>1719</v>
      </c>
      <c r="S7447" s="7">
        <f t="shared" si="653"/>
        <v>1</v>
      </c>
      <c r="T7447" s="15" t="str">
        <f>VLOOKUP(R7447,产品分类!$C$2:$D$1278,2,0)</f>
        <v>办公用品</v>
      </c>
    </row>
    <row r="7448" spans="1:20">
      <c r="A7448" s="8">
        <f>DATE(2012,12,31)-827</f>
        <v>40447</v>
      </c>
      <c r="B7448" s="8">
        <f>DATE(2012,12,31)-827</f>
        <v>40447</v>
      </c>
      <c r="C7448" s="9" t="s">
        <v>309</v>
      </c>
      <c r="D7448">
        <v>10021349092</v>
      </c>
      <c r="E7448" t="s">
        <v>47</v>
      </c>
      <c r="F7448" t="s">
        <v>48</v>
      </c>
      <c r="G7448" t="s">
        <v>49</v>
      </c>
      <c r="H7448" t="s">
        <v>2599</v>
      </c>
      <c r="I7448" t="s">
        <v>2600</v>
      </c>
      <c r="J7448" t="s">
        <v>1225</v>
      </c>
      <c r="K7448" s="3">
        <v>100431824624</v>
      </c>
      <c r="L7448" s="10">
        <v>40448</v>
      </c>
      <c r="M7448">
        <v>287.43</v>
      </c>
      <c r="N7448" s="11">
        <v>26</v>
      </c>
      <c r="O7448" s="12">
        <v>10.98</v>
      </c>
      <c r="P7448" s="12">
        <v>4.8</v>
      </c>
      <c r="Q7448" s="13">
        <v>37.9</v>
      </c>
      <c r="R7448" s="36" t="s">
        <v>2179</v>
      </c>
      <c r="S7448" s="7">
        <f t="shared" si="653"/>
        <v>1</v>
      </c>
      <c r="T7448" s="15" t="str">
        <f>VLOOKUP(R7448,产品分类!$C$2:$D$1278,2,0)</f>
        <v>家具产品</v>
      </c>
    </row>
    <row r="7449" spans="1:20">
      <c r="A7449" s="8">
        <f>DATE(2012,12,31)-1100</f>
        <v>40174</v>
      </c>
      <c r="B7449" s="8">
        <f>DATE(2012,12,31)-1100</f>
        <v>40174</v>
      </c>
      <c r="C7449" s="9" t="s">
        <v>309</v>
      </c>
      <c r="D7449">
        <v>10021444284</v>
      </c>
      <c r="E7449" t="s">
        <v>47</v>
      </c>
      <c r="F7449" t="s">
        <v>55</v>
      </c>
      <c r="G7449" t="s">
        <v>56</v>
      </c>
      <c r="H7449" t="s">
        <v>2471</v>
      </c>
      <c r="I7449" t="s">
        <v>2472</v>
      </c>
      <c r="J7449" t="s">
        <v>1225</v>
      </c>
      <c r="K7449" s="3">
        <v>10048664484</v>
      </c>
      <c r="L7449" s="10">
        <v>40175</v>
      </c>
      <c r="M7449">
        <v>88.17</v>
      </c>
      <c r="N7449" s="11">
        <v>13</v>
      </c>
      <c r="O7449" s="12">
        <v>3.25</v>
      </c>
      <c r="P7449" s="12">
        <v>49</v>
      </c>
      <c r="Q7449" s="13">
        <v>-572.49</v>
      </c>
      <c r="R7449" s="36" t="s">
        <v>1788</v>
      </c>
      <c r="S7449" s="7">
        <f t="shared" si="653"/>
        <v>1</v>
      </c>
      <c r="T7449" s="15" t="str">
        <f>VLOOKUP(R7449,产品分类!$C$2:$D$1278,2,0)</f>
        <v>办公用品</v>
      </c>
    </row>
    <row r="7450" spans="1:20">
      <c r="A7450" s="8">
        <f>DATE(2012,12,31)-1100</f>
        <v>40174</v>
      </c>
      <c r="B7450" s="8">
        <f>DATE(2012,12,31)-1100</f>
        <v>40174</v>
      </c>
      <c r="C7450" s="9" t="s">
        <v>309</v>
      </c>
      <c r="D7450">
        <v>10021508624</v>
      </c>
      <c r="E7450" t="s">
        <v>47</v>
      </c>
      <c r="F7450" t="s">
        <v>97</v>
      </c>
      <c r="G7450" t="s">
        <v>98</v>
      </c>
      <c r="H7450" t="s">
        <v>99</v>
      </c>
      <c r="I7450" t="s">
        <v>98</v>
      </c>
      <c r="J7450" t="s">
        <v>271</v>
      </c>
      <c r="K7450" s="3">
        <v>100732304585</v>
      </c>
      <c r="L7450" s="10">
        <v>40175</v>
      </c>
      <c r="M7450">
        <v>4760.02</v>
      </c>
      <c r="N7450" s="11">
        <v>15</v>
      </c>
      <c r="O7450" s="12">
        <v>300.98</v>
      </c>
      <c r="P7450" s="12">
        <v>64.73</v>
      </c>
      <c r="Q7450" s="13">
        <v>658.88</v>
      </c>
      <c r="R7450" s="36" t="s">
        <v>2017</v>
      </c>
      <c r="S7450" s="7">
        <f t="shared" si="653"/>
        <v>1</v>
      </c>
      <c r="T7450" s="15" t="str">
        <f>VLOOKUP(R7450,产品分类!$C$2:$D$1278,2,0)</f>
        <v>家具产品</v>
      </c>
    </row>
    <row r="7451" spans="1:20">
      <c r="A7451" s="8">
        <f>DATE(2012,12,31)-1242</f>
        <v>40032</v>
      </c>
      <c r="B7451" s="8">
        <f>DATE(2012,12,31)-1242</f>
        <v>40032</v>
      </c>
      <c r="C7451" s="9" t="s">
        <v>309</v>
      </c>
      <c r="D7451">
        <v>10021745817</v>
      </c>
      <c r="E7451" t="s">
        <v>47</v>
      </c>
      <c r="F7451" t="s">
        <v>208</v>
      </c>
      <c r="G7451" t="s">
        <v>209</v>
      </c>
      <c r="H7451" t="s">
        <v>2300</v>
      </c>
      <c r="I7451" t="s">
        <v>2301</v>
      </c>
      <c r="J7451" t="s">
        <v>271</v>
      </c>
      <c r="K7451" s="3">
        <v>100328316659</v>
      </c>
      <c r="L7451" s="10">
        <v>40034</v>
      </c>
      <c r="M7451">
        <v>642.8</v>
      </c>
      <c r="N7451" s="11">
        <v>44</v>
      </c>
      <c r="O7451" s="12">
        <v>14.81</v>
      </c>
      <c r="P7451" s="12">
        <v>13.32</v>
      </c>
      <c r="Q7451" s="13">
        <v>-253.11</v>
      </c>
      <c r="R7451" s="36" t="s">
        <v>1340</v>
      </c>
      <c r="S7451" s="7">
        <f t="shared" si="653"/>
        <v>2</v>
      </c>
      <c r="T7451" s="15" t="str">
        <f>VLOOKUP(R7451,产品分类!$C$2:$D$1278,2,0)</f>
        <v>办公用品</v>
      </c>
    </row>
    <row r="7452" spans="1:20">
      <c r="A7452" s="8">
        <f>DATE(2012,12,31)-398</f>
        <v>40876</v>
      </c>
      <c r="B7452" s="8">
        <f>DATE(2012,12,31)-398</f>
        <v>40876</v>
      </c>
      <c r="C7452" s="9" t="s">
        <v>802</v>
      </c>
      <c r="D7452">
        <v>10021682393</v>
      </c>
      <c r="E7452" t="s">
        <v>47</v>
      </c>
      <c r="F7452" t="s">
        <v>152</v>
      </c>
      <c r="G7452" t="s">
        <v>153</v>
      </c>
      <c r="H7452" t="s">
        <v>2589</v>
      </c>
      <c r="I7452" t="s">
        <v>2590</v>
      </c>
      <c r="J7452" t="s">
        <v>271</v>
      </c>
      <c r="K7452" s="3">
        <v>100931341801</v>
      </c>
      <c r="L7452" s="10">
        <v>40877</v>
      </c>
      <c r="M7452">
        <v>667.64</v>
      </c>
      <c r="N7452" s="11">
        <v>25</v>
      </c>
      <c r="O7452" s="12">
        <v>27.48</v>
      </c>
      <c r="P7452" s="12">
        <v>4</v>
      </c>
      <c r="Q7452" s="13">
        <v>-57.53</v>
      </c>
      <c r="R7452" s="36" t="s">
        <v>2254</v>
      </c>
      <c r="S7452" s="7">
        <f t="shared" si="653"/>
        <v>1</v>
      </c>
      <c r="T7452" s="15" t="str">
        <f>VLOOKUP(R7452,产品分类!$C$2:$D$1278,2,0)</f>
        <v>办公用品</v>
      </c>
    </row>
    <row r="7453" spans="1:20">
      <c r="A7453" s="8">
        <f>DATE(2012,12,31)-1203</f>
        <v>40071</v>
      </c>
      <c r="B7453" s="8">
        <f>DATE(2012,12,31)-1203</f>
        <v>40071</v>
      </c>
      <c r="C7453" s="9" t="s">
        <v>1496</v>
      </c>
      <c r="D7453">
        <v>10021644620</v>
      </c>
      <c r="E7453" t="s">
        <v>47</v>
      </c>
      <c r="F7453" t="s">
        <v>66</v>
      </c>
      <c r="G7453" t="s">
        <v>67</v>
      </c>
      <c r="H7453" t="s">
        <v>2584</v>
      </c>
      <c r="I7453" t="s">
        <v>2585</v>
      </c>
      <c r="J7453" t="s">
        <v>271</v>
      </c>
      <c r="K7453" s="3">
        <v>100133233826</v>
      </c>
      <c r="L7453" s="10">
        <v>40072</v>
      </c>
      <c r="M7453">
        <v>2544.73</v>
      </c>
      <c r="N7453" s="11">
        <v>45</v>
      </c>
      <c r="O7453" s="12">
        <v>54.2</v>
      </c>
      <c r="P7453" s="12">
        <v>11.1</v>
      </c>
      <c r="Q7453" s="13">
        <v>375.87</v>
      </c>
      <c r="R7453" s="36" t="s">
        <v>971</v>
      </c>
      <c r="S7453" s="7">
        <f t="shared" si="653"/>
        <v>1</v>
      </c>
      <c r="T7453" s="15" t="str">
        <f>VLOOKUP(R7453,产品分类!$C$2:$D$1278,2,0)</f>
        <v>办公用品</v>
      </c>
    </row>
    <row r="7454" spans="1:20">
      <c r="A7454" s="8">
        <f>DATE(2012,12,31)-1225</f>
        <v>40049</v>
      </c>
      <c r="B7454" s="8">
        <f>DATE(2012,12,31)-1225</f>
        <v>40049</v>
      </c>
      <c r="C7454" s="9" t="s">
        <v>201</v>
      </c>
      <c r="D7454">
        <v>10021604973</v>
      </c>
      <c r="E7454" t="s">
        <v>47</v>
      </c>
      <c r="F7454" t="s">
        <v>72</v>
      </c>
      <c r="G7454" t="s">
        <v>73</v>
      </c>
      <c r="H7454" t="s">
        <v>2591</v>
      </c>
      <c r="I7454" t="s">
        <v>2592</v>
      </c>
      <c r="J7454" t="s">
        <v>271</v>
      </c>
      <c r="K7454" s="3">
        <v>10095330081</v>
      </c>
      <c r="L7454" s="10">
        <v>40050</v>
      </c>
      <c r="M7454">
        <v>345.37</v>
      </c>
      <c r="N7454" s="11">
        <v>7</v>
      </c>
      <c r="O7454" s="12">
        <v>48.04</v>
      </c>
      <c r="P7454" s="12">
        <v>5.79</v>
      </c>
      <c r="Q7454" s="13">
        <v>84.34</v>
      </c>
      <c r="R7454" s="36" t="s">
        <v>1447</v>
      </c>
      <c r="S7454" s="7">
        <f t="shared" si="653"/>
        <v>1</v>
      </c>
      <c r="T7454" s="15" t="str">
        <f>VLOOKUP(R7454,产品分类!$C$2:$D$1278,2,0)</f>
        <v>数码电子</v>
      </c>
    </row>
    <row r="7455" spans="1:20">
      <c r="A7455" s="16">
        <f t="shared" ref="A7455:B7457" si="655">DATE(2012,12,31)-450</f>
        <v>40824</v>
      </c>
      <c r="B7455" s="16">
        <f t="shared" si="655"/>
        <v>40824</v>
      </c>
      <c r="C7455" s="9" t="s">
        <v>1910</v>
      </c>
      <c r="D7455">
        <v>10021458229</v>
      </c>
      <c r="E7455" t="s">
        <v>47</v>
      </c>
      <c r="F7455" t="s">
        <v>72</v>
      </c>
      <c r="G7455" t="s">
        <v>73</v>
      </c>
      <c r="H7455" t="s">
        <v>2591</v>
      </c>
      <c r="I7455" t="s">
        <v>2592</v>
      </c>
      <c r="J7455" t="s">
        <v>271</v>
      </c>
      <c r="K7455" s="3">
        <v>100119470757</v>
      </c>
      <c r="L7455" s="10">
        <v>40825</v>
      </c>
      <c r="M7455">
        <v>1477.63</v>
      </c>
      <c r="N7455" s="17">
        <v>35</v>
      </c>
      <c r="O7455" s="5">
        <v>42.98</v>
      </c>
      <c r="P7455" s="5">
        <v>4.62</v>
      </c>
      <c r="Q7455" s="6">
        <v>387.56</v>
      </c>
      <c r="R7455" s="37" t="s">
        <v>1284</v>
      </c>
      <c r="S7455" s="7">
        <f t="shared" si="653"/>
        <v>1</v>
      </c>
      <c r="T7455" s="15" t="str">
        <f>VLOOKUP(R7455,产品分类!$C$2:$D$1278,2,0)</f>
        <v>家具产品</v>
      </c>
    </row>
    <row r="7456" spans="1:20">
      <c r="A7456" s="8">
        <f t="shared" si="655"/>
        <v>40824</v>
      </c>
      <c r="B7456" s="8">
        <f t="shared" si="655"/>
        <v>40824</v>
      </c>
      <c r="C7456" s="9" t="s">
        <v>1983</v>
      </c>
      <c r="D7456">
        <v>10021517646</v>
      </c>
      <c r="E7456" t="s">
        <v>47</v>
      </c>
      <c r="F7456" t="s">
        <v>78</v>
      </c>
      <c r="G7456" t="s">
        <v>79</v>
      </c>
      <c r="H7456" t="s">
        <v>80</v>
      </c>
      <c r="I7456" t="s">
        <v>81</v>
      </c>
      <c r="J7456" t="s">
        <v>271</v>
      </c>
      <c r="K7456" s="3">
        <v>100714502305</v>
      </c>
      <c r="L7456" s="10">
        <v>40826</v>
      </c>
      <c r="M7456">
        <v>19.46</v>
      </c>
      <c r="N7456" s="11">
        <v>3</v>
      </c>
      <c r="O7456" s="12">
        <v>6.3</v>
      </c>
      <c r="P7456" s="12">
        <v>0.5</v>
      </c>
      <c r="Q7456" s="13">
        <v>-2.01</v>
      </c>
      <c r="R7456" s="36" t="s">
        <v>1651</v>
      </c>
      <c r="S7456" s="7">
        <f t="shared" si="653"/>
        <v>2</v>
      </c>
      <c r="T7456" s="15" t="str">
        <f>VLOOKUP(R7456,产品分类!$C$2:$D$1278,2,0)</f>
        <v>数码电子</v>
      </c>
    </row>
    <row r="7457" spans="1:20">
      <c r="A7457" s="8">
        <f t="shared" si="655"/>
        <v>40824</v>
      </c>
      <c r="B7457" s="8">
        <f t="shared" si="655"/>
        <v>40824</v>
      </c>
      <c r="C7457" s="9" t="s">
        <v>1983</v>
      </c>
      <c r="D7457">
        <v>10021377626</v>
      </c>
      <c r="E7457" t="s">
        <v>47</v>
      </c>
      <c r="F7457" t="s">
        <v>78</v>
      </c>
      <c r="G7457" t="s">
        <v>79</v>
      </c>
      <c r="H7457" t="s">
        <v>80</v>
      </c>
      <c r="I7457" t="s">
        <v>81</v>
      </c>
      <c r="J7457" t="s">
        <v>271</v>
      </c>
      <c r="K7457" s="3">
        <v>100912241281</v>
      </c>
      <c r="L7457" s="10">
        <v>40825</v>
      </c>
      <c r="M7457">
        <v>148.8</v>
      </c>
      <c r="N7457" s="11">
        <v>22</v>
      </c>
      <c r="O7457" s="12">
        <v>6.47</v>
      </c>
      <c r="P7457" s="12">
        <v>1.22</v>
      </c>
      <c r="Q7457" s="13">
        <v>52.08</v>
      </c>
      <c r="R7457" s="36" t="s">
        <v>727</v>
      </c>
      <c r="S7457" s="7">
        <f t="shared" si="653"/>
        <v>1</v>
      </c>
      <c r="T7457" s="15" t="str">
        <f>VLOOKUP(R7457,产品分类!$C$2:$D$1278,2,0)</f>
        <v>家具产品</v>
      </c>
    </row>
    <row r="7458" spans="1:20">
      <c r="A7458" s="8">
        <f>DATE(2012,12,31)-68</f>
        <v>41206</v>
      </c>
      <c r="B7458" s="8">
        <f>DATE(2012,12,31)-68</f>
        <v>41206</v>
      </c>
      <c r="C7458" s="9" t="s">
        <v>861</v>
      </c>
      <c r="D7458">
        <v>10021600048</v>
      </c>
      <c r="E7458" t="s">
        <v>47</v>
      </c>
      <c r="F7458" t="s">
        <v>72</v>
      </c>
      <c r="G7458" t="s">
        <v>73</v>
      </c>
      <c r="H7458" t="s">
        <v>2591</v>
      </c>
      <c r="I7458" t="s">
        <v>2592</v>
      </c>
      <c r="J7458" t="s">
        <v>271</v>
      </c>
      <c r="K7458" s="3">
        <v>100933173941</v>
      </c>
      <c r="L7458" s="10">
        <v>41208</v>
      </c>
      <c r="M7458">
        <v>105.95</v>
      </c>
      <c r="N7458" s="11">
        <v>8</v>
      </c>
      <c r="O7458" s="12">
        <v>11.66</v>
      </c>
      <c r="P7458" s="12">
        <v>8.99</v>
      </c>
      <c r="Q7458" s="13">
        <v>-44.33</v>
      </c>
      <c r="R7458" s="36" t="s">
        <v>924</v>
      </c>
      <c r="S7458" s="7">
        <f t="shared" si="653"/>
        <v>2</v>
      </c>
      <c r="T7458" s="15" t="str">
        <f>VLOOKUP(R7458,产品分类!$C$2:$D$1278,2,0)</f>
        <v>数码电子</v>
      </c>
    </row>
    <row r="7459" spans="1:20">
      <c r="A7459" s="16">
        <f>DATE(2012,12,31)-68</f>
        <v>41206</v>
      </c>
      <c r="B7459" s="16">
        <f>DATE(2012,12,31)-68</f>
        <v>41206</v>
      </c>
      <c r="C7459" s="9" t="s">
        <v>1112</v>
      </c>
      <c r="D7459">
        <v>10021324840</v>
      </c>
      <c r="E7459" t="s">
        <v>47</v>
      </c>
      <c r="F7459" t="s">
        <v>91</v>
      </c>
      <c r="G7459" t="s">
        <v>92</v>
      </c>
      <c r="H7459" t="s">
        <v>2573</v>
      </c>
      <c r="I7459" t="s">
        <v>2574</v>
      </c>
      <c r="J7459" t="s">
        <v>271</v>
      </c>
      <c r="K7459" s="3">
        <v>1004443243</v>
      </c>
      <c r="L7459" s="10">
        <v>41208</v>
      </c>
      <c r="M7459">
        <v>73.8</v>
      </c>
      <c r="N7459" s="17">
        <v>21</v>
      </c>
      <c r="O7459" s="5">
        <v>3.29</v>
      </c>
      <c r="P7459" s="5">
        <v>1.35</v>
      </c>
      <c r="Q7459" s="6">
        <v>11.23</v>
      </c>
      <c r="R7459" s="37" t="s">
        <v>756</v>
      </c>
      <c r="S7459" s="7">
        <f t="shared" si="653"/>
        <v>2</v>
      </c>
      <c r="T7459" s="15" t="str">
        <f>VLOOKUP(R7459,产品分类!$C$2:$D$1278,2,0)</f>
        <v>办公用品</v>
      </c>
    </row>
    <row r="7460" spans="1:20">
      <c r="A7460" s="16">
        <f t="shared" ref="A7460:B7463" si="656">DATE(2012,12,31)-1299</f>
        <v>39975</v>
      </c>
      <c r="B7460" s="16">
        <f t="shared" si="656"/>
        <v>39975</v>
      </c>
      <c r="C7460" s="9" t="s">
        <v>766</v>
      </c>
      <c r="D7460">
        <v>10021315928</v>
      </c>
      <c r="E7460" t="s">
        <v>47</v>
      </c>
      <c r="F7460" t="s">
        <v>55</v>
      </c>
      <c r="G7460" t="s">
        <v>56</v>
      </c>
      <c r="H7460" t="s">
        <v>2471</v>
      </c>
      <c r="I7460" t="s">
        <v>2472</v>
      </c>
      <c r="J7460" t="s">
        <v>271</v>
      </c>
      <c r="K7460" s="3">
        <v>100123402946</v>
      </c>
      <c r="L7460" s="10">
        <v>39975</v>
      </c>
      <c r="M7460">
        <v>481.4</v>
      </c>
      <c r="N7460" s="17">
        <v>14</v>
      </c>
      <c r="O7460" s="5">
        <v>35.44</v>
      </c>
      <c r="P7460" s="5">
        <v>5.09</v>
      </c>
      <c r="Q7460" s="6">
        <v>150.72</v>
      </c>
      <c r="R7460" s="37" t="s">
        <v>722</v>
      </c>
      <c r="S7460" s="7">
        <f t="shared" si="653"/>
        <v>0</v>
      </c>
      <c r="T7460" s="15" t="str">
        <f>VLOOKUP(R7460,产品分类!$C$2:$D$1278,2,0)</f>
        <v>办公用品</v>
      </c>
    </row>
    <row r="7461" spans="1:20">
      <c r="A7461" s="16">
        <f t="shared" si="656"/>
        <v>39975</v>
      </c>
      <c r="B7461" s="16">
        <f t="shared" si="656"/>
        <v>39975</v>
      </c>
      <c r="C7461" s="9" t="s">
        <v>1472</v>
      </c>
      <c r="D7461">
        <v>10021682752</v>
      </c>
      <c r="E7461" t="s">
        <v>47</v>
      </c>
      <c r="F7461" t="s">
        <v>91</v>
      </c>
      <c r="G7461" t="s">
        <v>92</v>
      </c>
      <c r="H7461" t="s">
        <v>2573</v>
      </c>
      <c r="I7461" t="s">
        <v>2574</v>
      </c>
      <c r="J7461" t="s">
        <v>271</v>
      </c>
      <c r="K7461" s="3">
        <v>100732993185</v>
      </c>
      <c r="L7461" s="10">
        <v>39978</v>
      </c>
      <c r="M7461">
        <v>93.85</v>
      </c>
      <c r="N7461" s="17">
        <v>24</v>
      </c>
      <c r="O7461" s="5">
        <v>3.98</v>
      </c>
      <c r="P7461" s="5">
        <v>0.7</v>
      </c>
      <c r="Q7461" s="6">
        <v>19.42</v>
      </c>
      <c r="R7461" s="37" t="s">
        <v>445</v>
      </c>
      <c r="S7461" s="7">
        <f t="shared" si="653"/>
        <v>3</v>
      </c>
      <c r="T7461" s="15" t="str">
        <f>VLOOKUP(R7461,产品分类!$C$2:$D$1278,2,0)</f>
        <v>数码电子</v>
      </c>
    </row>
    <row r="7462" spans="1:20">
      <c r="A7462" s="16">
        <f t="shared" si="656"/>
        <v>39975</v>
      </c>
      <c r="B7462" s="16">
        <f t="shared" si="656"/>
        <v>39975</v>
      </c>
      <c r="C7462" s="9" t="s">
        <v>2424</v>
      </c>
      <c r="D7462">
        <v>10021686965</v>
      </c>
      <c r="E7462" t="s">
        <v>47</v>
      </c>
      <c r="F7462" t="s">
        <v>91</v>
      </c>
      <c r="G7462" t="s">
        <v>92</v>
      </c>
      <c r="H7462" t="s">
        <v>2573</v>
      </c>
      <c r="I7462" t="s">
        <v>2574</v>
      </c>
      <c r="J7462" t="s">
        <v>271</v>
      </c>
      <c r="K7462" s="3">
        <v>1001317207</v>
      </c>
      <c r="L7462" s="10">
        <v>39976</v>
      </c>
      <c r="M7462">
        <v>85.87</v>
      </c>
      <c r="N7462" s="17">
        <v>47</v>
      </c>
      <c r="O7462" s="5">
        <v>1.76</v>
      </c>
      <c r="P7462" s="5">
        <v>0.7</v>
      </c>
      <c r="Q7462" s="6">
        <v>3.13</v>
      </c>
      <c r="R7462" s="37" t="s">
        <v>1195</v>
      </c>
      <c r="S7462" s="7">
        <f t="shared" si="653"/>
        <v>1</v>
      </c>
      <c r="T7462" s="15" t="str">
        <f>VLOOKUP(R7462,产品分类!$C$2:$D$1278,2,0)</f>
        <v>办公用品</v>
      </c>
    </row>
    <row r="7463" spans="1:20">
      <c r="A7463" s="16">
        <f t="shared" si="656"/>
        <v>39975</v>
      </c>
      <c r="B7463" s="16">
        <f t="shared" si="656"/>
        <v>39975</v>
      </c>
      <c r="C7463" s="9" t="s">
        <v>492</v>
      </c>
      <c r="D7463">
        <v>10021357081</v>
      </c>
      <c r="E7463" t="s">
        <v>47</v>
      </c>
      <c r="F7463" t="s">
        <v>91</v>
      </c>
      <c r="G7463" t="s">
        <v>92</v>
      </c>
      <c r="H7463" t="s">
        <v>2573</v>
      </c>
      <c r="I7463" t="s">
        <v>2574</v>
      </c>
      <c r="J7463" t="s">
        <v>271</v>
      </c>
      <c r="K7463" s="3">
        <v>100921937161</v>
      </c>
      <c r="L7463" s="10">
        <v>39975</v>
      </c>
      <c r="M7463">
        <v>8127.32</v>
      </c>
      <c r="N7463" s="17">
        <v>42</v>
      </c>
      <c r="O7463" s="5">
        <v>193.17</v>
      </c>
      <c r="P7463" s="5">
        <v>19.99</v>
      </c>
      <c r="Q7463" s="6">
        <v>1141.07</v>
      </c>
      <c r="R7463" s="37" t="s">
        <v>485</v>
      </c>
      <c r="S7463" s="7">
        <f t="shared" si="653"/>
        <v>0</v>
      </c>
      <c r="T7463" s="15" t="str">
        <f>VLOOKUP(R7463,产品分类!$C$2:$D$1278,2,0)</f>
        <v>数码电子</v>
      </c>
    </row>
    <row r="7464" spans="1:20">
      <c r="A7464" s="8">
        <f t="shared" ref="A7464:B7467" si="657">DATE(2012,12,31)-240</f>
        <v>41034</v>
      </c>
      <c r="B7464" s="8">
        <f t="shared" si="657"/>
        <v>41034</v>
      </c>
      <c r="C7464" s="9" t="s">
        <v>734</v>
      </c>
      <c r="D7464">
        <v>10021513644</v>
      </c>
      <c r="E7464" t="s">
        <v>47</v>
      </c>
      <c r="F7464" t="s">
        <v>122</v>
      </c>
      <c r="G7464" t="s">
        <v>123</v>
      </c>
      <c r="H7464" t="s">
        <v>2458</v>
      </c>
      <c r="I7464" t="s">
        <v>2459</v>
      </c>
      <c r="J7464" t="s">
        <v>271</v>
      </c>
      <c r="K7464" s="3">
        <v>10011505937</v>
      </c>
      <c r="L7464" s="10">
        <v>41036</v>
      </c>
      <c r="M7464">
        <v>3114.05</v>
      </c>
      <c r="N7464" s="11">
        <v>32</v>
      </c>
      <c r="O7464" s="12">
        <v>95.95</v>
      </c>
      <c r="P7464" s="12">
        <v>74.35</v>
      </c>
      <c r="Q7464" s="13">
        <v>-1207.18</v>
      </c>
      <c r="R7464" s="36" t="s">
        <v>1545</v>
      </c>
      <c r="S7464" s="7">
        <f t="shared" si="653"/>
        <v>2</v>
      </c>
      <c r="T7464" s="15" t="str">
        <f>VLOOKUP(R7464,产品分类!$C$2:$D$1278,2,0)</f>
        <v>办公用品</v>
      </c>
    </row>
    <row r="7465" spans="1:20">
      <c r="A7465" s="8">
        <f t="shared" si="657"/>
        <v>41034</v>
      </c>
      <c r="B7465" s="8">
        <f t="shared" si="657"/>
        <v>41034</v>
      </c>
      <c r="C7465" s="9" t="s">
        <v>2369</v>
      </c>
      <c r="D7465">
        <v>10021357672</v>
      </c>
      <c r="E7465" t="s">
        <v>47</v>
      </c>
      <c r="F7465" t="s">
        <v>91</v>
      </c>
      <c r="G7465" t="s">
        <v>92</v>
      </c>
      <c r="H7465" t="s">
        <v>2573</v>
      </c>
      <c r="I7465" t="s">
        <v>2574</v>
      </c>
      <c r="J7465" t="s">
        <v>271</v>
      </c>
      <c r="K7465" s="3">
        <v>100421767304</v>
      </c>
      <c r="L7465" s="10">
        <v>41035</v>
      </c>
      <c r="M7465">
        <v>8161.93</v>
      </c>
      <c r="N7465" s="11">
        <v>27</v>
      </c>
      <c r="O7465" s="12">
        <v>300.98</v>
      </c>
      <c r="P7465" s="12">
        <v>64.73</v>
      </c>
      <c r="Q7465" s="13">
        <v>1261.44</v>
      </c>
      <c r="R7465" s="36" t="s">
        <v>2107</v>
      </c>
      <c r="S7465" s="7">
        <f t="shared" si="653"/>
        <v>1</v>
      </c>
      <c r="T7465" s="15" t="str">
        <f>VLOOKUP(R7465,产品分类!$C$2:$D$1278,2,0)</f>
        <v>办公用品</v>
      </c>
    </row>
    <row r="7466" spans="1:20">
      <c r="A7466" s="16">
        <f t="shared" si="657"/>
        <v>41034</v>
      </c>
      <c r="B7466" s="16">
        <f t="shared" si="657"/>
        <v>41034</v>
      </c>
      <c r="C7466" s="9" t="s">
        <v>2416</v>
      </c>
      <c r="D7466">
        <v>10021436168</v>
      </c>
      <c r="E7466" t="s">
        <v>47</v>
      </c>
      <c r="F7466" t="s">
        <v>171</v>
      </c>
      <c r="G7466" t="s">
        <v>172</v>
      </c>
      <c r="H7466" t="s">
        <v>2486</v>
      </c>
      <c r="I7466" t="s">
        <v>2310</v>
      </c>
      <c r="J7466" t="s">
        <v>271</v>
      </c>
      <c r="K7466" s="3">
        <v>100721870345</v>
      </c>
      <c r="L7466" s="10">
        <v>41036</v>
      </c>
      <c r="M7466">
        <v>1314.65</v>
      </c>
      <c r="N7466" s="17">
        <v>36</v>
      </c>
      <c r="O7466" s="5">
        <v>37.94</v>
      </c>
      <c r="P7466" s="5">
        <v>5.08</v>
      </c>
      <c r="Q7466" s="6">
        <v>536.87</v>
      </c>
      <c r="R7466" s="37" t="s">
        <v>990</v>
      </c>
      <c r="S7466" s="7">
        <f t="shared" si="653"/>
        <v>2</v>
      </c>
      <c r="T7466" s="15" t="str">
        <f>VLOOKUP(R7466,产品分类!$C$2:$D$1278,2,0)</f>
        <v>家具产品</v>
      </c>
    </row>
    <row r="7467" spans="1:20">
      <c r="A7467" s="16">
        <f t="shared" si="657"/>
        <v>41034</v>
      </c>
      <c r="B7467" s="16">
        <f t="shared" si="657"/>
        <v>41034</v>
      </c>
      <c r="C7467" s="9" t="s">
        <v>369</v>
      </c>
      <c r="D7467">
        <v>10021409281</v>
      </c>
      <c r="E7467" t="s">
        <v>47</v>
      </c>
      <c r="F7467" t="s">
        <v>97</v>
      </c>
      <c r="G7467" t="s">
        <v>98</v>
      </c>
      <c r="H7467" t="s">
        <v>99</v>
      </c>
      <c r="I7467" t="s">
        <v>98</v>
      </c>
      <c r="J7467" t="s">
        <v>271</v>
      </c>
      <c r="K7467" s="3">
        <v>100730067905</v>
      </c>
      <c r="L7467" s="10">
        <v>41036</v>
      </c>
      <c r="M7467">
        <v>4479.16</v>
      </c>
      <c r="N7467" s="17">
        <v>28</v>
      </c>
      <c r="O7467" s="5">
        <v>161.55</v>
      </c>
      <c r="P7467" s="5">
        <v>19.99</v>
      </c>
      <c r="Q7467" s="6">
        <v>610.9</v>
      </c>
      <c r="R7467" s="37" t="s">
        <v>192</v>
      </c>
      <c r="S7467" s="7">
        <f t="shared" si="653"/>
        <v>2</v>
      </c>
      <c r="T7467" s="15" t="str">
        <f>VLOOKUP(R7467,产品分类!$C$2:$D$1278,2,0)</f>
        <v>办公用品</v>
      </c>
    </row>
    <row r="7468" spans="1:20">
      <c r="A7468" s="8">
        <f t="shared" ref="A7468:B7470" si="658">DATE(2012,12,31)-1147</f>
        <v>40127</v>
      </c>
      <c r="B7468" s="8">
        <f t="shared" si="658"/>
        <v>40127</v>
      </c>
      <c r="C7468" s="9" t="s">
        <v>369</v>
      </c>
      <c r="D7468">
        <v>10021686373</v>
      </c>
      <c r="E7468" t="s">
        <v>47</v>
      </c>
      <c r="F7468" t="s">
        <v>132</v>
      </c>
      <c r="G7468" t="s">
        <v>133</v>
      </c>
      <c r="H7468" t="s">
        <v>134</v>
      </c>
      <c r="I7468" t="s">
        <v>133</v>
      </c>
      <c r="J7468" t="s">
        <v>271</v>
      </c>
      <c r="K7468" s="3">
        <v>100428057873</v>
      </c>
      <c r="L7468" s="10">
        <v>40129</v>
      </c>
      <c r="M7468">
        <v>1072.22</v>
      </c>
      <c r="N7468" s="11">
        <v>13</v>
      </c>
      <c r="O7468" s="12">
        <v>80.98</v>
      </c>
      <c r="P7468" s="12">
        <v>7.18</v>
      </c>
      <c r="Q7468" s="13">
        <v>149.64</v>
      </c>
      <c r="R7468" s="36" t="s">
        <v>1943</v>
      </c>
      <c r="S7468" s="7">
        <f t="shared" si="653"/>
        <v>2</v>
      </c>
      <c r="T7468" s="15" t="str">
        <f>VLOOKUP(R7468,产品分类!$C$2:$D$1278,2,0)</f>
        <v>家具产品</v>
      </c>
    </row>
    <row r="7469" spans="1:20">
      <c r="A7469" s="8">
        <f t="shared" si="658"/>
        <v>40127</v>
      </c>
      <c r="B7469" s="8">
        <f t="shared" si="658"/>
        <v>40127</v>
      </c>
      <c r="C7469" s="9" t="s">
        <v>236</v>
      </c>
      <c r="D7469">
        <v>10021372939</v>
      </c>
      <c r="E7469" t="s">
        <v>47</v>
      </c>
      <c r="F7469" t="s">
        <v>97</v>
      </c>
      <c r="G7469" t="s">
        <v>98</v>
      </c>
      <c r="H7469" t="s">
        <v>99</v>
      </c>
      <c r="I7469" t="s">
        <v>98</v>
      </c>
      <c r="J7469" t="s">
        <v>271</v>
      </c>
      <c r="K7469" s="3">
        <v>100418311204</v>
      </c>
      <c r="L7469" s="10">
        <v>40129</v>
      </c>
      <c r="M7469">
        <v>342.85</v>
      </c>
      <c r="N7469" s="11">
        <v>25</v>
      </c>
      <c r="O7469" s="12">
        <v>13.99</v>
      </c>
      <c r="P7469" s="12">
        <v>7.51</v>
      </c>
      <c r="Q7469" s="13">
        <v>-32.4162</v>
      </c>
      <c r="R7469" s="36" t="s">
        <v>2041</v>
      </c>
      <c r="S7469" s="7">
        <f t="shared" si="653"/>
        <v>2</v>
      </c>
      <c r="T7469" s="15" t="str">
        <f>VLOOKUP(R7469,产品分类!$C$2:$D$1278,2,0)</f>
        <v>办公用品</v>
      </c>
    </row>
    <row r="7470" spans="1:20">
      <c r="A7470" s="16">
        <f t="shared" si="658"/>
        <v>40127</v>
      </c>
      <c r="B7470" s="16">
        <f t="shared" si="658"/>
        <v>40127</v>
      </c>
      <c r="C7470" s="9" t="s">
        <v>236</v>
      </c>
      <c r="D7470">
        <v>10021680544</v>
      </c>
      <c r="E7470" t="s">
        <v>47</v>
      </c>
      <c r="F7470" t="s">
        <v>102</v>
      </c>
      <c r="G7470" t="s">
        <v>103</v>
      </c>
      <c r="H7470" t="s">
        <v>2560</v>
      </c>
      <c r="I7470" t="s">
        <v>2561</v>
      </c>
      <c r="J7470" t="s">
        <v>271</v>
      </c>
      <c r="K7470" s="3">
        <v>10046183174</v>
      </c>
      <c r="L7470" s="10">
        <v>40127</v>
      </c>
      <c r="M7470">
        <v>62.48</v>
      </c>
      <c r="N7470" s="17">
        <v>4</v>
      </c>
      <c r="O7470" s="5">
        <v>15.04</v>
      </c>
      <c r="P7470" s="5">
        <v>1.97</v>
      </c>
      <c r="Q7470" s="6">
        <v>1.06</v>
      </c>
      <c r="R7470" s="37" t="s">
        <v>955</v>
      </c>
      <c r="S7470" s="7">
        <f t="shared" si="653"/>
        <v>0</v>
      </c>
      <c r="T7470" s="15" t="str">
        <f>VLOOKUP(R7470,产品分类!$C$2:$D$1278,2,0)</f>
        <v>办公用品</v>
      </c>
    </row>
    <row r="7471" spans="1:20">
      <c r="A7471" s="16">
        <f>DATE(2012,12,31)-1410</f>
        <v>39864</v>
      </c>
      <c r="B7471" s="16">
        <f>DATE(2012,12,31)-1410</f>
        <v>39864</v>
      </c>
      <c r="C7471" s="9" t="s">
        <v>617</v>
      </c>
      <c r="D7471">
        <v>10021307935</v>
      </c>
      <c r="E7471" t="s">
        <v>47</v>
      </c>
      <c r="F7471" t="s">
        <v>137</v>
      </c>
      <c r="G7471" t="s">
        <v>138</v>
      </c>
      <c r="H7471" t="s">
        <v>2504</v>
      </c>
      <c r="I7471" t="s">
        <v>2505</v>
      </c>
      <c r="J7471" t="s">
        <v>271</v>
      </c>
      <c r="K7471" s="3">
        <v>10099588541</v>
      </c>
      <c r="L7471" s="10">
        <v>39866</v>
      </c>
      <c r="M7471">
        <v>241.1</v>
      </c>
      <c r="N7471" s="17">
        <v>41</v>
      </c>
      <c r="O7471" s="5">
        <v>5.81</v>
      </c>
      <c r="P7471" s="5">
        <v>8.49</v>
      </c>
      <c r="Q7471" s="6">
        <v>-243.2365</v>
      </c>
      <c r="R7471" s="37" t="s">
        <v>2601</v>
      </c>
      <c r="S7471" s="7">
        <f t="shared" si="653"/>
        <v>2</v>
      </c>
      <c r="T7471" s="15" t="str">
        <f>VLOOKUP(R7471,产品分类!$C$2:$D$1278,2,0)</f>
        <v>办公用品</v>
      </c>
    </row>
    <row r="7472" spans="1:20">
      <c r="A7472" s="8">
        <f>DATE(2012,12,31)-1410</f>
        <v>39864</v>
      </c>
      <c r="B7472" s="8">
        <f>DATE(2012,12,31)-1410</f>
        <v>39864</v>
      </c>
      <c r="C7472" s="9" t="s">
        <v>586</v>
      </c>
      <c r="D7472">
        <v>10021482229</v>
      </c>
      <c r="E7472" t="s">
        <v>47</v>
      </c>
      <c r="F7472" t="s">
        <v>527</v>
      </c>
      <c r="G7472" t="s">
        <v>528</v>
      </c>
      <c r="H7472" t="s">
        <v>2594</v>
      </c>
      <c r="I7472" t="s">
        <v>2595</v>
      </c>
      <c r="J7472" t="s">
        <v>271</v>
      </c>
      <c r="K7472" s="3">
        <v>100930875981</v>
      </c>
      <c r="L7472" s="10">
        <v>39865</v>
      </c>
      <c r="M7472">
        <v>491.93</v>
      </c>
      <c r="N7472" s="11">
        <v>49</v>
      </c>
      <c r="O7472" s="12">
        <v>9.65</v>
      </c>
      <c r="P7472" s="12">
        <v>6.22</v>
      </c>
      <c r="Q7472" s="13">
        <v>-53.62</v>
      </c>
      <c r="R7472" s="36" t="s">
        <v>704</v>
      </c>
      <c r="S7472" s="7">
        <f t="shared" si="653"/>
        <v>1</v>
      </c>
      <c r="T7472" s="15" t="str">
        <f>VLOOKUP(R7472,产品分类!$C$2:$D$1278,2,0)</f>
        <v>数码电子</v>
      </c>
    </row>
    <row r="7473" spans="1:20">
      <c r="A7473" s="8">
        <f>DATE(2012,12,31)-62</f>
        <v>41212</v>
      </c>
      <c r="B7473" s="8">
        <f>DATE(2012,12,31)-62</f>
        <v>41212</v>
      </c>
      <c r="C7473" s="9" t="s">
        <v>1597</v>
      </c>
      <c r="D7473">
        <v>10021385381</v>
      </c>
      <c r="E7473" t="s">
        <v>47</v>
      </c>
      <c r="F7473" t="s">
        <v>527</v>
      </c>
      <c r="G7473" t="s">
        <v>528</v>
      </c>
      <c r="H7473" t="s">
        <v>2594</v>
      </c>
      <c r="I7473" t="s">
        <v>2595</v>
      </c>
      <c r="J7473" t="s">
        <v>271</v>
      </c>
      <c r="K7473" s="3">
        <v>100132241657</v>
      </c>
      <c r="L7473" s="10">
        <v>41214</v>
      </c>
      <c r="M7473">
        <v>738.69</v>
      </c>
      <c r="N7473" s="11">
        <v>35</v>
      </c>
      <c r="O7473" s="12">
        <v>22.98</v>
      </c>
      <c r="P7473" s="12">
        <v>7.58</v>
      </c>
      <c r="Q7473" s="13">
        <v>109.16</v>
      </c>
      <c r="R7473" s="36" t="s">
        <v>539</v>
      </c>
      <c r="S7473" s="7">
        <f t="shared" si="653"/>
        <v>2</v>
      </c>
      <c r="T7473" s="15" t="str">
        <f>VLOOKUP(R7473,产品分类!$C$2:$D$1278,2,0)</f>
        <v>家具产品</v>
      </c>
    </row>
    <row r="7474" spans="1:20">
      <c r="A7474" s="8">
        <f>DATE(2012,12,31)-62</f>
        <v>41212</v>
      </c>
      <c r="B7474" s="8">
        <f>DATE(2012,12,31)-62</f>
        <v>41212</v>
      </c>
      <c r="C7474" s="9" t="s">
        <v>460</v>
      </c>
      <c r="D7474">
        <v>10021604216</v>
      </c>
      <c r="E7474" t="s">
        <v>47</v>
      </c>
      <c r="F7474" t="s">
        <v>122</v>
      </c>
      <c r="G7474" t="s">
        <v>123</v>
      </c>
      <c r="H7474" t="s">
        <v>2458</v>
      </c>
      <c r="I7474" t="s">
        <v>2459</v>
      </c>
      <c r="J7474" t="s">
        <v>271</v>
      </c>
      <c r="K7474" s="3">
        <v>100430710333</v>
      </c>
      <c r="L7474" s="10">
        <v>41214</v>
      </c>
      <c r="M7474">
        <v>1015.4</v>
      </c>
      <c r="N7474" s="11">
        <v>5</v>
      </c>
      <c r="O7474" s="12">
        <v>179.29</v>
      </c>
      <c r="P7474" s="12">
        <v>56.2</v>
      </c>
      <c r="Q7474" s="13">
        <v>-234.594</v>
      </c>
      <c r="R7474" s="36" t="s">
        <v>1018</v>
      </c>
      <c r="S7474" s="7">
        <f t="shared" si="653"/>
        <v>2</v>
      </c>
      <c r="T7474" s="15" t="str">
        <f>VLOOKUP(R7474,产品分类!$C$2:$D$1278,2,0)</f>
        <v>办公用品</v>
      </c>
    </row>
    <row r="7475" spans="1:20">
      <c r="A7475" s="8">
        <f>DATE(2012,12,31)-917</f>
        <v>40357</v>
      </c>
      <c r="B7475" s="8">
        <f>DATE(2012,12,31)-917</f>
        <v>40357</v>
      </c>
      <c r="C7475" s="9" t="s">
        <v>460</v>
      </c>
      <c r="D7475">
        <v>10021728311</v>
      </c>
      <c r="E7475" t="s">
        <v>47</v>
      </c>
      <c r="F7475" t="s">
        <v>61</v>
      </c>
      <c r="G7475" t="s">
        <v>62</v>
      </c>
      <c r="H7475" t="s">
        <v>2596</v>
      </c>
      <c r="I7475" t="s">
        <v>2597</v>
      </c>
      <c r="J7475" t="s">
        <v>271</v>
      </c>
      <c r="K7475" s="3">
        <v>100733338235</v>
      </c>
      <c r="L7475" s="10">
        <v>40358</v>
      </c>
      <c r="M7475">
        <v>4281.13</v>
      </c>
      <c r="N7475" s="11">
        <v>34</v>
      </c>
      <c r="O7475" s="12">
        <v>122.99</v>
      </c>
      <c r="P7475" s="12">
        <v>70.2</v>
      </c>
      <c r="Q7475" s="13">
        <v>-1446.08</v>
      </c>
      <c r="R7475" s="36" t="s">
        <v>1302</v>
      </c>
      <c r="S7475" s="7">
        <f t="shared" si="653"/>
        <v>1</v>
      </c>
      <c r="T7475" s="15" t="str">
        <f>VLOOKUP(R7475,产品分类!$C$2:$D$1278,2,0)</f>
        <v>数码电子</v>
      </c>
    </row>
    <row r="7476" spans="1:20">
      <c r="A7476" s="8">
        <f>DATE(2012,12,31)-291</f>
        <v>40983</v>
      </c>
      <c r="B7476" s="8">
        <f>DATE(2012,12,31)-291</f>
        <v>40983</v>
      </c>
      <c r="C7476" s="9" t="s">
        <v>460</v>
      </c>
      <c r="D7476">
        <v>10021482578</v>
      </c>
      <c r="E7476" t="s">
        <v>47</v>
      </c>
      <c r="F7476" t="s">
        <v>61</v>
      </c>
      <c r="G7476" t="s">
        <v>62</v>
      </c>
      <c r="H7476" t="s">
        <v>2596</v>
      </c>
      <c r="I7476" t="s">
        <v>2597</v>
      </c>
      <c r="J7476" t="s">
        <v>271</v>
      </c>
      <c r="K7476" s="3">
        <v>10077709575</v>
      </c>
      <c r="L7476" s="10">
        <v>40985</v>
      </c>
      <c r="M7476">
        <v>238.06</v>
      </c>
      <c r="N7476" s="11">
        <v>21</v>
      </c>
      <c r="O7476" s="12">
        <v>10.91</v>
      </c>
      <c r="P7476" s="12">
        <v>2.99</v>
      </c>
      <c r="Q7476" s="13">
        <v>56.4315</v>
      </c>
      <c r="R7476" s="36" t="s">
        <v>1453</v>
      </c>
      <c r="S7476" s="7">
        <f t="shared" si="653"/>
        <v>2</v>
      </c>
      <c r="T7476" s="15" t="str">
        <f>VLOOKUP(R7476,产品分类!$C$2:$D$1278,2,0)</f>
        <v>办公用品</v>
      </c>
    </row>
    <row r="7477" spans="1:20">
      <c r="A7477" s="8">
        <f>DATE(2012,12,31)-969</f>
        <v>40305</v>
      </c>
      <c r="B7477" s="8">
        <f>DATE(2012,12,31)-969</f>
        <v>40305</v>
      </c>
      <c r="C7477" s="9" t="s">
        <v>1879</v>
      </c>
      <c r="D7477">
        <v>10021537088</v>
      </c>
      <c r="E7477" t="s">
        <v>47</v>
      </c>
      <c r="F7477" t="s">
        <v>61</v>
      </c>
      <c r="G7477" t="s">
        <v>62</v>
      </c>
      <c r="H7477" t="s">
        <v>2596</v>
      </c>
      <c r="I7477" t="s">
        <v>2597</v>
      </c>
      <c r="J7477" t="s">
        <v>271</v>
      </c>
      <c r="K7477" s="3">
        <v>100910064351</v>
      </c>
      <c r="L7477" s="10">
        <v>40306</v>
      </c>
      <c r="M7477">
        <v>184.09</v>
      </c>
      <c r="N7477" s="11">
        <v>17</v>
      </c>
      <c r="O7477" s="12">
        <v>11.09</v>
      </c>
      <c r="P7477" s="12">
        <v>5.25</v>
      </c>
      <c r="Q7477" s="13">
        <v>4.79</v>
      </c>
      <c r="R7477" s="36" t="s">
        <v>1102</v>
      </c>
      <c r="S7477" s="7">
        <f t="shared" si="653"/>
        <v>1</v>
      </c>
      <c r="T7477" s="15" t="str">
        <f>VLOOKUP(R7477,产品分类!$C$2:$D$1278,2,0)</f>
        <v>家具产品</v>
      </c>
    </row>
    <row r="7478" spans="1:20">
      <c r="A7478" s="8">
        <f>DATE(2012,12,31)-1387</f>
        <v>39887</v>
      </c>
      <c r="B7478" s="8">
        <f>DATE(2012,12,31)-1387</f>
        <v>39887</v>
      </c>
      <c r="C7478" s="9" t="s">
        <v>2363</v>
      </c>
      <c r="D7478">
        <v>10021309902</v>
      </c>
      <c r="E7478" t="s">
        <v>47</v>
      </c>
      <c r="F7478" t="s">
        <v>152</v>
      </c>
      <c r="G7478" t="s">
        <v>153</v>
      </c>
      <c r="H7478" t="s">
        <v>2589</v>
      </c>
      <c r="I7478" t="s">
        <v>2590</v>
      </c>
      <c r="J7478" t="s">
        <v>271</v>
      </c>
      <c r="K7478" s="3">
        <v>100319056649</v>
      </c>
      <c r="L7478" s="10">
        <v>39889</v>
      </c>
      <c r="M7478">
        <v>93.73</v>
      </c>
      <c r="N7478" s="11">
        <v>6</v>
      </c>
      <c r="O7478" s="12">
        <v>14.2</v>
      </c>
      <c r="P7478" s="12">
        <v>5.3</v>
      </c>
      <c r="Q7478" s="13">
        <v>51.14</v>
      </c>
      <c r="R7478" s="36" t="s">
        <v>1503</v>
      </c>
      <c r="S7478" s="7">
        <f t="shared" si="653"/>
        <v>2</v>
      </c>
      <c r="T7478" s="15" t="str">
        <f>VLOOKUP(R7478,产品分类!$C$2:$D$1278,2,0)</f>
        <v>办公用品</v>
      </c>
    </row>
    <row r="7479" spans="1:20">
      <c r="A7479" s="8">
        <f>DATE(2012,12,31)-266</f>
        <v>41008</v>
      </c>
      <c r="B7479" s="8">
        <f>DATE(2012,12,31)-266</f>
        <v>41008</v>
      </c>
      <c r="C7479" s="9" t="s">
        <v>2363</v>
      </c>
      <c r="D7479">
        <v>10021564380</v>
      </c>
      <c r="E7479" t="s">
        <v>47</v>
      </c>
      <c r="F7479" t="s">
        <v>122</v>
      </c>
      <c r="G7479" t="s">
        <v>123</v>
      </c>
      <c r="H7479" t="s">
        <v>2458</v>
      </c>
      <c r="I7479" t="s">
        <v>2459</v>
      </c>
      <c r="J7479" t="s">
        <v>271</v>
      </c>
      <c r="K7479" s="3">
        <v>10084306962</v>
      </c>
      <c r="L7479" s="10">
        <v>41009</v>
      </c>
      <c r="M7479">
        <v>669.69</v>
      </c>
      <c r="N7479" s="11">
        <v>8</v>
      </c>
      <c r="O7479" s="12">
        <v>80.98</v>
      </c>
      <c r="P7479" s="12">
        <v>35</v>
      </c>
      <c r="Q7479" s="13">
        <v>-297.02</v>
      </c>
      <c r="R7479" s="36" t="s">
        <v>1063</v>
      </c>
      <c r="S7479" s="7">
        <f t="shared" si="653"/>
        <v>1</v>
      </c>
      <c r="T7479" s="15" t="str">
        <f>VLOOKUP(R7479,产品分类!$C$2:$D$1278,2,0)</f>
        <v>办公用品</v>
      </c>
    </row>
    <row r="7480" spans="1:20">
      <c r="A7480" s="8">
        <f>DATE(2012,12,31)-174</f>
        <v>41100</v>
      </c>
      <c r="B7480" s="8">
        <f>DATE(2012,12,31)-174</f>
        <v>41100</v>
      </c>
      <c r="C7480" s="9" t="s">
        <v>1473</v>
      </c>
      <c r="D7480">
        <v>10021604286</v>
      </c>
      <c r="E7480" t="s">
        <v>47</v>
      </c>
      <c r="F7480" t="s">
        <v>97</v>
      </c>
      <c r="G7480" t="s">
        <v>98</v>
      </c>
      <c r="H7480" t="s">
        <v>99</v>
      </c>
      <c r="I7480" t="s">
        <v>98</v>
      </c>
      <c r="J7480" t="s">
        <v>271</v>
      </c>
      <c r="K7480" s="3">
        <v>100730368145</v>
      </c>
      <c r="L7480" s="10">
        <v>41101</v>
      </c>
      <c r="M7480">
        <v>55.59</v>
      </c>
      <c r="N7480" s="11">
        <v>8</v>
      </c>
      <c r="O7480" s="12">
        <v>5.18</v>
      </c>
      <c r="P7480" s="12">
        <v>5.74</v>
      </c>
      <c r="Q7480" s="13">
        <v>-17.9515</v>
      </c>
      <c r="R7480" s="36" t="s">
        <v>676</v>
      </c>
      <c r="S7480" s="7">
        <f t="shared" si="653"/>
        <v>1</v>
      </c>
      <c r="T7480" s="15" t="str">
        <f>VLOOKUP(R7480,产品分类!$C$2:$D$1278,2,0)</f>
        <v>办公用品</v>
      </c>
    </row>
    <row r="7481" spans="1:20">
      <c r="A7481" s="8">
        <f t="shared" ref="A7481:B7483" si="659">DATE(2012,12,31)-881</f>
        <v>40393</v>
      </c>
      <c r="B7481" s="8">
        <f t="shared" si="659"/>
        <v>40393</v>
      </c>
      <c r="C7481" s="9" t="s">
        <v>701</v>
      </c>
      <c r="D7481">
        <v>10021393236</v>
      </c>
      <c r="E7481" t="s">
        <v>47</v>
      </c>
      <c r="F7481" t="s">
        <v>171</v>
      </c>
      <c r="G7481" t="s">
        <v>172</v>
      </c>
      <c r="H7481" t="s">
        <v>2486</v>
      </c>
      <c r="I7481" t="s">
        <v>2310</v>
      </c>
      <c r="J7481" t="s">
        <v>271</v>
      </c>
      <c r="K7481" s="3">
        <v>100932472481</v>
      </c>
      <c r="L7481" s="10">
        <v>40395</v>
      </c>
      <c r="M7481">
        <v>506.49</v>
      </c>
      <c r="N7481" s="11">
        <v>19</v>
      </c>
      <c r="O7481" s="12">
        <v>25.98</v>
      </c>
      <c r="P7481" s="12">
        <v>5.37</v>
      </c>
      <c r="Q7481" s="13">
        <v>105.69</v>
      </c>
      <c r="R7481" s="36" t="s">
        <v>1392</v>
      </c>
      <c r="S7481" s="7">
        <f t="shared" si="653"/>
        <v>2</v>
      </c>
      <c r="T7481" s="15" t="str">
        <f>VLOOKUP(R7481,产品分类!$C$2:$D$1278,2,0)</f>
        <v>办公用品</v>
      </c>
    </row>
    <row r="7482" spans="1:20">
      <c r="A7482" s="8">
        <f t="shared" si="659"/>
        <v>40393</v>
      </c>
      <c r="B7482" s="8">
        <f t="shared" si="659"/>
        <v>40393</v>
      </c>
      <c r="C7482" s="9" t="s">
        <v>1315</v>
      </c>
      <c r="D7482">
        <v>10021457781</v>
      </c>
      <c r="E7482" t="s">
        <v>47</v>
      </c>
      <c r="F7482" t="s">
        <v>342</v>
      </c>
      <c r="G7482" t="s">
        <v>343</v>
      </c>
      <c r="H7482" t="s">
        <v>2582</v>
      </c>
      <c r="I7482" t="s">
        <v>2583</v>
      </c>
      <c r="J7482" t="s">
        <v>271</v>
      </c>
      <c r="K7482" s="3">
        <v>100932246571</v>
      </c>
      <c r="L7482" s="10">
        <v>40395</v>
      </c>
      <c r="M7482">
        <v>8367.68</v>
      </c>
      <c r="N7482" s="11">
        <v>48</v>
      </c>
      <c r="O7482" s="12">
        <v>170.98</v>
      </c>
      <c r="P7482" s="12">
        <v>35.89</v>
      </c>
      <c r="Q7482" s="13">
        <v>886.35</v>
      </c>
      <c r="R7482" s="36" t="s">
        <v>1291</v>
      </c>
      <c r="S7482" s="7">
        <f t="shared" si="653"/>
        <v>2</v>
      </c>
      <c r="T7482" s="15" t="str">
        <f>VLOOKUP(R7482,产品分类!$C$2:$D$1278,2,0)</f>
        <v>家具产品</v>
      </c>
    </row>
    <row r="7483" spans="1:20">
      <c r="A7483" s="8">
        <f t="shared" si="659"/>
        <v>40393</v>
      </c>
      <c r="B7483" s="8">
        <f t="shared" si="659"/>
        <v>40393</v>
      </c>
      <c r="C7483" s="9" t="s">
        <v>1015</v>
      </c>
      <c r="D7483">
        <v>10021764028</v>
      </c>
      <c r="E7483" t="s">
        <v>47</v>
      </c>
      <c r="F7483" t="s">
        <v>61</v>
      </c>
      <c r="G7483" t="s">
        <v>62</v>
      </c>
      <c r="H7483" t="s">
        <v>2596</v>
      </c>
      <c r="I7483" t="s">
        <v>2597</v>
      </c>
      <c r="J7483" t="s">
        <v>271</v>
      </c>
      <c r="K7483" s="3">
        <v>100815791692</v>
      </c>
      <c r="L7483" s="10">
        <v>40395</v>
      </c>
      <c r="M7483">
        <v>74.31</v>
      </c>
      <c r="N7483" s="11">
        <v>1</v>
      </c>
      <c r="O7483" s="12">
        <v>41.47</v>
      </c>
      <c r="P7483" s="12">
        <v>34.2</v>
      </c>
      <c r="Q7483" s="13">
        <v>-73.1</v>
      </c>
      <c r="R7483" s="36" t="s">
        <v>2111</v>
      </c>
      <c r="S7483" s="7">
        <f t="shared" si="653"/>
        <v>2</v>
      </c>
      <c r="T7483" s="15" t="str">
        <f>VLOOKUP(R7483,产品分类!$C$2:$D$1278,2,0)</f>
        <v>数码电子</v>
      </c>
    </row>
    <row r="7484" spans="1:20">
      <c r="A7484" s="16">
        <f>DATE(2012,12,31)-166</f>
        <v>41108</v>
      </c>
      <c r="B7484" s="16">
        <f>DATE(2012,12,31)-166</f>
        <v>41108</v>
      </c>
      <c r="C7484" s="9" t="s">
        <v>1621</v>
      </c>
      <c r="D7484">
        <v>10021295574</v>
      </c>
      <c r="E7484" t="s">
        <v>47</v>
      </c>
      <c r="F7484" t="s">
        <v>152</v>
      </c>
      <c r="G7484" t="s">
        <v>153</v>
      </c>
      <c r="H7484" t="s">
        <v>2589</v>
      </c>
      <c r="I7484" t="s">
        <v>2590</v>
      </c>
      <c r="J7484" t="s">
        <v>271</v>
      </c>
      <c r="K7484" s="3">
        <v>100717608585</v>
      </c>
      <c r="L7484" s="10">
        <v>41110</v>
      </c>
      <c r="M7484">
        <v>103.92</v>
      </c>
      <c r="N7484" s="17">
        <v>33</v>
      </c>
      <c r="O7484" s="5">
        <v>3.14</v>
      </c>
      <c r="P7484" s="5">
        <v>1.92</v>
      </c>
      <c r="Q7484" s="6">
        <v>-52.76</v>
      </c>
      <c r="R7484" s="37" t="s">
        <v>1763</v>
      </c>
      <c r="S7484" s="7">
        <f t="shared" si="653"/>
        <v>2</v>
      </c>
      <c r="T7484" s="15" t="str">
        <f>VLOOKUP(R7484,产品分类!$C$2:$D$1278,2,0)</f>
        <v>数码电子</v>
      </c>
    </row>
    <row r="7485" spans="1:20">
      <c r="A7485" s="8">
        <f>DATE(2012,12,31)-655</f>
        <v>40619</v>
      </c>
      <c r="B7485" s="8">
        <f>DATE(2012,12,31)-655</f>
        <v>40619</v>
      </c>
      <c r="C7485" s="9" t="s">
        <v>1621</v>
      </c>
      <c r="D7485">
        <v>10021254772</v>
      </c>
      <c r="E7485" t="s">
        <v>47</v>
      </c>
      <c r="F7485" t="s">
        <v>152</v>
      </c>
      <c r="G7485" t="s">
        <v>153</v>
      </c>
      <c r="H7485" t="s">
        <v>2589</v>
      </c>
      <c r="I7485" t="s">
        <v>2590</v>
      </c>
      <c r="J7485" t="s">
        <v>271</v>
      </c>
      <c r="K7485" s="3">
        <v>100123025378</v>
      </c>
      <c r="L7485" s="10">
        <v>40620</v>
      </c>
      <c r="M7485">
        <v>451.09</v>
      </c>
      <c r="N7485" s="11">
        <v>12</v>
      </c>
      <c r="O7485" s="12">
        <v>39.98</v>
      </c>
      <c r="P7485" s="12">
        <v>9.83</v>
      </c>
      <c r="Q7485" s="13">
        <v>61.27</v>
      </c>
      <c r="R7485" s="36" t="s">
        <v>961</v>
      </c>
      <c r="S7485" s="7">
        <f t="shared" si="653"/>
        <v>1</v>
      </c>
      <c r="T7485" s="15" t="str">
        <f>VLOOKUP(R7485,产品分类!$C$2:$D$1278,2,0)</f>
        <v>办公用品</v>
      </c>
    </row>
    <row r="7486" spans="1:20">
      <c r="A7486" s="8">
        <f>DATE(2012,12,31)-228</f>
        <v>41046</v>
      </c>
      <c r="B7486" s="8">
        <f>DATE(2012,12,31)-228</f>
        <v>41046</v>
      </c>
      <c r="C7486" s="9" t="s">
        <v>1621</v>
      </c>
      <c r="D7486">
        <v>10021386357</v>
      </c>
      <c r="E7486" t="s">
        <v>47</v>
      </c>
      <c r="F7486" t="s">
        <v>66</v>
      </c>
      <c r="G7486" t="s">
        <v>67</v>
      </c>
      <c r="H7486" t="s">
        <v>2584</v>
      </c>
      <c r="I7486" t="s">
        <v>2585</v>
      </c>
      <c r="J7486" t="s">
        <v>271</v>
      </c>
      <c r="K7486" s="3">
        <v>10019384187</v>
      </c>
      <c r="L7486" s="10">
        <v>41048</v>
      </c>
      <c r="M7486">
        <v>112.36</v>
      </c>
      <c r="N7486" s="11">
        <v>33</v>
      </c>
      <c r="O7486" s="12">
        <v>3.36</v>
      </c>
      <c r="P7486" s="12">
        <v>6.27</v>
      </c>
      <c r="Q7486" s="13">
        <v>-159.735</v>
      </c>
      <c r="R7486" s="36" t="s">
        <v>1681</v>
      </c>
      <c r="S7486" s="7">
        <f t="shared" si="653"/>
        <v>2</v>
      </c>
      <c r="T7486" s="15" t="str">
        <f>VLOOKUP(R7486,产品分类!$C$2:$D$1278,2,0)</f>
        <v>办公用品</v>
      </c>
    </row>
    <row r="7487" spans="1:20">
      <c r="A7487" s="8">
        <f>DATE(2012,12,31)-228</f>
        <v>41046</v>
      </c>
      <c r="B7487" s="8">
        <f>DATE(2012,12,31)-228</f>
        <v>41046</v>
      </c>
      <c r="C7487" s="9" t="s">
        <v>1010</v>
      </c>
      <c r="D7487">
        <v>10021332816</v>
      </c>
      <c r="E7487" t="s">
        <v>47</v>
      </c>
      <c r="F7487" t="s">
        <v>66</v>
      </c>
      <c r="G7487" t="s">
        <v>67</v>
      </c>
      <c r="H7487" t="s">
        <v>2584</v>
      </c>
      <c r="I7487" t="s">
        <v>2585</v>
      </c>
      <c r="J7487" t="s">
        <v>271</v>
      </c>
      <c r="K7487" s="3">
        <v>100812908992</v>
      </c>
      <c r="L7487" s="10">
        <v>41048</v>
      </c>
      <c r="M7487">
        <v>481.049</v>
      </c>
      <c r="N7487" s="11">
        <v>16</v>
      </c>
      <c r="O7487" s="12">
        <v>35.99</v>
      </c>
      <c r="P7487" s="12">
        <v>1.1</v>
      </c>
      <c r="Q7487" s="13">
        <v>46.512</v>
      </c>
      <c r="R7487" s="36" t="s">
        <v>963</v>
      </c>
      <c r="S7487" s="7">
        <f t="shared" si="653"/>
        <v>2</v>
      </c>
      <c r="T7487" s="15" t="str">
        <f>VLOOKUP(R7487,产品分类!$C$2:$D$1278,2,0)</f>
        <v>家具产品</v>
      </c>
    </row>
    <row r="7488" spans="1:20">
      <c r="A7488" s="8">
        <f>DATE(2012,12,31)-1006</f>
        <v>40268</v>
      </c>
      <c r="B7488" s="8">
        <f>DATE(2012,12,31)-1006</f>
        <v>40268</v>
      </c>
      <c r="C7488" s="9" t="s">
        <v>1010</v>
      </c>
      <c r="D7488">
        <v>10021614174</v>
      </c>
      <c r="E7488" t="s">
        <v>47</v>
      </c>
      <c r="F7488" t="s">
        <v>152</v>
      </c>
      <c r="G7488" t="s">
        <v>153</v>
      </c>
      <c r="H7488" t="s">
        <v>2589</v>
      </c>
      <c r="I7488" t="s">
        <v>2590</v>
      </c>
      <c r="J7488" t="s">
        <v>271</v>
      </c>
      <c r="K7488" s="3">
        <v>100932756891</v>
      </c>
      <c r="L7488" s="10">
        <v>40269</v>
      </c>
      <c r="M7488">
        <v>98.24</v>
      </c>
      <c r="N7488" s="11">
        <v>9</v>
      </c>
      <c r="O7488" s="12">
        <v>10.98</v>
      </c>
      <c r="P7488" s="12">
        <v>3.37</v>
      </c>
      <c r="Q7488" s="13">
        <v>-10.38</v>
      </c>
      <c r="R7488" s="36" t="s">
        <v>908</v>
      </c>
      <c r="S7488" s="7">
        <f t="shared" si="653"/>
        <v>1</v>
      </c>
      <c r="T7488" s="15" t="str">
        <f>VLOOKUP(R7488,产品分类!$C$2:$D$1278,2,0)</f>
        <v>办公用品</v>
      </c>
    </row>
    <row r="7489" spans="1:20">
      <c r="A7489" s="8">
        <f t="shared" ref="A7489:B7491" si="660">DATE(2012,12,31)-570</f>
        <v>40704</v>
      </c>
      <c r="B7489" s="8">
        <f t="shared" si="660"/>
        <v>40704</v>
      </c>
      <c r="C7489" s="9" t="s">
        <v>853</v>
      </c>
      <c r="D7489">
        <v>10021341894</v>
      </c>
      <c r="E7489" t="s">
        <v>47</v>
      </c>
      <c r="F7489" t="s">
        <v>66</v>
      </c>
      <c r="G7489" t="s">
        <v>67</v>
      </c>
      <c r="H7489" t="s">
        <v>2584</v>
      </c>
      <c r="I7489" t="s">
        <v>2585</v>
      </c>
      <c r="J7489" t="s">
        <v>271</v>
      </c>
      <c r="K7489" s="3">
        <v>100327571639</v>
      </c>
      <c r="L7489" s="10">
        <v>40705</v>
      </c>
      <c r="M7489">
        <v>236.68</v>
      </c>
      <c r="N7489" s="11">
        <v>41</v>
      </c>
      <c r="O7489" s="12">
        <v>5.74</v>
      </c>
      <c r="P7489" s="12">
        <v>5.01</v>
      </c>
      <c r="Q7489" s="13">
        <v>-82.7885</v>
      </c>
      <c r="R7489" s="36" t="s">
        <v>1365</v>
      </c>
      <c r="S7489" s="7">
        <f t="shared" si="653"/>
        <v>1</v>
      </c>
      <c r="T7489" s="15" t="str">
        <f>VLOOKUP(R7489,产品分类!$C$2:$D$1278,2,0)</f>
        <v>办公用品</v>
      </c>
    </row>
    <row r="7490" spans="1:20">
      <c r="A7490" s="16">
        <f t="shared" si="660"/>
        <v>40704</v>
      </c>
      <c r="B7490" s="16">
        <f t="shared" si="660"/>
        <v>40704</v>
      </c>
      <c r="C7490" s="9" t="s">
        <v>853</v>
      </c>
      <c r="D7490">
        <v>10021693647</v>
      </c>
      <c r="E7490" t="s">
        <v>47</v>
      </c>
      <c r="F7490" t="s">
        <v>152</v>
      </c>
      <c r="G7490" t="s">
        <v>153</v>
      </c>
      <c r="H7490" t="s">
        <v>2589</v>
      </c>
      <c r="I7490" t="s">
        <v>2590</v>
      </c>
      <c r="J7490" t="s">
        <v>271</v>
      </c>
      <c r="K7490" s="3">
        <v>100121704727</v>
      </c>
      <c r="L7490" s="10">
        <v>40705</v>
      </c>
      <c r="M7490">
        <v>6255.81</v>
      </c>
      <c r="N7490" s="17">
        <v>43</v>
      </c>
      <c r="O7490" s="5">
        <v>140.85</v>
      </c>
      <c r="P7490" s="5">
        <v>19.99</v>
      </c>
      <c r="Q7490" s="6">
        <v>693.26</v>
      </c>
      <c r="R7490" s="37" t="s">
        <v>1026</v>
      </c>
      <c r="S7490" s="7">
        <f t="shared" si="653"/>
        <v>1</v>
      </c>
      <c r="T7490" s="15" t="str">
        <f>VLOOKUP(R7490,产品分类!$C$2:$D$1278,2,0)</f>
        <v>数码电子</v>
      </c>
    </row>
    <row r="7491" spans="1:20">
      <c r="A7491" s="16">
        <f t="shared" si="660"/>
        <v>40704</v>
      </c>
      <c r="B7491" s="16">
        <f t="shared" si="660"/>
        <v>40704</v>
      </c>
      <c r="C7491" s="9" t="s">
        <v>853</v>
      </c>
      <c r="D7491">
        <v>10021338055</v>
      </c>
      <c r="E7491" t="s">
        <v>47</v>
      </c>
      <c r="F7491" t="s">
        <v>48</v>
      </c>
      <c r="G7491" t="s">
        <v>49</v>
      </c>
      <c r="H7491" t="s">
        <v>2599</v>
      </c>
      <c r="I7491" t="s">
        <v>2600</v>
      </c>
      <c r="J7491" t="s">
        <v>271</v>
      </c>
      <c r="K7491" s="3">
        <v>100816506642</v>
      </c>
      <c r="L7491" s="10">
        <v>40705</v>
      </c>
      <c r="M7491">
        <v>616.5</v>
      </c>
      <c r="N7491" s="17">
        <v>39</v>
      </c>
      <c r="O7491" s="5">
        <v>15.01</v>
      </c>
      <c r="P7491" s="5">
        <v>8.4</v>
      </c>
      <c r="Q7491" s="6">
        <v>25.993</v>
      </c>
      <c r="R7491" s="37" t="s">
        <v>561</v>
      </c>
      <c r="S7491" s="7">
        <f t="shared" ref="S7491:S7554" si="661">+L7491-B7491</f>
        <v>1</v>
      </c>
      <c r="T7491" s="15" t="str">
        <f>VLOOKUP(R7491,产品分类!$C$2:$D$1278,2,0)</f>
        <v>数码电子</v>
      </c>
    </row>
    <row r="7492" spans="1:20">
      <c r="A7492" s="16">
        <f>DATE(2012,12,31)-198</f>
        <v>41076</v>
      </c>
      <c r="B7492" s="16">
        <f>DATE(2012,12,31)-198</f>
        <v>41076</v>
      </c>
      <c r="C7492" s="9" t="s">
        <v>853</v>
      </c>
      <c r="D7492">
        <v>10021657680</v>
      </c>
      <c r="E7492" t="s">
        <v>47</v>
      </c>
      <c r="F7492" t="s">
        <v>132</v>
      </c>
      <c r="G7492" t="s">
        <v>133</v>
      </c>
      <c r="H7492" t="s">
        <v>134</v>
      </c>
      <c r="I7492" t="s">
        <v>133</v>
      </c>
      <c r="J7492" t="s">
        <v>271</v>
      </c>
      <c r="K7492" s="3">
        <v>10079661855</v>
      </c>
      <c r="L7492" s="10">
        <v>41077</v>
      </c>
      <c r="M7492">
        <v>55.33</v>
      </c>
      <c r="N7492" s="17">
        <v>10</v>
      </c>
      <c r="O7492" s="5">
        <v>4.84</v>
      </c>
      <c r="P7492" s="5">
        <v>0.71</v>
      </c>
      <c r="Q7492" s="6">
        <v>13.38</v>
      </c>
      <c r="R7492" s="37" t="s">
        <v>212</v>
      </c>
      <c r="S7492" s="7">
        <f t="shared" si="661"/>
        <v>1</v>
      </c>
      <c r="T7492" s="15" t="str">
        <f>VLOOKUP(R7492,产品分类!$C$2:$D$1278,2,0)</f>
        <v>家具产品</v>
      </c>
    </row>
    <row r="7493" spans="1:20">
      <c r="A7493" s="8">
        <f>DATE(2012,12,31)-931</f>
        <v>40343</v>
      </c>
      <c r="B7493" s="8">
        <f>DATE(2012,12,31)-931</f>
        <v>40343</v>
      </c>
      <c r="C7493" s="9" t="s">
        <v>695</v>
      </c>
      <c r="D7493">
        <v>10021506499</v>
      </c>
      <c r="E7493" t="s">
        <v>47</v>
      </c>
      <c r="F7493" t="s">
        <v>152</v>
      </c>
      <c r="G7493" t="s">
        <v>153</v>
      </c>
      <c r="H7493" t="s">
        <v>2589</v>
      </c>
      <c r="I7493" t="s">
        <v>2590</v>
      </c>
      <c r="J7493" t="s">
        <v>271</v>
      </c>
      <c r="K7493" s="3">
        <v>100131453176</v>
      </c>
      <c r="L7493" s="10">
        <v>40344</v>
      </c>
      <c r="M7493">
        <v>1966.26</v>
      </c>
      <c r="N7493" s="11">
        <v>14</v>
      </c>
      <c r="O7493" s="12">
        <v>140.85</v>
      </c>
      <c r="P7493" s="12">
        <v>19.99</v>
      </c>
      <c r="Q7493" s="13">
        <v>-34.79</v>
      </c>
      <c r="R7493" s="36" t="s">
        <v>574</v>
      </c>
      <c r="S7493" s="7">
        <f t="shared" si="661"/>
        <v>1</v>
      </c>
      <c r="T7493" s="15" t="str">
        <f>VLOOKUP(R7493,产品分类!$C$2:$D$1278,2,0)</f>
        <v>办公用品</v>
      </c>
    </row>
    <row r="7494" spans="1:20">
      <c r="A7494" s="16">
        <f>DATE(2012,12,31)-436</f>
        <v>40838</v>
      </c>
      <c r="B7494" s="16">
        <f>DATE(2012,12,31)-436</f>
        <v>40838</v>
      </c>
      <c r="C7494" s="9" t="s">
        <v>695</v>
      </c>
      <c r="D7494">
        <v>10021667805</v>
      </c>
      <c r="E7494" t="s">
        <v>47</v>
      </c>
      <c r="F7494" t="s">
        <v>132</v>
      </c>
      <c r="G7494" t="s">
        <v>133</v>
      </c>
      <c r="H7494" t="s">
        <v>134</v>
      </c>
      <c r="I7494" t="s">
        <v>133</v>
      </c>
      <c r="J7494" t="s">
        <v>271</v>
      </c>
      <c r="K7494" s="3">
        <v>100928673681</v>
      </c>
      <c r="L7494" s="10">
        <v>40839</v>
      </c>
      <c r="M7494">
        <v>1502.66</v>
      </c>
      <c r="N7494" s="17">
        <v>27</v>
      </c>
      <c r="O7494" s="5">
        <v>58.1</v>
      </c>
      <c r="P7494" s="5">
        <v>1.49</v>
      </c>
      <c r="Q7494" s="6">
        <v>637.602</v>
      </c>
      <c r="R7494" s="37" t="s">
        <v>1063</v>
      </c>
      <c r="S7494" s="7">
        <f t="shared" si="661"/>
        <v>1</v>
      </c>
      <c r="T7494" s="15" t="str">
        <f>VLOOKUP(R7494,产品分类!$C$2:$D$1278,2,0)</f>
        <v>办公用品</v>
      </c>
    </row>
    <row r="7495" spans="1:20">
      <c r="A7495" s="8">
        <f>DATE(2012,12,31)-2</f>
        <v>41272</v>
      </c>
      <c r="B7495" s="8">
        <f>DATE(2012,12,31)-2</f>
        <v>41272</v>
      </c>
      <c r="C7495" s="9" t="s">
        <v>695</v>
      </c>
      <c r="D7495">
        <v>10021459519</v>
      </c>
      <c r="E7495" t="s">
        <v>47</v>
      </c>
      <c r="F7495" t="s">
        <v>152</v>
      </c>
      <c r="G7495" t="s">
        <v>153</v>
      </c>
      <c r="H7495" t="s">
        <v>2589</v>
      </c>
      <c r="I7495" t="s">
        <v>2590</v>
      </c>
      <c r="J7495" t="s">
        <v>271</v>
      </c>
      <c r="K7495" s="3">
        <v>10071814015</v>
      </c>
      <c r="L7495" s="10">
        <v>41273</v>
      </c>
      <c r="M7495">
        <v>181.8</v>
      </c>
      <c r="N7495" s="11">
        <v>40</v>
      </c>
      <c r="O7495" s="12">
        <v>4.54</v>
      </c>
      <c r="P7495" s="12">
        <v>5.83</v>
      </c>
      <c r="Q7495" s="13">
        <v>-144.739</v>
      </c>
      <c r="R7495" s="36" t="s">
        <v>947</v>
      </c>
      <c r="S7495" s="7">
        <f t="shared" si="661"/>
        <v>1</v>
      </c>
      <c r="T7495" s="15" t="str">
        <f>VLOOKUP(R7495,产品分类!$C$2:$D$1278,2,0)</f>
        <v>办公用品</v>
      </c>
    </row>
    <row r="7496" spans="1:20">
      <c r="A7496" s="8">
        <f>DATE(2012,12,31)-213</f>
        <v>41061</v>
      </c>
      <c r="B7496" s="8">
        <f>DATE(2012,12,31)-213</f>
        <v>41061</v>
      </c>
      <c r="C7496" s="9" t="s">
        <v>695</v>
      </c>
      <c r="D7496">
        <v>10021751479</v>
      </c>
      <c r="E7496" t="s">
        <v>47</v>
      </c>
      <c r="F7496" t="s">
        <v>152</v>
      </c>
      <c r="G7496" t="s">
        <v>153</v>
      </c>
      <c r="H7496" t="s">
        <v>2589</v>
      </c>
      <c r="I7496" t="s">
        <v>2590</v>
      </c>
      <c r="J7496" t="s">
        <v>271</v>
      </c>
      <c r="K7496" s="3">
        <v>100731695385</v>
      </c>
      <c r="L7496" s="10">
        <v>41062</v>
      </c>
      <c r="M7496">
        <v>136.16</v>
      </c>
      <c r="N7496" s="11">
        <v>28</v>
      </c>
      <c r="O7496" s="12">
        <v>4.98</v>
      </c>
      <c r="P7496" s="12">
        <v>0.49</v>
      </c>
      <c r="Q7496" s="13">
        <v>58.1</v>
      </c>
      <c r="R7496" s="36" t="s">
        <v>1896</v>
      </c>
      <c r="S7496" s="7">
        <f t="shared" si="661"/>
        <v>1</v>
      </c>
      <c r="T7496" s="15" t="str">
        <f>VLOOKUP(R7496,产品分类!$C$2:$D$1278,2,0)</f>
        <v>办公用品</v>
      </c>
    </row>
    <row r="7497" spans="1:20">
      <c r="A7497" s="8">
        <f>DATE(2012,12,31)-1175</f>
        <v>40099</v>
      </c>
      <c r="B7497" s="8">
        <f>DATE(2012,12,31)-1175</f>
        <v>40099</v>
      </c>
      <c r="C7497" s="9" t="s">
        <v>1517</v>
      </c>
      <c r="D7497">
        <v>10021331274</v>
      </c>
      <c r="E7497" t="s">
        <v>47</v>
      </c>
      <c r="F7497" t="s">
        <v>152</v>
      </c>
      <c r="G7497" t="s">
        <v>153</v>
      </c>
      <c r="H7497" t="s">
        <v>2589</v>
      </c>
      <c r="I7497" t="s">
        <v>2590</v>
      </c>
      <c r="J7497" t="s">
        <v>271</v>
      </c>
      <c r="K7497" s="3">
        <v>10042145323</v>
      </c>
      <c r="L7497" s="10">
        <v>40100</v>
      </c>
      <c r="M7497">
        <v>3122.55</v>
      </c>
      <c r="N7497" s="11">
        <v>22</v>
      </c>
      <c r="O7497" s="12">
        <v>145.98</v>
      </c>
      <c r="P7497" s="12">
        <v>46.2</v>
      </c>
      <c r="Q7497" s="13">
        <v>-574.5597</v>
      </c>
      <c r="R7497" s="36" t="s">
        <v>1734</v>
      </c>
      <c r="S7497" s="7">
        <f t="shared" si="661"/>
        <v>1</v>
      </c>
      <c r="T7497" s="15" t="str">
        <f>VLOOKUP(R7497,产品分类!$C$2:$D$1278,2,0)</f>
        <v>家具产品</v>
      </c>
    </row>
    <row r="7498" spans="1:20">
      <c r="A7498" s="16">
        <f>DATE(2012,12,31)-493</f>
        <v>40781</v>
      </c>
      <c r="B7498" s="16">
        <f>DATE(2012,12,31)-493</f>
        <v>40781</v>
      </c>
      <c r="C7498" s="9" t="s">
        <v>1517</v>
      </c>
      <c r="D7498">
        <v>10021585625</v>
      </c>
      <c r="E7498" t="s">
        <v>47</v>
      </c>
      <c r="F7498" t="s">
        <v>48</v>
      </c>
      <c r="G7498" t="s">
        <v>49</v>
      </c>
      <c r="H7498" t="s">
        <v>2599</v>
      </c>
      <c r="I7498" t="s">
        <v>2600</v>
      </c>
      <c r="J7498" t="s">
        <v>271</v>
      </c>
      <c r="K7498" s="3">
        <v>100128549778</v>
      </c>
      <c r="L7498" s="10">
        <v>40782</v>
      </c>
      <c r="M7498">
        <v>1131.15</v>
      </c>
      <c r="N7498" s="17">
        <v>35</v>
      </c>
      <c r="O7498" s="5">
        <v>30.98</v>
      </c>
      <c r="P7498" s="5">
        <v>5.76</v>
      </c>
      <c r="Q7498" s="6">
        <v>433.87</v>
      </c>
      <c r="R7498" s="37" t="s">
        <v>397</v>
      </c>
      <c r="S7498" s="7">
        <f t="shared" si="661"/>
        <v>1</v>
      </c>
      <c r="T7498" s="15" t="str">
        <f>VLOOKUP(R7498,产品分类!$C$2:$D$1278,2,0)</f>
        <v>办公用品</v>
      </c>
    </row>
    <row r="7499" spans="1:20">
      <c r="A7499" s="8">
        <f>DATE(2012,12,31)-336</f>
        <v>40938</v>
      </c>
      <c r="B7499" s="8">
        <f>DATE(2012,12,31)-336</f>
        <v>40938</v>
      </c>
      <c r="C7499" s="9" t="s">
        <v>1517</v>
      </c>
      <c r="D7499">
        <v>10021333833</v>
      </c>
      <c r="E7499" t="s">
        <v>47</v>
      </c>
      <c r="F7499" t="s">
        <v>152</v>
      </c>
      <c r="G7499" t="s">
        <v>153</v>
      </c>
      <c r="H7499" t="s">
        <v>2589</v>
      </c>
      <c r="I7499" t="s">
        <v>2590</v>
      </c>
      <c r="J7499" t="s">
        <v>271</v>
      </c>
      <c r="K7499" s="3">
        <v>100814416202</v>
      </c>
      <c r="L7499" s="10">
        <v>40939</v>
      </c>
      <c r="M7499">
        <v>264.6</v>
      </c>
      <c r="N7499" s="11">
        <v>40</v>
      </c>
      <c r="O7499" s="12">
        <v>6.48</v>
      </c>
      <c r="P7499" s="12">
        <v>6.22</v>
      </c>
      <c r="Q7499" s="13">
        <v>-93.06</v>
      </c>
      <c r="R7499" s="36" t="s">
        <v>1755</v>
      </c>
      <c r="S7499" s="7">
        <f t="shared" si="661"/>
        <v>1</v>
      </c>
      <c r="T7499" s="15" t="str">
        <f>VLOOKUP(R7499,产品分类!$C$2:$D$1278,2,0)</f>
        <v>办公用品</v>
      </c>
    </row>
    <row r="7500" spans="1:20">
      <c r="A7500" s="8">
        <f>DATE(2012,12,31)-336</f>
        <v>40938</v>
      </c>
      <c r="B7500" s="8">
        <f>DATE(2012,12,31)-336</f>
        <v>40938</v>
      </c>
      <c r="C7500" s="9" t="s">
        <v>848</v>
      </c>
      <c r="D7500">
        <v>10021742418</v>
      </c>
      <c r="E7500" t="s">
        <v>47</v>
      </c>
      <c r="F7500" t="s">
        <v>132</v>
      </c>
      <c r="G7500" t="s">
        <v>133</v>
      </c>
      <c r="H7500" t="s">
        <v>134</v>
      </c>
      <c r="I7500" t="s">
        <v>133</v>
      </c>
      <c r="J7500" t="s">
        <v>271</v>
      </c>
      <c r="K7500" s="3">
        <v>100124652308</v>
      </c>
      <c r="L7500" s="10">
        <v>40940</v>
      </c>
      <c r="M7500">
        <v>3356.735</v>
      </c>
      <c r="N7500" s="11">
        <v>21</v>
      </c>
      <c r="O7500" s="12">
        <v>195.99</v>
      </c>
      <c r="P7500" s="12">
        <v>4.2</v>
      </c>
      <c r="Q7500" s="13">
        <v>370.332</v>
      </c>
      <c r="R7500" s="36" t="s">
        <v>1248</v>
      </c>
      <c r="S7500" s="7">
        <f t="shared" si="661"/>
        <v>2</v>
      </c>
      <c r="T7500" s="15" t="str">
        <f>VLOOKUP(R7500,产品分类!$C$2:$D$1278,2,0)</f>
        <v>数码电子</v>
      </c>
    </row>
    <row r="7501" spans="1:20">
      <c r="A7501" s="8">
        <f>DATE(2012,12,31)-1187</f>
        <v>40087</v>
      </c>
      <c r="B7501" s="8">
        <f>DATE(2012,12,31)-1187</f>
        <v>40087</v>
      </c>
      <c r="C7501" s="9" t="s">
        <v>848</v>
      </c>
      <c r="D7501">
        <v>10021254041</v>
      </c>
      <c r="E7501" t="s">
        <v>47</v>
      </c>
      <c r="F7501" t="s">
        <v>48</v>
      </c>
      <c r="G7501" t="s">
        <v>49</v>
      </c>
      <c r="H7501" t="s">
        <v>2599</v>
      </c>
      <c r="I7501" t="s">
        <v>2600</v>
      </c>
      <c r="J7501" t="s">
        <v>271</v>
      </c>
      <c r="K7501" s="3">
        <v>100121302147</v>
      </c>
      <c r="L7501" s="10">
        <v>40087</v>
      </c>
      <c r="M7501">
        <v>623.71</v>
      </c>
      <c r="N7501" s="11">
        <v>10</v>
      </c>
      <c r="O7501" s="12">
        <v>58.14</v>
      </c>
      <c r="P7501" s="12">
        <v>36.61</v>
      </c>
      <c r="Q7501" s="13">
        <v>-213.32</v>
      </c>
      <c r="R7501" s="36" t="s">
        <v>524</v>
      </c>
      <c r="S7501" s="7">
        <f t="shared" si="661"/>
        <v>0</v>
      </c>
      <c r="T7501" s="15" t="str">
        <f>VLOOKUP(R7501,产品分类!$C$2:$D$1278,2,0)</f>
        <v>数码电子</v>
      </c>
    </row>
    <row r="7502" spans="1:20">
      <c r="A7502" s="8">
        <f>DATE(2012,12,31)-1352</f>
        <v>39922</v>
      </c>
      <c r="B7502" s="8">
        <f>DATE(2012,12,31)-1352</f>
        <v>39922</v>
      </c>
      <c r="C7502" s="9" t="s">
        <v>207</v>
      </c>
      <c r="D7502">
        <v>10021347485</v>
      </c>
      <c r="E7502" t="s">
        <v>47</v>
      </c>
      <c r="F7502" t="s">
        <v>66</v>
      </c>
      <c r="G7502" t="s">
        <v>67</v>
      </c>
      <c r="H7502" t="s">
        <v>2584</v>
      </c>
      <c r="I7502" t="s">
        <v>2585</v>
      </c>
      <c r="J7502" t="s">
        <v>271</v>
      </c>
      <c r="K7502" s="3">
        <v>100431267704</v>
      </c>
      <c r="L7502" s="10">
        <v>39929</v>
      </c>
      <c r="M7502">
        <v>2317.65</v>
      </c>
      <c r="N7502" s="11">
        <v>29</v>
      </c>
      <c r="O7502" s="12">
        <v>78.65</v>
      </c>
      <c r="P7502" s="12">
        <v>13.99</v>
      </c>
      <c r="Q7502" s="13">
        <v>568.6</v>
      </c>
      <c r="R7502" s="36" t="s">
        <v>616</v>
      </c>
      <c r="S7502" s="7">
        <f t="shared" si="661"/>
        <v>7</v>
      </c>
      <c r="T7502" s="15" t="str">
        <f>VLOOKUP(R7502,产品分类!$C$2:$D$1278,2,0)</f>
        <v>家具产品</v>
      </c>
    </row>
    <row r="7503" spans="1:20">
      <c r="A7503" s="8">
        <f>DATE(2012,12,31)-1352</f>
        <v>39922</v>
      </c>
      <c r="B7503" s="8">
        <f>DATE(2012,12,31)-1352</f>
        <v>39922</v>
      </c>
      <c r="C7503" s="9" t="s">
        <v>207</v>
      </c>
      <c r="D7503">
        <v>10021251903</v>
      </c>
      <c r="E7503" t="s">
        <v>47</v>
      </c>
      <c r="F7503" t="s">
        <v>152</v>
      </c>
      <c r="G7503" t="s">
        <v>153</v>
      </c>
      <c r="H7503" t="s">
        <v>2589</v>
      </c>
      <c r="I7503" t="s">
        <v>2590</v>
      </c>
      <c r="J7503" t="s">
        <v>271</v>
      </c>
      <c r="K7503" s="3">
        <v>100114902608</v>
      </c>
      <c r="L7503" s="10">
        <v>39927</v>
      </c>
      <c r="M7503">
        <v>4987.73</v>
      </c>
      <c r="N7503" s="11">
        <v>41</v>
      </c>
      <c r="O7503" s="12">
        <v>122.99</v>
      </c>
      <c r="P7503" s="12">
        <v>70.2</v>
      </c>
      <c r="Q7503" s="13">
        <v>-1867.97</v>
      </c>
      <c r="R7503" s="36" t="s">
        <v>1909</v>
      </c>
      <c r="S7503" s="7">
        <f t="shared" si="661"/>
        <v>5</v>
      </c>
      <c r="T7503" s="15" t="str">
        <f>VLOOKUP(R7503,产品分类!$C$2:$D$1278,2,0)</f>
        <v>家具产品</v>
      </c>
    </row>
    <row r="7504" spans="1:20">
      <c r="A7504" s="8">
        <f>DATE(2012,12,31)-632</f>
        <v>40642</v>
      </c>
      <c r="B7504" s="8">
        <f>DATE(2012,12,31)-632</f>
        <v>40642</v>
      </c>
      <c r="C7504" s="9" t="s">
        <v>1407</v>
      </c>
      <c r="D7504">
        <v>10021583060</v>
      </c>
      <c r="E7504" t="s">
        <v>47</v>
      </c>
      <c r="F7504" t="s">
        <v>66</v>
      </c>
      <c r="G7504" t="s">
        <v>67</v>
      </c>
      <c r="H7504" t="s">
        <v>2584</v>
      </c>
      <c r="I7504" t="s">
        <v>2585</v>
      </c>
      <c r="J7504" t="s">
        <v>271</v>
      </c>
      <c r="K7504" s="3">
        <v>10079822225</v>
      </c>
      <c r="L7504" s="10">
        <v>40644</v>
      </c>
      <c r="M7504">
        <v>1646.05</v>
      </c>
      <c r="N7504" s="11">
        <v>36</v>
      </c>
      <c r="O7504" s="12">
        <v>48.04</v>
      </c>
      <c r="P7504" s="12">
        <v>7.23</v>
      </c>
      <c r="Q7504" s="13">
        <v>649.8</v>
      </c>
      <c r="R7504" s="36" t="s">
        <v>860</v>
      </c>
      <c r="S7504" s="7">
        <f t="shared" si="661"/>
        <v>2</v>
      </c>
      <c r="T7504" s="15" t="str">
        <f>VLOOKUP(R7504,产品分类!$C$2:$D$1278,2,0)</f>
        <v>办公用品</v>
      </c>
    </row>
    <row r="7505" spans="1:20">
      <c r="A7505" s="8">
        <f>DATE(2012,12,31)-942</f>
        <v>40332</v>
      </c>
      <c r="B7505" s="8">
        <f>DATE(2012,12,31)-942</f>
        <v>40332</v>
      </c>
      <c r="C7505" s="9" t="s">
        <v>982</v>
      </c>
      <c r="D7505">
        <v>10021331227</v>
      </c>
      <c r="E7505" t="s">
        <v>47</v>
      </c>
      <c r="F7505" t="s">
        <v>152</v>
      </c>
      <c r="G7505" t="s">
        <v>153</v>
      </c>
      <c r="H7505" t="s">
        <v>2589</v>
      </c>
      <c r="I7505" t="s">
        <v>2590</v>
      </c>
      <c r="J7505" t="s">
        <v>271</v>
      </c>
      <c r="K7505" s="3">
        <v>10031768279</v>
      </c>
      <c r="L7505" s="10">
        <v>40335</v>
      </c>
      <c r="M7505">
        <v>7807.45</v>
      </c>
      <c r="N7505" s="11">
        <v>46</v>
      </c>
      <c r="O7505" s="12">
        <v>161.55</v>
      </c>
      <c r="P7505" s="12">
        <v>19.99</v>
      </c>
      <c r="Q7505" s="13">
        <v>1660.15</v>
      </c>
      <c r="R7505" s="36" t="s">
        <v>588</v>
      </c>
      <c r="S7505" s="7">
        <f t="shared" si="661"/>
        <v>3</v>
      </c>
      <c r="T7505" s="15" t="str">
        <f>VLOOKUP(R7505,产品分类!$C$2:$D$1278,2,0)</f>
        <v>家具产品</v>
      </c>
    </row>
    <row r="7506" spans="1:20">
      <c r="A7506" s="8">
        <f t="shared" ref="A7506:B7509" si="662">DATE(2012,12,31)-1439</f>
        <v>39835</v>
      </c>
      <c r="B7506" s="8">
        <f t="shared" si="662"/>
        <v>39835</v>
      </c>
      <c r="C7506" s="9" t="s">
        <v>1698</v>
      </c>
      <c r="D7506">
        <v>10021749844</v>
      </c>
      <c r="E7506" t="s">
        <v>47</v>
      </c>
      <c r="F7506" t="s">
        <v>132</v>
      </c>
      <c r="G7506" t="s">
        <v>133</v>
      </c>
      <c r="H7506" t="s">
        <v>134</v>
      </c>
      <c r="I7506" t="s">
        <v>133</v>
      </c>
      <c r="J7506" t="s">
        <v>271</v>
      </c>
      <c r="K7506" s="3">
        <v>100831030382</v>
      </c>
      <c r="L7506" s="10">
        <v>39835</v>
      </c>
      <c r="M7506">
        <v>562.8</v>
      </c>
      <c r="N7506" s="11">
        <v>36</v>
      </c>
      <c r="O7506" s="12">
        <v>15.22</v>
      </c>
      <c r="P7506" s="12">
        <v>9.73</v>
      </c>
      <c r="Q7506" s="13">
        <v>-17.4455</v>
      </c>
      <c r="R7506" s="36" t="s">
        <v>2006</v>
      </c>
      <c r="S7506" s="7">
        <f t="shared" si="661"/>
        <v>0</v>
      </c>
      <c r="T7506" s="15" t="str">
        <f>VLOOKUP(R7506,产品分类!$C$2:$D$1278,2,0)</f>
        <v>办公用品</v>
      </c>
    </row>
    <row r="7507" spans="1:20">
      <c r="A7507" s="8">
        <f t="shared" si="662"/>
        <v>39835</v>
      </c>
      <c r="B7507" s="8">
        <f t="shared" si="662"/>
        <v>39835</v>
      </c>
      <c r="C7507" s="9" t="s">
        <v>1775</v>
      </c>
      <c r="D7507">
        <v>10021613127</v>
      </c>
      <c r="E7507" t="s">
        <v>47</v>
      </c>
      <c r="F7507" t="s">
        <v>48</v>
      </c>
      <c r="G7507" t="s">
        <v>49</v>
      </c>
      <c r="H7507" t="s">
        <v>2599</v>
      </c>
      <c r="I7507" t="s">
        <v>2600</v>
      </c>
      <c r="J7507" t="s">
        <v>271</v>
      </c>
      <c r="K7507" s="3">
        <v>100822323882</v>
      </c>
      <c r="L7507" s="10">
        <v>39836</v>
      </c>
      <c r="M7507">
        <v>4584.73</v>
      </c>
      <c r="N7507" s="11">
        <v>27</v>
      </c>
      <c r="O7507" s="12">
        <v>179.99</v>
      </c>
      <c r="P7507" s="12">
        <v>19.99</v>
      </c>
      <c r="Q7507" s="13">
        <v>812.38</v>
      </c>
      <c r="R7507" s="36" t="s">
        <v>975</v>
      </c>
      <c r="S7507" s="7">
        <f t="shared" si="661"/>
        <v>1</v>
      </c>
      <c r="T7507" s="15" t="str">
        <f>VLOOKUP(R7507,产品分类!$C$2:$D$1278,2,0)</f>
        <v>家具产品</v>
      </c>
    </row>
    <row r="7508" spans="1:20">
      <c r="A7508" s="8">
        <f t="shared" si="662"/>
        <v>39835</v>
      </c>
      <c r="B7508" s="8">
        <f t="shared" si="662"/>
        <v>39835</v>
      </c>
      <c r="C7508" s="9" t="s">
        <v>1638</v>
      </c>
      <c r="D7508">
        <v>10021587269</v>
      </c>
      <c r="E7508" t="s">
        <v>47</v>
      </c>
      <c r="F7508" t="s">
        <v>66</v>
      </c>
      <c r="G7508" t="s">
        <v>67</v>
      </c>
      <c r="H7508" t="s">
        <v>2584</v>
      </c>
      <c r="I7508" t="s">
        <v>2585</v>
      </c>
      <c r="J7508" t="s">
        <v>271</v>
      </c>
      <c r="K7508" s="3">
        <v>100129732188</v>
      </c>
      <c r="L7508" s="10">
        <v>39836</v>
      </c>
      <c r="M7508">
        <v>4039.72</v>
      </c>
      <c r="N7508" s="11">
        <v>44</v>
      </c>
      <c r="O7508" s="12">
        <v>92.23</v>
      </c>
      <c r="P7508" s="12">
        <v>39.61</v>
      </c>
      <c r="Q7508" s="13">
        <v>-237.6</v>
      </c>
      <c r="R7508" s="36" t="s">
        <v>1459</v>
      </c>
      <c r="S7508" s="7">
        <f t="shared" si="661"/>
        <v>1</v>
      </c>
      <c r="T7508" s="15" t="str">
        <f>VLOOKUP(R7508,产品分类!$C$2:$D$1278,2,0)</f>
        <v>办公用品</v>
      </c>
    </row>
    <row r="7509" spans="1:20">
      <c r="A7509" s="8">
        <f t="shared" si="662"/>
        <v>39835</v>
      </c>
      <c r="B7509" s="8">
        <f t="shared" si="662"/>
        <v>39835</v>
      </c>
      <c r="C7509" s="9" t="s">
        <v>2012</v>
      </c>
      <c r="D7509">
        <v>10021740581</v>
      </c>
      <c r="E7509" t="s">
        <v>47</v>
      </c>
      <c r="F7509" t="s">
        <v>208</v>
      </c>
      <c r="G7509" t="s">
        <v>209</v>
      </c>
      <c r="H7509" t="s">
        <v>2300</v>
      </c>
      <c r="I7509" t="s">
        <v>2301</v>
      </c>
      <c r="J7509" t="s">
        <v>271</v>
      </c>
      <c r="K7509" s="3">
        <v>100820945352</v>
      </c>
      <c r="L7509" s="10">
        <v>39836</v>
      </c>
      <c r="M7509">
        <v>2570.944</v>
      </c>
      <c r="N7509" s="11">
        <v>25</v>
      </c>
      <c r="O7509" s="12">
        <v>115.99</v>
      </c>
      <c r="P7509" s="12">
        <v>5.92</v>
      </c>
      <c r="Q7509" s="13">
        <v>553.356</v>
      </c>
      <c r="R7509" s="36" t="s">
        <v>458</v>
      </c>
      <c r="S7509" s="7">
        <f t="shared" si="661"/>
        <v>1</v>
      </c>
      <c r="T7509" s="15" t="str">
        <f>VLOOKUP(R7509,产品分类!$C$2:$D$1278,2,0)</f>
        <v>家具产品</v>
      </c>
    </row>
    <row r="7510" spans="1:20">
      <c r="A7510" s="8">
        <f t="shared" ref="A7510:B7512" si="663">DATE(2012,12,31)-1273</f>
        <v>40001</v>
      </c>
      <c r="B7510" s="8">
        <f t="shared" si="663"/>
        <v>40001</v>
      </c>
      <c r="C7510" s="9" t="s">
        <v>1410</v>
      </c>
      <c r="D7510">
        <v>10021501589</v>
      </c>
      <c r="E7510" t="s">
        <v>47</v>
      </c>
      <c r="F7510" t="s">
        <v>72</v>
      </c>
      <c r="G7510" t="s">
        <v>73</v>
      </c>
      <c r="H7510" t="s">
        <v>2591</v>
      </c>
      <c r="I7510" t="s">
        <v>2592</v>
      </c>
      <c r="J7510" t="s">
        <v>271</v>
      </c>
      <c r="K7510" s="3">
        <v>100127363397</v>
      </c>
      <c r="L7510" s="10">
        <v>40002</v>
      </c>
      <c r="M7510">
        <v>691.52</v>
      </c>
      <c r="N7510" s="11">
        <v>47</v>
      </c>
      <c r="O7510" s="12">
        <v>14.2</v>
      </c>
      <c r="P7510" s="12">
        <v>5.3</v>
      </c>
      <c r="Q7510" s="13">
        <v>107.02</v>
      </c>
      <c r="R7510" s="36" t="s">
        <v>1173</v>
      </c>
      <c r="S7510" s="7">
        <f t="shared" si="661"/>
        <v>1</v>
      </c>
      <c r="T7510" s="15" t="str">
        <f>VLOOKUP(R7510,产品分类!$C$2:$D$1278,2,0)</f>
        <v>家具产品</v>
      </c>
    </row>
    <row r="7511" spans="1:20">
      <c r="A7511" s="8">
        <f t="shared" si="663"/>
        <v>40001</v>
      </c>
      <c r="B7511" s="8">
        <f t="shared" si="663"/>
        <v>40001</v>
      </c>
      <c r="C7511" s="9" t="s">
        <v>1410</v>
      </c>
      <c r="D7511">
        <v>10021414786</v>
      </c>
      <c r="E7511" t="s">
        <v>47</v>
      </c>
      <c r="F7511" t="s">
        <v>72</v>
      </c>
      <c r="G7511" t="s">
        <v>73</v>
      </c>
      <c r="H7511" t="s">
        <v>2591</v>
      </c>
      <c r="I7511" t="s">
        <v>2592</v>
      </c>
      <c r="J7511" t="s">
        <v>271</v>
      </c>
      <c r="K7511" s="3">
        <v>10019567436</v>
      </c>
      <c r="L7511" s="10">
        <v>40002</v>
      </c>
      <c r="M7511">
        <v>2756.17</v>
      </c>
      <c r="N7511" s="11">
        <v>37</v>
      </c>
      <c r="O7511" s="12">
        <v>71.37</v>
      </c>
      <c r="P7511" s="12">
        <v>69</v>
      </c>
      <c r="Q7511" s="13">
        <v>-1561.716</v>
      </c>
      <c r="R7511" s="36" t="s">
        <v>1840</v>
      </c>
      <c r="S7511" s="7">
        <f t="shared" si="661"/>
        <v>1</v>
      </c>
      <c r="T7511" s="15" t="str">
        <f>VLOOKUP(R7511,产品分类!$C$2:$D$1278,2,0)</f>
        <v>家具产品</v>
      </c>
    </row>
    <row r="7512" spans="1:20">
      <c r="A7512" s="8">
        <f t="shared" si="663"/>
        <v>40001</v>
      </c>
      <c r="B7512" s="8">
        <f t="shared" si="663"/>
        <v>40001</v>
      </c>
      <c r="C7512" s="9" t="s">
        <v>1410</v>
      </c>
      <c r="D7512">
        <v>10021353177</v>
      </c>
      <c r="E7512" t="s">
        <v>47</v>
      </c>
      <c r="F7512" t="s">
        <v>72</v>
      </c>
      <c r="G7512" t="s">
        <v>73</v>
      </c>
      <c r="H7512" t="s">
        <v>2591</v>
      </c>
      <c r="I7512" t="s">
        <v>2592</v>
      </c>
      <c r="J7512" t="s">
        <v>271</v>
      </c>
      <c r="K7512" s="3">
        <v>100432553624</v>
      </c>
      <c r="L7512" s="10">
        <v>40001</v>
      </c>
      <c r="M7512">
        <v>5159.3725</v>
      </c>
      <c r="N7512" s="11">
        <v>29</v>
      </c>
      <c r="O7512" s="12">
        <v>200.99</v>
      </c>
      <c r="P7512" s="12">
        <v>8.08</v>
      </c>
      <c r="Q7512" s="13">
        <v>1252.476</v>
      </c>
      <c r="R7512" s="36" t="s">
        <v>1610</v>
      </c>
      <c r="S7512" s="7">
        <f t="shared" si="661"/>
        <v>0</v>
      </c>
      <c r="T7512" s="15" t="str">
        <f>VLOOKUP(R7512,产品分类!$C$2:$D$1278,2,0)</f>
        <v>办公用品</v>
      </c>
    </row>
    <row r="7513" spans="1:20">
      <c r="A7513" s="8">
        <f>DATE(2012,12,31)-484</f>
        <v>40790</v>
      </c>
      <c r="B7513" s="8">
        <f>DATE(2012,12,31)-484</f>
        <v>40790</v>
      </c>
      <c r="C7513" s="9" t="s">
        <v>1130</v>
      </c>
      <c r="D7513">
        <v>10021591582</v>
      </c>
      <c r="E7513" t="s">
        <v>47</v>
      </c>
      <c r="F7513" t="s">
        <v>78</v>
      </c>
      <c r="G7513" t="s">
        <v>79</v>
      </c>
      <c r="H7513" t="s">
        <v>80</v>
      </c>
      <c r="I7513" t="s">
        <v>81</v>
      </c>
      <c r="J7513" t="s">
        <v>271</v>
      </c>
      <c r="K7513" s="3">
        <v>100831812852</v>
      </c>
      <c r="L7513" s="10">
        <v>40792</v>
      </c>
      <c r="M7513">
        <v>7922.69</v>
      </c>
      <c r="N7513" s="11">
        <v>21</v>
      </c>
      <c r="O7513" s="12">
        <v>419.19</v>
      </c>
      <c r="P7513" s="12">
        <v>19.99</v>
      </c>
      <c r="Q7513" s="13">
        <v>1558.79</v>
      </c>
      <c r="R7513" s="36" t="s">
        <v>157</v>
      </c>
      <c r="S7513" s="7">
        <f t="shared" si="661"/>
        <v>2</v>
      </c>
      <c r="T7513" s="15" t="str">
        <f>VLOOKUP(R7513,产品分类!$C$2:$D$1278,2,0)</f>
        <v>数码电子</v>
      </c>
    </row>
    <row r="7514" spans="1:20">
      <c r="A7514" s="8">
        <f>DATE(2012,12,31)-1384</f>
        <v>39890</v>
      </c>
      <c r="B7514" s="8">
        <f>DATE(2012,12,31)-1384</f>
        <v>39890</v>
      </c>
      <c r="C7514" s="9" t="s">
        <v>1269</v>
      </c>
      <c r="D7514">
        <v>10021593407</v>
      </c>
      <c r="E7514" t="s">
        <v>47</v>
      </c>
      <c r="F7514" t="s">
        <v>72</v>
      </c>
      <c r="G7514" t="s">
        <v>73</v>
      </c>
      <c r="H7514" t="s">
        <v>2591</v>
      </c>
      <c r="I7514" t="s">
        <v>2592</v>
      </c>
      <c r="J7514" t="s">
        <v>271</v>
      </c>
      <c r="K7514" s="3">
        <v>100932419741</v>
      </c>
      <c r="L7514" s="10">
        <v>39892</v>
      </c>
      <c r="M7514">
        <v>433.31</v>
      </c>
      <c r="N7514" s="11">
        <v>18</v>
      </c>
      <c r="O7514" s="12">
        <v>20.98</v>
      </c>
      <c r="P7514" s="12">
        <v>53.03</v>
      </c>
      <c r="Q7514" s="13">
        <v>-815.79</v>
      </c>
      <c r="R7514" s="36" t="s">
        <v>1705</v>
      </c>
      <c r="S7514" s="7">
        <f t="shared" si="661"/>
        <v>2</v>
      </c>
      <c r="T7514" s="15" t="str">
        <f>VLOOKUP(R7514,产品分类!$C$2:$D$1278,2,0)</f>
        <v>办公用品</v>
      </c>
    </row>
    <row r="7515" spans="1:20">
      <c r="A7515" s="8">
        <f>DATE(2012,12,31)-1375</f>
        <v>39899</v>
      </c>
      <c r="B7515" s="8">
        <f>DATE(2012,12,31)-1375</f>
        <v>39899</v>
      </c>
      <c r="C7515" s="9" t="s">
        <v>838</v>
      </c>
      <c r="D7515">
        <v>10021582883</v>
      </c>
      <c r="E7515" t="s">
        <v>47</v>
      </c>
      <c r="F7515" t="s">
        <v>72</v>
      </c>
      <c r="G7515" t="s">
        <v>73</v>
      </c>
      <c r="H7515" t="s">
        <v>2591</v>
      </c>
      <c r="I7515" t="s">
        <v>2592</v>
      </c>
      <c r="J7515" t="s">
        <v>271</v>
      </c>
      <c r="K7515" s="3">
        <v>100126045076</v>
      </c>
      <c r="L7515" s="10">
        <v>39900</v>
      </c>
      <c r="M7515">
        <v>307.65</v>
      </c>
      <c r="N7515" s="11">
        <v>36</v>
      </c>
      <c r="O7515" s="12">
        <v>8.95</v>
      </c>
      <c r="P7515" s="12">
        <v>2.01</v>
      </c>
      <c r="Q7515" s="13">
        <v>91.73</v>
      </c>
      <c r="R7515" s="36" t="s">
        <v>690</v>
      </c>
      <c r="S7515" s="7">
        <f t="shared" si="661"/>
        <v>1</v>
      </c>
      <c r="T7515" s="15" t="str">
        <f>VLOOKUP(R7515,产品分类!$C$2:$D$1278,2,0)</f>
        <v>办公用品</v>
      </c>
    </row>
    <row r="7516" spans="1:20">
      <c r="A7516" s="8">
        <f>DATE(2012,12,31)-668</f>
        <v>40606</v>
      </c>
      <c r="B7516" s="8">
        <f>DATE(2012,12,31)-668</f>
        <v>40606</v>
      </c>
      <c r="C7516" s="9" t="s">
        <v>838</v>
      </c>
      <c r="D7516">
        <v>10021389158</v>
      </c>
      <c r="E7516" t="s">
        <v>47</v>
      </c>
      <c r="F7516" t="s">
        <v>78</v>
      </c>
      <c r="G7516" t="s">
        <v>79</v>
      </c>
      <c r="H7516" t="s">
        <v>80</v>
      </c>
      <c r="I7516" t="s">
        <v>81</v>
      </c>
      <c r="J7516" t="s">
        <v>271</v>
      </c>
      <c r="K7516" s="3">
        <v>100331341549</v>
      </c>
      <c r="L7516" s="10">
        <v>40608</v>
      </c>
      <c r="M7516">
        <v>5544.99</v>
      </c>
      <c r="N7516" s="11">
        <v>43</v>
      </c>
      <c r="O7516" s="12">
        <v>130.98</v>
      </c>
      <c r="P7516" s="12">
        <v>130</v>
      </c>
      <c r="Q7516" s="13">
        <v>-3404.24</v>
      </c>
      <c r="R7516" s="36" t="s">
        <v>537</v>
      </c>
      <c r="S7516" s="7">
        <f t="shared" si="661"/>
        <v>2</v>
      </c>
      <c r="T7516" s="15" t="str">
        <f>VLOOKUP(R7516,产品分类!$C$2:$D$1278,2,0)</f>
        <v>办公用品</v>
      </c>
    </row>
    <row r="7517" spans="1:20">
      <c r="A7517" s="8">
        <f>DATE(2012,12,31)-511</f>
        <v>40763</v>
      </c>
      <c r="B7517" s="8">
        <f>DATE(2012,12,31)-511</f>
        <v>40763</v>
      </c>
      <c r="C7517" s="9" t="s">
        <v>201</v>
      </c>
      <c r="D7517">
        <v>10021421403</v>
      </c>
      <c r="E7517" t="s">
        <v>47</v>
      </c>
      <c r="F7517" t="s">
        <v>78</v>
      </c>
      <c r="G7517" t="s">
        <v>79</v>
      </c>
      <c r="H7517" t="s">
        <v>80</v>
      </c>
      <c r="I7517" t="s">
        <v>81</v>
      </c>
      <c r="J7517" t="s">
        <v>271</v>
      </c>
      <c r="K7517" s="3">
        <v>100925792871</v>
      </c>
      <c r="L7517" s="10">
        <v>40764</v>
      </c>
      <c r="M7517">
        <v>1779.87</v>
      </c>
      <c r="N7517" s="11">
        <v>43</v>
      </c>
      <c r="O7517" s="12">
        <v>40.99</v>
      </c>
      <c r="P7517" s="12">
        <v>17.48</v>
      </c>
      <c r="Q7517" s="13">
        <v>311.72</v>
      </c>
      <c r="R7517" s="36" t="s">
        <v>1792</v>
      </c>
      <c r="S7517" s="7">
        <f t="shared" si="661"/>
        <v>1</v>
      </c>
      <c r="T7517" s="15" t="str">
        <f>VLOOKUP(R7517,产品分类!$C$2:$D$1278,2,0)</f>
        <v>办公用品</v>
      </c>
    </row>
    <row r="7518" spans="1:20">
      <c r="A7518" s="8">
        <f>DATE(2012,12,31)-21</f>
        <v>41253</v>
      </c>
      <c r="B7518" s="8">
        <f>DATE(2012,12,31)-21</f>
        <v>41253</v>
      </c>
      <c r="C7518" s="9" t="s">
        <v>2005</v>
      </c>
      <c r="D7518">
        <v>10021703512</v>
      </c>
      <c r="E7518" t="s">
        <v>47</v>
      </c>
      <c r="F7518" t="s">
        <v>230</v>
      </c>
      <c r="G7518" t="s">
        <v>231</v>
      </c>
      <c r="H7518" t="s">
        <v>2602</v>
      </c>
      <c r="I7518" t="s">
        <v>2603</v>
      </c>
      <c r="J7518" t="s">
        <v>271</v>
      </c>
      <c r="K7518" s="3">
        <v>100112998056</v>
      </c>
      <c r="L7518" s="10">
        <v>41254</v>
      </c>
      <c r="M7518">
        <v>172.9</v>
      </c>
      <c r="N7518" s="11">
        <v>23</v>
      </c>
      <c r="O7518" s="12">
        <v>6.88</v>
      </c>
      <c r="P7518" s="12">
        <v>2</v>
      </c>
      <c r="Q7518" s="13">
        <v>51.43</v>
      </c>
      <c r="R7518" s="36" t="s">
        <v>876</v>
      </c>
      <c r="S7518" s="7">
        <f t="shared" si="661"/>
        <v>1</v>
      </c>
      <c r="T7518" s="15" t="str">
        <f>VLOOKUP(R7518,产品分类!$C$2:$D$1278,2,0)</f>
        <v>办公用品</v>
      </c>
    </row>
    <row r="7519" spans="1:20">
      <c r="A7519" s="8">
        <f>DATE(2012,12,31)-60</f>
        <v>41214</v>
      </c>
      <c r="B7519" s="8">
        <f>DATE(2012,12,31)-60</f>
        <v>41214</v>
      </c>
      <c r="C7519" s="9" t="s">
        <v>2005</v>
      </c>
      <c r="D7519">
        <v>10021744622</v>
      </c>
      <c r="E7519" t="s">
        <v>47</v>
      </c>
      <c r="F7519" t="s">
        <v>230</v>
      </c>
      <c r="G7519" t="s">
        <v>231</v>
      </c>
      <c r="H7519" t="s">
        <v>2602</v>
      </c>
      <c r="I7519" t="s">
        <v>2603</v>
      </c>
      <c r="J7519" t="s">
        <v>271</v>
      </c>
      <c r="K7519" s="3">
        <v>100427132933</v>
      </c>
      <c r="L7519" s="10">
        <v>41215</v>
      </c>
      <c r="M7519">
        <v>4263.9315</v>
      </c>
      <c r="N7519" s="11">
        <v>44</v>
      </c>
      <c r="O7519" s="12">
        <v>110.99</v>
      </c>
      <c r="P7519" s="12">
        <v>2.5</v>
      </c>
      <c r="Q7519" s="13">
        <v>1411.029</v>
      </c>
      <c r="R7519" s="36" t="s">
        <v>672</v>
      </c>
      <c r="S7519" s="7">
        <f t="shared" si="661"/>
        <v>1</v>
      </c>
      <c r="T7519" s="15" t="str">
        <f>VLOOKUP(R7519,产品分类!$C$2:$D$1278,2,0)</f>
        <v>办公用品</v>
      </c>
    </row>
    <row r="7520" spans="1:20">
      <c r="A7520" s="8">
        <f>DATE(2012,12,31)-1279</f>
        <v>39995</v>
      </c>
      <c r="B7520" s="8">
        <f>DATE(2012,12,31)-1279</f>
        <v>39995</v>
      </c>
      <c r="C7520" s="9" t="s">
        <v>2005</v>
      </c>
      <c r="D7520">
        <v>10021447266</v>
      </c>
      <c r="E7520" t="s">
        <v>47</v>
      </c>
      <c r="F7520" t="s">
        <v>230</v>
      </c>
      <c r="G7520" t="s">
        <v>231</v>
      </c>
      <c r="H7520" t="s">
        <v>2602</v>
      </c>
      <c r="I7520" t="s">
        <v>2603</v>
      </c>
      <c r="J7520" t="s">
        <v>271</v>
      </c>
      <c r="K7520" s="3">
        <v>100323164059</v>
      </c>
      <c r="L7520" s="10">
        <v>40002</v>
      </c>
      <c r="M7520">
        <v>4233.15</v>
      </c>
      <c r="N7520" s="11">
        <v>35</v>
      </c>
      <c r="O7520" s="12">
        <v>120.97</v>
      </c>
      <c r="P7520" s="12">
        <v>26.3</v>
      </c>
      <c r="Q7520" s="13">
        <v>1219.87</v>
      </c>
      <c r="R7520" s="36" t="s">
        <v>1374</v>
      </c>
      <c r="S7520" s="7">
        <f t="shared" si="661"/>
        <v>7</v>
      </c>
      <c r="T7520" s="15" t="str">
        <f>VLOOKUP(R7520,产品分类!$C$2:$D$1278,2,0)</f>
        <v>办公用品</v>
      </c>
    </row>
    <row r="7521" spans="1:20">
      <c r="A7521" s="8">
        <f>DATE(2012,12,31)-335</f>
        <v>40939</v>
      </c>
      <c r="B7521" s="8">
        <f>DATE(2012,12,31)-335</f>
        <v>40939</v>
      </c>
      <c r="C7521" s="9" t="s">
        <v>300</v>
      </c>
      <c r="D7521">
        <v>10021662695</v>
      </c>
      <c r="E7521" t="s">
        <v>47</v>
      </c>
      <c r="F7521" t="s">
        <v>230</v>
      </c>
      <c r="G7521" t="s">
        <v>231</v>
      </c>
      <c r="H7521" t="s">
        <v>2602</v>
      </c>
      <c r="I7521" t="s">
        <v>2603</v>
      </c>
      <c r="J7521" t="s">
        <v>271</v>
      </c>
      <c r="K7521" s="3">
        <v>100422619343</v>
      </c>
      <c r="L7521" s="10">
        <v>40943</v>
      </c>
      <c r="M7521">
        <v>648.58</v>
      </c>
      <c r="N7521" s="11">
        <v>35</v>
      </c>
      <c r="O7521" s="12">
        <v>18.97</v>
      </c>
      <c r="P7521" s="12">
        <v>5.21</v>
      </c>
      <c r="Q7521" s="13">
        <v>182.63</v>
      </c>
      <c r="R7521" s="36" t="s">
        <v>946</v>
      </c>
      <c r="S7521" s="7">
        <f t="shared" si="661"/>
        <v>4</v>
      </c>
      <c r="T7521" s="15" t="str">
        <f>VLOOKUP(R7521,产品分类!$C$2:$D$1278,2,0)</f>
        <v>数码电子</v>
      </c>
    </row>
    <row r="7522" spans="1:20">
      <c r="A7522" s="8">
        <f>DATE(2012,12,31)-335</f>
        <v>40939</v>
      </c>
      <c r="B7522" s="8">
        <f>DATE(2012,12,31)-335</f>
        <v>40939</v>
      </c>
      <c r="C7522" s="9" t="s">
        <v>430</v>
      </c>
      <c r="D7522">
        <v>10021269960</v>
      </c>
      <c r="E7522" t="s">
        <v>47</v>
      </c>
      <c r="F7522" t="s">
        <v>230</v>
      </c>
      <c r="G7522" t="s">
        <v>231</v>
      </c>
      <c r="H7522" t="s">
        <v>2602</v>
      </c>
      <c r="I7522" t="s">
        <v>2603</v>
      </c>
      <c r="J7522" t="s">
        <v>271</v>
      </c>
      <c r="K7522" s="3">
        <v>100932470591</v>
      </c>
      <c r="L7522" s="10">
        <v>40944</v>
      </c>
      <c r="M7522">
        <v>270.56</v>
      </c>
      <c r="N7522" s="11">
        <v>43</v>
      </c>
      <c r="O7522" s="12">
        <v>6.48</v>
      </c>
      <c r="P7522" s="12">
        <v>6.86</v>
      </c>
      <c r="Q7522" s="13">
        <v>-140.48</v>
      </c>
      <c r="R7522" s="36" t="s">
        <v>672</v>
      </c>
      <c r="S7522" s="7">
        <f t="shared" si="661"/>
        <v>5</v>
      </c>
      <c r="T7522" s="15" t="str">
        <f>VLOOKUP(R7522,产品分类!$C$2:$D$1278,2,0)</f>
        <v>办公用品</v>
      </c>
    </row>
    <row r="7523" spans="1:20">
      <c r="A7523" s="8">
        <f>DATE(2012,12,31)-162</f>
        <v>41112</v>
      </c>
      <c r="B7523" s="8">
        <f>DATE(2012,12,31)-162</f>
        <v>41112</v>
      </c>
      <c r="C7523" s="9" t="s">
        <v>2363</v>
      </c>
      <c r="D7523">
        <v>10021253210</v>
      </c>
      <c r="E7523" t="s">
        <v>47</v>
      </c>
      <c r="F7523" t="s">
        <v>230</v>
      </c>
      <c r="G7523" t="s">
        <v>231</v>
      </c>
      <c r="H7523" t="s">
        <v>2602</v>
      </c>
      <c r="I7523" t="s">
        <v>2603</v>
      </c>
      <c r="J7523" t="s">
        <v>271</v>
      </c>
      <c r="K7523" s="3">
        <v>100813485702</v>
      </c>
      <c r="L7523" s="10">
        <v>41113</v>
      </c>
      <c r="M7523">
        <v>405.6</v>
      </c>
      <c r="N7523" s="11">
        <v>45</v>
      </c>
      <c r="O7523" s="12">
        <v>8.85</v>
      </c>
      <c r="P7523" s="12">
        <v>5.6</v>
      </c>
      <c r="Q7523" s="13">
        <v>-8.5905</v>
      </c>
      <c r="R7523" s="36" t="s">
        <v>1157</v>
      </c>
      <c r="S7523" s="7">
        <f t="shared" si="661"/>
        <v>1</v>
      </c>
      <c r="T7523" s="15" t="str">
        <f>VLOOKUP(R7523,产品分类!$C$2:$D$1278,2,0)</f>
        <v>办公用品</v>
      </c>
    </row>
    <row r="7524" spans="1:20">
      <c r="A7524" s="8">
        <f>DATE(2012,12,31)-508</f>
        <v>40766</v>
      </c>
      <c r="B7524" s="8">
        <f>DATE(2012,12,31)-508</f>
        <v>40766</v>
      </c>
      <c r="C7524" s="9" t="s">
        <v>2061</v>
      </c>
      <c r="D7524">
        <v>10021502631</v>
      </c>
      <c r="E7524" t="s">
        <v>47</v>
      </c>
      <c r="F7524" t="s">
        <v>473</v>
      </c>
      <c r="G7524" t="s">
        <v>474</v>
      </c>
      <c r="H7524" t="s">
        <v>2523</v>
      </c>
      <c r="I7524" t="s">
        <v>2524</v>
      </c>
      <c r="J7524" t="s">
        <v>271</v>
      </c>
      <c r="K7524" s="3">
        <v>100128911667</v>
      </c>
      <c r="L7524" s="10">
        <v>40768</v>
      </c>
      <c r="M7524">
        <v>3301.33</v>
      </c>
      <c r="N7524" s="11">
        <v>23</v>
      </c>
      <c r="O7524" s="12">
        <v>140.98</v>
      </c>
      <c r="P7524" s="12">
        <v>36.09</v>
      </c>
      <c r="Q7524" s="13">
        <v>-307.46</v>
      </c>
      <c r="R7524" s="36" t="s">
        <v>1898</v>
      </c>
      <c r="S7524" s="7">
        <f t="shared" si="661"/>
        <v>2</v>
      </c>
      <c r="T7524" s="15" t="str">
        <f>VLOOKUP(R7524,产品分类!$C$2:$D$1278,2,0)</f>
        <v>数码电子</v>
      </c>
    </row>
    <row r="7525" spans="1:20">
      <c r="A7525" s="8">
        <f>DATE(2012,12,31)-508</f>
        <v>40766</v>
      </c>
      <c r="B7525" s="8">
        <f>DATE(2012,12,31)-508</f>
        <v>40766</v>
      </c>
      <c r="C7525" s="9" t="s">
        <v>1710</v>
      </c>
      <c r="D7525">
        <v>10021346192</v>
      </c>
      <c r="E7525" t="s">
        <v>47</v>
      </c>
      <c r="F7525" t="s">
        <v>2517</v>
      </c>
      <c r="G7525" t="s">
        <v>2518</v>
      </c>
      <c r="H7525" t="s">
        <v>2587</v>
      </c>
      <c r="I7525" t="s">
        <v>2588</v>
      </c>
      <c r="J7525" t="s">
        <v>271</v>
      </c>
      <c r="K7525" s="3">
        <v>100730560295</v>
      </c>
      <c r="L7525" s="10">
        <v>40767</v>
      </c>
      <c r="M7525">
        <v>126.95</v>
      </c>
      <c r="N7525" s="11">
        <v>28</v>
      </c>
      <c r="O7525" s="12">
        <v>4.13</v>
      </c>
      <c r="P7525" s="12">
        <v>0.99</v>
      </c>
      <c r="Q7525" s="13">
        <v>45.87</v>
      </c>
      <c r="R7525" s="36" t="s">
        <v>327</v>
      </c>
      <c r="S7525" s="7">
        <f t="shared" si="661"/>
        <v>1</v>
      </c>
      <c r="T7525" s="15" t="str">
        <f>VLOOKUP(R7525,产品分类!$C$2:$D$1278,2,0)</f>
        <v>家具产品</v>
      </c>
    </row>
    <row r="7526" spans="1:20">
      <c r="A7526" s="8">
        <f>DATE(2012,12,31)-321</f>
        <v>40953</v>
      </c>
      <c r="B7526" s="8">
        <f>DATE(2012,12,31)-321</f>
        <v>40953</v>
      </c>
      <c r="C7526" s="9" t="s">
        <v>1226</v>
      </c>
      <c r="D7526">
        <v>10021718042</v>
      </c>
      <c r="E7526" t="s">
        <v>47</v>
      </c>
      <c r="F7526" t="s">
        <v>91</v>
      </c>
      <c r="G7526" t="s">
        <v>92</v>
      </c>
      <c r="H7526" t="s">
        <v>2573</v>
      </c>
      <c r="I7526" t="s">
        <v>2574</v>
      </c>
      <c r="J7526" t="s">
        <v>271</v>
      </c>
      <c r="K7526" s="3">
        <v>10044930284</v>
      </c>
      <c r="L7526" s="10">
        <v>40954</v>
      </c>
      <c r="M7526">
        <v>821.7885</v>
      </c>
      <c r="N7526" s="11">
        <v>18</v>
      </c>
      <c r="O7526" s="12">
        <v>55.99</v>
      </c>
      <c r="P7526" s="12">
        <v>5</v>
      </c>
      <c r="Q7526" s="13">
        <v>-230.34</v>
      </c>
      <c r="R7526" s="36" t="s">
        <v>955</v>
      </c>
      <c r="S7526" s="7">
        <f t="shared" si="661"/>
        <v>1</v>
      </c>
      <c r="T7526" s="15" t="str">
        <f>VLOOKUP(R7526,产品分类!$C$2:$D$1278,2,0)</f>
        <v>办公用品</v>
      </c>
    </row>
    <row r="7527" spans="1:20">
      <c r="A7527" s="8">
        <f>DATE(2012,12,31)-321</f>
        <v>40953</v>
      </c>
      <c r="B7527" s="8">
        <f>DATE(2012,12,31)-321</f>
        <v>40953</v>
      </c>
      <c r="C7527" s="9" t="s">
        <v>336</v>
      </c>
      <c r="D7527">
        <v>10021370304</v>
      </c>
      <c r="E7527" t="s">
        <v>47</v>
      </c>
      <c r="F7527" t="s">
        <v>55</v>
      </c>
      <c r="G7527" t="s">
        <v>56</v>
      </c>
      <c r="H7527" t="s">
        <v>2471</v>
      </c>
      <c r="I7527" t="s">
        <v>2472</v>
      </c>
      <c r="J7527" t="s">
        <v>271</v>
      </c>
      <c r="K7527" s="3">
        <v>100731139265</v>
      </c>
      <c r="L7527" s="10">
        <v>40954</v>
      </c>
      <c r="M7527">
        <v>5634.3525</v>
      </c>
      <c r="N7527" s="11">
        <v>34</v>
      </c>
      <c r="O7527" s="12">
        <v>200.99</v>
      </c>
      <c r="P7527" s="12">
        <v>8.08</v>
      </c>
      <c r="Q7527" s="13">
        <v>1185.408</v>
      </c>
      <c r="R7527" s="36" t="s">
        <v>751</v>
      </c>
      <c r="S7527" s="7">
        <f t="shared" si="661"/>
        <v>1</v>
      </c>
      <c r="T7527" s="15" t="str">
        <f>VLOOKUP(R7527,产品分类!$C$2:$D$1278,2,0)</f>
        <v>办公用品</v>
      </c>
    </row>
    <row r="7528" spans="1:20">
      <c r="A7528" s="8">
        <f>DATE(2012,12,31)-1417</f>
        <v>39857</v>
      </c>
      <c r="B7528" s="8">
        <f>DATE(2012,12,31)-1417</f>
        <v>39857</v>
      </c>
      <c r="C7528" s="9" t="s">
        <v>830</v>
      </c>
      <c r="D7528">
        <v>10021396497</v>
      </c>
      <c r="E7528" t="s">
        <v>47</v>
      </c>
      <c r="F7528" t="s">
        <v>55</v>
      </c>
      <c r="G7528" t="s">
        <v>56</v>
      </c>
      <c r="H7528" t="s">
        <v>2471</v>
      </c>
      <c r="I7528" t="s">
        <v>2472</v>
      </c>
      <c r="J7528" t="s">
        <v>271</v>
      </c>
      <c r="K7528" s="3">
        <v>100922171981</v>
      </c>
      <c r="L7528" s="10">
        <v>39859</v>
      </c>
      <c r="M7528">
        <v>5483.96</v>
      </c>
      <c r="N7528" s="11">
        <v>44</v>
      </c>
      <c r="O7528" s="12">
        <v>120.98</v>
      </c>
      <c r="P7528" s="12">
        <v>58.64</v>
      </c>
      <c r="Q7528" s="13">
        <v>-1330.5</v>
      </c>
      <c r="R7528" s="36" t="s">
        <v>1393</v>
      </c>
      <c r="S7528" s="7">
        <f t="shared" si="661"/>
        <v>2</v>
      </c>
      <c r="T7528" s="15" t="str">
        <f>VLOOKUP(R7528,产品分类!$C$2:$D$1278,2,0)</f>
        <v>家具产品</v>
      </c>
    </row>
    <row r="7529" spans="1:20">
      <c r="A7529" s="8">
        <f>DATE(2012,12,31)-662</f>
        <v>40612</v>
      </c>
      <c r="B7529" s="8">
        <f>DATE(2012,12,31)-662</f>
        <v>40612</v>
      </c>
      <c r="C7529" s="9" t="s">
        <v>830</v>
      </c>
      <c r="D7529">
        <v>10021388344</v>
      </c>
      <c r="E7529" t="s">
        <v>47</v>
      </c>
      <c r="F7529" t="s">
        <v>55</v>
      </c>
      <c r="G7529" t="s">
        <v>56</v>
      </c>
      <c r="H7529" t="s">
        <v>2471</v>
      </c>
      <c r="I7529" t="s">
        <v>2472</v>
      </c>
      <c r="J7529" t="s">
        <v>271</v>
      </c>
      <c r="K7529" s="3">
        <v>100127851188</v>
      </c>
      <c r="L7529" s="10">
        <v>40614</v>
      </c>
      <c r="M7529">
        <v>57.5</v>
      </c>
      <c r="N7529" s="11">
        <v>2</v>
      </c>
      <c r="O7529" s="12">
        <v>28.48</v>
      </c>
      <c r="P7529" s="12">
        <v>1.99</v>
      </c>
      <c r="Q7529" s="13">
        <v>-83.18</v>
      </c>
      <c r="R7529" s="36" t="s">
        <v>1470</v>
      </c>
      <c r="S7529" s="7">
        <f t="shared" si="661"/>
        <v>2</v>
      </c>
      <c r="T7529" s="15" t="str">
        <f>VLOOKUP(R7529,产品分类!$C$2:$D$1278,2,0)</f>
        <v>数码电子</v>
      </c>
    </row>
    <row r="7530" spans="1:20">
      <c r="A7530" s="8">
        <f>DATE(2012,12,31)-529</f>
        <v>40745</v>
      </c>
      <c r="B7530" s="8">
        <f>DATE(2012,12,31)-529</f>
        <v>40745</v>
      </c>
      <c r="C7530" s="9" t="s">
        <v>1592</v>
      </c>
      <c r="D7530">
        <v>10021576916</v>
      </c>
      <c r="E7530" t="s">
        <v>47</v>
      </c>
      <c r="F7530" t="s">
        <v>122</v>
      </c>
      <c r="G7530" t="s">
        <v>123</v>
      </c>
      <c r="H7530" t="s">
        <v>2458</v>
      </c>
      <c r="I7530" t="s">
        <v>2459</v>
      </c>
      <c r="J7530" t="s">
        <v>271</v>
      </c>
      <c r="K7530" s="3">
        <v>100816624272</v>
      </c>
      <c r="L7530" s="10">
        <v>40747</v>
      </c>
      <c r="M7530">
        <v>2700.41</v>
      </c>
      <c r="N7530" s="11">
        <v>10</v>
      </c>
      <c r="O7530" s="12">
        <v>279.81</v>
      </c>
      <c r="P7530" s="12">
        <v>23.19</v>
      </c>
      <c r="Q7530" s="13">
        <v>258.01</v>
      </c>
      <c r="R7530" s="36" t="s">
        <v>1368</v>
      </c>
      <c r="S7530" s="7">
        <f t="shared" si="661"/>
        <v>2</v>
      </c>
      <c r="T7530" s="15" t="str">
        <f>VLOOKUP(R7530,产品分类!$C$2:$D$1278,2,0)</f>
        <v>数码电子</v>
      </c>
    </row>
    <row r="7531" spans="1:20">
      <c r="A7531" s="8">
        <f>DATE(2012,12,31)-478</f>
        <v>40796</v>
      </c>
      <c r="B7531" s="8">
        <f>DATE(2012,12,31)-478</f>
        <v>40796</v>
      </c>
      <c r="C7531" s="9" t="s">
        <v>1091</v>
      </c>
      <c r="D7531">
        <v>10021426668</v>
      </c>
      <c r="E7531" t="s">
        <v>47</v>
      </c>
      <c r="F7531" t="s">
        <v>91</v>
      </c>
      <c r="G7531" t="s">
        <v>92</v>
      </c>
      <c r="H7531" t="s">
        <v>2573</v>
      </c>
      <c r="I7531" t="s">
        <v>2574</v>
      </c>
      <c r="J7531" t="s">
        <v>271</v>
      </c>
      <c r="K7531" s="3">
        <v>100430249174</v>
      </c>
      <c r="L7531" s="10">
        <v>40798</v>
      </c>
      <c r="M7531">
        <v>160.52</v>
      </c>
      <c r="N7531" s="11">
        <v>3</v>
      </c>
      <c r="O7531" s="12">
        <v>50.98</v>
      </c>
      <c r="P7531" s="12">
        <v>14.19</v>
      </c>
      <c r="Q7531" s="13">
        <v>-69.66</v>
      </c>
      <c r="R7531" s="36" t="s">
        <v>1758</v>
      </c>
      <c r="S7531" s="7">
        <f t="shared" si="661"/>
        <v>2</v>
      </c>
      <c r="T7531" s="15" t="str">
        <f>VLOOKUP(R7531,产品分类!$C$2:$D$1278,2,0)</f>
        <v>办公用品</v>
      </c>
    </row>
    <row r="7532" spans="1:20">
      <c r="A7532" s="8">
        <f>DATE(2012,12,31)-116</f>
        <v>41158</v>
      </c>
      <c r="B7532" s="8">
        <f>DATE(2012,12,31)-116</f>
        <v>41158</v>
      </c>
      <c r="C7532" s="9" t="s">
        <v>1091</v>
      </c>
      <c r="D7532">
        <v>10021619640</v>
      </c>
      <c r="E7532" t="s">
        <v>47</v>
      </c>
      <c r="F7532" t="s">
        <v>91</v>
      </c>
      <c r="G7532" t="s">
        <v>92</v>
      </c>
      <c r="H7532" t="s">
        <v>2573</v>
      </c>
      <c r="I7532" t="s">
        <v>2574</v>
      </c>
      <c r="J7532" t="s">
        <v>271</v>
      </c>
      <c r="K7532" s="3">
        <v>1008799122</v>
      </c>
      <c r="L7532" s="10">
        <v>41160</v>
      </c>
      <c r="M7532">
        <v>5062.18</v>
      </c>
      <c r="N7532" s="11">
        <v>23</v>
      </c>
      <c r="O7532" s="12">
        <v>270.97</v>
      </c>
      <c r="P7532" s="12">
        <v>28.06</v>
      </c>
      <c r="Q7532" s="13">
        <v>842.83</v>
      </c>
      <c r="R7532" s="36" t="s">
        <v>860</v>
      </c>
      <c r="S7532" s="7">
        <f t="shared" si="661"/>
        <v>2</v>
      </c>
      <c r="T7532" s="15" t="str">
        <f>VLOOKUP(R7532,产品分类!$C$2:$D$1278,2,0)</f>
        <v>办公用品</v>
      </c>
    </row>
    <row r="7533" spans="1:20">
      <c r="A7533" s="8">
        <f>DATE(2012,12,31)-359</f>
        <v>40915</v>
      </c>
      <c r="B7533" s="8">
        <f>DATE(2012,12,31)-359</f>
        <v>40915</v>
      </c>
      <c r="C7533" s="9" t="s">
        <v>1517</v>
      </c>
      <c r="D7533">
        <v>10021332574</v>
      </c>
      <c r="E7533" t="s">
        <v>47</v>
      </c>
      <c r="F7533" t="s">
        <v>91</v>
      </c>
      <c r="G7533" t="s">
        <v>92</v>
      </c>
      <c r="H7533" t="s">
        <v>2573</v>
      </c>
      <c r="I7533" t="s">
        <v>2574</v>
      </c>
      <c r="J7533" t="s">
        <v>271</v>
      </c>
      <c r="K7533" s="3">
        <v>100110245747</v>
      </c>
      <c r="L7533" s="10">
        <v>40920</v>
      </c>
      <c r="M7533">
        <v>114.17</v>
      </c>
      <c r="N7533" s="11">
        <v>24</v>
      </c>
      <c r="O7533" s="12">
        <v>4.37</v>
      </c>
      <c r="P7533" s="12">
        <v>5.15</v>
      </c>
      <c r="Q7533" s="13">
        <v>-80.05</v>
      </c>
      <c r="R7533" s="36" t="s">
        <v>936</v>
      </c>
      <c r="S7533" s="7">
        <f t="shared" si="661"/>
        <v>5</v>
      </c>
      <c r="T7533" s="15" t="str">
        <f>VLOOKUP(R7533,产品分类!$C$2:$D$1278,2,0)</f>
        <v>办公用品</v>
      </c>
    </row>
    <row r="7534" spans="1:20">
      <c r="A7534" s="16">
        <f>DATE(2012,12,31)-359</f>
        <v>40915</v>
      </c>
      <c r="B7534" s="16">
        <f>DATE(2012,12,31)-359</f>
        <v>40915</v>
      </c>
      <c r="C7534" s="9" t="s">
        <v>943</v>
      </c>
      <c r="D7534">
        <v>10021623863</v>
      </c>
      <c r="E7534" t="s">
        <v>47</v>
      </c>
      <c r="F7534" t="s">
        <v>55</v>
      </c>
      <c r="G7534" t="s">
        <v>56</v>
      </c>
      <c r="H7534" t="s">
        <v>2471</v>
      </c>
      <c r="I7534" t="s">
        <v>2472</v>
      </c>
      <c r="J7534" t="s">
        <v>271</v>
      </c>
      <c r="K7534" s="3">
        <v>100823198412</v>
      </c>
      <c r="L7534" s="10">
        <v>40920</v>
      </c>
      <c r="M7534">
        <v>197.11</v>
      </c>
      <c r="N7534" s="17">
        <v>39</v>
      </c>
      <c r="O7534" s="5">
        <v>4.98</v>
      </c>
      <c r="P7534" s="5">
        <v>4.95</v>
      </c>
      <c r="Q7534" s="6">
        <v>-89.424</v>
      </c>
      <c r="R7534" s="37" t="s">
        <v>1896</v>
      </c>
      <c r="S7534" s="7">
        <f t="shared" si="661"/>
        <v>5</v>
      </c>
      <c r="T7534" s="15" t="str">
        <f>VLOOKUP(R7534,产品分类!$C$2:$D$1278,2,0)</f>
        <v>办公用品</v>
      </c>
    </row>
    <row r="7535" spans="1:20">
      <c r="A7535" s="8">
        <f>DATE(2012,12,31)-424</f>
        <v>40850</v>
      </c>
      <c r="B7535" s="8">
        <f>DATE(2012,12,31)-424</f>
        <v>40850</v>
      </c>
      <c r="C7535" s="9" t="s">
        <v>1221</v>
      </c>
      <c r="D7535">
        <v>10021348071</v>
      </c>
      <c r="E7535" t="s">
        <v>47</v>
      </c>
      <c r="F7535" t="s">
        <v>83</v>
      </c>
      <c r="G7535" t="s">
        <v>84</v>
      </c>
      <c r="H7535" t="s">
        <v>2577</v>
      </c>
      <c r="I7535" t="s">
        <v>2578</v>
      </c>
      <c r="J7535" t="s">
        <v>271</v>
      </c>
      <c r="K7535" s="3">
        <v>100824154662</v>
      </c>
      <c r="L7535" s="10">
        <v>40851</v>
      </c>
      <c r="M7535">
        <v>3329.27</v>
      </c>
      <c r="N7535" s="11">
        <v>22</v>
      </c>
      <c r="O7535" s="12">
        <v>150.98</v>
      </c>
      <c r="P7535" s="12">
        <v>16.01</v>
      </c>
      <c r="Q7535" s="13">
        <v>350</v>
      </c>
      <c r="R7535" s="36" t="s">
        <v>1708</v>
      </c>
      <c r="S7535" s="7">
        <f t="shared" si="661"/>
        <v>1</v>
      </c>
      <c r="T7535" s="15" t="str">
        <f>VLOOKUP(R7535,产品分类!$C$2:$D$1278,2,0)</f>
        <v>数码电子</v>
      </c>
    </row>
    <row r="7536" spans="1:20">
      <c r="A7536" s="8">
        <f>DATE(2012,12,31)-954</f>
        <v>40320</v>
      </c>
      <c r="B7536" s="8">
        <f>DATE(2012,12,31)-954</f>
        <v>40320</v>
      </c>
      <c r="C7536" s="9" t="s">
        <v>1221</v>
      </c>
      <c r="D7536">
        <v>10021389603</v>
      </c>
      <c r="E7536" t="s">
        <v>47</v>
      </c>
      <c r="F7536" t="s">
        <v>122</v>
      </c>
      <c r="G7536" t="s">
        <v>123</v>
      </c>
      <c r="H7536" t="s">
        <v>2458</v>
      </c>
      <c r="I7536" t="s">
        <v>2459</v>
      </c>
      <c r="J7536" t="s">
        <v>271</v>
      </c>
      <c r="K7536" s="3">
        <v>100432325564</v>
      </c>
      <c r="L7536" s="10">
        <v>40321</v>
      </c>
      <c r="M7536">
        <v>261</v>
      </c>
      <c r="N7536" s="11">
        <v>45</v>
      </c>
      <c r="O7536" s="12">
        <v>5.81</v>
      </c>
      <c r="P7536" s="12">
        <v>3.37</v>
      </c>
      <c r="Q7536" s="13">
        <v>-43.45</v>
      </c>
      <c r="R7536" s="36" t="s">
        <v>804</v>
      </c>
      <c r="S7536" s="7">
        <f t="shared" si="661"/>
        <v>1</v>
      </c>
      <c r="T7536" s="15" t="str">
        <f>VLOOKUP(R7536,产品分类!$C$2:$D$1278,2,0)</f>
        <v>家具产品</v>
      </c>
    </row>
    <row r="7537" spans="1:20">
      <c r="A7537" s="8">
        <f>DATE(2012,12,31)-954</f>
        <v>40320</v>
      </c>
      <c r="B7537" s="8">
        <f>DATE(2012,12,31)-954</f>
        <v>40320</v>
      </c>
      <c r="C7537" s="9" t="s">
        <v>1221</v>
      </c>
      <c r="D7537">
        <v>10021501747</v>
      </c>
      <c r="E7537" t="s">
        <v>47</v>
      </c>
      <c r="F7537" t="s">
        <v>122</v>
      </c>
      <c r="G7537" t="s">
        <v>123</v>
      </c>
      <c r="H7537" t="s">
        <v>2458</v>
      </c>
      <c r="I7537" t="s">
        <v>2459</v>
      </c>
      <c r="J7537" t="s">
        <v>271</v>
      </c>
      <c r="K7537" s="3">
        <v>100327663259</v>
      </c>
      <c r="L7537" s="10">
        <v>40323</v>
      </c>
      <c r="M7537">
        <v>127.56</v>
      </c>
      <c r="N7537" s="11">
        <v>4</v>
      </c>
      <c r="O7537" s="12">
        <v>29.74</v>
      </c>
      <c r="P7537" s="12">
        <v>6.64</v>
      </c>
      <c r="Q7537" s="13">
        <v>-41.75</v>
      </c>
      <c r="R7537" s="36" t="s">
        <v>1164</v>
      </c>
      <c r="S7537" s="7">
        <f t="shared" si="661"/>
        <v>3</v>
      </c>
      <c r="T7537" s="15" t="str">
        <f>VLOOKUP(R7537,产品分类!$C$2:$D$1278,2,0)</f>
        <v>数码电子</v>
      </c>
    </row>
    <row r="7538" spans="1:20">
      <c r="A7538" s="8">
        <f>DATE(2012,12,31)-1094</f>
        <v>40180</v>
      </c>
      <c r="B7538" s="8">
        <f>DATE(2012,12,31)-1094</f>
        <v>40180</v>
      </c>
      <c r="C7538" s="9" t="s">
        <v>1221</v>
      </c>
      <c r="D7538">
        <v>10021266391</v>
      </c>
      <c r="E7538" t="s">
        <v>47</v>
      </c>
      <c r="F7538" t="s">
        <v>122</v>
      </c>
      <c r="G7538" t="s">
        <v>123</v>
      </c>
      <c r="H7538" t="s">
        <v>2458</v>
      </c>
      <c r="I7538" t="s">
        <v>2459</v>
      </c>
      <c r="J7538" t="s">
        <v>271</v>
      </c>
      <c r="K7538" s="3">
        <v>100731780425</v>
      </c>
      <c r="L7538" s="10">
        <v>40180</v>
      </c>
      <c r="M7538">
        <v>70.25</v>
      </c>
      <c r="N7538" s="11">
        <v>34</v>
      </c>
      <c r="O7538" s="12">
        <v>2.08</v>
      </c>
      <c r="P7538" s="12">
        <v>5.33</v>
      </c>
      <c r="Q7538" s="13">
        <v>-133.06</v>
      </c>
      <c r="R7538" s="36" t="s">
        <v>1104</v>
      </c>
      <c r="S7538" s="7">
        <f t="shared" si="661"/>
        <v>0</v>
      </c>
      <c r="T7538" s="15" t="str">
        <f>VLOOKUP(R7538,产品分类!$C$2:$D$1278,2,0)</f>
        <v>办公用品</v>
      </c>
    </row>
    <row r="7539" spans="1:20">
      <c r="A7539" s="8">
        <f>DATE(2012,12,31)-805</f>
        <v>40469</v>
      </c>
      <c r="B7539" s="8">
        <f>DATE(2012,12,31)-805</f>
        <v>40469</v>
      </c>
      <c r="C7539" s="9" t="s">
        <v>840</v>
      </c>
      <c r="D7539">
        <v>10021331080</v>
      </c>
      <c r="E7539" t="s">
        <v>47</v>
      </c>
      <c r="F7539" t="s">
        <v>91</v>
      </c>
      <c r="G7539" t="s">
        <v>92</v>
      </c>
      <c r="H7539" t="s">
        <v>2573</v>
      </c>
      <c r="I7539" t="s">
        <v>2574</v>
      </c>
      <c r="J7539" t="s">
        <v>271</v>
      </c>
      <c r="K7539" s="3">
        <v>1004727923</v>
      </c>
      <c r="L7539" s="10">
        <v>40474</v>
      </c>
      <c r="M7539">
        <v>124.75</v>
      </c>
      <c r="N7539" s="11">
        <v>3</v>
      </c>
      <c r="O7539" s="12">
        <v>40.96</v>
      </c>
      <c r="P7539" s="12">
        <v>1.99</v>
      </c>
      <c r="Q7539" s="13">
        <v>-112.64</v>
      </c>
      <c r="R7539" s="36" t="s">
        <v>975</v>
      </c>
      <c r="S7539" s="7">
        <f t="shared" si="661"/>
        <v>5</v>
      </c>
      <c r="T7539" s="15" t="str">
        <f>VLOOKUP(R7539,产品分类!$C$2:$D$1278,2,0)</f>
        <v>家具产品</v>
      </c>
    </row>
    <row r="7540" spans="1:20">
      <c r="A7540" s="8">
        <f>DATE(2012,12,31)-558</f>
        <v>40716</v>
      </c>
      <c r="B7540" s="8">
        <f>DATE(2012,12,31)-558</f>
        <v>40716</v>
      </c>
      <c r="C7540" s="9" t="s">
        <v>840</v>
      </c>
      <c r="D7540">
        <v>10021433048</v>
      </c>
      <c r="E7540" t="s">
        <v>47</v>
      </c>
      <c r="F7540" t="s">
        <v>91</v>
      </c>
      <c r="G7540" t="s">
        <v>92</v>
      </c>
      <c r="H7540" t="s">
        <v>2573</v>
      </c>
      <c r="I7540" t="s">
        <v>2574</v>
      </c>
      <c r="J7540" t="s">
        <v>271</v>
      </c>
      <c r="K7540" s="3">
        <v>100932593071</v>
      </c>
      <c r="L7540" s="10">
        <v>40716</v>
      </c>
      <c r="M7540">
        <v>2011.6355</v>
      </c>
      <c r="N7540" s="11">
        <v>12</v>
      </c>
      <c r="O7540" s="12">
        <v>195.99</v>
      </c>
      <c r="P7540" s="12">
        <v>3.99</v>
      </c>
      <c r="Q7540" s="13">
        <v>-53.691</v>
      </c>
      <c r="R7540" s="36" t="s">
        <v>426</v>
      </c>
      <c r="S7540" s="7">
        <f t="shared" si="661"/>
        <v>0</v>
      </c>
      <c r="T7540" s="15" t="str">
        <f>VLOOKUP(R7540,产品分类!$C$2:$D$1278,2,0)</f>
        <v>家具产品</v>
      </c>
    </row>
    <row r="7541" spans="1:20">
      <c r="A7541" s="8">
        <f>DATE(2012,12,31)-1216</f>
        <v>40058</v>
      </c>
      <c r="B7541" s="8">
        <f>DATE(2012,12,31)-1216</f>
        <v>40058</v>
      </c>
      <c r="C7541" s="9" t="s">
        <v>840</v>
      </c>
      <c r="D7541">
        <v>10021288295</v>
      </c>
      <c r="E7541" t="s">
        <v>47</v>
      </c>
      <c r="F7541" t="s">
        <v>122</v>
      </c>
      <c r="G7541" t="s">
        <v>123</v>
      </c>
      <c r="H7541" t="s">
        <v>2458</v>
      </c>
      <c r="I7541" t="s">
        <v>2459</v>
      </c>
      <c r="J7541" t="s">
        <v>271</v>
      </c>
      <c r="K7541" s="3">
        <v>100332533329</v>
      </c>
      <c r="L7541" s="10">
        <v>40059</v>
      </c>
      <c r="M7541">
        <v>205.87</v>
      </c>
      <c r="N7541" s="11">
        <v>35</v>
      </c>
      <c r="O7541" s="12">
        <v>5.68</v>
      </c>
      <c r="P7541" s="12">
        <v>1.46</v>
      </c>
      <c r="Q7541" s="13">
        <v>65.88</v>
      </c>
      <c r="R7541" s="36" t="s">
        <v>1199</v>
      </c>
      <c r="S7541" s="7">
        <f t="shared" si="661"/>
        <v>1</v>
      </c>
      <c r="T7541" s="15" t="str">
        <f>VLOOKUP(R7541,产品分类!$C$2:$D$1278,2,0)</f>
        <v>数码电子</v>
      </c>
    </row>
    <row r="7542" spans="1:20">
      <c r="A7542" s="16">
        <f>DATE(2012,12,31)-1216</f>
        <v>40058</v>
      </c>
      <c r="B7542" s="16">
        <f>DATE(2012,12,31)-1216</f>
        <v>40058</v>
      </c>
      <c r="C7542" s="9" t="s">
        <v>1347</v>
      </c>
      <c r="D7542">
        <v>10021592730</v>
      </c>
      <c r="E7542" t="s">
        <v>47</v>
      </c>
      <c r="F7542" t="s">
        <v>55</v>
      </c>
      <c r="G7542" t="s">
        <v>56</v>
      </c>
      <c r="H7542" t="s">
        <v>2471</v>
      </c>
      <c r="I7542" t="s">
        <v>2472</v>
      </c>
      <c r="J7542" t="s">
        <v>271</v>
      </c>
      <c r="K7542" s="3">
        <v>100332360899</v>
      </c>
      <c r="L7542" s="10">
        <v>40059</v>
      </c>
      <c r="M7542">
        <v>65.12</v>
      </c>
      <c r="N7542" s="17">
        <v>38</v>
      </c>
      <c r="O7542" s="5">
        <v>1.68</v>
      </c>
      <c r="P7542" s="5">
        <v>1</v>
      </c>
      <c r="Q7542" s="6">
        <v>1.42</v>
      </c>
      <c r="R7542" s="37" t="s">
        <v>1223</v>
      </c>
      <c r="S7542" s="7">
        <f t="shared" si="661"/>
        <v>1</v>
      </c>
      <c r="T7542" s="15" t="str">
        <f>VLOOKUP(R7542,产品分类!$C$2:$D$1278,2,0)</f>
        <v>办公用品</v>
      </c>
    </row>
    <row r="7543" spans="1:20">
      <c r="A7543" s="8">
        <f>DATE(2012,12,31)-553</f>
        <v>40721</v>
      </c>
      <c r="B7543" s="8">
        <f>DATE(2012,12,31)-553</f>
        <v>40721</v>
      </c>
      <c r="C7543" s="9" t="s">
        <v>2065</v>
      </c>
      <c r="D7543">
        <v>10021333580</v>
      </c>
      <c r="E7543" t="s">
        <v>47</v>
      </c>
      <c r="F7543" t="s">
        <v>122</v>
      </c>
      <c r="G7543" t="s">
        <v>123</v>
      </c>
      <c r="H7543" t="s">
        <v>2458</v>
      </c>
      <c r="I7543" t="s">
        <v>2459</v>
      </c>
      <c r="J7543" t="s">
        <v>271</v>
      </c>
      <c r="K7543" s="3">
        <v>100913663381</v>
      </c>
      <c r="L7543" s="10">
        <v>40722</v>
      </c>
      <c r="M7543">
        <v>2492.97</v>
      </c>
      <c r="N7543" s="11">
        <v>33</v>
      </c>
      <c r="O7543" s="12">
        <v>73.98</v>
      </c>
      <c r="P7543" s="12">
        <v>14.52</v>
      </c>
      <c r="Q7543" s="13">
        <v>131.02</v>
      </c>
      <c r="R7543" s="36" t="s">
        <v>195</v>
      </c>
      <c r="S7543" s="7">
        <f t="shared" si="661"/>
        <v>1</v>
      </c>
      <c r="T7543" s="15" t="str">
        <f>VLOOKUP(R7543,产品分类!$C$2:$D$1278,2,0)</f>
        <v>家具产品</v>
      </c>
    </row>
    <row r="7544" spans="1:20">
      <c r="A7544" s="8">
        <f>DATE(2012,12,31)-341</f>
        <v>40933</v>
      </c>
      <c r="B7544" s="8">
        <f>DATE(2012,12,31)-341</f>
        <v>40933</v>
      </c>
      <c r="C7544" s="9" t="s">
        <v>2257</v>
      </c>
      <c r="D7544">
        <v>10021460852</v>
      </c>
      <c r="E7544" t="s">
        <v>47</v>
      </c>
      <c r="F7544" t="s">
        <v>132</v>
      </c>
      <c r="G7544" t="s">
        <v>133</v>
      </c>
      <c r="H7544" t="s">
        <v>134</v>
      </c>
      <c r="I7544" t="s">
        <v>133</v>
      </c>
      <c r="J7544" t="s">
        <v>271</v>
      </c>
      <c r="K7544" s="3">
        <v>100911585731</v>
      </c>
      <c r="L7544" s="10">
        <v>40933</v>
      </c>
      <c r="M7544">
        <v>480.73</v>
      </c>
      <c r="N7544" s="11">
        <v>12</v>
      </c>
      <c r="O7544" s="12">
        <v>42.8</v>
      </c>
      <c r="P7544" s="12">
        <v>2.99</v>
      </c>
      <c r="Q7544" s="13">
        <v>148.1975</v>
      </c>
      <c r="R7544" s="36" t="s">
        <v>2078</v>
      </c>
      <c r="S7544" s="7">
        <f t="shared" si="661"/>
        <v>0</v>
      </c>
      <c r="T7544" s="15" t="str">
        <f>VLOOKUP(R7544,产品分类!$C$2:$D$1278,2,0)</f>
        <v>数码电子</v>
      </c>
    </row>
    <row r="7545" spans="1:20">
      <c r="A7545" s="8">
        <f>DATE(2012,12,31)-341</f>
        <v>40933</v>
      </c>
      <c r="B7545" s="8">
        <f>DATE(2012,12,31)-341</f>
        <v>40933</v>
      </c>
      <c r="C7545" s="9" t="s">
        <v>182</v>
      </c>
      <c r="D7545">
        <v>10021415298</v>
      </c>
      <c r="E7545" t="s">
        <v>47</v>
      </c>
      <c r="F7545" t="s">
        <v>132</v>
      </c>
      <c r="G7545" t="s">
        <v>133</v>
      </c>
      <c r="H7545" t="s">
        <v>134</v>
      </c>
      <c r="I7545" t="s">
        <v>133</v>
      </c>
      <c r="J7545" t="s">
        <v>271</v>
      </c>
      <c r="K7545" s="3">
        <v>100310745409</v>
      </c>
      <c r="L7545" s="10">
        <v>40935</v>
      </c>
      <c r="M7545">
        <v>159</v>
      </c>
      <c r="N7545" s="11">
        <v>25</v>
      </c>
      <c r="O7545" s="12">
        <v>6.48</v>
      </c>
      <c r="P7545" s="12">
        <v>7.37</v>
      </c>
      <c r="Q7545" s="13">
        <v>-98.15</v>
      </c>
      <c r="R7545" s="36" t="s">
        <v>1025</v>
      </c>
      <c r="S7545" s="7">
        <f t="shared" si="661"/>
        <v>2</v>
      </c>
      <c r="T7545" s="15" t="str">
        <f>VLOOKUP(R7545,产品分类!$C$2:$D$1278,2,0)</f>
        <v>办公用品</v>
      </c>
    </row>
    <row r="7546" spans="1:20">
      <c r="A7546" s="8">
        <f>DATE(2012,12,31)-70</f>
        <v>41204</v>
      </c>
      <c r="B7546" s="8">
        <f>DATE(2012,12,31)-70</f>
        <v>41204</v>
      </c>
      <c r="C7546" s="9" t="s">
        <v>647</v>
      </c>
      <c r="D7546">
        <v>10021594760</v>
      </c>
      <c r="E7546" t="s">
        <v>47</v>
      </c>
      <c r="F7546" t="s">
        <v>97</v>
      </c>
      <c r="G7546" t="s">
        <v>98</v>
      </c>
      <c r="H7546" t="s">
        <v>99</v>
      </c>
      <c r="I7546" t="s">
        <v>98</v>
      </c>
      <c r="J7546" t="s">
        <v>271</v>
      </c>
      <c r="K7546" s="3">
        <v>100932768031</v>
      </c>
      <c r="L7546" s="10">
        <v>41206</v>
      </c>
      <c r="M7546">
        <v>913.99</v>
      </c>
      <c r="N7546" s="11">
        <v>43</v>
      </c>
      <c r="O7546" s="12">
        <v>21.38</v>
      </c>
      <c r="P7546" s="12">
        <v>8.99</v>
      </c>
      <c r="Q7546" s="13">
        <v>-57.75</v>
      </c>
      <c r="R7546" s="36" t="s">
        <v>620</v>
      </c>
      <c r="S7546" s="7">
        <f t="shared" si="661"/>
        <v>2</v>
      </c>
      <c r="T7546" s="15" t="str">
        <f>VLOOKUP(R7546,产品分类!$C$2:$D$1278,2,0)</f>
        <v>数码电子</v>
      </c>
    </row>
    <row r="7547" spans="1:20">
      <c r="A7547" s="8">
        <f>DATE(2012,12,31)-227</f>
        <v>41047</v>
      </c>
      <c r="B7547" s="8">
        <f>DATE(2012,12,31)-227</f>
        <v>41047</v>
      </c>
      <c r="C7547" s="9" t="s">
        <v>525</v>
      </c>
      <c r="D7547">
        <v>10021608024</v>
      </c>
      <c r="E7547" t="s">
        <v>47</v>
      </c>
      <c r="F7547" t="s">
        <v>132</v>
      </c>
      <c r="G7547" t="s">
        <v>133</v>
      </c>
      <c r="H7547" t="s">
        <v>134</v>
      </c>
      <c r="I7547" t="s">
        <v>133</v>
      </c>
      <c r="J7547" t="s">
        <v>271</v>
      </c>
      <c r="K7547" s="3">
        <v>100425418794</v>
      </c>
      <c r="L7547" s="10">
        <v>41049</v>
      </c>
      <c r="M7547">
        <v>2608.79</v>
      </c>
      <c r="N7547" s="11">
        <v>12</v>
      </c>
      <c r="O7547" s="12">
        <v>213.45</v>
      </c>
      <c r="P7547" s="12">
        <v>14.7</v>
      </c>
      <c r="Q7547" s="13">
        <v>67.3600000000001</v>
      </c>
      <c r="R7547" s="36" t="s">
        <v>383</v>
      </c>
      <c r="S7547" s="7">
        <f t="shared" si="661"/>
        <v>2</v>
      </c>
      <c r="T7547" s="15" t="str">
        <f>VLOOKUP(R7547,产品分类!$C$2:$D$1278,2,0)</f>
        <v>办公用品</v>
      </c>
    </row>
    <row r="7548" spans="1:20">
      <c r="A7548" s="8">
        <f>DATE(2012,12,31)-260</f>
        <v>41014</v>
      </c>
      <c r="B7548" s="8">
        <f>DATE(2012,12,31)-260</f>
        <v>41014</v>
      </c>
      <c r="C7548" s="9" t="s">
        <v>361</v>
      </c>
      <c r="D7548">
        <v>10021577479</v>
      </c>
      <c r="E7548" t="s">
        <v>47</v>
      </c>
      <c r="F7548" t="s">
        <v>304</v>
      </c>
      <c r="G7548" t="s">
        <v>305</v>
      </c>
      <c r="H7548" t="s">
        <v>2527</v>
      </c>
      <c r="I7548" t="s">
        <v>2528</v>
      </c>
      <c r="J7548" t="s">
        <v>271</v>
      </c>
      <c r="K7548" s="3">
        <v>100811025452</v>
      </c>
      <c r="L7548" s="10">
        <v>41016</v>
      </c>
      <c r="M7548">
        <v>2773.71</v>
      </c>
      <c r="N7548" s="11">
        <v>32</v>
      </c>
      <c r="O7548" s="12">
        <v>82.99</v>
      </c>
      <c r="P7548" s="12">
        <v>5.5</v>
      </c>
      <c r="Q7548" s="13">
        <v>1097.25</v>
      </c>
      <c r="R7548" s="36" t="s">
        <v>1056</v>
      </c>
      <c r="S7548" s="7">
        <f t="shared" si="661"/>
        <v>2</v>
      </c>
      <c r="T7548" s="15" t="str">
        <f>VLOOKUP(R7548,产品分类!$C$2:$D$1278,2,0)</f>
        <v>家具产品</v>
      </c>
    </row>
    <row r="7549" spans="1:20">
      <c r="A7549" s="8">
        <f>DATE(2012,12,31)-260</f>
        <v>41014</v>
      </c>
      <c r="B7549" s="8">
        <f>DATE(2012,12,31)-260</f>
        <v>41014</v>
      </c>
      <c r="C7549" s="9" t="s">
        <v>966</v>
      </c>
      <c r="D7549">
        <v>10021669507</v>
      </c>
      <c r="E7549" t="s">
        <v>47</v>
      </c>
      <c r="F7549" t="s">
        <v>137</v>
      </c>
      <c r="G7549" t="s">
        <v>138</v>
      </c>
      <c r="H7549" t="s">
        <v>2504</v>
      </c>
      <c r="I7549" t="s">
        <v>2505</v>
      </c>
      <c r="J7549" t="s">
        <v>271</v>
      </c>
      <c r="K7549" s="3">
        <v>100929823061</v>
      </c>
      <c r="L7549" s="10">
        <v>41015</v>
      </c>
      <c r="M7549">
        <v>113.89</v>
      </c>
      <c r="N7549" s="11">
        <v>9</v>
      </c>
      <c r="O7549" s="12">
        <v>11.66</v>
      </c>
      <c r="P7549" s="12">
        <v>8.99</v>
      </c>
      <c r="Q7549" s="13">
        <v>-52.25</v>
      </c>
      <c r="R7549" s="36" t="s">
        <v>1989</v>
      </c>
      <c r="S7549" s="7">
        <f t="shared" si="661"/>
        <v>1</v>
      </c>
      <c r="T7549" s="15" t="str">
        <f>VLOOKUP(R7549,产品分类!$C$2:$D$1278,2,0)</f>
        <v>家具产品</v>
      </c>
    </row>
    <row r="7550" spans="1:20">
      <c r="A7550" s="8">
        <f>DATE(2012,12,31)-138</f>
        <v>41136</v>
      </c>
      <c r="B7550" s="8">
        <f>DATE(2012,12,31)-138</f>
        <v>41136</v>
      </c>
      <c r="C7550" s="9" t="s">
        <v>1786</v>
      </c>
      <c r="D7550">
        <v>10021249930</v>
      </c>
      <c r="E7550" t="s">
        <v>47</v>
      </c>
      <c r="F7550" t="s">
        <v>102</v>
      </c>
      <c r="G7550" t="s">
        <v>103</v>
      </c>
      <c r="H7550" t="s">
        <v>2560</v>
      </c>
      <c r="I7550" t="s">
        <v>2561</v>
      </c>
      <c r="J7550" t="s">
        <v>271</v>
      </c>
      <c r="K7550" s="3">
        <v>100112460197</v>
      </c>
      <c r="L7550" s="10">
        <v>41138</v>
      </c>
      <c r="M7550">
        <v>664.989</v>
      </c>
      <c r="N7550" s="11">
        <v>21</v>
      </c>
      <c r="O7550" s="12">
        <v>35.99</v>
      </c>
      <c r="P7550" s="12">
        <v>5.99</v>
      </c>
      <c r="Q7550" s="13">
        <v>170.46</v>
      </c>
      <c r="R7550" s="36" t="s">
        <v>1516</v>
      </c>
      <c r="S7550" s="7">
        <f t="shared" si="661"/>
        <v>2</v>
      </c>
      <c r="T7550" s="15" t="str">
        <f>VLOOKUP(R7550,产品分类!$C$2:$D$1278,2,0)</f>
        <v>办公用品</v>
      </c>
    </row>
    <row r="7551" spans="1:20">
      <c r="A7551" s="8">
        <f>DATE(2012,12,31)-364</f>
        <v>40910</v>
      </c>
      <c r="B7551" s="8">
        <f>DATE(2012,12,31)-364</f>
        <v>40910</v>
      </c>
      <c r="C7551" s="9" t="s">
        <v>1786</v>
      </c>
      <c r="D7551">
        <v>10021575395</v>
      </c>
      <c r="E7551" t="s">
        <v>47</v>
      </c>
      <c r="F7551" t="s">
        <v>137</v>
      </c>
      <c r="G7551" t="s">
        <v>138</v>
      </c>
      <c r="H7551" t="s">
        <v>2504</v>
      </c>
      <c r="I7551" t="s">
        <v>2505</v>
      </c>
      <c r="J7551" t="s">
        <v>271</v>
      </c>
      <c r="K7551" s="3">
        <v>10019769838</v>
      </c>
      <c r="L7551" s="10">
        <v>40913</v>
      </c>
      <c r="M7551">
        <v>7325.63</v>
      </c>
      <c r="N7551" s="11">
        <v>38</v>
      </c>
      <c r="O7551" s="12">
        <v>199.99</v>
      </c>
      <c r="P7551" s="12">
        <v>24.49</v>
      </c>
      <c r="Q7551" s="13">
        <v>1899.23</v>
      </c>
      <c r="R7551" s="36" t="s">
        <v>557</v>
      </c>
      <c r="S7551" s="7">
        <f t="shared" si="661"/>
        <v>3</v>
      </c>
      <c r="T7551" s="15" t="str">
        <f>VLOOKUP(R7551,产品分类!$C$2:$D$1278,2,0)</f>
        <v>家具产品</v>
      </c>
    </row>
    <row r="7552" spans="1:20">
      <c r="A7552" s="8">
        <f>DATE(2012,12,31)-437</f>
        <v>40837</v>
      </c>
      <c r="B7552" s="8">
        <f>DATE(2012,12,31)-437</f>
        <v>40837</v>
      </c>
      <c r="C7552" s="9" t="s">
        <v>1141</v>
      </c>
      <c r="D7552">
        <v>10021578550</v>
      </c>
      <c r="E7552" t="s">
        <v>47</v>
      </c>
      <c r="F7552" t="s">
        <v>137</v>
      </c>
      <c r="G7552" t="s">
        <v>138</v>
      </c>
      <c r="H7552" t="s">
        <v>2504</v>
      </c>
      <c r="I7552" t="s">
        <v>2505</v>
      </c>
      <c r="J7552" t="s">
        <v>271</v>
      </c>
      <c r="K7552" s="3">
        <v>100112706347</v>
      </c>
      <c r="L7552" s="10">
        <v>40839</v>
      </c>
      <c r="M7552">
        <v>321.21</v>
      </c>
      <c r="N7552" s="11">
        <v>14</v>
      </c>
      <c r="O7552" s="12">
        <v>22.98</v>
      </c>
      <c r="P7552" s="12">
        <v>1.99</v>
      </c>
      <c r="Q7552" s="13">
        <v>53.44</v>
      </c>
      <c r="R7552" s="36" t="s">
        <v>1281</v>
      </c>
      <c r="S7552" s="7">
        <f t="shared" si="661"/>
        <v>2</v>
      </c>
      <c r="T7552" s="15" t="str">
        <f>VLOOKUP(R7552,产品分类!$C$2:$D$1278,2,0)</f>
        <v>办公用品</v>
      </c>
    </row>
    <row r="7553" spans="1:20">
      <c r="A7553" s="8">
        <f>DATE(2012,12,31)-1202</f>
        <v>40072</v>
      </c>
      <c r="B7553" s="8">
        <f>DATE(2012,12,31)-1202</f>
        <v>40072</v>
      </c>
      <c r="C7553" s="9" t="s">
        <v>355</v>
      </c>
      <c r="D7553">
        <v>10021249811</v>
      </c>
      <c r="E7553" t="s">
        <v>47</v>
      </c>
      <c r="F7553" t="s">
        <v>102</v>
      </c>
      <c r="G7553" t="s">
        <v>103</v>
      </c>
      <c r="H7553" t="s">
        <v>2560</v>
      </c>
      <c r="I7553" t="s">
        <v>2561</v>
      </c>
      <c r="J7553" t="s">
        <v>271</v>
      </c>
      <c r="K7553" s="3">
        <v>100110082757</v>
      </c>
      <c r="L7553" s="10">
        <v>40072</v>
      </c>
      <c r="M7553">
        <v>907.24</v>
      </c>
      <c r="N7553" s="11">
        <v>6</v>
      </c>
      <c r="O7553" s="12">
        <v>154.13</v>
      </c>
      <c r="P7553" s="12">
        <v>69</v>
      </c>
      <c r="Q7553" s="13">
        <v>-634.7341</v>
      </c>
      <c r="R7553" s="36" t="s">
        <v>1090</v>
      </c>
      <c r="S7553" s="7">
        <f t="shared" si="661"/>
        <v>0</v>
      </c>
      <c r="T7553" s="15" t="str">
        <f>VLOOKUP(R7553,产品分类!$C$2:$D$1278,2,0)</f>
        <v>办公用品</v>
      </c>
    </row>
    <row r="7554" spans="1:20">
      <c r="A7554" s="8">
        <f>DATE(2012,12,31)-648</f>
        <v>40626</v>
      </c>
      <c r="B7554" s="8">
        <f>DATE(2012,12,31)-648</f>
        <v>40626</v>
      </c>
      <c r="C7554" s="9" t="s">
        <v>355</v>
      </c>
      <c r="D7554">
        <v>10021631529</v>
      </c>
      <c r="E7554" t="s">
        <v>47</v>
      </c>
      <c r="F7554" t="s">
        <v>102</v>
      </c>
      <c r="G7554" t="s">
        <v>103</v>
      </c>
      <c r="H7554" t="s">
        <v>2560</v>
      </c>
      <c r="I7554" t="s">
        <v>2561</v>
      </c>
      <c r="J7554" t="s">
        <v>271</v>
      </c>
      <c r="K7554" s="3">
        <v>100132745568</v>
      </c>
      <c r="L7554" s="10">
        <v>40627</v>
      </c>
      <c r="M7554">
        <v>83.3</v>
      </c>
      <c r="N7554" s="11">
        <v>5</v>
      </c>
      <c r="O7554" s="12">
        <v>20.99</v>
      </c>
      <c r="P7554" s="12">
        <v>2.5</v>
      </c>
      <c r="Q7554" s="13">
        <v>-114.906</v>
      </c>
      <c r="R7554" s="36" t="s">
        <v>971</v>
      </c>
      <c r="S7554" s="7">
        <f t="shared" si="661"/>
        <v>1</v>
      </c>
      <c r="T7554" s="15" t="str">
        <f>VLOOKUP(R7554,产品分类!$C$2:$D$1278,2,0)</f>
        <v>办公用品</v>
      </c>
    </row>
    <row r="7555" spans="1:20">
      <c r="A7555" s="8">
        <f>DATE(2012,12,31)-769</f>
        <v>40505</v>
      </c>
      <c r="B7555" s="8">
        <f>DATE(2012,12,31)-769</f>
        <v>40505</v>
      </c>
      <c r="C7555" s="9" t="s">
        <v>845</v>
      </c>
      <c r="D7555">
        <v>10021386558</v>
      </c>
      <c r="E7555" t="s">
        <v>47</v>
      </c>
      <c r="F7555" t="s">
        <v>137</v>
      </c>
      <c r="G7555" t="s">
        <v>138</v>
      </c>
      <c r="H7555" t="s">
        <v>2504</v>
      </c>
      <c r="I7555" t="s">
        <v>2505</v>
      </c>
      <c r="J7555" t="s">
        <v>271</v>
      </c>
      <c r="K7555" s="3">
        <v>100710991145</v>
      </c>
      <c r="L7555" s="10">
        <v>40507</v>
      </c>
      <c r="M7555">
        <v>1583.06</v>
      </c>
      <c r="N7555" s="11">
        <v>20</v>
      </c>
      <c r="O7555" s="12">
        <v>78.65</v>
      </c>
      <c r="P7555" s="12">
        <v>13.99</v>
      </c>
      <c r="Q7555" s="13">
        <v>328</v>
      </c>
      <c r="R7555" s="36" t="s">
        <v>1020</v>
      </c>
      <c r="S7555" s="7">
        <f t="shared" ref="S7555:S7618" si="664">+L7555-B7555</f>
        <v>2</v>
      </c>
      <c r="T7555" s="15" t="str">
        <f>VLOOKUP(R7555,产品分类!$C$2:$D$1278,2,0)</f>
        <v>办公用品</v>
      </c>
    </row>
    <row r="7556" spans="1:20">
      <c r="A7556" s="8">
        <f>DATE(2012,12,31)-1059</f>
        <v>40215</v>
      </c>
      <c r="B7556" s="8">
        <f>DATE(2012,12,31)-1059</f>
        <v>40215</v>
      </c>
      <c r="C7556" s="9" t="s">
        <v>845</v>
      </c>
      <c r="D7556">
        <v>10021413857</v>
      </c>
      <c r="E7556" t="s">
        <v>47</v>
      </c>
      <c r="F7556" t="s">
        <v>434</v>
      </c>
      <c r="G7556" t="s">
        <v>435</v>
      </c>
      <c r="H7556" t="s">
        <v>436</v>
      </c>
      <c r="I7556" t="s">
        <v>437</v>
      </c>
      <c r="J7556" t="s">
        <v>271</v>
      </c>
      <c r="K7556" s="3">
        <v>10042937883</v>
      </c>
      <c r="L7556" s="10">
        <v>40216</v>
      </c>
      <c r="M7556">
        <v>756.6</v>
      </c>
      <c r="N7556" s="11">
        <v>21</v>
      </c>
      <c r="O7556" s="12">
        <v>35.44</v>
      </c>
      <c r="P7556" s="12">
        <v>4.92</v>
      </c>
      <c r="Q7556" s="13">
        <v>299.59</v>
      </c>
      <c r="R7556" s="36" t="s">
        <v>1199</v>
      </c>
      <c r="S7556" s="7">
        <f t="shared" si="664"/>
        <v>1</v>
      </c>
      <c r="T7556" s="15" t="str">
        <f>VLOOKUP(R7556,产品分类!$C$2:$D$1278,2,0)</f>
        <v>数码电子</v>
      </c>
    </row>
    <row r="7557" spans="1:20">
      <c r="A7557" s="8">
        <f>DATE(2012,12,31)-520</f>
        <v>40754</v>
      </c>
      <c r="B7557" s="8">
        <f>DATE(2012,12,31)-520</f>
        <v>40754</v>
      </c>
      <c r="C7557" s="9" t="s">
        <v>457</v>
      </c>
      <c r="D7557">
        <v>10021589275</v>
      </c>
      <c r="E7557" t="s">
        <v>47</v>
      </c>
      <c r="F7557" t="s">
        <v>171</v>
      </c>
      <c r="G7557" t="s">
        <v>172</v>
      </c>
      <c r="H7557" t="s">
        <v>2486</v>
      </c>
      <c r="I7557" t="s">
        <v>2310</v>
      </c>
      <c r="J7557" t="s">
        <v>271</v>
      </c>
      <c r="K7557" s="3">
        <v>100430872334</v>
      </c>
      <c r="L7557" s="10">
        <v>40755</v>
      </c>
      <c r="M7557">
        <v>10071.09</v>
      </c>
      <c r="N7557" s="11">
        <v>41</v>
      </c>
      <c r="O7557" s="12">
        <v>264.98</v>
      </c>
      <c r="P7557" s="12">
        <v>17.86</v>
      </c>
      <c r="Q7557" s="13">
        <v>1977.69</v>
      </c>
      <c r="R7557" s="36" t="s">
        <v>301</v>
      </c>
      <c r="S7557" s="7">
        <f t="shared" si="664"/>
        <v>1</v>
      </c>
      <c r="T7557" s="15" t="str">
        <f>VLOOKUP(R7557,产品分类!$C$2:$D$1278,2,0)</f>
        <v>数码电子</v>
      </c>
    </row>
    <row r="7558" spans="1:20">
      <c r="A7558" s="8">
        <f>DATE(2012,12,31)-1048</f>
        <v>40226</v>
      </c>
      <c r="B7558" s="8">
        <f>DATE(2012,12,31)-1048</f>
        <v>40226</v>
      </c>
      <c r="C7558" s="9" t="s">
        <v>2075</v>
      </c>
      <c r="D7558">
        <v>10021503511</v>
      </c>
      <c r="E7558" t="s">
        <v>47</v>
      </c>
      <c r="F7558" t="s">
        <v>527</v>
      </c>
      <c r="G7558" t="s">
        <v>528</v>
      </c>
      <c r="H7558" t="s">
        <v>2594</v>
      </c>
      <c r="I7558" t="s">
        <v>2595</v>
      </c>
      <c r="J7558" t="s">
        <v>271</v>
      </c>
      <c r="K7558" s="3">
        <v>100129663806</v>
      </c>
      <c r="L7558" s="10">
        <v>40228</v>
      </c>
      <c r="M7558">
        <v>558.62</v>
      </c>
      <c r="N7558" s="11">
        <v>11</v>
      </c>
      <c r="O7558" s="12">
        <v>48.58</v>
      </c>
      <c r="P7558" s="12">
        <v>3.99</v>
      </c>
      <c r="Q7558" s="13">
        <v>118.32</v>
      </c>
      <c r="R7558" s="36" t="s">
        <v>409</v>
      </c>
      <c r="S7558" s="7">
        <f t="shared" si="664"/>
        <v>2</v>
      </c>
      <c r="T7558" s="15" t="str">
        <f>VLOOKUP(R7558,产品分类!$C$2:$D$1278,2,0)</f>
        <v>办公用品</v>
      </c>
    </row>
    <row r="7559" spans="1:20">
      <c r="A7559" s="8">
        <f t="shared" ref="A7559:B7561" si="665">DATE(2012,12,31)-358</f>
        <v>40916</v>
      </c>
      <c r="B7559" s="8">
        <f t="shared" si="665"/>
        <v>40916</v>
      </c>
      <c r="C7559" s="9" t="s">
        <v>513</v>
      </c>
      <c r="D7559">
        <v>10021318631</v>
      </c>
      <c r="E7559" t="s">
        <v>47</v>
      </c>
      <c r="F7559" t="s">
        <v>171</v>
      </c>
      <c r="G7559" t="s">
        <v>172</v>
      </c>
      <c r="H7559" t="s">
        <v>2486</v>
      </c>
      <c r="I7559" t="s">
        <v>2310</v>
      </c>
      <c r="J7559" t="s">
        <v>271</v>
      </c>
      <c r="K7559" s="3">
        <v>10012481258</v>
      </c>
      <c r="L7559" s="10">
        <v>40917</v>
      </c>
      <c r="M7559">
        <v>243.52</v>
      </c>
      <c r="N7559" s="11">
        <v>15</v>
      </c>
      <c r="O7559" s="12">
        <v>14.89</v>
      </c>
      <c r="P7559" s="12">
        <v>13.56</v>
      </c>
      <c r="Q7559" s="13">
        <v>-59.64</v>
      </c>
      <c r="R7559" s="36" t="s">
        <v>720</v>
      </c>
      <c r="S7559" s="7">
        <f t="shared" si="664"/>
        <v>1</v>
      </c>
      <c r="T7559" s="15" t="str">
        <f>VLOOKUP(R7559,产品分类!$C$2:$D$1278,2,0)</f>
        <v>办公用品</v>
      </c>
    </row>
    <row r="7560" spans="1:20">
      <c r="A7560" s="8">
        <f t="shared" si="665"/>
        <v>40916</v>
      </c>
      <c r="B7560" s="8">
        <f t="shared" si="665"/>
        <v>40916</v>
      </c>
      <c r="C7560" s="9" t="s">
        <v>1074</v>
      </c>
      <c r="D7560">
        <v>10021755727</v>
      </c>
      <c r="E7560" t="s">
        <v>47</v>
      </c>
      <c r="F7560" t="s">
        <v>527</v>
      </c>
      <c r="G7560" t="s">
        <v>528</v>
      </c>
      <c r="H7560" t="s">
        <v>2594</v>
      </c>
      <c r="I7560" t="s">
        <v>2595</v>
      </c>
      <c r="J7560" t="s">
        <v>271</v>
      </c>
      <c r="K7560" s="3">
        <v>100132983537</v>
      </c>
      <c r="L7560" s="10">
        <v>40917</v>
      </c>
      <c r="M7560">
        <v>3849.8</v>
      </c>
      <c r="N7560" s="11">
        <v>14</v>
      </c>
      <c r="O7560" s="12">
        <v>280.98</v>
      </c>
      <c r="P7560" s="12">
        <v>35.67</v>
      </c>
      <c r="Q7560" s="13">
        <v>192.2</v>
      </c>
      <c r="R7560" s="36" t="s">
        <v>1170</v>
      </c>
      <c r="S7560" s="7">
        <f t="shared" si="664"/>
        <v>1</v>
      </c>
      <c r="T7560" s="15" t="str">
        <f>VLOOKUP(R7560,产品分类!$C$2:$D$1278,2,0)</f>
        <v>数码电子</v>
      </c>
    </row>
    <row r="7561" spans="1:20">
      <c r="A7561" s="8">
        <f t="shared" si="665"/>
        <v>40916</v>
      </c>
      <c r="B7561" s="8">
        <f t="shared" si="665"/>
        <v>40916</v>
      </c>
      <c r="C7561" s="9" t="s">
        <v>739</v>
      </c>
      <c r="D7561">
        <v>10021500736</v>
      </c>
      <c r="E7561" t="s">
        <v>47</v>
      </c>
      <c r="F7561" t="s">
        <v>171</v>
      </c>
      <c r="G7561" t="s">
        <v>172</v>
      </c>
      <c r="H7561" t="s">
        <v>2486</v>
      </c>
      <c r="I7561" t="s">
        <v>2310</v>
      </c>
      <c r="J7561" t="s">
        <v>271</v>
      </c>
      <c r="K7561" s="3">
        <v>100326465809</v>
      </c>
      <c r="L7561" s="10">
        <v>40917</v>
      </c>
      <c r="M7561">
        <v>198.29</v>
      </c>
      <c r="N7561" s="11">
        <v>41</v>
      </c>
      <c r="O7561" s="12">
        <v>4.91</v>
      </c>
      <c r="P7561" s="12">
        <v>5.68</v>
      </c>
      <c r="Q7561" s="13">
        <v>-134.412</v>
      </c>
      <c r="R7561" s="36" t="s">
        <v>1975</v>
      </c>
      <c r="S7561" s="7">
        <f t="shared" si="664"/>
        <v>1</v>
      </c>
      <c r="T7561" s="15" t="str">
        <f>VLOOKUP(R7561,产品分类!$C$2:$D$1278,2,0)</f>
        <v>办公用品</v>
      </c>
    </row>
    <row r="7562" spans="1:20">
      <c r="A7562" s="8">
        <f>DATE(2012,12,31)-991</f>
        <v>40283</v>
      </c>
      <c r="B7562" s="8">
        <f>DATE(2012,12,31)-991</f>
        <v>40283</v>
      </c>
      <c r="C7562" s="9" t="s">
        <v>584</v>
      </c>
      <c r="D7562">
        <v>10021364433</v>
      </c>
      <c r="E7562" t="s">
        <v>47</v>
      </c>
      <c r="F7562" t="s">
        <v>171</v>
      </c>
      <c r="G7562" t="s">
        <v>172</v>
      </c>
      <c r="H7562" t="s">
        <v>2486</v>
      </c>
      <c r="I7562" t="s">
        <v>2310</v>
      </c>
      <c r="J7562" t="s">
        <v>271</v>
      </c>
      <c r="K7562" s="3">
        <v>10085363382</v>
      </c>
      <c r="L7562" s="10">
        <v>40285</v>
      </c>
      <c r="M7562">
        <v>952.21</v>
      </c>
      <c r="N7562" s="11">
        <v>50</v>
      </c>
      <c r="O7562" s="12">
        <v>18.84</v>
      </c>
      <c r="P7562" s="12">
        <v>3.62</v>
      </c>
      <c r="Q7562" s="13">
        <v>403.83</v>
      </c>
      <c r="R7562" s="36" t="s">
        <v>1235</v>
      </c>
      <c r="S7562" s="7">
        <f t="shared" si="664"/>
        <v>2</v>
      </c>
      <c r="T7562" s="15" t="str">
        <f>VLOOKUP(R7562,产品分类!$C$2:$D$1278,2,0)</f>
        <v>办公用品</v>
      </c>
    </row>
    <row r="7563" spans="1:20">
      <c r="A7563" s="8">
        <f>DATE(2012,12,31)-243</f>
        <v>41031</v>
      </c>
      <c r="B7563" s="8">
        <f>DATE(2012,12,31)-243</f>
        <v>41031</v>
      </c>
      <c r="C7563" s="9" t="s">
        <v>584</v>
      </c>
      <c r="D7563">
        <v>10021259675</v>
      </c>
      <c r="E7563" t="s">
        <v>47</v>
      </c>
      <c r="F7563" t="s">
        <v>171</v>
      </c>
      <c r="G7563" t="s">
        <v>172</v>
      </c>
      <c r="H7563" t="s">
        <v>2486</v>
      </c>
      <c r="I7563" t="s">
        <v>2310</v>
      </c>
      <c r="J7563" t="s">
        <v>271</v>
      </c>
      <c r="K7563" s="3">
        <v>100828022952</v>
      </c>
      <c r="L7563" s="10">
        <v>41038</v>
      </c>
      <c r="M7563">
        <v>3005.74</v>
      </c>
      <c r="N7563" s="11">
        <v>48</v>
      </c>
      <c r="O7563" s="12">
        <v>59.98</v>
      </c>
      <c r="P7563" s="12">
        <v>3.99</v>
      </c>
      <c r="Q7563" s="13">
        <v>1053.21</v>
      </c>
      <c r="R7563" s="36" t="s">
        <v>1656</v>
      </c>
      <c r="S7563" s="7">
        <f t="shared" si="664"/>
        <v>7</v>
      </c>
      <c r="T7563" s="15" t="str">
        <f>VLOOKUP(R7563,产品分类!$C$2:$D$1278,2,0)</f>
        <v>家具产品</v>
      </c>
    </row>
    <row r="7564" spans="1:20">
      <c r="A7564" s="8">
        <f>DATE(2012,12,31)-243</f>
        <v>41031</v>
      </c>
      <c r="B7564" s="8">
        <f>DATE(2012,12,31)-243</f>
        <v>41031</v>
      </c>
      <c r="C7564" s="9" t="s">
        <v>219</v>
      </c>
      <c r="D7564">
        <v>10021341481</v>
      </c>
      <c r="E7564" t="s">
        <v>47</v>
      </c>
      <c r="F7564" t="s">
        <v>171</v>
      </c>
      <c r="G7564" t="s">
        <v>172</v>
      </c>
      <c r="H7564" t="s">
        <v>2486</v>
      </c>
      <c r="I7564" t="s">
        <v>2310</v>
      </c>
      <c r="J7564" t="s">
        <v>271</v>
      </c>
      <c r="K7564" s="3">
        <v>100427062193</v>
      </c>
      <c r="L7564" s="10">
        <v>41036</v>
      </c>
      <c r="M7564">
        <v>2209.5155</v>
      </c>
      <c r="N7564" s="11">
        <v>41</v>
      </c>
      <c r="O7564" s="12">
        <v>65.99</v>
      </c>
      <c r="P7564" s="12">
        <v>5.31</v>
      </c>
      <c r="Q7564" s="13">
        <v>458.622</v>
      </c>
      <c r="R7564" s="36" t="s">
        <v>986</v>
      </c>
      <c r="S7564" s="7">
        <f t="shared" si="664"/>
        <v>5</v>
      </c>
      <c r="T7564" s="15" t="str">
        <f>VLOOKUP(R7564,产品分类!$C$2:$D$1278,2,0)</f>
        <v>办公用品</v>
      </c>
    </row>
    <row r="7565" spans="1:20">
      <c r="A7565" s="8">
        <f>DATE(2012,12,31)-1302</f>
        <v>39972</v>
      </c>
      <c r="B7565" s="8">
        <f>DATE(2012,12,31)-1302</f>
        <v>39972</v>
      </c>
      <c r="C7565" s="9" t="s">
        <v>303</v>
      </c>
      <c r="D7565">
        <v>10021347851</v>
      </c>
      <c r="E7565" t="s">
        <v>47</v>
      </c>
      <c r="F7565" t="s">
        <v>171</v>
      </c>
      <c r="G7565" t="s">
        <v>172</v>
      </c>
      <c r="H7565" t="s">
        <v>2486</v>
      </c>
      <c r="I7565" t="s">
        <v>2310</v>
      </c>
      <c r="J7565" t="s">
        <v>271</v>
      </c>
      <c r="K7565" s="3">
        <v>100731310705</v>
      </c>
      <c r="L7565" s="10">
        <v>39972</v>
      </c>
      <c r="M7565">
        <v>3439.39</v>
      </c>
      <c r="N7565" s="11">
        <v>35</v>
      </c>
      <c r="O7565" s="12">
        <v>100.97</v>
      </c>
      <c r="P7565" s="12">
        <v>7.18</v>
      </c>
      <c r="Q7565" s="13">
        <v>1057.62</v>
      </c>
      <c r="R7565" s="36" t="s">
        <v>224</v>
      </c>
      <c r="S7565" s="7">
        <f t="shared" si="664"/>
        <v>0</v>
      </c>
      <c r="T7565" s="15" t="str">
        <f>VLOOKUP(R7565,产品分类!$C$2:$D$1278,2,0)</f>
        <v>办公用品</v>
      </c>
    </row>
    <row r="7566" spans="1:20">
      <c r="A7566" s="8">
        <f>DATE(2012,12,31)-1302</f>
        <v>39972</v>
      </c>
      <c r="B7566" s="8">
        <f>DATE(2012,12,31)-1302</f>
        <v>39972</v>
      </c>
      <c r="C7566" s="9" t="s">
        <v>303</v>
      </c>
      <c r="D7566">
        <v>10021658694</v>
      </c>
      <c r="E7566" t="s">
        <v>47</v>
      </c>
      <c r="F7566" t="s">
        <v>342</v>
      </c>
      <c r="G7566" t="s">
        <v>343</v>
      </c>
      <c r="H7566" t="s">
        <v>2582</v>
      </c>
      <c r="I7566" t="s">
        <v>2583</v>
      </c>
      <c r="J7566" t="s">
        <v>271</v>
      </c>
      <c r="K7566" s="3">
        <v>100410413704</v>
      </c>
      <c r="L7566" s="10">
        <v>39972</v>
      </c>
      <c r="M7566">
        <v>10.48</v>
      </c>
      <c r="N7566" s="11">
        <v>2</v>
      </c>
      <c r="O7566" s="12">
        <v>4.84</v>
      </c>
      <c r="P7566" s="12">
        <v>0.71</v>
      </c>
      <c r="Q7566" s="13">
        <v>-5.65</v>
      </c>
      <c r="R7566" s="36" t="s">
        <v>1447</v>
      </c>
      <c r="S7566" s="7">
        <f t="shared" si="664"/>
        <v>0</v>
      </c>
      <c r="T7566" s="15" t="str">
        <f>VLOOKUP(R7566,产品分类!$C$2:$D$1278,2,0)</f>
        <v>数码电子</v>
      </c>
    </row>
    <row r="7567" spans="1:20">
      <c r="A7567" s="8">
        <f t="shared" ref="A7567:B7569" si="666">DATE(2012,12,31)-426</f>
        <v>40848</v>
      </c>
      <c r="B7567" s="8">
        <f t="shared" si="666"/>
        <v>40848</v>
      </c>
      <c r="C7567" s="9" t="s">
        <v>551</v>
      </c>
      <c r="D7567">
        <v>10021585044</v>
      </c>
      <c r="E7567" t="s">
        <v>47</v>
      </c>
      <c r="F7567" t="s">
        <v>177</v>
      </c>
      <c r="G7567" t="s">
        <v>178</v>
      </c>
      <c r="H7567" t="s">
        <v>2569</v>
      </c>
      <c r="I7567" t="s">
        <v>2570</v>
      </c>
      <c r="J7567" t="s">
        <v>271</v>
      </c>
      <c r="K7567" s="3">
        <v>100110372287</v>
      </c>
      <c r="L7567" s="10">
        <v>40850</v>
      </c>
      <c r="M7567">
        <v>233.2</v>
      </c>
      <c r="N7567" s="11">
        <v>31</v>
      </c>
      <c r="O7567" s="12">
        <v>7.64</v>
      </c>
      <c r="P7567" s="12">
        <v>5.83</v>
      </c>
      <c r="Q7567" s="13">
        <v>-48.07</v>
      </c>
      <c r="R7567" s="36" t="s">
        <v>901</v>
      </c>
      <c r="S7567" s="7">
        <f t="shared" si="664"/>
        <v>2</v>
      </c>
      <c r="T7567" s="15" t="str">
        <f>VLOOKUP(R7567,产品分类!$C$2:$D$1278,2,0)</f>
        <v>家具产品</v>
      </c>
    </row>
    <row r="7568" spans="1:20">
      <c r="A7568" s="8">
        <f t="shared" si="666"/>
        <v>40848</v>
      </c>
      <c r="B7568" s="8">
        <f t="shared" si="666"/>
        <v>40848</v>
      </c>
      <c r="C7568" s="9" t="s">
        <v>1774</v>
      </c>
      <c r="D7568">
        <v>10021691647</v>
      </c>
      <c r="E7568" t="s">
        <v>47</v>
      </c>
      <c r="F7568" t="s">
        <v>167</v>
      </c>
      <c r="G7568" t="s">
        <v>168</v>
      </c>
      <c r="H7568" t="s">
        <v>169</v>
      </c>
      <c r="I7568" t="s">
        <v>168</v>
      </c>
      <c r="J7568" t="s">
        <v>271</v>
      </c>
      <c r="K7568" s="3">
        <v>100725683925</v>
      </c>
      <c r="L7568" s="10">
        <v>40849</v>
      </c>
      <c r="M7568">
        <v>79.53</v>
      </c>
      <c r="N7568" s="11">
        <v>16</v>
      </c>
      <c r="O7568" s="12">
        <v>4.98</v>
      </c>
      <c r="P7568" s="12">
        <v>5.49</v>
      </c>
      <c r="Q7568" s="13">
        <v>-48.55</v>
      </c>
      <c r="R7568" s="36" t="s">
        <v>715</v>
      </c>
      <c r="S7568" s="7">
        <f t="shared" si="664"/>
        <v>1</v>
      </c>
      <c r="T7568" s="15" t="str">
        <f>VLOOKUP(R7568,产品分类!$C$2:$D$1278,2,0)</f>
        <v>数码电子</v>
      </c>
    </row>
    <row r="7569" spans="1:20">
      <c r="A7569" s="8">
        <f t="shared" si="666"/>
        <v>40848</v>
      </c>
      <c r="B7569" s="8">
        <f t="shared" si="666"/>
        <v>40848</v>
      </c>
      <c r="C7569" s="9" t="s">
        <v>2392</v>
      </c>
      <c r="D7569">
        <v>10021386312</v>
      </c>
      <c r="E7569" t="s">
        <v>47</v>
      </c>
      <c r="F7569" t="s">
        <v>177</v>
      </c>
      <c r="G7569" t="s">
        <v>178</v>
      </c>
      <c r="H7569" t="s">
        <v>2569</v>
      </c>
      <c r="I7569" t="s">
        <v>2570</v>
      </c>
      <c r="J7569" t="s">
        <v>271</v>
      </c>
      <c r="K7569" s="3">
        <v>10048703543</v>
      </c>
      <c r="L7569" s="10">
        <v>40849</v>
      </c>
      <c r="M7569">
        <v>1680.977</v>
      </c>
      <c r="N7569" s="11">
        <v>43</v>
      </c>
      <c r="O7569" s="12">
        <v>45.99</v>
      </c>
      <c r="P7569" s="12">
        <v>4.99</v>
      </c>
      <c r="Q7569" s="13">
        <v>383.094</v>
      </c>
      <c r="R7569" s="36" t="s">
        <v>2168</v>
      </c>
      <c r="S7569" s="7">
        <f t="shared" si="664"/>
        <v>1</v>
      </c>
      <c r="T7569" s="15" t="str">
        <f>VLOOKUP(R7569,产品分类!$C$2:$D$1278,2,0)</f>
        <v>办公用品</v>
      </c>
    </row>
    <row r="7570" spans="1:20">
      <c r="A7570" s="8">
        <f>DATE(2012,12,31)-1400</f>
        <v>39874</v>
      </c>
      <c r="B7570" s="8">
        <f>DATE(2012,12,31)-1400</f>
        <v>39874</v>
      </c>
      <c r="C7570" s="9" t="s">
        <v>2045</v>
      </c>
      <c r="D7570">
        <v>10021466488</v>
      </c>
      <c r="E7570" t="s">
        <v>47</v>
      </c>
      <c r="F7570" t="s">
        <v>127</v>
      </c>
      <c r="G7570" t="s">
        <v>128</v>
      </c>
      <c r="H7570" t="s">
        <v>2554</v>
      </c>
      <c r="I7570" t="s">
        <v>2555</v>
      </c>
      <c r="J7570" t="s">
        <v>271</v>
      </c>
      <c r="K7570" s="3">
        <v>100422618353</v>
      </c>
      <c r="L7570" s="10">
        <v>39876</v>
      </c>
      <c r="M7570">
        <v>421.08</v>
      </c>
      <c r="N7570" s="11">
        <v>47</v>
      </c>
      <c r="O7570" s="12">
        <v>8.33</v>
      </c>
      <c r="P7570" s="12">
        <v>1.99</v>
      </c>
      <c r="Q7570" s="13">
        <v>82.31</v>
      </c>
      <c r="R7570" s="36" t="s">
        <v>2150</v>
      </c>
      <c r="S7570" s="7">
        <f t="shared" si="664"/>
        <v>2</v>
      </c>
      <c r="T7570" s="15" t="str">
        <f>VLOOKUP(R7570,产品分类!$C$2:$D$1278,2,0)</f>
        <v>办公用品</v>
      </c>
    </row>
    <row r="7571" spans="1:20">
      <c r="A7571" s="8">
        <f>DATE(2012,12,31)-267</f>
        <v>41007</v>
      </c>
      <c r="B7571" s="8">
        <f>DATE(2012,12,31)-267</f>
        <v>41007</v>
      </c>
      <c r="C7571" s="9" t="s">
        <v>2045</v>
      </c>
      <c r="D7571">
        <v>10021595702</v>
      </c>
      <c r="E7571" t="s">
        <v>47</v>
      </c>
      <c r="F7571" t="s">
        <v>183</v>
      </c>
      <c r="G7571" t="s">
        <v>184</v>
      </c>
      <c r="H7571" t="s">
        <v>2575</v>
      </c>
      <c r="I7571" t="s">
        <v>130</v>
      </c>
      <c r="J7571" t="s">
        <v>271</v>
      </c>
      <c r="K7571" s="3">
        <v>100432813913</v>
      </c>
      <c r="L7571" s="10">
        <v>41007</v>
      </c>
      <c r="M7571">
        <v>4968.5</v>
      </c>
      <c r="N7571" s="11">
        <v>49</v>
      </c>
      <c r="O7571" s="12">
        <v>99.99</v>
      </c>
      <c r="P7571" s="12">
        <v>19.99</v>
      </c>
      <c r="Q7571" s="13">
        <v>1041.28</v>
      </c>
      <c r="R7571" s="36" t="s">
        <v>1873</v>
      </c>
      <c r="S7571" s="7">
        <f t="shared" si="664"/>
        <v>0</v>
      </c>
      <c r="T7571" s="15" t="str">
        <f>VLOOKUP(R7571,产品分类!$C$2:$D$1278,2,0)</f>
        <v>数码电子</v>
      </c>
    </row>
    <row r="7572" spans="1:20">
      <c r="A7572" s="8">
        <f>DATE(2012,12,31)-320</f>
        <v>40954</v>
      </c>
      <c r="B7572" s="8">
        <f>DATE(2012,12,31)-320</f>
        <v>40954</v>
      </c>
      <c r="C7572" s="9" t="s">
        <v>632</v>
      </c>
      <c r="D7572">
        <v>10021248110</v>
      </c>
      <c r="E7572" t="s">
        <v>47</v>
      </c>
      <c r="F7572" t="s">
        <v>127</v>
      </c>
      <c r="G7572" t="s">
        <v>128</v>
      </c>
      <c r="H7572" t="s">
        <v>2554</v>
      </c>
      <c r="I7572" t="s">
        <v>2555</v>
      </c>
      <c r="J7572" t="s">
        <v>271</v>
      </c>
      <c r="K7572" s="3">
        <v>100130836</v>
      </c>
      <c r="L7572" s="10">
        <v>40954</v>
      </c>
      <c r="M7572">
        <v>115.02</v>
      </c>
      <c r="N7572" s="11">
        <v>28</v>
      </c>
      <c r="O7572" s="12">
        <v>3.78</v>
      </c>
      <c r="P7572" s="12">
        <v>0.71</v>
      </c>
      <c r="Q7572" s="13">
        <v>46.3</v>
      </c>
      <c r="R7572" s="36" t="s">
        <v>885</v>
      </c>
      <c r="S7572" s="7">
        <f t="shared" si="664"/>
        <v>0</v>
      </c>
      <c r="T7572" s="15" t="str">
        <f>VLOOKUP(R7572,产品分类!$C$2:$D$1278,2,0)</f>
        <v>办公用品</v>
      </c>
    </row>
    <row r="7573" spans="1:20">
      <c r="A7573" s="8">
        <f>DATE(2012,12,31)-320</f>
        <v>40954</v>
      </c>
      <c r="B7573" s="8">
        <f>DATE(2012,12,31)-320</f>
        <v>40954</v>
      </c>
      <c r="C7573" s="9" t="s">
        <v>1564</v>
      </c>
      <c r="D7573">
        <v>10021666902</v>
      </c>
      <c r="E7573" t="s">
        <v>47</v>
      </c>
      <c r="F7573" t="s">
        <v>183</v>
      </c>
      <c r="G7573" t="s">
        <v>184</v>
      </c>
      <c r="H7573" t="s">
        <v>2575</v>
      </c>
      <c r="I7573" t="s">
        <v>130</v>
      </c>
      <c r="J7573" t="s">
        <v>271</v>
      </c>
      <c r="K7573" s="3">
        <v>100827606432</v>
      </c>
      <c r="L7573" s="10">
        <v>40956</v>
      </c>
      <c r="M7573">
        <v>118.63</v>
      </c>
      <c r="N7573" s="11">
        <v>7</v>
      </c>
      <c r="O7573" s="12">
        <v>16.74</v>
      </c>
      <c r="P7573" s="12">
        <v>5.08</v>
      </c>
      <c r="Q7573" s="13">
        <v>6.2985</v>
      </c>
      <c r="R7573" s="36" t="s">
        <v>1468</v>
      </c>
      <c r="S7573" s="7">
        <f t="shared" si="664"/>
        <v>2</v>
      </c>
      <c r="T7573" s="15" t="str">
        <f>VLOOKUP(R7573,产品分类!$C$2:$D$1278,2,0)</f>
        <v>数码电子</v>
      </c>
    </row>
    <row r="7574" spans="1:20">
      <c r="A7574" s="8">
        <f>DATE(2012,12,31)-393</f>
        <v>40881</v>
      </c>
      <c r="B7574" s="8">
        <f>DATE(2012,12,31)-393</f>
        <v>40881</v>
      </c>
      <c r="C7574" s="9" t="s">
        <v>1564</v>
      </c>
      <c r="D7574">
        <v>10021711141</v>
      </c>
      <c r="E7574" t="s">
        <v>47</v>
      </c>
      <c r="F7574" t="s">
        <v>167</v>
      </c>
      <c r="G7574" t="s">
        <v>168</v>
      </c>
      <c r="H7574" t="s">
        <v>169</v>
      </c>
      <c r="I7574" t="s">
        <v>168</v>
      </c>
      <c r="J7574" t="s">
        <v>271</v>
      </c>
      <c r="K7574" s="3">
        <v>100918922341</v>
      </c>
      <c r="L7574" s="10">
        <v>40883</v>
      </c>
      <c r="M7574">
        <v>670.02</v>
      </c>
      <c r="N7574" s="11">
        <v>34</v>
      </c>
      <c r="O7574" s="12">
        <v>20.98</v>
      </c>
      <c r="P7574" s="12">
        <v>1.49</v>
      </c>
      <c r="Q7574" s="13">
        <v>278.579</v>
      </c>
      <c r="R7574" s="36" t="s">
        <v>1045</v>
      </c>
      <c r="S7574" s="7">
        <f t="shared" si="664"/>
        <v>2</v>
      </c>
      <c r="T7574" s="15" t="str">
        <f>VLOOKUP(R7574,产品分类!$C$2:$D$1278,2,0)</f>
        <v>数码电子</v>
      </c>
    </row>
    <row r="7575" spans="1:20">
      <c r="A7575" s="8">
        <f>DATE(2012,12,31)-929</f>
        <v>40345</v>
      </c>
      <c r="B7575" s="8">
        <f>DATE(2012,12,31)-929</f>
        <v>40345</v>
      </c>
      <c r="C7575" s="9" t="s">
        <v>1828</v>
      </c>
      <c r="D7575">
        <v>10021496366</v>
      </c>
      <c r="E7575" t="s">
        <v>47</v>
      </c>
      <c r="F7575" t="s">
        <v>167</v>
      </c>
      <c r="G7575" t="s">
        <v>168</v>
      </c>
      <c r="H7575" t="s">
        <v>169</v>
      </c>
      <c r="I7575" t="s">
        <v>168</v>
      </c>
      <c r="J7575" t="s">
        <v>271</v>
      </c>
      <c r="K7575" s="3">
        <v>10079839065</v>
      </c>
      <c r="L7575" s="10">
        <v>40346</v>
      </c>
      <c r="M7575">
        <v>9396.27</v>
      </c>
      <c r="N7575" s="11">
        <v>24</v>
      </c>
      <c r="O7575" s="12">
        <v>420.98</v>
      </c>
      <c r="P7575" s="12">
        <v>19.99</v>
      </c>
      <c r="Q7575" s="13">
        <v>3857.572</v>
      </c>
      <c r="R7575" s="36" t="s">
        <v>993</v>
      </c>
      <c r="S7575" s="7">
        <f t="shared" si="664"/>
        <v>1</v>
      </c>
      <c r="T7575" s="15" t="str">
        <f>VLOOKUP(R7575,产品分类!$C$2:$D$1278,2,0)</f>
        <v>数码电子</v>
      </c>
    </row>
    <row r="7576" spans="1:20">
      <c r="A7576" s="8">
        <f>DATE(2012,12,31)-1199</f>
        <v>40075</v>
      </c>
      <c r="B7576" s="8">
        <f>DATE(2012,12,31)-1199</f>
        <v>40075</v>
      </c>
      <c r="C7576" s="9" t="s">
        <v>1987</v>
      </c>
      <c r="D7576">
        <v>10021504814</v>
      </c>
      <c r="E7576" t="s">
        <v>47</v>
      </c>
      <c r="F7576" t="s">
        <v>177</v>
      </c>
      <c r="G7576" t="s">
        <v>178</v>
      </c>
      <c r="H7576" t="s">
        <v>2569</v>
      </c>
      <c r="I7576" t="s">
        <v>2570</v>
      </c>
      <c r="J7576" t="s">
        <v>271</v>
      </c>
      <c r="K7576" s="3">
        <v>100130719406</v>
      </c>
      <c r="L7576" s="10">
        <v>40075</v>
      </c>
      <c r="M7576">
        <v>705.85</v>
      </c>
      <c r="N7576" s="11">
        <v>17</v>
      </c>
      <c r="O7576" s="12">
        <v>39.48</v>
      </c>
      <c r="P7576" s="12">
        <v>1.99</v>
      </c>
      <c r="Q7576" s="13">
        <v>151.67</v>
      </c>
      <c r="R7576" s="36" t="s">
        <v>1715</v>
      </c>
      <c r="S7576" s="7">
        <f t="shared" si="664"/>
        <v>0</v>
      </c>
      <c r="T7576" s="15" t="str">
        <f>VLOOKUP(R7576,产品分类!$C$2:$D$1278,2,0)</f>
        <v>数码电子</v>
      </c>
    </row>
    <row r="7577" spans="1:20">
      <c r="A7577" s="8">
        <f>DATE(2012,12,31)-1199</f>
        <v>40075</v>
      </c>
      <c r="B7577" s="8">
        <f>DATE(2012,12,31)-1199</f>
        <v>40075</v>
      </c>
      <c r="C7577" s="9" t="s">
        <v>2163</v>
      </c>
      <c r="D7577">
        <v>10021663875</v>
      </c>
      <c r="E7577" t="s">
        <v>47</v>
      </c>
      <c r="F7577" t="s">
        <v>61</v>
      </c>
      <c r="G7577" t="s">
        <v>62</v>
      </c>
      <c r="H7577" t="s">
        <v>2596</v>
      </c>
      <c r="I7577" t="s">
        <v>2597</v>
      </c>
      <c r="J7577" t="s">
        <v>271</v>
      </c>
      <c r="K7577" s="3">
        <v>100124540186</v>
      </c>
      <c r="L7577" s="10">
        <v>40076</v>
      </c>
      <c r="M7577">
        <v>321.3</v>
      </c>
      <c r="N7577" s="11">
        <v>37</v>
      </c>
      <c r="O7577" s="12">
        <v>8.12</v>
      </c>
      <c r="P7577" s="12">
        <v>2.83</v>
      </c>
      <c r="Q7577" s="13">
        <v>-47.23</v>
      </c>
      <c r="R7577" s="36" t="s">
        <v>1148</v>
      </c>
      <c r="S7577" s="7">
        <f t="shared" si="664"/>
        <v>1</v>
      </c>
      <c r="T7577" s="15" t="str">
        <f>VLOOKUP(R7577,产品分类!$C$2:$D$1278,2,0)</f>
        <v>家具产品</v>
      </c>
    </row>
    <row r="7578" spans="1:20">
      <c r="A7578" s="8">
        <f>DATE(2012,12,31)-743</f>
        <v>40531</v>
      </c>
      <c r="B7578" s="8">
        <f>DATE(2012,12,31)-743</f>
        <v>40531</v>
      </c>
      <c r="C7578" s="9" t="s">
        <v>2163</v>
      </c>
      <c r="D7578">
        <v>10021668871</v>
      </c>
      <c r="E7578" t="s">
        <v>47</v>
      </c>
      <c r="F7578" t="s">
        <v>253</v>
      </c>
      <c r="G7578" t="s">
        <v>254</v>
      </c>
      <c r="H7578" t="s">
        <v>2579</v>
      </c>
      <c r="I7578" t="s">
        <v>2580</v>
      </c>
      <c r="J7578" t="s">
        <v>271</v>
      </c>
      <c r="K7578" s="3">
        <v>100129496226</v>
      </c>
      <c r="L7578" s="10">
        <v>40531</v>
      </c>
      <c r="M7578">
        <v>653.871</v>
      </c>
      <c r="N7578" s="11">
        <v>15</v>
      </c>
      <c r="O7578" s="12">
        <v>55.99</v>
      </c>
      <c r="P7578" s="12">
        <v>5</v>
      </c>
      <c r="Q7578" s="13">
        <v>-311.047</v>
      </c>
      <c r="R7578" s="36" t="s">
        <v>963</v>
      </c>
      <c r="S7578" s="7">
        <f t="shared" si="664"/>
        <v>0</v>
      </c>
      <c r="T7578" s="15" t="str">
        <f>VLOOKUP(R7578,产品分类!$C$2:$D$1278,2,0)</f>
        <v>家具产品</v>
      </c>
    </row>
    <row r="7579" spans="1:20">
      <c r="A7579" s="8">
        <f>DATE(2012,12,31)-1217</f>
        <v>40057</v>
      </c>
      <c r="B7579" s="8">
        <f>DATE(2012,12,31)-1217</f>
        <v>40057</v>
      </c>
      <c r="C7579" s="9" t="s">
        <v>273</v>
      </c>
      <c r="D7579">
        <v>10021505375</v>
      </c>
      <c r="E7579" t="s">
        <v>47</v>
      </c>
      <c r="F7579" t="s">
        <v>342</v>
      </c>
      <c r="G7579" t="s">
        <v>343</v>
      </c>
      <c r="H7579" t="s">
        <v>2582</v>
      </c>
      <c r="I7579" t="s">
        <v>2583</v>
      </c>
      <c r="J7579" t="s">
        <v>271</v>
      </c>
      <c r="K7579" s="3">
        <v>100930801251</v>
      </c>
      <c r="L7579" s="10">
        <v>40059</v>
      </c>
      <c r="M7579">
        <v>227.41</v>
      </c>
      <c r="N7579" s="11">
        <v>11</v>
      </c>
      <c r="O7579" s="12">
        <v>19.98</v>
      </c>
      <c r="P7579" s="12">
        <v>10.49</v>
      </c>
      <c r="Q7579" s="13">
        <v>44.29</v>
      </c>
      <c r="R7579" s="36" t="s">
        <v>1664</v>
      </c>
      <c r="S7579" s="7">
        <f t="shared" si="664"/>
        <v>2</v>
      </c>
      <c r="T7579" s="15" t="str">
        <f>VLOOKUP(R7579,产品分类!$C$2:$D$1278,2,0)</f>
        <v>数码电子</v>
      </c>
    </row>
    <row r="7580" spans="1:20">
      <c r="A7580" s="8">
        <f>DATE(2012,12,31)-1217</f>
        <v>40057</v>
      </c>
      <c r="B7580" s="8">
        <f>DATE(2012,12,31)-1217</f>
        <v>40057</v>
      </c>
      <c r="C7580" s="9" t="s">
        <v>1334</v>
      </c>
      <c r="D7580">
        <v>10021745997</v>
      </c>
      <c r="E7580" t="s">
        <v>47</v>
      </c>
      <c r="F7580" t="s">
        <v>342</v>
      </c>
      <c r="G7580" t="s">
        <v>343</v>
      </c>
      <c r="H7580" t="s">
        <v>2582</v>
      </c>
      <c r="I7580" t="s">
        <v>2583</v>
      </c>
      <c r="J7580" t="s">
        <v>271</v>
      </c>
      <c r="K7580" s="3">
        <v>100128342218</v>
      </c>
      <c r="L7580" s="10">
        <v>40058</v>
      </c>
      <c r="M7580">
        <v>87.44</v>
      </c>
      <c r="N7580" s="11">
        <v>50</v>
      </c>
      <c r="O7580" s="12">
        <v>1.76</v>
      </c>
      <c r="P7580" s="12">
        <v>4.86</v>
      </c>
      <c r="Q7580" s="13">
        <v>-184.6</v>
      </c>
      <c r="R7580" s="36" t="s">
        <v>2092</v>
      </c>
      <c r="S7580" s="7">
        <f t="shared" si="664"/>
        <v>1</v>
      </c>
      <c r="T7580" s="15" t="str">
        <f>VLOOKUP(R7580,产品分类!$C$2:$D$1278,2,0)</f>
        <v>办公用品</v>
      </c>
    </row>
    <row r="7581" spans="1:20">
      <c r="A7581" s="8">
        <f t="shared" ref="A7581:B7583" si="667">DATE(2012,12,31)-805</f>
        <v>40469</v>
      </c>
      <c r="B7581" s="8">
        <f t="shared" si="667"/>
        <v>40469</v>
      </c>
      <c r="C7581" s="9" t="s">
        <v>739</v>
      </c>
      <c r="D7581">
        <v>10021416309</v>
      </c>
      <c r="E7581" t="s">
        <v>47</v>
      </c>
      <c r="F7581" t="s">
        <v>61</v>
      </c>
      <c r="G7581" t="s">
        <v>62</v>
      </c>
      <c r="H7581" t="s">
        <v>2596</v>
      </c>
      <c r="I7581" t="s">
        <v>2597</v>
      </c>
      <c r="J7581" t="s">
        <v>271</v>
      </c>
      <c r="K7581" s="3">
        <v>100114466298</v>
      </c>
      <c r="L7581" s="10">
        <v>40471</v>
      </c>
      <c r="M7581">
        <v>436.67</v>
      </c>
      <c r="N7581" s="11">
        <v>37</v>
      </c>
      <c r="O7581" s="12">
        <v>11.58</v>
      </c>
      <c r="P7581" s="12">
        <v>5.72</v>
      </c>
      <c r="Q7581" s="13">
        <v>51.91</v>
      </c>
      <c r="R7581" s="36" t="s">
        <v>585</v>
      </c>
      <c r="S7581" s="7">
        <f t="shared" si="664"/>
        <v>2</v>
      </c>
      <c r="T7581" s="15" t="str">
        <f>VLOOKUP(R7581,产品分类!$C$2:$D$1278,2,0)</f>
        <v>家具产品</v>
      </c>
    </row>
    <row r="7582" spans="1:20">
      <c r="A7582" s="8">
        <f t="shared" si="667"/>
        <v>40469</v>
      </c>
      <c r="B7582" s="8">
        <f t="shared" si="667"/>
        <v>40469</v>
      </c>
      <c r="C7582" s="9" t="s">
        <v>943</v>
      </c>
      <c r="D7582">
        <v>10021350623</v>
      </c>
      <c r="E7582" t="s">
        <v>47</v>
      </c>
      <c r="F7582" t="s">
        <v>61</v>
      </c>
      <c r="G7582" t="s">
        <v>62</v>
      </c>
      <c r="H7582" t="s">
        <v>2596</v>
      </c>
      <c r="I7582" t="s">
        <v>2597</v>
      </c>
      <c r="J7582" t="s">
        <v>271</v>
      </c>
      <c r="K7582" s="3">
        <v>100932166391</v>
      </c>
      <c r="L7582" s="10">
        <v>40471</v>
      </c>
      <c r="M7582">
        <v>146.72</v>
      </c>
      <c r="N7582" s="11">
        <v>30</v>
      </c>
      <c r="O7582" s="12">
        <v>5.08</v>
      </c>
      <c r="P7582" s="12">
        <v>2.03</v>
      </c>
      <c r="Q7582" s="13">
        <v>18.26</v>
      </c>
      <c r="R7582" s="36" t="s">
        <v>2042</v>
      </c>
      <c r="S7582" s="7">
        <f t="shared" si="664"/>
        <v>2</v>
      </c>
      <c r="T7582" s="15" t="str">
        <f>VLOOKUP(R7582,产品分类!$C$2:$D$1278,2,0)</f>
        <v>家具产品</v>
      </c>
    </row>
    <row r="7583" spans="1:20">
      <c r="A7583" s="8">
        <f t="shared" si="667"/>
        <v>40469</v>
      </c>
      <c r="B7583" s="8">
        <f t="shared" si="667"/>
        <v>40469</v>
      </c>
      <c r="C7583" s="9" t="s">
        <v>1941</v>
      </c>
      <c r="D7583">
        <v>10021421814</v>
      </c>
      <c r="E7583" t="s">
        <v>47</v>
      </c>
      <c r="F7583" t="s">
        <v>61</v>
      </c>
      <c r="G7583" t="s">
        <v>62</v>
      </c>
      <c r="H7583" t="s">
        <v>2596</v>
      </c>
      <c r="I7583" t="s">
        <v>2597</v>
      </c>
      <c r="J7583" t="s">
        <v>271</v>
      </c>
      <c r="K7583" s="3">
        <v>100126256748</v>
      </c>
      <c r="L7583" s="10">
        <v>40474</v>
      </c>
      <c r="M7583">
        <v>74.83</v>
      </c>
      <c r="N7583" s="11">
        <v>17</v>
      </c>
      <c r="O7583" s="12">
        <v>4.06</v>
      </c>
      <c r="P7583" s="12">
        <v>6.89</v>
      </c>
      <c r="Q7583" s="13">
        <v>-83.71</v>
      </c>
      <c r="R7583" s="36" t="s">
        <v>478</v>
      </c>
      <c r="S7583" s="7">
        <f t="shared" si="664"/>
        <v>5</v>
      </c>
      <c r="T7583" s="15" t="str">
        <f>VLOOKUP(R7583,产品分类!$C$2:$D$1278,2,0)</f>
        <v>办公用品</v>
      </c>
    </row>
    <row r="7584" spans="1:20">
      <c r="A7584" s="8">
        <f>DATE(2012,12,31)-1113</f>
        <v>40161</v>
      </c>
      <c r="B7584" s="8">
        <f>DATE(2012,12,31)-1113</f>
        <v>40161</v>
      </c>
      <c r="C7584" s="9" t="s">
        <v>1097</v>
      </c>
      <c r="D7584">
        <v>10021284567</v>
      </c>
      <c r="E7584" t="s">
        <v>47</v>
      </c>
      <c r="F7584" t="s">
        <v>61</v>
      </c>
      <c r="G7584" t="s">
        <v>62</v>
      </c>
      <c r="H7584" t="s">
        <v>2596</v>
      </c>
      <c r="I7584" t="s">
        <v>2597</v>
      </c>
      <c r="J7584" t="s">
        <v>271</v>
      </c>
      <c r="K7584" s="3">
        <v>100726631345</v>
      </c>
      <c r="L7584" s="10">
        <v>40162</v>
      </c>
      <c r="M7584">
        <v>40.75</v>
      </c>
      <c r="N7584" s="11">
        <v>15</v>
      </c>
      <c r="O7584" s="12">
        <v>2.61</v>
      </c>
      <c r="P7584" s="12">
        <v>0.5</v>
      </c>
      <c r="Q7584" s="13">
        <v>12.76</v>
      </c>
      <c r="R7584" s="36" t="s">
        <v>1758</v>
      </c>
      <c r="S7584" s="7">
        <f t="shared" si="664"/>
        <v>1</v>
      </c>
      <c r="T7584" s="15" t="str">
        <f>VLOOKUP(R7584,产品分类!$C$2:$D$1278,2,0)</f>
        <v>办公用品</v>
      </c>
    </row>
    <row r="7585" spans="1:20">
      <c r="A7585" s="8">
        <f>DATE(2012,12,31)-1113</f>
        <v>40161</v>
      </c>
      <c r="B7585" s="8">
        <f>DATE(2012,12,31)-1113</f>
        <v>40161</v>
      </c>
      <c r="C7585" s="9" t="s">
        <v>2068</v>
      </c>
      <c r="D7585">
        <v>10021340022</v>
      </c>
      <c r="E7585" t="s">
        <v>47</v>
      </c>
      <c r="F7585" t="s">
        <v>61</v>
      </c>
      <c r="G7585" t="s">
        <v>62</v>
      </c>
      <c r="H7585" t="s">
        <v>2596</v>
      </c>
      <c r="I7585" t="s">
        <v>2597</v>
      </c>
      <c r="J7585" t="s">
        <v>271</v>
      </c>
      <c r="K7585" s="3">
        <v>10087660902</v>
      </c>
      <c r="L7585" s="10">
        <v>40162</v>
      </c>
      <c r="M7585">
        <v>424.09</v>
      </c>
      <c r="N7585" s="11">
        <v>35</v>
      </c>
      <c r="O7585" s="12">
        <v>11.66</v>
      </c>
      <c r="P7585" s="12">
        <v>7.95</v>
      </c>
      <c r="Q7585" s="13">
        <v>-114.18</v>
      </c>
      <c r="R7585" s="36" t="s">
        <v>1961</v>
      </c>
      <c r="S7585" s="7">
        <f t="shared" si="664"/>
        <v>1</v>
      </c>
      <c r="T7585" s="15" t="str">
        <f>VLOOKUP(R7585,产品分类!$C$2:$D$1278,2,0)</f>
        <v>数码电子</v>
      </c>
    </row>
    <row r="7586" spans="1:20">
      <c r="A7586" s="8">
        <f>DATE(2012,12,31)-1077</f>
        <v>40197</v>
      </c>
      <c r="B7586" s="8">
        <f>DATE(2012,12,31)-1077</f>
        <v>40197</v>
      </c>
      <c r="C7586" s="9" t="s">
        <v>2070</v>
      </c>
      <c r="D7586">
        <v>10021265189</v>
      </c>
      <c r="E7586" t="s">
        <v>47</v>
      </c>
      <c r="F7586" t="s">
        <v>253</v>
      </c>
      <c r="G7586" t="s">
        <v>254</v>
      </c>
      <c r="H7586" t="s">
        <v>2579</v>
      </c>
      <c r="I7586" t="s">
        <v>2580</v>
      </c>
      <c r="J7586" t="s">
        <v>271</v>
      </c>
      <c r="K7586" s="3">
        <v>100122659448</v>
      </c>
      <c r="L7586" s="10">
        <v>40200</v>
      </c>
      <c r="M7586">
        <v>155.51</v>
      </c>
      <c r="N7586" s="11">
        <v>1</v>
      </c>
      <c r="O7586" s="12">
        <v>142.86</v>
      </c>
      <c r="P7586" s="12">
        <v>19.99</v>
      </c>
      <c r="Q7586" s="13">
        <v>-87.34</v>
      </c>
      <c r="R7586" s="36" t="s">
        <v>821</v>
      </c>
      <c r="S7586" s="7">
        <f t="shared" si="664"/>
        <v>3</v>
      </c>
      <c r="T7586" s="15" t="str">
        <f>VLOOKUP(R7586,产品分类!$C$2:$D$1278,2,0)</f>
        <v>办公用品</v>
      </c>
    </row>
    <row r="7587" spans="1:20">
      <c r="A7587" s="8">
        <f t="shared" ref="A7587:B7589" si="668">DATE(2012,12,31)-32</f>
        <v>41242</v>
      </c>
      <c r="B7587" s="8">
        <f t="shared" si="668"/>
        <v>41242</v>
      </c>
      <c r="C7587" s="9" t="s">
        <v>149</v>
      </c>
      <c r="D7587">
        <v>10021591202</v>
      </c>
      <c r="E7587" t="s">
        <v>47</v>
      </c>
      <c r="F7587" t="s">
        <v>61</v>
      </c>
      <c r="G7587" t="s">
        <v>62</v>
      </c>
      <c r="H7587" t="s">
        <v>2596</v>
      </c>
      <c r="I7587" t="s">
        <v>2597</v>
      </c>
      <c r="J7587" t="s">
        <v>271</v>
      </c>
      <c r="K7587" s="3">
        <v>100831763172</v>
      </c>
      <c r="L7587" s="10">
        <v>41243</v>
      </c>
      <c r="M7587">
        <v>2039.082</v>
      </c>
      <c r="N7587" s="11">
        <v>36</v>
      </c>
      <c r="O7587" s="12">
        <v>65.99</v>
      </c>
      <c r="P7587" s="12">
        <v>4.99</v>
      </c>
      <c r="Q7587" s="13">
        <v>481.698</v>
      </c>
      <c r="R7587" s="36" t="s">
        <v>516</v>
      </c>
      <c r="S7587" s="7">
        <f t="shared" si="664"/>
        <v>1</v>
      </c>
      <c r="T7587" s="15" t="str">
        <f>VLOOKUP(R7587,产品分类!$C$2:$D$1278,2,0)</f>
        <v>数码电子</v>
      </c>
    </row>
    <row r="7588" spans="1:20">
      <c r="A7588" s="8">
        <f t="shared" si="668"/>
        <v>41242</v>
      </c>
      <c r="B7588" s="8">
        <f t="shared" si="668"/>
        <v>41242</v>
      </c>
      <c r="C7588" s="9" t="s">
        <v>1074</v>
      </c>
      <c r="D7588">
        <v>10021353018</v>
      </c>
      <c r="E7588" t="s">
        <v>47</v>
      </c>
      <c r="F7588" t="s">
        <v>61</v>
      </c>
      <c r="G7588" t="s">
        <v>62</v>
      </c>
      <c r="H7588" t="s">
        <v>2596</v>
      </c>
      <c r="I7588" t="s">
        <v>2597</v>
      </c>
      <c r="J7588" t="s">
        <v>271</v>
      </c>
      <c r="K7588" s="3">
        <v>100315561679</v>
      </c>
      <c r="L7588" s="10">
        <v>41244</v>
      </c>
      <c r="M7588">
        <v>225.46</v>
      </c>
      <c r="N7588" s="11">
        <v>16</v>
      </c>
      <c r="O7588" s="12">
        <v>13.99</v>
      </c>
      <c r="P7588" s="12">
        <v>7.51</v>
      </c>
      <c r="Q7588" s="13">
        <v>-33.0252</v>
      </c>
      <c r="R7588" s="36" t="s">
        <v>1931</v>
      </c>
      <c r="S7588" s="7">
        <f t="shared" si="664"/>
        <v>2</v>
      </c>
      <c r="T7588" s="15" t="str">
        <f>VLOOKUP(R7588,产品分类!$C$2:$D$1278,2,0)</f>
        <v>办公用品</v>
      </c>
    </row>
    <row r="7589" spans="1:20">
      <c r="A7589" s="16">
        <f t="shared" si="668"/>
        <v>41242</v>
      </c>
      <c r="B7589" s="16">
        <f t="shared" si="668"/>
        <v>41242</v>
      </c>
      <c r="C7589" s="9" t="s">
        <v>1074</v>
      </c>
      <c r="D7589">
        <v>10021337859</v>
      </c>
      <c r="E7589" t="s">
        <v>47</v>
      </c>
      <c r="F7589" t="s">
        <v>61</v>
      </c>
      <c r="G7589" t="s">
        <v>62</v>
      </c>
      <c r="H7589" t="s">
        <v>2596</v>
      </c>
      <c r="I7589" t="s">
        <v>2597</v>
      </c>
      <c r="J7589" t="s">
        <v>271</v>
      </c>
      <c r="K7589" s="3">
        <v>100923126511</v>
      </c>
      <c r="L7589" s="10">
        <v>41244</v>
      </c>
      <c r="M7589">
        <v>783.96</v>
      </c>
      <c r="N7589" s="17">
        <v>38</v>
      </c>
      <c r="O7589" s="5">
        <v>20.34</v>
      </c>
      <c r="P7589" s="5">
        <v>35</v>
      </c>
      <c r="Q7589" s="6">
        <v>-1195.29</v>
      </c>
      <c r="R7589" s="37" t="s">
        <v>395</v>
      </c>
      <c r="S7589" s="7">
        <f t="shared" si="664"/>
        <v>2</v>
      </c>
      <c r="T7589" s="15" t="str">
        <f>VLOOKUP(R7589,产品分类!$C$2:$D$1278,2,0)</f>
        <v>数码电子</v>
      </c>
    </row>
    <row r="7590" spans="1:20">
      <c r="A7590" s="16">
        <f t="shared" ref="A7590:B7592" si="669">DATE(2012,12,31)-727</f>
        <v>40547</v>
      </c>
      <c r="B7590" s="16">
        <f t="shared" si="669"/>
        <v>40547</v>
      </c>
      <c r="C7590" s="9" t="s">
        <v>1074</v>
      </c>
      <c r="D7590">
        <v>10021661909</v>
      </c>
      <c r="E7590" t="s">
        <v>47</v>
      </c>
      <c r="F7590" t="s">
        <v>61</v>
      </c>
      <c r="G7590" t="s">
        <v>62</v>
      </c>
      <c r="H7590" t="s">
        <v>2596</v>
      </c>
      <c r="I7590" t="s">
        <v>2597</v>
      </c>
      <c r="J7590" t="s">
        <v>271</v>
      </c>
      <c r="K7590" s="3">
        <v>100820767882</v>
      </c>
      <c r="L7590" s="10">
        <v>40548</v>
      </c>
      <c r="M7590">
        <v>92.03</v>
      </c>
      <c r="N7590" s="17">
        <v>15</v>
      </c>
      <c r="O7590" s="5">
        <v>6.08</v>
      </c>
      <c r="P7590" s="5">
        <v>0.91</v>
      </c>
      <c r="Q7590" s="6">
        <v>19.71</v>
      </c>
      <c r="R7590" s="37" t="s">
        <v>1350</v>
      </c>
      <c r="S7590" s="7">
        <f t="shared" si="664"/>
        <v>1</v>
      </c>
      <c r="T7590" s="15" t="str">
        <f>VLOOKUP(R7590,产品分类!$C$2:$D$1278,2,0)</f>
        <v>办公用品</v>
      </c>
    </row>
    <row r="7591" spans="1:20">
      <c r="A7591" s="8">
        <f t="shared" si="669"/>
        <v>40547</v>
      </c>
      <c r="B7591" s="8">
        <f t="shared" si="669"/>
        <v>40547</v>
      </c>
      <c r="C7591" s="9" t="s">
        <v>1784</v>
      </c>
      <c r="D7591">
        <v>10021279711</v>
      </c>
      <c r="E7591" t="s">
        <v>47</v>
      </c>
      <c r="F7591" t="s">
        <v>61</v>
      </c>
      <c r="G7591" t="s">
        <v>62</v>
      </c>
      <c r="H7591" t="s">
        <v>2596</v>
      </c>
      <c r="I7591" t="s">
        <v>2597</v>
      </c>
      <c r="J7591" t="s">
        <v>271</v>
      </c>
      <c r="K7591" s="3">
        <v>10045551833</v>
      </c>
      <c r="L7591" s="10">
        <v>40549</v>
      </c>
      <c r="M7591">
        <v>207.19</v>
      </c>
      <c r="N7591" s="11">
        <v>17</v>
      </c>
      <c r="O7591" s="12">
        <v>11.66</v>
      </c>
      <c r="P7591" s="12">
        <v>8.99</v>
      </c>
      <c r="Q7591" s="13">
        <v>-85.91</v>
      </c>
      <c r="R7591" s="36" t="s">
        <v>1723</v>
      </c>
      <c r="S7591" s="7">
        <f t="shared" si="664"/>
        <v>2</v>
      </c>
      <c r="T7591" s="15" t="str">
        <f>VLOOKUP(R7591,产品分类!$C$2:$D$1278,2,0)</f>
        <v>办公用品</v>
      </c>
    </row>
    <row r="7592" spans="1:20">
      <c r="A7592" s="8">
        <f t="shared" si="669"/>
        <v>40547</v>
      </c>
      <c r="B7592" s="8">
        <f t="shared" si="669"/>
        <v>40547</v>
      </c>
      <c r="C7592" s="9" t="s">
        <v>598</v>
      </c>
      <c r="D7592">
        <v>10021575901</v>
      </c>
      <c r="E7592" t="s">
        <v>47</v>
      </c>
      <c r="F7592" t="s">
        <v>253</v>
      </c>
      <c r="G7592" t="s">
        <v>254</v>
      </c>
      <c r="H7592" t="s">
        <v>2579</v>
      </c>
      <c r="I7592" t="s">
        <v>2580</v>
      </c>
      <c r="J7592" t="s">
        <v>271</v>
      </c>
      <c r="K7592" s="3">
        <v>100913362321</v>
      </c>
      <c r="L7592" s="10">
        <v>40549</v>
      </c>
      <c r="M7592">
        <v>88</v>
      </c>
      <c r="N7592" s="11">
        <v>8</v>
      </c>
      <c r="O7592" s="12">
        <v>10.48</v>
      </c>
      <c r="P7592" s="12">
        <v>2.89</v>
      </c>
      <c r="Q7592" s="13">
        <v>-6.38</v>
      </c>
      <c r="R7592" s="36" t="s">
        <v>378</v>
      </c>
      <c r="S7592" s="7">
        <f t="shared" si="664"/>
        <v>2</v>
      </c>
      <c r="T7592" s="15" t="str">
        <f>VLOOKUP(R7592,产品分类!$C$2:$D$1278,2,0)</f>
        <v>数码电子</v>
      </c>
    </row>
    <row r="7593" spans="1:20">
      <c r="A7593" s="8">
        <f>DATE(2012,12,31)-379</f>
        <v>40895</v>
      </c>
      <c r="B7593" s="8">
        <f>DATE(2012,12,31)-379</f>
        <v>40895</v>
      </c>
      <c r="C7593" s="9" t="s">
        <v>598</v>
      </c>
      <c r="D7593">
        <v>10021666554</v>
      </c>
      <c r="E7593" t="s">
        <v>47</v>
      </c>
      <c r="F7593" t="s">
        <v>61</v>
      </c>
      <c r="G7593" t="s">
        <v>62</v>
      </c>
      <c r="H7593" t="s">
        <v>2596</v>
      </c>
      <c r="I7593" t="s">
        <v>2597</v>
      </c>
      <c r="J7593" t="s">
        <v>271</v>
      </c>
      <c r="K7593" s="3">
        <v>100927284791</v>
      </c>
      <c r="L7593" s="10">
        <v>40896</v>
      </c>
      <c r="M7593">
        <v>162.25</v>
      </c>
      <c r="N7593" s="11">
        <v>21</v>
      </c>
      <c r="O7593" s="12">
        <v>7.1</v>
      </c>
      <c r="P7593" s="12">
        <v>6.05</v>
      </c>
      <c r="Q7593" s="13">
        <v>-42.7225</v>
      </c>
      <c r="R7593" s="36" t="s">
        <v>1452</v>
      </c>
      <c r="S7593" s="7">
        <f t="shared" si="664"/>
        <v>1</v>
      </c>
      <c r="T7593" s="15" t="str">
        <f>VLOOKUP(R7593,产品分类!$C$2:$D$1278,2,0)</f>
        <v>办公用品</v>
      </c>
    </row>
    <row r="7594" spans="1:20">
      <c r="A7594" s="8">
        <f>DATE(2012,12,31)-287</f>
        <v>40987</v>
      </c>
      <c r="B7594" s="8">
        <f>DATE(2012,12,31)-287</f>
        <v>40987</v>
      </c>
      <c r="C7594" s="9" t="s">
        <v>1976</v>
      </c>
      <c r="D7594">
        <v>10021665287</v>
      </c>
      <c r="E7594" t="s">
        <v>47</v>
      </c>
      <c r="F7594" t="s">
        <v>61</v>
      </c>
      <c r="G7594" t="s">
        <v>62</v>
      </c>
      <c r="H7594" t="s">
        <v>2596</v>
      </c>
      <c r="I7594" t="s">
        <v>2597</v>
      </c>
      <c r="J7594" t="s">
        <v>271</v>
      </c>
      <c r="K7594" s="3">
        <v>10035024199</v>
      </c>
      <c r="L7594" s="10">
        <v>40989</v>
      </c>
      <c r="M7594">
        <v>124.71</v>
      </c>
      <c r="N7594" s="11">
        <v>16</v>
      </c>
      <c r="O7594" s="12">
        <v>7.35</v>
      </c>
      <c r="P7594" s="12">
        <v>5.96</v>
      </c>
      <c r="Q7594" s="13">
        <v>-30.04</v>
      </c>
      <c r="R7594" s="36" t="s">
        <v>2187</v>
      </c>
      <c r="S7594" s="7">
        <f t="shared" si="664"/>
        <v>2</v>
      </c>
      <c r="T7594" s="15" t="str">
        <f>VLOOKUP(R7594,产品分类!$C$2:$D$1278,2,0)</f>
        <v>家具产品</v>
      </c>
    </row>
    <row r="7595" spans="1:20">
      <c r="A7595" s="8">
        <f>DATE(2012,12,31)-1264</f>
        <v>40010</v>
      </c>
      <c r="B7595" s="8">
        <f>DATE(2012,12,31)-1264</f>
        <v>40010</v>
      </c>
      <c r="C7595" s="9" t="s">
        <v>1976</v>
      </c>
      <c r="D7595">
        <v>10021592162</v>
      </c>
      <c r="E7595" t="s">
        <v>47</v>
      </c>
      <c r="F7595" t="s">
        <v>253</v>
      </c>
      <c r="G7595" t="s">
        <v>254</v>
      </c>
      <c r="H7595" t="s">
        <v>2579</v>
      </c>
      <c r="I7595" t="s">
        <v>2580</v>
      </c>
      <c r="J7595" t="s">
        <v>271</v>
      </c>
      <c r="K7595" s="3">
        <v>100832092842</v>
      </c>
      <c r="L7595" s="10">
        <v>40013</v>
      </c>
      <c r="M7595">
        <v>604.38</v>
      </c>
      <c r="N7595" s="11">
        <v>22</v>
      </c>
      <c r="O7595" s="12">
        <v>28.48</v>
      </c>
      <c r="P7595" s="12">
        <v>1.99</v>
      </c>
      <c r="Q7595" s="13">
        <v>167.58</v>
      </c>
      <c r="R7595" s="36" t="s">
        <v>946</v>
      </c>
      <c r="S7595" s="7">
        <f t="shared" si="664"/>
        <v>3</v>
      </c>
      <c r="T7595" s="15" t="str">
        <f>VLOOKUP(R7595,产品分类!$C$2:$D$1278,2,0)</f>
        <v>数码电子</v>
      </c>
    </row>
    <row r="7596" spans="1:20">
      <c r="A7596" s="8">
        <f>DATE(2012,12,31)-1264</f>
        <v>40010</v>
      </c>
      <c r="B7596" s="8">
        <f>DATE(2012,12,31)-1264</f>
        <v>40010</v>
      </c>
      <c r="C7596" s="9" t="s">
        <v>1321</v>
      </c>
      <c r="D7596">
        <v>10021416354</v>
      </c>
      <c r="E7596" t="s">
        <v>47</v>
      </c>
      <c r="F7596" t="s">
        <v>61</v>
      </c>
      <c r="G7596" t="s">
        <v>62</v>
      </c>
      <c r="H7596" t="s">
        <v>2596</v>
      </c>
      <c r="I7596" t="s">
        <v>2597</v>
      </c>
      <c r="J7596" t="s">
        <v>271</v>
      </c>
      <c r="K7596" s="3">
        <v>100114540907</v>
      </c>
      <c r="L7596" s="10">
        <v>40012</v>
      </c>
      <c r="M7596">
        <v>2404.599</v>
      </c>
      <c r="N7596" s="11">
        <v>45</v>
      </c>
      <c r="O7596" s="12">
        <v>65.99</v>
      </c>
      <c r="P7596" s="12">
        <v>4.99</v>
      </c>
      <c r="Q7596" s="13">
        <v>496.89</v>
      </c>
      <c r="R7596" s="36" t="s">
        <v>202</v>
      </c>
      <c r="S7596" s="7">
        <f t="shared" si="664"/>
        <v>2</v>
      </c>
      <c r="T7596" s="15" t="str">
        <f>VLOOKUP(R7596,产品分类!$C$2:$D$1278,2,0)</f>
        <v>办公用品</v>
      </c>
    </row>
    <row r="7597" spans="1:20">
      <c r="A7597" s="8">
        <f>DATE(2012,12,31)-819</f>
        <v>40455</v>
      </c>
      <c r="B7597" s="8">
        <f>DATE(2012,12,31)-819</f>
        <v>40455</v>
      </c>
      <c r="C7597" s="9" t="s">
        <v>1321</v>
      </c>
      <c r="D7597">
        <v>10021419986</v>
      </c>
      <c r="E7597" t="s">
        <v>47</v>
      </c>
      <c r="F7597" t="s">
        <v>83</v>
      </c>
      <c r="G7597" t="s">
        <v>84</v>
      </c>
      <c r="H7597" t="s">
        <v>2577</v>
      </c>
      <c r="I7597" t="s">
        <v>2578</v>
      </c>
      <c r="J7597" t="s">
        <v>271</v>
      </c>
      <c r="K7597" s="3">
        <v>100424430854</v>
      </c>
      <c r="L7597" s="10">
        <v>40457</v>
      </c>
      <c r="M7597">
        <v>523.56</v>
      </c>
      <c r="N7597" s="11">
        <v>24</v>
      </c>
      <c r="O7597" s="12">
        <v>20.24</v>
      </c>
      <c r="P7597" s="12">
        <v>8.99</v>
      </c>
      <c r="Q7597" s="13">
        <v>43.87</v>
      </c>
      <c r="R7597" s="36" t="s">
        <v>602</v>
      </c>
      <c r="S7597" s="7">
        <f t="shared" si="664"/>
        <v>2</v>
      </c>
      <c r="T7597" s="15" t="str">
        <f>VLOOKUP(R7597,产品分类!$C$2:$D$1278,2,0)</f>
        <v>办公用品</v>
      </c>
    </row>
    <row r="7598" spans="1:20">
      <c r="A7598" s="8">
        <f>DATE(2012,12,31)-756</f>
        <v>40518</v>
      </c>
      <c r="B7598" s="8">
        <f>DATE(2012,12,31)-756</f>
        <v>40518</v>
      </c>
      <c r="C7598" s="9" t="s">
        <v>1321</v>
      </c>
      <c r="D7598">
        <v>10021665156</v>
      </c>
      <c r="E7598" t="s">
        <v>47</v>
      </c>
      <c r="F7598" t="s">
        <v>61</v>
      </c>
      <c r="G7598" t="s">
        <v>62</v>
      </c>
      <c r="H7598" t="s">
        <v>2596</v>
      </c>
      <c r="I7598" t="s">
        <v>2597</v>
      </c>
      <c r="J7598" t="s">
        <v>271</v>
      </c>
      <c r="K7598" s="3">
        <v>100426094063</v>
      </c>
      <c r="L7598" s="10">
        <v>40520</v>
      </c>
      <c r="M7598">
        <v>1553.868</v>
      </c>
      <c r="N7598" s="11">
        <v>27</v>
      </c>
      <c r="O7598" s="12">
        <v>65.99</v>
      </c>
      <c r="P7598" s="12">
        <v>5.92</v>
      </c>
      <c r="Q7598" s="13">
        <v>322.506</v>
      </c>
      <c r="R7598" s="36" t="s">
        <v>1108</v>
      </c>
      <c r="S7598" s="7">
        <f t="shared" si="664"/>
        <v>2</v>
      </c>
      <c r="T7598" s="15" t="str">
        <f>VLOOKUP(R7598,产品分类!$C$2:$D$1278,2,0)</f>
        <v>办公用品</v>
      </c>
    </row>
    <row r="7599" spans="1:20">
      <c r="A7599" s="8">
        <f>DATE(2012,12,31)-1247</f>
        <v>40027</v>
      </c>
      <c r="B7599" s="8">
        <f>DATE(2012,12,31)-1247</f>
        <v>40027</v>
      </c>
      <c r="C7599" s="9" t="s">
        <v>2362</v>
      </c>
      <c r="D7599">
        <v>10021334505</v>
      </c>
      <c r="E7599" t="s">
        <v>47</v>
      </c>
      <c r="F7599" t="s">
        <v>253</v>
      </c>
      <c r="G7599" t="s">
        <v>254</v>
      </c>
      <c r="H7599" t="s">
        <v>2579</v>
      </c>
      <c r="I7599" t="s">
        <v>2580</v>
      </c>
      <c r="J7599" t="s">
        <v>271</v>
      </c>
      <c r="K7599" s="3">
        <v>100114417607</v>
      </c>
      <c r="L7599" s="10">
        <v>40029</v>
      </c>
      <c r="M7599">
        <v>196.74</v>
      </c>
      <c r="N7599" s="11">
        <v>31</v>
      </c>
      <c r="O7599" s="12">
        <v>6.28</v>
      </c>
      <c r="P7599" s="12">
        <v>5.41</v>
      </c>
      <c r="Q7599" s="13">
        <v>-61.59</v>
      </c>
      <c r="R7599" s="36" t="s">
        <v>1011</v>
      </c>
      <c r="S7599" s="7">
        <f t="shared" si="664"/>
        <v>2</v>
      </c>
      <c r="T7599" s="15" t="str">
        <f>VLOOKUP(R7599,产品分类!$C$2:$D$1278,2,0)</f>
        <v>家具产品</v>
      </c>
    </row>
    <row r="7600" spans="1:20">
      <c r="A7600" s="8">
        <f>DATE(2012,12,31)-568</f>
        <v>40706</v>
      </c>
      <c r="B7600" s="8">
        <f>DATE(2012,12,31)-568</f>
        <v>40706</v>
      </c>
      <c r="C7600" s="9" t="s">
        <v>666</v>
      </c>
      <c r="D7600">
        <v>10021446414</v>
      </c>
      <c r="E7600" t="s">
        <v>47</v>
      </c>
      <c r="F7600" t="s">
        <v>61</v>
      </c>
      <c r="G7600" t="s">
        <v>62</v>
      </c>
      <c r="H7600" t="s">
        <v>2596</v>
      </c>
      <c r="I7600" t="s">
        <v>2597</v>
      </c>
      <c r="J7600" t="s">
        <v>271</v>
      </c>
      <c r="K7600" s="3">
        <v>100318385519</v>
      </c>
      <c r="L7600" s="10">
        <v>40710</v>
      </c>
      <c r="M7600">
        <v>1971.56</v>
      </c>
      <c r="N7600" s="11">
        <v>28</v>
      </c>
      <c r="O7600" s="12">
        <v>70.98</v>
      </c>
      <c r="P7600" s="12">
        <v>26.85</v>
      </c>
      <c r="Q7600" s="13">
        <v>-15.29</v>
      </c>
      <c r="R7600" s="36" t="s">
        <v>532</v>
      </c>
      <c r="S7600" s="7">
        <f t="shared" si="664"/>
        <v>4</v>
      </c>
      <c r="T7600" s="15" t="str">
        <f>VLOOKUP(R7600,产品分类!$C$2:$D$1278,2,0)</f>
        <v>办公用品</v>
      </c>
    </row>
    <row r="7601" spans="1:20">
      <c r="A7601" s="8">
        <f>DATE(2012,12,31)-568</f>
        <v>40706</v>
      </c>
      <c r="B7601" s="8">
        <f>DATE(2012,12,31)-568</f>
        <v>40706</v>
      </c>
      <c r="C7601" s="9" t="s">
        <v>1895</v>
      </c>
      <c r="D7601">
        <v>10021253323</v>
      </c>
      <c r="E7601" t="s">
        <v>47</v>
      </c>
      <c r="F7601" t="s">
        <v>61</v>
      </c>
      <c r="G7601" t="s">
        <v>62</v>
      </c>
      <c r="H7601" t="s">
        <v>2596</v>
      </c>
      <c r="I7601" t="s">
        <v>2597</v>
      </c>
      <c r="J7601" t="s">
        <v>271</v>
      </c>
      <c r="K7601" s="3">
        <v>100718672925</v>
      </c>
      <c r="L7601" s="10">
        <v>40708</v>
      </c>
      <c r="M7601">
        <v>154.43</v>
      </c>
      <c r="N7601" s="11">
        <v>34</v>
      </c>
      <c r="O7601" s="12">
        <v>4.18</v>
      </c>
      <c r="P7601" s="12">
        <v>6.92</v>
      </c>
      <c r="Q7601" s="13">
        <v>-133.77</v>
      </c>
      <c r="R7601" s="36" t="s">
        <v>731</v>
      </c>
      <c r="S7601" s="7">
        <f t="shared" si="664"/>
        <v>2</v>
      </c>
      <c r="T7601" s="15" t="str">
        <f>VLOOKUP(R7601,产品分类!$C$2:$D$1278,2,0)</f>
        <v>家具产品</v>
      </c>
    </row>
    <row r="7602" spans="1:20">
      <c r="A7602" s="16">
        <f>DATE(2012,12,31)-1343</f>
        <v>39931</v>
      </c>
      <c r="B7602" s="16">
        <f>DATE(2012,12,31)-1343</f>
        <v>39931</v>
      </c>
      <c r="C7602" s="9" t="s">
        <v>1895</v>
      </c>
      <c r="D7602">
        <v>10021766124</v>
      </c>
      <c r="E7602" t="s">
        <v>47</v>
      </c>
      <c r="F7602" t="s">
        <v>55</v>
      </c>
      <c r="G7602" t="s">
        <v>56</v>
      </c>
      <c r="H7602" t="s">
        <v>2604</v>
      </c>
      <c r="I7602" t="s">
        <v>2605</v>
      </c>
      <c r="J7602" t="s">
        <v>271</v>
      </c>
      <c r="K7602" s="3">
        <v>100932946411</v>
      </c>
      <c r="L7602" s="10">
        <v>39933</v>
      </c>
      <c r="M7602">
        <v>250.29</v>
      </c>
      <c r="N7602" s="17">
        <v>30</v>
      </c>
      <c r="O7602" s="5">
        <v>8.34</v>
      </c>
      <c r="P7602" s="5">
        <v>2.64</v>
      </c>
      <c r="Q7602" s="6">
        <v>6.79</v>
      </c>
      <c r="R7602" s="37" t="s">
        <v>2206</v>
      </c>
      <c r="S7602" s="7">
        <f t="shared" si="664"/>
        <v>2</v>
      </c>
      <c r="T7602" s="15" t="str">
        <f>VLOOKUP(R7602,产品分类!$C$2:$D$1278,2,0)</f>
        <v>办公用品</v>
      </c>
    </row>
    <row r="7603" spans="1:20">
      <c r="A7603" s="8">
        <f>DATE(2012,12,31)-1343</f>
        <v>39931</v>
      </c>
      <c r="B7603" s="8">
        <f>DATE(2012,12,31)-1343</f>
        <v>39931</v>
      </c>
      <c r="C7603" s="9" t="s">
        <v>297</v>
      </c>
      <c r="D7603">
        <v>10021489709</v>
      </c>
      <c r="E7603" t="s">
        <v>47</v>
      </c>
      <c r="F7603" t="s">
        <v>171</v>
      </c>
      <c r="G7603" t="s">
        <v>172</v>
      </c>
      <c r="H7603" t="s">
        <v>2486</v>
      </c>
      <c r="I7603" t="s">
        <v>2310</v>
      </c>
      <c r="J7603" t="s">
        <v>271</v>
      </c>
      <c r="K7603" s="3">
        <v>100129533387</v>
      </c>
      <c r="L7603" s="10">
        <v>39934</v>
      </c>
      <c r="M7603">
        <v>5258.94</v>
      </c>
      <c r="N7603" s="11">
        <v>41</v>
      </c>
      <c r="O7603" s="12">
        <v>130.98</v>
      </c>
      <c r="P7603" s="12">
        <v>30</v>
      </c>
      <c r="Q7603" s="13">
        <v>-421.76</v>
      </c>
      <c r="R7603" s="36" t="s">
        <v>1155</v>
      </c>
      <c r="S7603" s="7">
        <f t="shared" si="664"/>
        <v>3</v>
      </c>
      <c r="T7603" s="15" t="str">
        <f>VLOOKUP(R7603,产品分类!$C$2:$D$1278,2,0)</f>
        <v>家具产品</v>
      </c>
    </row>
    <row r="7604" spans="1:20">
      <c r="A7604" s="8">
        <f>DATE(2012,12,31)-940</f>
        <v>40334</v>
      </c>
      <c r="B7604" s="8">
        <f>DATE(2012,12,31)-940</f>
        <v>40334</v>
      </c>
      <c r="C7604" s="9" t="s">
        <v>1185</v>
      </c>
      <c r="D7604">
        <v>10021487374</v>
      </c>
      <c r="E7604" t="s">
        <v>47</v>
      </c>
      <c r="F7604" t="s">
        <v>61</v>
      </c>
      <c r="G7604" t="s">
        <v>62</v>
      </c>
      <c r="H7604" t="s">
        <v>2596</v>
      </c>
      <c r="I7604" t="s">
        <v>2597</v>
      </c>
      <c r="J7604" t="s">
        <v>271</v>
      </c>
      <c r="K7604" s="3">
        <v>100431784773</v>
      </c>
      <c r="L7604" s="10">
        <v>40335</v>
      </c>
      <c r="M7604">
        <v>471.24</v>
      </c>
      <c r="N7604" s="11">
        <v>21</v>
      </c>
      <c r="O7604" s="12">
        <v>22.98</v>
      </c>
      <c r="P7604" s="12">
        <v>1.99</v>
      </c>
      <c r="Q7604" s="13">
        <v>115.54</v>
      </c>
      <c r="R7604" s="36" t="s">
        <v>498</v>
      </c>
      <c r="S7604" s="7">
        <f t="shared" si="664"/>
        <v>1</v>
      </c>
      <c r="T7604" s="15" t="str">
        <f>VLOOKUP(R7604,产品分类!$C$2:$D$1278,2,0)</f>
        <v>家具产品</v>
      </c>
    </row>
    <row r="7605" spans="1:20">
      <c r="A7605" s="8">
        <f>DATE(2012,12,31)-143</f>
        <v>41131</v>
      </c>
      <c r="B7605" s="8">
        <f>DATE(2012,12,31)-143</f>
        <v>41131</v>
      </c>
      <c r="C7605" s="9" t="s">
        <v>1895</v>
      </c>
      <c r="D7605">
        <v>10021346221</v>
      </c>
      <c r="E7605" t="s">
        <v>47</v>
      </c>
      <c r="F7605" t="s">
        <v>72</v>
      </c>
      <c r="G7605" t="s">
        <v>73</v>
      </c>
      <c r="H7605" t="s">
        <v>2591</v>
      </c>
      <c r="I7605" t="s">
        <v>2592</v>
      </c>
      <c r="J7605" t="s">
        <v>271</v>
      </c>
      <c r="K7605" s="3">
        <v>100330563229</v>
      </c>
      <c r="L7605" s="10">
        <v>41135</v>
      </c>
      <c r="M7605">
        <v>73.22</v>
      </c>
      <c r="N7605" s="11">
        <v>11</v>
      </c>
      <c r="O7605" s="12">
        <v>6.48</v>
      </c>
      <c r="P7605" s="12">
        <v>6.22</v>
      </c>
      <c r="Q7605" s="13">
        <v>-34.53</v>
      </c>
      <c r="R7605" s="36" t="s">
        <v>235</v>
      </c>
      <c r="S7605" s="7">
        <f t="shared" si="664"/>
        <v>4</v>
      </c>
      <c r="T7605" s="15" t="str">
        <f>VLOOKUP(R7605,产品分类!$C$2:$D$1278,2,0)</f>
        <v>办公用品</v>
      </c>
    </row>
    <row r="7606" spans="1:20">
      <c r="A7606" s="8">
        <f>DATE(2012,12,31)-42</f>
        <v>41232</v>
      </c>
      <c r="B7606" s="8">
        <f>DATE(2012,12,31)-42</f>
        <v>41232</v>
      </c>
      <c r="C7606" s="9" t="s">
        <v>1895</v>
      </c>
      <c r="D7606">
        <v>10021508404</v>
      </c>
      <c r="E7606" t="s">
        <v>47</v>
      </c>
      <c r="F7606" t="s">
        <v>91</v>
      </c>
      <c r="G7606" t="s">
        <v>92</v>
      </c>
      <c r="H7606" t="s">
        <v>2573</v>
      </c>
      <c r="I7606" t="s">
        <v>2574</v>
      </c>
      <c r="J7606" t="s">
        <v>271</v>
      </c>
      <c r="K7606" s="3">
        <v>100732053025</v>
      </c>
      <c r="L7606" s="10">
        <v>41234</v>
      </c>
      <c r="M7606">
        <v>109.52</v>
      </c>
      <c r="N7606" s="11">
        <v>22</v>
      </c>
      <c r="O7606" s="12">
        <v>4.54</v>
      </c>
      <c r="P7606" s="12">
        <v>5.83</v>
      </c>
      <c r="Q7606" s="13">
        <v>-73.347</v>
      </c>
      <c r="R7606" s="36" t="s">
        <v>923</v>
      </c>
      <c r="S7606" s="7">
        <f t="shared" si="664"/>
        <v>2</v>
      </c>
      <c r="T7606" s="15" t="str">
        <f>VLOOKUP(R7606,产品分类!$C$2:$D$1278,2,0)</f>
        <v>办公用品</v>
      </c>
    </row>
    <row r="7607" spans="1:20">
      <c r="A7607" s="8">
        <f>DATE(2012,12,31)-504</f>
        <v>40770</v>
      </c>
      <c r="B7607" s="8">
        <f>DATE(2012,12,31)-504</f>
        <v>40770</v>
      </c>
      <c r="C7607" s="9" t="s">
        <v>877</v>
      </c>
      <c r="D7607">
        <v>10021585517</v>
      </c>
      <c r="E7607" t="s">
        <v>47</v>
      </c>
      <c r="F7607" t="s">
        <v>55</v>
      </c>
      <c r="G7607" t="s">
        <v>56</v>
      </c>
      <c r="H7607" t="s">
        <v>2604</v>
      </c>
      <c r="I7607" t="s">
        <v>2605</v>
      </c>
      <c r="J7607" t="s">
        <v>271</v>
      </c>
      <c r="K7607" s="3">
        <v>100728162515</v>
      </c>
      <c r="L7607" s="10">
        <v>40770</v>
      </c>
      <c r="M7607">
        <v>262.9</v>
      </c>
      <c r="N7607" s="11">
        <v>38</v>
      </c>
      <c r="O7607" s="12">
        <v>6.68</v>
      </c>
      <c r="P7607" s="12">
        <v>5.2</v>
      </c>
      <c r="Q7607" s="13">
        <v>-41.98</v>
      </c>
      <c r="R7607" s="36" t="s">
        <v>1453</v>
      </c>
      <c r="S7607" s="7">
        <f t="shared" si="664"/>
        <v>0</v>
      </c>
      <c r="T7607" s="15" t="str">
        <f>VLOOKUP(R7607,产品分类!$C$2:$D$1278,2,0)</f>
        <v>办公用品</v>
      </c>
    </row>
    <row r="7608" spans="1:20">
      <c r="A7608" s="8">
        <f>DATE(2012,12,31)-1032</f>
        <v>40242</v>
      </c>
      <c r="B7608" s="8">
        <f>DATE(2012,12,31)-1032</f>
        <v>40242</v>
      </c>
      <c r="C7608" s="9" t="s">
        <v>1439</v>
      </c>
      <c r="D7608">
        <v>10021267909</v>
      </c>
      <c r="E7608" t="s">
        <v>47</v>
      </c>
      <c r="F7608" t="s">
        <v>127</v>
      </c>
      <c r="G7608" t="s">
        <v>128</v>
      </c>
      <c r="H7608" t="s">
        <v>2554</v>
      </c>
      <c r="I7608" t="s">
        <v>2555</v>
      </c>
      <c r="J7608" t="s">
        <v>271</v>
      </c>
      <c r="K7608" s="3">
        <v>100832120462</v>
      </c>
      <c r="L7608" s="10">
        <v>40242</v>
      </c>
      <c r="M7608">
        <v>43.65</v>
      </c>
      <c r="N7608" s="11">
        <v>16</v>
      </c>
      <c r="O7608" s="12">
        <v>2.78</v>
      </c>
      <c r="P7608" s="12">
        <v>0.97</v>
      </c>
      <c r="Q7608" s="13">
        <v>-3.67</v>
      </c>
      <c r="R7608" s="36" t="s">
        <v>932</v>
      </c>
      <c r="S7608" s="7">
        <f t="shared" si="664"/>
        <v>0</v>
      </c>
      <c r="T7608" s="15" t="str">
        <f>VLOOKUP(R7608,产品分类!$C$2:$D$1278,2,0)</f>
        <v>数码电子</v>
      </c>
    </row>
    <row r="7609" spans="1:20">
      <c r="A7609" s="8">
        <f>DATE(2012,12,31)-1032</f>
        <v>40242</v>
      </c>
      <c r="B7609" s="8">
        <f>DATE(2012,12,31)-1032</f>
        <v>40242</v>
      </c>
      <c r="C7609" s="9" t="s">
        <v>1439</v>
      </c>
      <c r="D7609">
        <v>10021624576</v>
      </c>
      <c r="E7609" t="s">
        <v>47</v>
      </c>
      <c r="F7609" t="s">
        <v>48</v>
      </c>
      <c r="G7609" t="s">
        <v>49</v>
      </c>
      <c r="H7609" t="s">
        <v>2599</v>
      </c>
      <c r="I7609" t="s">
        <v>2600</v>
      </c>
      <c r="J7609" t="s">
        <v>271</v>
      </c>
      <c r="K7609" s="3">
        <v>10085486232</v>
      </c>
      <c r="L7609" s="10">
        <v>40244</v>
      </c>
      <c r="M7609">
        <v>2478.481</v>
      </c>
      <c r="N7609" s="11">
        <v>27</v>
      </c>
      <c r="O7609" s="12">
        <v>115.99</v>
      </c>
      <c r="P7609" s="12">
        <v>8.99</v>
      </c>
      <c r="Q7609" s="13">
        <v>249.102</v>
      </c>
      <c r="R7609" s="36" t="s">
        <v>1353</v>
      </c>
      <c r="S7609" s="7">
        <f t="shared" si="664"/>
        <v>2</v>
      </c>
      <c r="T7609" s="15" t="str">
        <f>VLOOKUP(R7609,产品分类!$C$2:$D$1278,2,0)</f>
        <v>办公用品</v>
      </c>
    </row>
    <row r="7610" spans="1:20">
      <c r="A7610" s="8">
        <f>DATE(2012,12,31)-1199</f>
        <v>40075</v>
      </c>
      <c r="B7610" s="8">
        <f>DATE(2012,12,31)-1199</f>
        <v>40075</v>
      </c>
      <c r="C7610" s="9" t="s">
        <v>811</v>
      </c>
      <c r="D7610">
        <v>10021723870</v>
      </c>
      <c r="E7610" t="s">
        <v>47</v>
      </c>
      <c r="F7610" t="s">
        <v>152</v>
      </c>
      <c r="G7610" t="s">
        <v>153</v>
      </c>
      <c r="H7610" t="s">
        <v>2589</v>
      </c>
      <c r="I7610" t="s">
        <v>2590</v>
      </c>
      <c r="J7610" t="s">
        <v>271</v>
      </c>
      <c r="K7610" s="3">
        <v>100433328533</v>
      </c>
      <c r="L7610" s="10">
        <v>40075</v>
      </c>
      <c r="M7610">
        <v>112.63</v>
      </c>
      <c r="N7610" s="11">
        <v>43</v>
      </c>
      <c r="O7610" s="12">
        <v>2.66</v>
      </c>
      <c r="P7610" s="12">
        <v>6.35</v>
      </c>
      <c r="Q7610" s="13">
        <v>-201.6</v>
      </c>
      <c r="R7610" s="36" t="s">
        <v>1022</v>
      </c>
      <c r="S7610" s="7">
        <f t="shared" si="664"/>
        <v>0</v>
      </c>
      <c r="T7610" s="15" t="str">
        <f>VLOOKUP(R7610,产品分类!$C$2:$D$1278,2,0)</f>
        <v>办公用品</v>
      </c>
    </row>
    <row r="7611" spans="1:20">
      <c r="A7611" s="8">
        <f>DATE(2012,12,31)-74</f>
        <v>41200</v>
      </c>
      <c r="B7611" s="8">
        <f>DATE(2012,12,31)-74</f>
        <v>41200</v>
      </c>
      <c r="C7611" s="9" t="s">
        <v>811</v>
      </c>
      <c r="D7611">
        <v>10021717506</v>
      </c>
      <c r="E7611" t="s">
        <v>47</v>
      </c>
      <c r="F7611" t="s">
        <v>72</v>
      </c>
      <c r="G7611" t="s">
        <v>73</v>
      </c>
      <c r="H7611" t="s">
        <v>2591</v>
      </c>
      <c r="I7611" t="s">
        <v>2592</v>
      </c>
      <c r="J7611" t="s">
        <v>271</v>
      </c>
      <c r="K7611" s="3">
        <v>100332569519</v>
      </c>
      <c r="L7611" s="10">
        <v>41201</v>
      </c>
      <c r="M7611">
        <v>2002.4</v>
      </c>
      <c r="N7611" s="11">
        <v>19</v>
      </c>
      <c r="O7611" s="12">
        <v>100.98</v>
      </c>
      <c r="P7611" s="12">
        <v>26.22</v>
      </c>
      <c r="Q7611" s="13">
        <v>151.09</v>
      </c>
      <c r="R7611" s="36" t="s">
        <v>1179</v>
      </c>
      <c r="S7611" s="7">
        <f t="shared" si="664"/>
        <v>1</v>
      </c>
      <c r="T7611" s="15" t="str">
        <f>VLOOKUP(R7611,产品分类!$C$2:$D$1278,2,0)</f>
        <v>办公用品</v>
      </c>
    </row>
    <row r="7612" spans="1:20">
      <c r="A7612" s="8">
        <f>DATE(2012,12,31)-749</f>
        <v>40525</v>
      </c>
      <c r="B7612" s="8">
        <f>DATE(2012,12,31)-749</f>
        <v>40525</v>
      </c>
      <c r="C7612" s="9" t="s">
        <v>811</v>
      </c>
      <c r="D7612">
        <v>10021513782</v>
      </c>
      <c r="E7612" t="s">
        <v>47</v>
      </c>
      <c r="F7612" t="s">
        <v>72</v>
      </c>
      <c r="G7612" t="s">
        <v>73</v>
      </c>
      <c r="H7612" t="s">
        <v>2606</v>
      </c>
      <c r="I7612" t="s">
        <v>2607</v>
      </c>
      <c r="J7612" t="s">
        <v>271</v>
      </c>
      <c r="K7612" s="3">
        <v>10079121115</v>
      </c>
      <c r="L7612" s="10">
        <v>40526</v>
      </c>
      <c r="M7612">
        <v>1427.14</v>
      </c>
      <c r="N7612" s="11">
        <v>29</v>
      </c>
      <c r="O7612" s="12">
        <v>48.04</v>
      </c>
      <c r="P7612" s="12">
        <v>7.23</v>
      </c>
      <c r="Q7612" s="13">
        <v>605.92</v>
      </c>
      <c r="R7612" s="36" t="s">
        <v>1285</v>
      </c>
      <c r="S7612" s="7">
        <f t="shared" si="664"/>
        <v>1</v>
      </c>
      <c r="T7612" s="15" t="str">
        <f>VLOOKUP(R7612,产品分类!$C$2:$D$1278,2,0)</f>
        <v>办公用品</v>
      </c>
    </row>
    <row r="7613" spans="1:20">
      <c r="A7613" s="8">
        <f>DATE(2012,12,31)-1353</f>
        <v>39921</v>
      </c>
      <c r="B7613" s="8">
        <f>DATE(2012,12,31)-1353</f>
        <v>39921</v>
      </c>
      <c r="C7613" s="9" t="s">
        <v>147</v>
      </c>
      <c r="D7613">
        <v>10021521179</v>
      </c>
      <c r="E7613" t="s">
        <v>47</v>
      </c>
      <c r="F7613" t="s">
        <v>72</v>
      </c>
      <c r="G7613" t="s">
        <v>73</v>
      </c>
      <c r="H7613" t="s">
        <v>2606</v>
      </c>
      <c r="I7613" t="s">
        <v>2607</v>
      </c>
      <c r="J7613" t="s">
        <v>271</v>
      </c>
      <c r="K7613" s="3">
        <v>100132240388</v>
      </c>
      <c r="L7613" s="10">
        <v>39922</v>
      </c>
      <c r="M7613">
        <v>4711.244</v>
      </c>
      <c r="N7613" s="11">
        <v>36</v>
      </c>
      <c r="O7613" s="12">
        <v>155.99</v>
      </c>
      <c r="P7613" s="12">
        <v>3.9</v>
      </c>
      <c r="Q7613" s="13">
        <v>1380.321</v>
      </c>
      <c r="R7613" s="36" t="s">
        <v>630</v>
      </c>
      <c r="S7613" s="7">
        <f t="shared" si="664"/>
        <v>1</v>
      </c>
      <c r="T7613" s="15" t="str">
        <f>VLOOKUP(R7613,产品分类!$C$2:$D$1278,2,0)</f>
        <v>数码电子</v>
      </c>
    </row>
    <row r="7614" spans="1:20">
      <c r="A7614" s="8">
        <f>DATE(2012,12,31)-1120</f>
        <v>40154</v>
      </c>
      <c r="B7614" s="8">
        <f>DATE(2012,12,31)-1120</f>
        <v>40154</v>
      </c>
      <c r="C7614" s="9" t="s">
        <v>147</v>
      </c>
      <c r="D7614">
        <v>10021549446</v>
      </c>
      <c r="E7614" t="s">
        <v>47</v>
      </c>
      <c r="F7614" t="s">
        <v>72</v>
      </c>
      <c r="G7614" t="s">
        <v>73</v>
      </c>
      <c r="H7614" t="s">
        <v>2606</v>
      </c>
      <c r="I7614" t="s">
        <v>2607</v>
      </c>
      <c r="J7614" t="s">
        <v>271</v>
      </c>
      <c r="K7614" s="3">
        <v>100424392893</v>
      </c>
      <c r="L7614" s="10">
        <v>40157</v>
      </c>
      <c r="M7614">
        <v>3421.88</v>
      </c>
      <c r="N7614" s="11">
        <v>44</v>
      </c>
      <c r="O7614" s="12">
        <v>73.98</v>
      </c>
      <c r="P7614" s="12">
        <v>4</v>
      </c>
      <c r="Q7614" s="13">
        <v>443.52</v>
      </c>
      <c r="R7614" s="36" t="s">
        <v>1583</v>
      </c>
      <c r="S7614" s="7">
        <f t="shared" si="664"/>
        <v>3</v>
      </c>
      <c r="T7614" s="15" t="str">
        <f>VLOOKUP(R7614,产品分类!$C$2:$D$1278,2,0)</f>
        <v>办公用品</v>
      </c>
    </row>
    <row r="7615" spans="1:20">
      <c r="A7615" s="8">
        <f>DATE(2012,12,31)-355</f>
        <v>40919</v>
      </c>
      <c r="B7615" s="8">
        <f>DATE(2012,12,31)-355</f>
        <v>40919</v>
      </c>
      <c r="C7615" s="9" t="s">
        <v>1768</v>
      </c>
      <c r="D7615">
        <v>10021683931</v>
      </c>
      <c r="E7615" t="s">
        <v>47</v>
      </c>
      <c r="F7615" t="s">
        <v>91</v>
      </c>
      <c r="G7615" t="s">
        <v>92</v>
      </c>
      <c r="H7615" t="s">
        <v>2573</v>
      </c>
      <c r="I7615" t="s">
        <v>2574</v>
      </c>
      <c r="J7615" t="s">
        <v>271</v>
      </c>
      <c r="K7615" s="3">
        <v>10041798014</v>
      </c>
      <c r="L7615" s="10">
        <v>40921</v>
      </c>
      <c r="M7615">
        <v>380.28</v>
      </c>
      <c r="N7615" s="11">
        <v>30</v>
      </c>
      <c r="O7615" s="12">
        <v>13.48</v>
      </c>
      <c r="P7615" s="12">
        <v>4.51</v>
      </c>
      <c r="Q7615" s="13">
        <v>-20.58</v>
      </c>
      <c r="R7615" s="36" t="s">
        <v>1067</v>
      </c>
      <c r="S7615" s="7">
        <f t="shared" si="664"/>
        <v>2</v>
      </c>
      <c r="T7615" s="15" t="str">
        <f>VLOOKUP(R7615,产品分类!$C$2:$D$1278,2,0)</f>
        <v>办公用品</v>
      </c>
    </row>
    <row r="7616" spans="1:20">
      <c r="A7616" s="8">
        <f>DATE(2012,12,31)-676</f>
        <v>40598</v>
      </c>
      <c r="B7616" s="8">
        <f>DATE(2012,12,31)-676</f>
        <v>40598</v>
      </c>
      <c r="C7616" s="9" t="s">
        <v>430</v>
      </c>
      <c r="D7616">
        <v>10021513107</v>
      </c>
      <c r="E7616" t="s">
        <v>47</v>
      </c>
      <c r="F7616" t="s">
        <v>91</v>
      </c>
      <c r="G7616" t="s">
        <v>92</v>
      </c>
      <c r="H7616" t="s">
        <v>2573</v>
      </c>
      <c r="I7616" t="s">
        <v>2574</v>
      </c>
      <c r="J7616" t="s">
        <v>271</v>
      </c>
      <c r="K7616" s="3">
        <v>10018930406</v>
      </c>
      <c r="L7616" s="10">
        <v>40599</v>
      </c>
      <c r="M7616">
        <v>170.02</v>
      </c>
      <c r="N7616" s="11">
        <v>7</v>
      </c>
      <c r="O7616" s="12">
        <v>22.84</v>
      </c>
      <c r="P7616" s="12">
        <v>16.87</v>
      </c>
      <c r="Q7616" s="13">
        <v>-56.1</v>
      </c>
      <c r="R7616" s="36" t="s">
        <v>1800</v>
      </c>
      <c r="S7616" s="7">
        <f t="shared" si="664"/>
        <v>1</v>
      </c>
      <c r="T7616" s="15" t="str">
        <f>VLOOKUP(R7616,产品分类!$C$2:$D$1278,2,0)</f>
        <v>办公用品</v>
      </c>
    </row>
    <row r="7617" spans="1:20">
      <c r="A7617" s="8">
        <f t="shared" ref="A7617:B7619" si="670">DATE(2012,12,31)-11</f>
        <v>41263</v>
      </c>
      <c r="B7617" s="8">
        <f t="shared" si="670"/>
        <v>41263</v>
      </c>
      <c r="C7617" s="9" t="s">
        <v>430</v>
      </c>
      <c r="D7617">
        <v>10021698941</v>
      </c>
      <c r="E7617" t="s">
        <v>47</v>
      </c>
      <c r="F7617" t="s">
        <v>91</v>
      </c>
      <c r="G7617" t="s">
        <v>92</v>
      </c>
      <c r="H7617" t="s">
        <v>2573</v>
      </c>
      <c r="I7617" t="s">
        <v>2574</v>
      </c>
      <c r="J7617" t="s">
        <v>271</v>
      </c>
      <c r="K7617" s="3">
        <v>100419788593</v>
      </c>
      <c r="L7617" s="10">
        <v>41264</v>
      </c>
      <c r="M7617">
        <v>1087.58</v>
      </c>
      <c r="N7617" s="11">
        <v>27</v>
      </c>
      <c r="O7617" s="12">
        <v>39.89</v>
      </c>
      <c r="P7617" s="12">
        <v>3.04</v>
      </c>
      <c r="Q7617" s="13">
        <v>514.45</v>
      </c>
      <c r="R7617" s="36" t="s">
        <v>397</v>
      </c>
      <c r="S7617" s="7">
        <f t="shared" si="664"/>
        <v>1</v>
      </c>
      <c r="T7617" s="15" t="str">
        <f>VLOOKUP(R7617,产品分类!$C$2:$D$1278,2,0)</f>
        <v>办公用品</v>
      </c>
    </row>
    <row r="7618" spans="1:20">
      <c r="A7618" s="16">
        <f t="shared" si="670"/>
        <v>41263</v>
      </c>
      <c r="B7618" s="16">
        <f t="shared" si="670"/>
        <v>41263</v>
      </c>
      <c r="C7618" s="9" t="s">
        <v>430</v>
      </c>
      <c r="D7618">
        <v>10021636998</v>
      </c>
      <c r="E7618" t="s">
        <v>47</v>
      </c>
      <c r="F7618" t="s">
        <v>122</v>
      </c>
      <c r="G7618" t="s">
        <v>123</v>
      </c>
      <c r="H7618" t="s">
        <v>2458</v>
      </c>
      <c r="I7618" t="s">
        <v>2459</v>
      </c>
      <c r="J7618" t="s">
        <v>271</v>
      </c>
      <c r="K7618" s="3">
        <v>100827717222</v>
      </c>
      <c r="L7618" s="10">
        <v>41265</v>
      </c>
      <c r="M7618">
        <v>4273.35</v>
      </c>
      <c r="N7618" s="17">
        <v>42</v>
      </c>
      <c r="O7618" s="5">
        <v>101.41</v>
      </c>
      <c r="P7618" s="5">
        <v>35</v>
      </c>
      <c r="Q7618" s="6">
        <v>-892.03</v>
      </c>
      <c r="R7618" s="37" t="s">
        <v>1783</v>
      </c>
      <c r="S7618" s="7">
        <f t="shared" si="664"/>
        <v>2</v>
      </c>
      <c r="T7618" s="15" t="str">
        <f>VLOOKUP(R7618,产品分类!$C$2:$D$1278,2,0)</f>
        <v>办公用品</v>
      </c>
    </row>
    <row r="7619" spans="1:20">
      <c r="A7619" s="8">
        <f t="shared" si="670"/>
        <v>41263</v>
      </c>
      <c r="B7619" s="8">
        <f t="shared" si="670"/>
        <v>41263</v>
      </c>
      <c r="C7619" s="9" t="s">
        <v>1228</v>
      </c>
      <c r="D7619">
        <v>10021648459</v>
      </c>
      <c r="E7619" t="s">
        <v>47</v>
      </c>
      <c r="F7619" t="s">
        <v>342</v>
      </c>
      <c r="G7619" t="s">
        <v>343</v>
      </c>
      <c r="H7619" t="s">
        <v>2582</v>
      </c>
      <c r="I7619" t="s">
        <v>2583</v>
      </c>
      <c r="J7619" t="s">
        <v>271</v>
      </c>
      <c r="K7619" s="3">
        <v>100428659794</v>
      </c>
      <c r="L7619" s="10">
        <v>41265</v>
      </c>
      <c r="M7619">
        <v>4165.04</v>
      </c>
      <c r="N7619" s="11">
        <v>45</v>
      </c>
      <c r="O7619" s="12">
        <v>90.98</v>
      </c>
      <c r="P7619" s="12">
        <v>30</v>
      </c>
      <c r="Q7619" s="13">
        <v>135.68</v>
      </c>
      <c r="R7619" s="36" t="s">
        <v>1556</v>
      </c>
      <c r="S7619" s="7">
        <f t="shared" ref="S7619:S7682" si="671">+L7619-B7619</f>
        <v>2</v>
      </c>
      <c r="T7619" s="15" t="str">
        <f>VLOOKUP(R7619,产品分类!$C$2:$D$1278,2,0)</f>
        <v>家具产品</v>
      </c>
    </row>
    <row r="7620" spans="1:20">
      <c r="A7620" s="8">
        <f t="shared" ref="A7620:B7622" si="672">DATE(2012,12,31)-1178</f>
        <v>40096</v>
      </c>
      <c r="B7620" s="8">
        <f t="shared" si="672"/>
        <v>40096</v>
      </c>
      <c r="C7620" s="9" t="s">
        <v>1228</v>
      </c>
      <c r="D7620">
        <v>10021684331</v>
      </c>
      <c r="E7620" t="s">
        <v>47</v>
      </c>
      <c r="F7620" t="s">
        <v>97</v>
      </c>
      <c r="G7620" t="s">
        <v>98</v>
      </c>
      <c r="H7620" t="s">
        <v>99</v>
      </c>
      <c r="I7620" t="s">
        <v>98</v>
      </c>
      <c r="J7620" t="s">
        <v>271</v>
      </c>
      <c r="K7620" s="3">
        <v>100117871628</v>
      </c>
      <c r="L7620" s="10">
        <v>40101</v>
      </c>
      <c r="M7620">
        <v>53.32</v>
      </c>
      <c r="N7620" s="11">
        <v>10</v>
      </c>
      <c r="O7620" s="12">
        <v>4.97</v>
      </c>
      <c r="P7620" s="12">
        <v>5.71</v>
      </c>
      <c r="Q7620" s="13">
        <v>-20.68</v>
      </c>
      <c r="R7620" s="36" t="s">
        <v>963</v>
      </c>
      <c r="S7620" s="7">
        <f t="shared" si="671"/>
        <v>5</v>
      </c>
      <c r="T7620" s="15" t="str">
        <f>VLOOKUP(R7620,产品分类!$C$2:$D$1278,2,0)</f>
        <v>家具产品</v>
      </c>
    </row>
    <row r="7621" spans="1:20">
      <c r="A7621" s="8">
        <f t="shared" si="672"/>
        <v>40096</v>
      </c>
      <c r="B7621" s="8">
        <f t="shared" si="672"/>
        <v>40096</v>
      </c>
      <c r="C7621" s="9" t="s">
        <v>1228</v>
      </c>
      <c r="D7621">
        <v>10021479706</v>
      </c>
      <c r="E7621" t="s">
        <v>47</v>
      </c>
      <c r="F7621" t="s">
        <v>132</v>
      </c>
      <c r="G7621" t="s">
        <v>133</v>
      </c>
      <c r="H7621" t="s">
        <v>134</v>
      </c>
      <c r="I7621" t="s">
        <v>133</v>
      </c>
      <c r="J7621" t="s">
        <v>271</v>
      </c>
      <c r="K7621" s="3">
        <v>10079782365</v>
      </c>
      <c r="L7621" s="10">
        <v>40098</v>
      </c>
      <c r="M7621">
        <v>64.03</v>
      </c>
      <c r="N7621" s="11">
        <v>26</v>
      </c>
      <c r="O7621" s="12">
        <v>2.62</v>
      </c>
      <c r="P7621" s="12">
        <v>0.8</v>
      </c>
      <c r="Q7621" s="13">
        <v>11.42</v>
      </c>
      <c r="R7621" s="36" t="s">
        <v>1851</v>
      </c>
      <c r="S7621" s="7">
        <f t="shared" si="671"/>
        <v>2</v>
      </c>
      <c r="T7621" s="15" t="str">
        <f>VLOOKUP(R7621,产品分类!$C$2:$D$1278,2,0)</f>
        <v>办公用品</v>
      </c>
    </row>
    <row r="7622" spans="1:20">
      <c r="A7622" s="8">
        <f t="shared" si="672"/>
        <v>40096</v>
      </c>
      <c r="B7622" s="8">
        <f t="shared" si="672"/>
        <v>40096</v>
      </c>
      <c r="C7622" s="9" t="s">
        <v>1404</v>
      </c>
      <c r="D7622">
        <v>10021488890</v>
      </c>
      <c r="E7622" t="s">
        <v>47</v>
      </c>
      <c r="F7622" t="s">
        <v>102</v>
      </c>
      <c r="G7622" t="s">
        <v>103</v>
      </c>
      <c r="H7622" t="s">
        <v>2560</v>
      </c>
      <c r="I7622" t="s">
        <v>2561</v>
      </c>
      <c r="J7622" t="s">
        <v>271</v>
      </c>
      <c r="K7622" s="3">
        <v>100131056618</v>
      </c>
      <c r="L7622" s="10">
        <v>40096</v>
      </c>
      <c r="M7622">
        <v>2710.5055</v>
      </c>
      <c r="N7622" s="11">
        <v>46</v>
      </c>
      <c r="O7622" s="12">
        <v>65.99</v>
      </c>
      <c r="P7622" s="12">
        <v>8.8</v>
      </c>
      <c r="Q7622" s="13">
        <v>624.123</v>
      </c>
      <c r="R7622" s="36" t="s">
        <v>958</v>
      </c>
      <c r="S7622" s="7">
        <f t="shared" si="671"/>
        <v>0</v>
      </c>
      <c r="T7622" s="15" t="str">
        <f>VLOOKUP(R7622,产品分类!$C$2:$D$1278,2,0)</f>
        <v>办公用品</v>
      </c>
    </row>
    <row r="7623" spans="1:20">
      <c r="A7623" s="8">
        <f>DATE(2012,12,31)-738</f>
        <v>40536</v>
      </c>
      <c r="B7623" s="8">
        <f>DATE(2012,12,31)-738</f>
        <v>40536</v>
      </c>
      <c r="C7623" s="9" t="s">
        <v>1491</v>
      </c>
      <c r="D7623">
        <v>10021409750</v>
      </c>
      <c r="E7623" t="s">
        <v>47</v>
      </c>
      <c r="F7623" t="s">
        <v>171</v>
      </c>
      <c r="G7623" t="s">
        <v>172</v>
      </c>
      <c r="H7623" t="s">
        <v>2486</v>
      </c>
      <c r="I7623" t="s">
        <v>2310</v>
      </c>
      <c r="J7623" t="s">
        <v>271</v>
      </c>
      <c r="K7623" s="3">
        <v>100120287308</v>
      </c>
      <c r="L7623" s="10">
        <v>40536</v>
      </c>
      <c r="M7623">
        <v>2834.96</v>
      </c>
      <c r="N7623" s="11">
        <v>16</v>
      </c>
      <c r="O7623" s="12">
        <v>178.47</v>
      </c>
      <c r="P7623" s="12">
        <v>19.99</v>
      </c>
      <c r="Q7623" s="13">
        <v>587.64</v>
      </c>
      <c r="R7623" s="36" t="s">
        <v>842</v>
      </c>
      <c r="S7623" s="7">
        <f t="shared" si="671"/>
        <v>0</v>
      </c>
      <c r="T7623" s="15" t="str">
        <f>VLOOKUP(R7623,产品分类!$C$2:$D$1278,2,0)</f>
        <v>家具产品</v>
      </c>
    </row>
    <row r="7624" spans="1:20">
      <c r="A7624" s="8">
        <f>DATE(2012,12,31)-738</f>
        <v>40536</v>
      </c>
      <c r="B7624" s="8">
        <f>DATE(2012,12,31)-738</f>
        <v>40536</v>
      </c>
      <c r="C7624" s="9" t="s">
        <v>1432</v>
      </c>
      <c r="D7624">
        <v>10021761226</v>
      </c>
      <c r="E7624" t="s">
        <v>47</v>
      </c>
      <c r="F7624" t="s">
        <v>171</v>
      </c>
      <c r="G7624" t="s">
        <v>172</v>
      </c>
      <c r="H7624" t="s">
        <v>2486</v>
      </c>
      <c r="I7624" t="s">
        <v>2310</v>
      </c>
      <c r="J7624" t="s">
        <v>271</v>
      </c>
      <c r="K7624" s="3">
        <v>100332055159</v>
      </c>
      <c r="L7624" s="10">
        <v>40537</v>
      </c>
      <c r="M7624">
        <v>953.989</v>
      </c>
      <c r="N7624" s="11">
        <v>9</v>
      </c>
      <c r="O7624" s="12">
        <v>125.99</v>
      </c>
      <c r="P7624" s="12">
        <v>8.08</v>
      </c>
      <c r="Q7624" s="13">
        <v>-249.326</v>
      </c>
      <c r="R7624" s="36" t="s">
        <v>409</v>
      </c>
      <c r="S7624" s="7">
        <f t="shared" si="671"/>
        <v>1</v>
      </c>
      <c r="T7624" s="15" t="str">
        <f>VLOOKUP(R7624,产品分类!$C$2:$D$1278,2,0)</f>
        <v>办公用品</v>
      </c>
    </row>
    <row r="7625" spans="1:20">
      <c r="A7625" s="16">
        <f>DATE(2012,12,31)-694</f>
        <v>40580</v>
      </c>
      <c r="B7625" s="16">
        <f>DATE(2012,12,31)-694</f>
        <v>40580</v>
      </c>
      <c r="C7625" s="9" t="s">
        <v>1432</v>
      </c>
      <c r="D7625">
        <v>10021684957</v>
      </c>
      <c r="E7625" t="s">
        <v>47</v>
      </c>
      <c r="F7625" t="s">
        <v>127</v>
      </c>
      <c r="G7625" t="s">
        <v>128</v>
      </c>
      <c r="H7625" t="s">
        <v>2608</v>
      </c>
      <c r="I7625" t="s">
        <v>2609</v>
      </c>
      <c r="J7625" t="s">
        <v>271</v>
      </c>
      <c r="K7625" s="3">
        <v>100131069506</v>
      </c>
      <c r="L7625" s="10">
        <v>40583</v>
      </c>
      <c r="M7625">
        <v>86.29</v>
      </c>
      <c r="N7625" s="17">
        <v>17</v>
      </c>
      <c r="O7625" s="5">
        <v>4.98</v>
      </c>
      <c r="P7625" s="5">
        <v>0.49</v>
      </c>
      <c r="Q7625" s="6">
        <v>34.98</v>
      </c>
      <c r="R7625" s="37" t="s">
        <v>2248</v>
      </c>
      <c r="S7625" s="7">
        <f t="shared" si="671"/>
        <v>3</v>
      </c>
      <c r="T7625" s="15" t="str">
        <f>VLOOKUP(R7625,产品分类!$C$2:$D$1278,2,0)</f>
        <v>办公用品</v>
      </c>
    </row>
    <row r="7626" spans="1:20">
      <c r="A7626" s="8">
        <f>DATE(2012,12,31)-694</f>
        <v>40580</v>
      </c>
      <c r="B7626" s="8">
        <f>DATE(2012,12,31)-694</f>
        <v>40580</v>
      </c>
      <c r="C7626" s="9" t="s">
        <v>2424</v>
      </c>
      <c r="D7626">
        <v>10021604120</v>
      </c>
      <c r="E7626" t="s">
        <v>47</v>
      </c>
      <c r="F7626" t="s">
        <v>61</v>
      </c>
      <c r="G7626" t="s">
        <v>62</v>
      </c>
      <c r="H7626" t="s">
        <v>2596</v>
      </c>
      <c r="I7626" t="s">
        <v>2597</v>
      </c>
      <c r="J7626" t="s">
        <v>271</v>
      </c>
      <c r="K7626" s="3">
        <v>100432872134</v>
      </c>
      <c r="L7626" s="10">
        <v>40582</v>
      </c>
      <c r="M7626">
        <v>86.92</v>
      </c>
      <c r="N7626" s="11">
        <v>2</v>
      </c>
      <c r="O7626" s="12">
        <v>36.55</v>
      </c>
      <c r="P7626" s="12">
        <v>13.89</v>
      </c>
      <c r="Q7626" s="13">
        <v>-43.93</v>
      </c>
      <c r="R7626" s="36" t="s">
        <v>2368</v>
      </c>
      <c r="S7626" s="7">
        <f t="shared" si="671"/>
        <v>2</v>
      </c>
      <c r="T7626" s="15" t="str">
        <f>VLOOKUP(R7626,产品分类!$C$2:$D$1278,2,0)</f>
        <v>数码电子</v>
      </c>
    </row>
    <row r="7627" spans="1:20">
      <c r="A7627" s="8">
        <f>DATE(2012,12,31)-149</f>
        <v>41125</v>
      </c>
      <c r="B7627" s="8">
        <f>DATE(2012,12,31)-149</f>
        <v>41125</v>
      </c>
      <c r="C7627" s="9" t="s">
        <v>2034</v>
      </c>
      <c r="D7627">
        <v>10021305599</v>
      </c>
      <c r="E7627" t="s">
        <v>47</v>
      </c>
      <c r="F7627" t="s">
        <v>61</v>
      </c>
      <c r="G7627" t="s">
        <v>62</v>
      </c>
      <c r="H7627" t="s">
        <v>2596</v>
      </c>
      <c r="I7627" t="s">
        <v>2597</v>
      </c>
      <c r="J7627" t="s">
        <v>271</v>
      </c>
      <c r="K7627" s="3">
        <v>100830227772</v>
      </c>
      <c r="L7627" s="10">
        <v>41126</v>
      </c>
      <c r="M7627">
        <v>419.95</v>
      </c>
      <c r="N7627" s="11">
        <v>39</v>
      </c>
      <c r="O7627" s="12">
        <v>10.64</v>
      </c>
      <c r="P7627" s="12">
        <v>5.16</v>
      </c>
      <c r="Q7627" s="13">
        <v>-39.1</v>
      </c>
      <c r="R7627" s="36" t="s">
        <v>1189</v>
      </c>
      <c r="S7627" s="7">
        <f t="shared" si="671"/>
        <v>1</v>
      </c>
      <c r="T7627" s="15" t="str">
        <f>VLOOKUP(R7627,产品分类!$C$2:$D$1278,2,0)</f>
        <v>家具产品</v>
      </c>
    </row>
    <row r="7628" spans="1:20">
      <c r="A7628" s="8">
        <f>DATE(2012,12,31)-529</f>
        <v>40745</v>
      </c>
      <c r="B7628" s="8">
        <f>DATE(2012,12,31)-529</f>
        <v>40745</v>
      </c>
      <c r="C7628" s="9" t="s">
        <v>867</v>
      </c>
      <c r="D7628">
        <v>10021538193</v>
      </c>
      <c r="E7628" t="s">
        <v>47</v>
      </c>
      <c r="F7628" t="s">
        <v>61</v>
      </c>
      <c r="G7628" t="s">
        <v>62</v>
      </c>
      <c r="H7628" t="s">
        <v>2596</v>
      </c>
      <c r="I7628" t="s">
        <v>2597</v>
      </c>
      <c r="J7628" t="s">
        <v>271</v>
      </c>
      <c r="K7628" s="3">
        <v>100914617651</v>
      </c>
      <c r="L7628" s="10">
        <v>40752</v>
      </c>
      <c r="M7628">
        <v>117.33</v>
      </c>
      <c r="N7628" s="11">
        <v>17</v>
      </c>
      <c r="O7628" s="12">
        <v>6.69</v>
      </c>
      <c r="P7628" s="12">
        <v>3.1</v>
      </c>
      <c r="Q7628" s="13">
        <v>10.31</v>
      </c>
      <c r="R7628" s="36" t="s">
        <v>1841</v>
      </c>
      <c r="S7628" s="7">
        <f t="shared" si="671"/>
        <v>7</v>
      </c>
      <c r="T7628" s="15" t="str">
        <f>VLOOKUP(R7628,产品分类!$C$2:$D$1278,2,0)</f>
        <v>办公用品</v>
      </c>
    </row>
    <row r="7629" spans="1:20">
      <c r="A7629" s="16">
        <f>DATE(2012,12,31)-912</f>
        <v>40362</v>
      </c>
      <c r="B7629" s="16">
        <f>DATE(2012,12,31)-912</f>
        <v>40362</v>
      </c>
      <c r="C7629" s="9" t="s">
        <v>1885</v>
      </c>
      <c r="D7629">
        <v>10021408804</v>
      </c>
      <c r="E7629" t="s">
        <v>47</v>
      </c>
      <c r="F7629" t="s">
        <v>66</v>
      </c>
      <c r="G7629" t="s">
        <v>67</v>
      </c>
      <c r="H7629" t="s">
        <v>2584</v>
      </c>
      <c r="I7629" t="s">
        <v>2585</v>
      </c>
      <c r="J7629" t="s">
        <v>271</v>
      </c>
      <c r="K7629" s="3">
        <v>10043289233</v>
      </c>
      <c r="L7629" s="10">
        <v>40364</v>
      </c>
      <c r="M7629">
        <v>54.61</v>
      </c>
      <c r="N7629" s="17">
        <v>11</v>
      </c>
      <c r="O7629" s="5">
        <v>4.76</v>
      </c>
      <c r="P7629" s="5">
        <v>0.88</v>
      </c>
      <c r="Q7629" s="6">
        <v>14.99</v>
      </c>
      <c r="R7629" s="37" t="s">
        <v>2315</v>
      </c>
      <c r="S7629" s="7">
        <f t="shared" si="671"/>
        <v>2</v>
      </c>
      <c r="T7629" s="15" t="str">
        <f>VLOOKUP(R7629,产品分类!$C$2:$D$1278,2,0)</f>
        <v>家具产品</v>
      </c>
    </row>
    <row r="7630" spans="1:20">
      <c r="A7630" s="8">
        <f>DATE(2012,12,31)-491</f>
        <v>40783</v>
      </c>
      <c r="B7630" s="8">
        <f>DATE(2012,12,31)-491</f>
        <v>40783</v>
      </c>
      <c r="C7630" s="9" t="s">
        <v>1885</v>
      </c>
      <c r="D7630">
        <v>10021684230</v>
      </c>
      <c r="E7630" t="s">
        <v>47</v>
      </c>
      <c r="F7630" t="s">
        <v>208</v>
      </c>
      <c r="G7630" t="s">
        <v>209</v>
      </c>
      <c r="H7630" t="s">
        <v>2300</v>
      </c>
      <c r="I7630" t="s">
        <v>2301</v>
      </c>
      <c r="J7630" t="s">
        <v>271</v>
      </c>
      <c r="K7630" s="3">
        <v>100825494682</v>
      </c>
      <c r="L7630" s="10">
        <v>40784</v>
      </c>
      <c r="M7630">
        <v>197.93</v>
      </c>
      <c r="N7630" s="11">
        <v>32</v>
      </c>
      <c r="O7630" s="12">
        <v>5.98</v>
      </c>
      <c r="P7630" s="12">
        <v>5.46</v>
      </c>
      <c r="Q7630" s="13">
        <v>-57.64</v>
      </c>
      <c r="R7630" s="36" t="s">
        <v>1842</v>
      </c>
      <c r="S7630" s="7">
        <f t="shared" si="671"/>
        <v>1</v>
      </c>
      <c r="T7630" s="15" t="str">
        <f>VLOOKUP(R7630,产品分类!$C$2:$D$1278,2,0)</f>
        <v>办公用品</v>
      </c>
    </row>
    <row r="7631" spans="1:20">
      <c r="A7631" s="8">
        <f>DATE(2012,12,31)-491</f>
        <v>40783</v>
      </c>
      <c r="B7631" s="8">
        <f>DATE(2012,12,31)-491</f>
        <v>40783</v>
      </c>
      <c r="C7631" s="9" t="s">
        <v>1885</v>
      </c>
      <c r="D7631">
        <v>10021393517</v>
      </c>
      <c r="E7631" t="s">
        <v>47</v>
      </c>
      <c r="F7631" t="s">
        <v>72</v>
      </c>
      <c r="G7631" t="s">
        <v>73</v>
      </c>
      <c r="H7631" t="s">
        <v>2606</v>
      </c>
      <c r="I7631" t="s">
        <v>2607</v>
      </c>
      <c r="J7631" t="s">
        <v>271</v>
      </c>
      <c r="K7631" s="3">
        <v>100330908479</v>
      </c>
      <c r="L7631" s="10">
        <v>40785</v>
      </c>
      <c r="M7631">
        <v>90.58</v>
      </c>
      <c r="N7631" s="11">
        <v>7</v>
      </c>
      <c r="O7631" s="12">
        <v>12.44</v>
      </c>
      <c r="P7631" s="12">
        <v>6.27</v>
      </c>
      <c r="Q7631" s="13">
        <v>-27.83</v>
      </c>
      <c r="R7631" s="36" t="s">
        <v>1974</v>
      </c>
      <c r="S7631" s="7">
        <f t="shared" si="671"/>
        <v>2</v>
      </c>
      <c r="T7631" s="15" t="str">
        <f>VLOOKUP(R7631,产品分类!$C$2:$D$1278,2,0)</f>
        <v>办公用品</v>
      </c>
    </row>
    <row r="7632" spans="1:20">
      <c r="A7632" s="8">
        <f>DATE(2012,12,31)-997</f>
        <v>40277</v>
      </c>
      <c r="B7632" s="8">
        <f>DATE(2012,12,31)-997</f>
        <v>40277</v>
      </c>
      <c r="C7632" s="9" t="s">
        <v>1885</v>
      </c>
      <c r="D7632">
        <v>10021603898</v>
      </c>
      <c r="E7632" t="s">
        <v>47</v>
      </c>
      <c r="F7632" t="s">
        <v>72</v>
      </c>
      <c r="G7632" t="s">
        <v>73</v>
      </c>
      <c r="H7632" t="s">
        <v>2606</v>
      </c>
      <c r="I7632" t="s">
        <v>2607</v>
      </c>
      <c r="J7632" t="s">
        <v>271</v>
      </c>
      <c r="K7632" s="3">
        <v>10047960224</v>
      </c>
      <c r="L7632" s="10">
        <v>40278</v>
      </c>
      <c r="M7632">
        <v>6034.68</v>
      </c>
      <c r="N7632" s="11">
        <v>12</v>
      </c>
      <c r="O7632" s="12">
        <v>499.99</v>
      </c>
      <c r="P7632" s="12">
        <v>24.49</v>
      </c>
      <c r="Q7632" s="13">
        <v>-517.08</v>
      </c>
      <c r="R7632" s="36" t="s">
        <v>1025</v>
      </c>
      <c r="S7632" s="7">
        <f t="shared" si="671"/>
        <v>1</v>
      </c>
      <c r="T7632" s="15" t="str">
        <f>VLOOKUP(R7632,产品分类!$C$2:$D$1278,2,0)</f>
        <v>办公用品</v>
      </c>
    </row>
    <row r="7633" spans="1:20">
      <c r="A7633" s="8">
        <f>DATE(2012,12,31)-1408</f>
        <v>39866</v>
      </c>
      <c r="B7633" s="8">
        <f>DATE(2012,12,31)-1408</f>
        <v>39866</v>
      </c>
      <c r="C7633" s="9" t="s">
        <v>2123</v>
      </c>
      <c r="D7633">
        <v>10021518280</v>
      </c>
      <c r="E7633" t="s">
        <v>47</v>
      </c>
      <c r="F7633" t="s">
        <v>91</v>
      </c>
      <c r="G7633" t="s">
        <v>92</v>
      </c>
      <c r="H7633" t="s">
        <v>2573</v>
      </c>
      <c r="I7633" t="s">
        <v>2574</v>
      </c>
      <c r="J7633" t="s">
        <v>271</v>
      </c>
      <c r="K7633" s="3">
        <v>100432536993</v>
      </c>
      <c r="L7633" s="10">
        <v>39867</v>
      </c>
      <c r="M7633">
        <v>132.36</v>
      </c>
      <c r="N7633" s="11">
        <v>27</v>
      </c>
      <c r="O7633" s="12">
        <v>4.98</v>
      </c>
      <c r="P7633" s="12">
        <v>4.62</v>
      </c>
      <c r="Q7633" s="13">
        <v>-98.35</v>
      </c>
      <c r="R7633" s="36" t="s">
        <v>585</v>
      </c>
      <c r="S7633" s="7">
        <f t="shared" si="671"/>
        <v>1</v>
      </c>
      <c r="T7633" s="15" t="str">
        <f>VLOOKUP(R7633,产品分类!$C$2:$D$1278,2,0)</f>
        <v>家具产品</v>
      </c>
    </row>
    <row r="7634" spans="1:20">
      <c r="A7634" s="8">
        <f>DATE(2012,12,31)-1408</f>
        <v>39866</v>
      </c>
      <c r="B7634" s="8">
        <f>DATE(2012,12,31)-1408</f>
        <v>39866</v>
      </c>
      <c r="C7634" s="9" t="s">
        <v>2024</v>
      </c>
      <c r="D7634">
        <v>10021724816</v>
      </c>
      <c r="E7634" t="s">
        <v>47</v>
      </c>
      <c r="F7634" t="s">
        <v>91</v>
      </c>
      <c r="G7634" t="s">
        <v>92</v>
      </c>
      <c r="H7634" t="s">
        <v>2573</v>
      </c>
      <c r="I7634" t="s">
        <v>2574</v>
      </c>
      <c r="J7634" t="s">
        <v>271</v>
      </c>
      <c r="K7634" s="3">
        <v>10043035964</v>
      </c>
      <c r="L7634" s="10">
        <v>39868</v>
      </c>
      <c r="M7634">
        <v>1498.46</v>
      </c>
      <c r="N7634" s="11">
        <v>42</v>
      </c>
      <c r="O7634" s="12">
        <v>34.23</v>
      </c>
      <c r="P7634" s="12">
        <v>5.02</v>
      </c>
      <c r="Q7634" s="13">
        <v>565.37</v>
      </c>
      <c r="R7634" s="36" t="s">
        <v>1393</v>
      </c>
      <c r="S7634" s="7">
        <f t="shared" si="671"/>
        <v>2</v>
      </c>
      <c r="T7634" s="15" t="str">
        <f>VLOOKUP(R7634,产品分类!$C$2:$D$1278,2,0)</f>
        <v>家具产品</v>
      </c>
    </row>
    <row r="7635" spans="1:20">
      <c r="A7635" s="8">
        <f>DATE(2012,12,31)-1239</f>
        <v>40035</v>
      </c>
      <c r="B7635" s="8">
        <f>DATE(2012,12,31)-1239</f>
        <v>40035</v>
      </c>
      <c r="C7635" s="9" t="s">
        <v>1415</v>
      </c>
      <c r="D7635">
        <v>10021731075</v>
      </c>
      <c r="E7635" t="s">
        <v>47</v>
      </c>
      <c r="F7635" t="s">
        <v>83</v>
      </c>
      <c r="G7635" t="s">
        <v>84</v>
      </c>
      <c r="H7635" t="s">
        <v>2577</v>
      </c>
      <c r="I7635" t="s">
        <v>2578</v>
      </c>
      <c r="J7635" t="s">
        <v>271</v>
      </c>
      <c r="K7635" s="3">
        <v>100132863297</v>
      </c>
      <c r="L7635" s="10">
        <v>40040</v>
      </c>
      <c r="M7635">
        <v>210.94</v>
      </c>
      <c r="N7635" s="11">
        <v>32</v>
      </c>
      <c r="O7635" s="12">
        <v>6.48</v>
      </c>
      <c r="P7635" s="12">
        <v>6.81</v>
      </c>
      <c r="Q7635" s="13">
        <v>-94.59</v>
      </c>
      <c r="R7635" s="36" t="s">
        <v>1898</v>
      </c>
      <c r="S7635" s="7">
        <f t="shared" si="671"/>
        <v>5</v>
      </c>
      <c r="T7635" s="15" t="str">
        <f>VLOOKUP(R7635,产品分类!$C$2:$D$1278,2,0)</f>
        <v>数码电子</v>
      </c>
    </row>
    <row r="7636" spans="1:20">
      <c r="A7636" s="8">
        <f>DATE(2012,12,31)-1239</f>
        <v>40035</v>
      </c>
      <c r="B7636" s="8">
        <f>DATE(2012,12,31)-1239</f>
        <v>40035</v>
      </c>
      <c r="C7636" s="9" t="s">
        <v>666</v>
      </c>
      <c r="D7636">
        <v>10021717190</v>
      </c>
      <c r="E7636" t="s">
        <v>47</v>
      </c>
      <c r="F7636" t="s">
        <v>61</v>
      </c>
      <c r="G7636" t="s">
        <v>62</v>
      </c>
      <c r="H7636" t="s">
        <v>2596</v>
      </c>
      <c r="I7636" t="s">
        <v>2597</v>
      </c>
      <c r="J7636" t="s">
        <v>271</v>
      </c>
      <c r="K7636" s="3">
        <v>100412057924</v>
      </c>
      <c r="L7636" s="10">
        <v>40042</v>
      </c>
      <c r="M7636">
        <v>192.02</v>
      </c>
      <c r="N7636" s="11">
        <v>7</v>
      </c>
      <c r="O7636" s="12">
        <v>20.98</v>
      </c>
      <c r="P7636" s="12">
        <v>53.03</v>
      </c>
      <c r="Q7636" s="13">
        <v>-293.74</v>
      </c>
      <c r="R7636" s="36" t="s">
        <v>1377</v>
      </c>
      <c r="S7636" s="7">
        <f t="shared" si="671"/>
        <v>7</v>
      </c>
      <c r="T7636" s="15" t="str">
        <f>VLOOKUP(R7636,产品分类!$C$2:$D$1278,2,0)</f>
        <v>办公用品</v>
      </c>
    </row>
    <row r="7637" spans="1:20">
      <c r="A7637" s="8">
        <f>DATE(2012,12,31)-757</f>
        <v>40517</v>
      </c>
      <c r="B7637" s="8">
        <f>DATE(2012,12,31)-757</f>
        <v>40517</v>
      </c>
      <c r="C7637" s="9" t="s">
        <v>2124</v>
      </c>
      <c r="D7637">
        <v>10021310107</v>
      </c>
      <c r="E7637" t="s">
        <v>47</v>
      </c>
      <c r="F7637" t="s">
        <v>61</v>
      </c>
      <c r="G7637" t="s">
        <v>62</v>
      </c>
      <c r="H7637" t="s">
        <v>2596</v>
      </c>
      <c r="I7637" t="s">
        <v>2597</v>
      </c>
      <c r="J7637" t="s">
        <v>271</v>
      </c>
      <c r="K7637" s="3">
        <v>100327666229</v>
      </c>
      <c r="L7637" s="10">
        <v>40518</v>
      </c>
      <c r="M7637">
        <v>174.58</v>
      </c>
      <c r="N7637" s="11">
        <v>26</v>
      </c>
      <c r="O7637" s="12">
        <v>6.84</v>
      </c>
      <c r="P7637" s="12">
        <v>4.42</v>
      </c>
      <c r="Q7637" s="13">
        <v>-57.17</v>
      </c>
      <c r="R7637" s="36" t="s">
        <v>2476</v>
      </c>
      <c r="S7637" s="7">
        <f t="shared" si="671"/>
        <v>1</v>
      </c>
      <c r="T7637" s="15" t="str">
        <f>VLOOKUP(R7637,产品分类!$C$2:$D$1278,2,0)</f>
        <v>数码电子</v>
      </c>
    </row>
    <row r="7638" spans="1:20">
      <c r="A7638" s="8">
        <f>DATE(2012,12,31)-757</f>
        <v>40517</v>
      </c>
      <c r="B7638" s="8">
        <f>DATE(2012,12,31)-757</f>
        <v>40517</v>
      </c>
      <c r="C7638" s="9" t="s">
        <v>2124</v>
      </c>
      <c r="D7638">
        <v>10021654150</v>
      </c>
      <c r="E7638" t="s">
        <v>47</v>
      </c>
      <c r="F7638" t="s">
        <v>61</v>
      </c>
      <c r="G7638" t="s">
        <v>62</v>
      </c>
      <c r="H7638" t="s">
        <v>2596</v>
      </c>
      <c r="I7638" t="s">
        <v>2597</v>
      </c>
      <c r="J7638" t="s">
        <v>271</v>
      </c>
      <c r="K7638" s="3">
        <v>100113432377</v>
      </c>
      <c r="L7638" s="10">
        <v>40518</v>
      </c>
      <c r="M7638">
        <v>8789.54</v>
      </c>
      <c r="N7638" s="11">
        <v>22</v>
      </c>
      <c r="O7638" s="12">
        <v>424.21</v>
      </c>
      <c r="P7638" s="12">
        <v>110.2</v>
      </c>
      <c r="Q7638" s="13">
        <v>-1025.188307</v>
      </c>
      <c r="R7638" s="36" t="s">
        <v>2295</v>
      </c>
      <c r="S7638" s="7">
        <f t="shared" si="671"/>
        <v>1</v>
      </c>
      <c r="T7638" s="15" t="str">
        <f>VLOOKUP(R7638,产品分类!$C$2:$D$1278,2,0)</f>
        <v>家具产品</v>
      </c>
    </row>
    <row r="7639" spans="1:20">
      <c r="A7639" s="16">
        <f>DATE(2012,12,31)-540</f>
        <v>40734</v>
      </c>
      <c r="B7639" s="16">
        <f>DATE(2012,12,31)-540</f>
        <v>40734</v>
      </c>
      <c r="C7639" s="9" t="s">
        <v>2011</v>
      </c>
      <c r="D7639">
        <v>10021668410</v>
      </c>
      <c r="E7639" t="s">
        <v>47</v>
      </c>
      <c r="F7639" t="s">
        <v>97</v>
      </c>
      <c r="G7639" t="s">
        <v>98</v>
      </c>
      <c r="H7639" t="s">
        <v>99</v>
      </c>
      <c r="I7639" t="s">
        <v>98</v>
      </c>
      <c r="J7639" t="s">
        <v>271</v>
      </c>
      <c r="K7639" s="3">
        <v>100729135415</v>
      </c>
      <c r="L7639" s="10">
        <v>40738</v>
      </c>
      <c r="M7639">
        <v>344.25</v>
      </c>
      <c r="N7639" s="17">
        <v>24</v>
      </c>
      <c r="O7639" s="5">
        <v>14.48</v>
      </c>
      <c r="P7639" s="5">
        <v>6.46</v>
      </c>
      <c r="Q7639" s="6">
        <v>23.9615</v>
      </c>
      <c r="R7639" s="37" t="s">
        <v>2258</v>
      </c>
      <c r="S7639" s="7">
        <f t="shared" si="671"/>
        <v>4</v>
      </c>
      <c r="T7639" s="15" t="str">
        <f>VLOOKUP(R7639,产品分类!$C$2:$D$1278,2,0)</f>
        <v>数码电子</v>
      </c>
    </row>
    <row r="7640" spans="1:20">
      <c r="A7640" s="8">
        <f>DATE(2012,12,31)-540</f>
        <v>40734</v>
      </c>
      <c r="B7640" s="8">
        <f>DATE(2012,12,31)-540</f>
        <v>40734</v>
      </c>
      <c r="C7640" s="9" t="s">
        <v>193</v>
      </c>
      <c r="D7640">
        <v>10021749828</v>
      </c>
      <c r="E7640" t="s">
        <v>47</v>
      </c>
      <c r="F7640" t="s">
        <v>66</v>
      </c>
      <c r="G7640" t="s">
        <v>67</v>
      </c>
      <c r="H7640" t="s">
        <v>2584</v>
      </c>
      <c r="I7640" t="s">
        <v>2585</v>
      </c>
      <c r="J7640" t="s">
        <v>271</v>
      </c>
      <c r="K7640" s="3">
        <v>100131029267</v>
      </c>
      <c r="L7640" s="10">
        <v>40739</v>
      </c>
      <c r="M7640">
        <v>64.77</v>
      </c>
      <c r="N7640" s="11">
        <v>12</v>
      </c>
      <c r="O7640" s="12">
        <v>5.84</v>
      </c>
      <c r="P7640" s="12">
        <v>1</v>
      </c>
      <c r="Q7640" s="13">
        <v>14.46</v>
      </c>
      <c r="R7640" s="36" t="s">
        <v>424</v>
      </c>
      <c r="S7640" s="7">
        <f t="shared" si="671"/>
        <v>5</v>
      </c>
      <c r="T7640" s="15" t="str">
        <f>VLOOKUP(R7640,产品分类!$C$2:$D$1278,2,0)</f>
        <v>数码电子</v>
      </c>
    </row>
    <row r="7641" spans="1:20">
      <c r="A7641" s="8">
        <f>DATE(2012,12,31)-324</f>
        <v>40950</v>
      </c>
      <c r="B7641" s="8">
        <f>DATE(2012,12,31)-324</f>
        <v>40950</v>
      </c>
      <c r="C7641" s="9" t="s">
        <v>811</v>
      </c>
      <c r="D7641">
        <v>10021387093</v>
      </c>
      <c r="E7641" t="s">
        <v>47</v>
      </c>
      <c r="F7641" t="s">
        <v>152</v>
      </c>
      <c r="G7641" t="s">
        <v>153</v>
      </c>
      <c r="H7641" t="s">
        <v>2589</v>
      </c>
      <c r="I7641" t="s">
        <v>2590</v>
      </c>
      <c r="J7641" t="s">
        <v>271</v>
      </c>
      <c r="K7641" s="3">
        <v>100915687751</v>
      </c>
      <c r="L7641" s="10">
        <v>40951</v>
      </c>
      <c r="M7641">
        <v>1024.31</v>
      </c>
      <c r="N7641" s="11">
        <v>31</v>
      </c>
      <c r="O7641" s="12">
        <v>31.74</v>
      </c>
      <c r="P7641" s="12">
        <v>12.62</v>
      </c>
      <c r="Q7641" s="13">
        <v>174.7175</v>
      </c>
      <c r="R7641" s="36" t="s">
        <v>936</v>
      </c>
      <c r="S7641" s="7">
        <f t="shared" si="671"/>
        <v>1</v>
      </c>
      <c r="T7641" s="15" t="str">
        <f>VLOOKUP(R7641,产品分类!$C$2:$D$1278,2,0)</f>
        <v>办公用品</v>
      </c>
    </row>
    <row r="7642" spans="1:20">
      <c r="A7642" s="8">
        <f>DATE(2012,12,31)-362</f>
        <v>40912</v>
      </c>
      <c r="B7642" s="8">
        <f>DATE(2012,12,31)-362</f>
        <v>40912</v>
      </c>
      <c r="C7642" s="9" t="s">
        <v>1473</v>
      </c>
      <c r="D7642">
        <v>10021507425</v>
      </c>
      <c r="E7642" t="s">
        <v>47</v>
      </c>
      <c r="F7642" t="s">
        <v>152</v>
      </c>
      <c r="G7642" t="s">
        <v>153</v>
      </c>
      <c r="H7642" t="s">
        <v>2589</v>
      </c>
      <c r="I7642" t="s">
        <v>2590</v>
      </c>
      <c r="J7642" t="s">
        <v>271</v>
      </c>
      <c r="K7642" s="3">
        <v>100131978147</v>
      </c>
      <c r="L7642" s="10">
        <v>40913</v>
      </c>
      <c r="M7642">
        <v>452.28</v>
      </c>
      <c r="N7642" s="11">
        <v>48</v>
      </c>
      <c r="O7642" s="12">
        <v>9.85</v>
      </c>
      <c r="P7642" s="12">
        <v>4.82</v>
      </c>
      <c r="Q7642" s="13">
        <v>-21</v>
      </c>
      <c r="R7642" s="36" t="s">
        <v>724</v>
      </c>
      <c r="S7642" s="7">
        <f t="shared" si="671"/>
        <v>1</v>
      </c>
      <c r="T7642" s="15" t="str">
        <f>VLOOKUP(R7642,产品分类!$C$2:$D$1278,2,0)</f>
        <v>家具产品</v>
      </c>
    </row>
    <row r="7643" spans="1:20">
      <c r="A7643" s="8">
        <f>DATE(2012,12,31)-362</f>
        <v>40912</v>
      </c>
      <c r="B7643" s="8">
        <f>DATE(2012,12,31)-362</f>
        <v>40912</v>
      </c>
      <c r="C7643" s="9" t="s">
        <v>805</v>
      </c>
      <c r="D7643">
        <v>10021395644</v>
      </c>
      <c r="E7643" t="s">
        <v>47</v>
      </c>
      <c r="F7643" t="s">
        <v>66</v>
      </c>
      <c r="G7643" t="s">
        <v>67</v>
      </c>
      <c r="H7643" t="s">
        <v>2584</v>
      </c>
      <c r="I7643" t="s">
        <v>2585</v>
      </c>
      <c r="J7643" t="s">
        <v>271</v>
      </c>
      <c r="K7643" s="3">
        <v>100913628091</v>
      </c>
      <c r="L7643" s="10">
        <v>40913</v>
      </c>
      <c r="M7643">
        <v>55.82</v>
      </c>
      <c r="N7643" s="11">
        <v>18</v>
      </c>
      <c r="O7643" s="12">
        <v>2.94</v>
      </c>
      <c r="P7643" s="12">
        <v>0.81</v>
      </c>
      <c r="Q7643" s="13">
        <v>14.19</v>
      </c>
      <c r="R7643" s="36" t="s">
        <v>600</v>
      </c>
      <c r="S7643" s="7">
        <f t="shared" si="671"/>
        <v>1</v>
      </c>
      <c r="T7643" s="15" t="str">
        <f>VLOOKUP(R7643,产品分类!$C$2:$D$1278,2,0)</f>
        <v>数码电子</v>
      </c>
    </row>
    <row r="7644" spans="1:20">
      <c r="A7644" s="8">
        <f>DATE(2012,12,31)-538</f>
        <v>40736</v>
      </c>
      <c r="B7644" s="8">
        <f>DATE(2012,12,31)-538</f>
        <v>40736</v>
      </c>
      <c r="C7644" s="9" t="s">
        <v>2049</v>
      </c>
      <c r="D7644">
        <v>10021743095</v>
      </c>
      <c r="E7644" t="s">
        <v>47</v>
      </c>
      <c r="F7644" t="s">
        <v>152</v>
      </c>
      <c r="G7644" t="s">
        <v>153</v>
      </c>
      <c r="H7644" t="s">
        <v>2589</v>
      </c>
      <c r="I7644" t="s">
        <v>2590</v>
      </c>
      <c r="J7644" t="s">
        <v>271</v>
      </c>
      <c r="K7644" s="3">
        <v>100125236048</v>
      </c>
      <c r="L7644" s="10">
        <v>40743</v>
      </c>
      <c r="M7644">
        <v>24.3</v>
      </c>
      <c r="N7644" s="11">
        <v>5</v>
      </c>
      <c r="O7644" s="12">
        <v>4.91</v>
      </c>
      <c r="P7644" s="12">
        <v>0.5</v>
      </c>
      <c r="Q7644" s="13">
        <v>3.14</v>
      </c>
      <c r="R7644" s="36" t="s">
        <v>550</v>
      </c>
      <c r="S7644" s="7">
        <f t="shared" si="671"/>
        <v>7</v>
      </c>
      <c r="T7644" s="15" t="str">
        <f>VLOOKUP(R7644,产品分类!$C$2:$D$1278,2,0)</f>
        <v>办公用品</v>
      </c>
    </row>
    <row r="7645" spans="1:20">
      <c r="A7645" s="8">
        <f>DATE(2012,12,31)-538</f>
        <v>40736</v>
      </c>
      <c r="B7645" s="8">
        <f>DATE(2012,12,31)-538</f>
        <v>40736</v>
      </c>
      <c r="C7645" s="9" t="s">
        <v>2038</v>
      </c>
      <c r="D7645">
        <v>10021331092</v>
      </c>
      <c r="E7645" t="s">
        <v>47</v>
      </c>
      <c r="F7645" t="s">
        <v>48</v>
      </c>
      <c r="G7645" t="s">
        <v>49</v>
      </c>
      <c r="H7645" t="s">
        <v>2599</v>
      </c>
      <c r="I7645" t="s">
        <v>2600</v>
      </c>
      <c r="J7645" t="s">
        <v>271</v>
      </c>
      <c r="K7645" s="3">
        <v>1004814584</v>
      </c>
      <c r="L7645" s="10">
        <v>40741</v>
      </c>
      <c r="M7645">
        <v>322.61</v>
      </c>
      <c r="N7645" s="11">
        <v>14</v>
      </c>
      <c r="O7645" s="12">
        <v>22.01</v>
      </c>
      <c r="P7645" s="12">
        <v>5.53</v>
      </c>
      <c r="Q7645" s="13">
        <v>19.37</v>
      </c>
      <c r="R7645" s="36" t="s">
        <v>1958</v>
      </c>
      <c r="S7645" s="7">
        <f t="shared" si="671"/>
        <v>5</v>
      </c>
      <c r="T7645" s="15" t="str">
        <f>VLOOKUP(R7645,产品分类!$C$2:$D$1278,2,0)</f>
        <v>数码电子</v>
      </c>
    </row>
    <row r="7646" spans="1:20">
      <c r="A7646" s="8">
        <f>DATE(2012,12,31)-791</f>
        <v>40483</v>
      </c>
      <c r="B7646" s="8">
        <f>DATE(2012,12,31)-791</f>
        <v>40483</v>
      </c>
      <c r="C7646" s="9" t="s">
        <v>849</v>
      </c>
      <c r="D7646">
        <v>10021753704</v>
      </c>
      <c r="E7646" t="s">
        <v>47</v>
      </c>
      <c r="F7646" t="s">
        <v>97</v>
      </c>
      <c r="G7646" t="s">
        <v>98</v>
      </c>
      <c r="H7646" t="s">
        <v>99</v>
      </c>
      <c r="I7646" t="s">
        <v>98</v>
      </c>
      <c r="J7646" t="s">
        <v>271</v>
      </c>
      <c r="K7646" s="3">
        <v>100932364021</v>
      </c>
      <c r="L7646" s="10">
        <v>40484</v>
      </c>
      <c r="M7646">
        <v>235.15</v>
      </c>
      <c r="N7646" s="11">
        <v>38</v>
      </c>
      <c r="O7646" s="12">
        <v>5.85</v>
      </c>
      <c r="P7646" s="12">
        <v>2.27</v>
      </c>
      <c r="Q7646" s="13">
        <v>12.7</v>
      </c>
      <c r="R7646" s="36" t="s">
        <v>402</v>
      </c>
      <c r="S7646" s="7">
        <f t="shared" si="671"/>
        <v>1</v>
      </c>
      <c r="T7646" s="15" t="str">
        <f>VLOOKUP(R7646,产品分类!$C$2:$D$1278,2,0)</f>
        <v>办公用品</v>
      </c>
    </row>
    <row r="7647" spans="1:20">
      <c r="A7647" s="8">
        <f t="shared" ref="A7647:B7650" si="673">DATE(2012,12,31)-1359</f>
        <v>39915</v>
      </c>
      <c r="B7647" s="8">
        <f t="shared" si="673"/>
        <v>39915</v>
      </c>
      <c r="C7647" s="9" t="s">
        <v>849</v>
      </c>
      <c r="D7647">
        <v>10021420119</v>
      </c>
      <c r="E7647" t="s">
        <v>47</v>
      </c>
      <c r="F7647" t="s">
        <v>66</v>
      </c>
      <c r="G7647" t="s">
        <v>67</v>
      </c>
      <c r="H7647" t="s">
        <v>2584</v>
      </c>
      <c r="I7647" t="s">
        <v>2585</v>
      </c>
      <c r="J7647" t="s">
        <v>271</v>
      </c>
      <c r="K7647" s="3">
        <v>100324624039</v>
      </c>
      <c r="L7647" s="10">
        <v>39917</v>
      </c>
      <c r="M7647">
        <v>292.38</v>
      </c>
      <c r="N7647" s="11">
        <v>8</v>
      </c>
      <c r="O7647" s="12">
        <v>35.51</v>
      </c>
      <c r="P7647" s="12">
        <v>6.31</v>
      </c>
      <c r="Q7647" s="13">
        <v>6.11</v>
      </c>
      <c r="R7647" s="36" t="s">
        <v>1489</v>
      </c>
      <c r="S7647" s="7">
        <f t="shared" si="671"/>
        <v>2</v>
      </c>
      <c r="T7647" s="15" t="str">
        <f>VLOOKUP(R7647,产品分类!$C$2:$D$1278,2,0)</f>
        <v>数码电子</v>
      </c>
    </row>
    <row r="7648" spans="1:20">
      <c r="A7648" s="8">
        <f t="shared" si="673"/>
        <v>39915</v>
      </c>
      <c r="B7648" s="8">
        <f t="shared" si="673"/>
        <v>39915</v>
      </c>
      <c r="C7648" s="9" t="s">
        <v>849</v>
      </c>
      <c r="D7648">
        <v>10021523769</v>
      </c>
      <c r="E7648" t="s">
        <v>47</v>
      </c>
      <c r="F7648" t="s">
        <v>152</v>
      </c>
      <c r="G7648" t="s">
        <v>153</v>
      </c>
      <c r="H7648" t="s">
        <v>2589</v>
      </c>
      <c r="I7648" t="s">
        <v>2590</v>
      </c>
      <c r="J7648" t="s">
        <v>271</v>
      </c>
      <c r="K7648" s="3">
        <v>100412568503</v>
      </c>
      <c r="L7648" s="10">
        <v>39915</v>
      </c>
      <c r="M7648">
        <v>191.79</v>
      </c>
      <c r="N7648" s="11">
        <v>24</v>
      </c>
      <c r="O7648" s="12">
        <v>8.34</v>
      </c>
      <c r="P7648" s="12">
        <v>2.64</v>
      </c>
      <c r="Q7648" s="13">
        <v>-6.34</v>
      </c>
      <c r="R7648" s="36" t="s">
        <v>658</v>
      </c>
      <c r="S7648" s="7">
        <f t="shared" si="671"/>
        <v>0</v>
      </c>
      <c r="T7648" s="15" t="str">
        <f>VLOOKUP(R7648,产品分类!$C$2:$D$1278,2,0)</f>
        <v>办公用品</v>
      </c>
    </row>
    <row r="7649" spans="1:20">
      <c r="A7649" s="8">
        <f t="shared" si="673"/>
        <v>39915</v>
      </c>
      <c r="B7649" s="8">
        <f t="shared" si="673"/>
        <v>39915</v>
      </c>
      <c r="C7649" s="9" t="s">
        <v>1182</v>
      </c>
      <c r="D7649">
        <v>10021318996</v>
      </c>
      <c r="E7649" t="s">
        <v>47</v>
      </c>
      <c r="F7649" t="s">
        <v>152</v>
      </c>
      <c r="G7649" t="s">
        <v>153</v>
      </c>
      <c r="H7649" t="s">
        <v>2589</v>
      </c>
      <c r="I7649" t="s">
        <v>2590</v>
      </c>
      <c r="J7649" t="s">
        <v>271</v>
      </c>
      <c r="K7649" s="3">
        <v>10078030685</v>
      </c>
      <c r="L7649" s="10">
        <v>39917</v>
      </c>
      <c r="M7649">
        <v>290.01</v>
      </c>
      <c r="N7649" s="11">
        <v>34</v>
      </c>
      <c r="O7649" s="12">
        <v>8.04</v>
      </c>
      <c r="P7649" s="12">
        <v>8.94</v>
      </c>
      <c r="Q7649" s="13">
        <v>-160.2755</v>
      </c>
      <c r="R7649" s="36" t="s">
        <v>351</v>
      </c>
      <c r="S7649" s="7">
        <f t="shared" si="671"/>
        <v>2</v>
      </c>
      <c r="T7649" s="15" t="str">
        <f>VLOOKUP(R7649,产品分类!$C$2:$D$1278,2,0)</f>
        <v>办公用品</v>
      </c>
    </row>
    <row r="7650" spans="1:20">
      <c r="A7650" s="8">
        <f t="shared" si="673"/>
        <v>39915</v>
      </c>
      <c r="B7650" s="8">
        <f t="shared" si="673"/>
        <v>39915</v>
      </c>
      <c r="C7650" s="9" t="s">
        <v>1182</v>
      </c>
      <c r="D7650">
        <v>10021738352</v>
      </c>
      <c r="E7650" t="s">
        <v>47</v>
      </c>
      <c r="F7650" t="s">
        <v>66</v>
      </c>
      <c r="G7650" t="s">
        <v>67</v>
      </c>
      <c r="H7650" t="s">
        <v>2584</v>
      </c>
      <c r="I7650" t="s">
        <v>2585</v>
      </c>
      <c r="J7650" t="s">
        <v>271</v>
      </c>
      <c r="K7650" s="3">
        <v>100411485074</v>
      </c>
      <c r="L7650" s="10">
        <v>39917</v>
      </c>
      <c r="M7650">
        <v>4692.26</v>
      </c>
      <c r="N7650" s="11">
        <v>2</v>
      </c>
      <c r="O7650" s="12">
        <v>2550.14</v>
      </c>
      <c r="P7650" s="12">
        <v>29.7</v>
      </c>
      <c r="Q7650" s="13">
        <v>-7373.1282</v>
      </c>
      <c r="R7650" s="36" t="s">
        <v>960</v>
      </c>
      <c r="S7650" s="7">
        <f t="shared" si="671"/>
        <v>2</v>
      </c>
      <c r="T7650" s="15" t="str">
        <f>VLOOKUP(R7650,产品分类!$C$2:$D$1278,2,0)</f>
        <v>家具产品</v>
      </c>
    </row>
    <row r="7651" spans="1:20">
      <c r="A7651" s="8">
        <f>DATE(2012,12,31)-389</f>
        <v>40885</v>
      </c>
      <c r="B7651" s="8">
        <f>DATE(2012,12,31)-389</f>
        <v>40885</v>
      </c>
      <c r="C7651" s="9" t="s">
        <v>1182</v>
      </c>
      <c r="D7651">
        <v>10021693528</v>
      </c>
      <c r="E7651" t="s">
        <v>47</v>
      </c>
      <c r="F7651" t="s">
        <v>78</v>
      </c>
      <c r="G7651" t="s">
        <v>79</v>
      </c>
      <c r="H7651" t="s">
        <v>80</v>
      </c>
      <c r="I7651" t="s">
        <v>81</v>
      </c>
      <c r="J7651" t="s">
        <v>271</v>
      </c>
      <c r="K7651" s="3">
        <v>10042711793</v>
      </c>
      <c r="L7651" s="10">
        <v>40887</v>
      </c>
      <c r="M7651">
        <v>1717.88</v>
      </c>
      <c r="N7651" s="11">
        <v>28</v>
      </c>
      <c r="O7651" s="12">
        <v>60.97</v>
      </c>
      <c r="P7651" s="12">
        <v>4.5</v>
      </c>
      <c r="Q7651" s="13">
        <v>513.93</v>
      </c>
      <c r="R7651" s="36" t="s">
        <v>2179</v>
      </c>
      <c r="S7651" s="7">
        <f t="shared" si="671"/>
        <v>2</v>
      </c>
      <c r="T7651" s="15" t="str">
        <f>VLOOKUP(R7651,产品分类!$C$2:$D$1278,2,0)</f>
        <v>家具产品</v>
      </c>
    </row>
    <row r="7652" spans="1:20">
      <c r="A7652" s="8">
        <f>DATE(2012,12,31)-389</f>
        <v>40885</v>
      </c>
      <c r="B7652" s="8">
        <f>DATE(2012,12,31)-389</f>
        <v>40885</v>
      </c>
      <c r="C7652" s="9" t="s">
        <v>2051</v>
      </c>
      <c r="D7652">
        <v>10021645824</v>
      </c>
      <c r="E7652" t="s">
        <v>47</v>
      </c>
      <c r="F7652" t="s">
        <v>72</v>
      </c>
      <c r="G7652" t="s">
        <v>73</v>
      </c>
      <c r="H7652" t="s">
        <v>2606</v>
      </c>
      <c r="I7652" t="s">
        <v>2607</v>
      </c>
      <c r="J7652" t="s">
        <v>271</v>
      </c>
      <c r="K7652" s="3">
        <v>10038397409</v>
      </c>
      <c r="L7652" s="10">
        <v>40886</v>
      </c>
      <c r="M7652">
        <v>1978.4345</v>
      </c>
      <c r="N7652" s="11">
        <v>38</v>
      </c>
      <c r="O7652" s="12">
        <v>65.99</v>
      </c>
      <c r="P7652" s="12">
        <v>2.5</v>
      </c>
      <c r="Q7652" s="13">
        <v>471.087</v>
      </c>
      <c r="R7652" s="36" t="s">
        <v>249</v>
      </c>
      <c r="S7652" s="7">
        <f t="shared" si="671"/>
        <v>1</v>
      </c>
      <c r="T7652" s="15" t="str">
        <f>VLOOKUP(R7652,产品分类!$C$2:$D$1278,2,0)</f>
        <v>办公用品</v>
      </c>
    </row>
    <row r="7653" spans="1:20">
      <c r="A7653" s="8">
        <f>DATE(2012,12,31)-1135</f>
        <v>40139</v>
      </c>
      <c r="B7653" s="8">
        <f>DATE(2012,12,31)-1135</f>
        <v>40139</v>
      </c>
      <c r="C7653" s="9" t="s">
        <v>2051</v>
      </c>
      <c r="D7653">
        <v>10021345573</v>
      </c>
      <c r="E7653" t="s">
        <v>47</v>
      </c>
      <c r="F7653" t="s">
        <v>72</v>
      </c>
      <c r="G7653" t="s">
        <v>73</v>
      </c>
      <c r="H7653" t="s">
        <v>2606</v>
      </c>
      <c r="I7653" t="s">
        <v>2607</v>
      </c>
      <c r="J7653" t="s">
        <v>271</v>
      </c>
      <c r="K7653" s="3">
        <v>100930184311</v>
      </c>
      <c r="L7653" s="10">
        <v>40139</v>
      </c>
      <c r="M7653">
        <v>632.05</v>
      </c>
      <c r="N7653" s="11">
        <v>20</v>
      </c>
      <c r="O7653" s="12">
        <v>32.48</v>
      </c>
      <c r="P7653" s="12">
        <v>35</v>
      </c>
      <c r="Q7653" s="13">
        <v>-626.61</v>
      </c>
      <c r="R7653" s="36" t="s">
        <v>190</v>
      </c>
      <c r="S7653" s="7">
        <f t="shared" si="671"/>
        <v>0</v>
      </c>
      <c r="T7653" s="15" t="str">
        <f>VLOOKUP(R7653,产品分类!$C$2:$D$1278,2,0)</f>
        <v>家具产品</v>
      </c>
    </row>
    <row r="7654" spans="1:20">
      <c r="A7654" s="8">
        <f>DATE(2012,12,31)-1358</f>
        <v>39916</v>
      </c>
      <c r="B7654" s="8">
        <f>DATE(2012,12,31)-1358</f>
        <v>39916</v>
      </c>
      <c r="C7654" s="9" t="s">
        <v>1247</v>
      </c>
      <c r="D7654">
        <v>10021556311</v>
      </c>
      <c r="E7654" t="s">
        <v>47</v>
      </c>
      <c r="F7654" t="s">
        <v>72</v>
      </c>
      <c r="G7654" t="s">
        <v>73</v>
      </c>
      <c r="H7654" t="s">
        <v>2606</v>
      </c>
      <c r="I7654" t="s">
        <v>2607</v>
      </c>
      <c r="J7654" t="s">
        <v>271</v>
      </c>
      <c r="K7654" s="3">
        <v>100123546587</v>
      </c>
      <c r="L7654" s="10">
        <v>39917</v>
      </c>
      <c r="M7654">
        <v>29.32</v>
      </c>
      <c r="N7654" s="11">
        <v>2</v>
      </c>
      <c r="O7654" s="12">
        <v>7.28</v>
      </c>
      <c r="P7654" s="12">
        <v>11.15</v>
      </c>
      <c r="Q7654" s="13">
        <v>-12.93</v>
      </c>
      <c r="R7654" s="36" t="s">
        <v>327</v>
      </c>
      <c r="S7654" s="7">
        <f t="shared" si="671"/>
        <v>1</v>
      </c>
      <c r="T7654" s="15" t="str">
        <f>VLOOKUP(R7654,产品分类!$C$2:$D$1278,2,0)</f>
        <v>家具产品</v>
      </c>
    </row>
    <row r="7655" spans="1:20">
      <c r="A7655" s="8">
        <f>DATE(2012,12,31)-286</f>
        <v>40988</v>
      </c>
      <c r="B7655" s="8">
        <f>DATE(2012,12,31)-286</f>
        <v>40988</v>
      </c>
      <c r="C7655" s="9" t="s">
        <v>1247</v>
      </c>
      <c r="D7655">
        <v>10021657588</v>
      </c>
      <c r="E7655" t="s">
        <v>47</v>
      </c>
      <c r="F7655" t="s">
        <v>78</v>
      </c>
      <c r="G7655" t="s">
        <v>79</v>
      </c>
      <c r="H7655" t="s">
        <v>80</v>
      </c>
      <c r="I7655" t="s">
        <v>81</v>
      </c>
      <c r="J7655" t="s">
        <v>271</v>
      </c>
      <c r="K7655" s="3">
        <v>10017005567</v>
      </c>
      <c r="L7655" s="10">
        <v>40988</v>
      </c>
      <c r="M7655">
        <v>2376.7105</v>
      </c>
      <c r="N7655" s="11">
        <v>40</v>
      </c>
      <c r="O7655" s="12">
        <v>65.99</v>
      </c>
      <c r="P7655" s="12">
        <v>3.99</v>
      </c>
      <c r="Q7655" s="13">
        <v>721.809</v>
      </c>
      <c r="R7655" s="36" t="s">
        <v>159</v>
      </c>
      <c r="S7655" s="7">
        <f t="shared" si="671"/>
        <v>0</v>
      </c>
      <c r="T7655" s="15" t="str">
        <f>VLOOKUP(R7655,产品分类!$C$2:$D$1278,2,0)</f>
        <v>数码电子</v>
      </c>
    </row>
    <row r="7656" spans="1:20">
      <c r="A7656" s="8">
        <f>DATE(2012,12,31)-699</f>
        <v>40575</v>
      </c>
      <c r="B7656" s="8">
        <f>DATE(2012,12,31)-699</f>
        <v>40575</v>
      </c>
      <c r="C7656" s="9" t="s">
        <v>2358</v>
      </c>
      <c r="D7656">
        <v>10021750947</v>
      </c>
      <c r="E7656" t="s">
        <v>47</v>
      </c>
      <c r="F7656" t="s">
        <v>78</v>
      </c>
      <c r="G7656" t="s">
        <v>79</v>
      </c>
      <c r="H7656" t="s">
        <v>80</v>
      </c>
      <c r="I7656" t="s">
        <v>81</v>
      </c>
      <c r="J7656" t="s">
        <v>271</v>
      </c>
      <c r="K7656" s="3">
        <v>100130946927</v>
      </c>
      <c r="L7656" s="10">
        <v>40578</v>
      </c>
      <c r="M7656">
        <v>556.45</v>
      </c>
      <c r="N7656" s="11">
        <v>21</v>
      </c>
      <c r="O7656" s="12">
        <v>25.98</v>
      </c>
      <c r="P7656" s="12">
        <v>14.36</v>
      </c>
      <c r="Q7656" s="13">
        <v>-124.42</v>
      </c>
      <c r="R7656" s="36" t="s">
        <v>644</v>
      </c>
      <c r="S7656" s="7">
        <f t="shared" si="671"/>
        <v>3</v>
      </c>
      <c r="T7656" s="15" t="str">
        <f>VLOOKUP(R7656,产品分类!$C$2:$D$1278,2,0)</f>
        <v>家具产品</v>
      </c>
    </row>
    <row r="7657" spans="1:20">
      <c r="A7657" s="8">
        <f>DATE(2012,12,31)-454</f>
        <v>40820</v>
      </c>
      <c r="B7657" s="8">
        <f>DATE(2012,12,31)-454</f>
        <v>40820</v>
      </c>
      <c r="C7657" s="9" t="s">
        <v>2052</v>
      </c>
      <c r="D7657">
        <v>10021335583</v>
      </c>
      <c r="E7657" t="s">
        <v>47</v>
      </c>
      <c r="F7657" t="s">
        <v>78</v>
      </c>
      <c r="G7657" t="s">
        <v>79</v>
      </c>
      <c r="H7657" t="s">
        <v>80</v>
      </c>
      <c r="I7657" t="s">
        <v>81</v>
      </c>
      <c r="J7657" t="s">
        <v>271</v>
      </c>
      <c r="K7657" s="3">
        <v>100415189123</v>
      </c>
      <c r="L7657" s="10">
        <v>40822</v>
      </c>
      <c r="M7657">
        <v>31.7</v>
      </c>
      <c r="N7657" s="11">
        <v>2</v>
      </c>
      <c r="O7657" s="12">
        <v>14.48</v>
      </c>
      <c r="P7657" s="12">
        <v>1.99</v>
      </c>
      <c r="Q7657" s="13">
        <v>-44.39</v>
      </c>
      <c r="R7657" s="36" t="s">
        <v>2161</v>
      </c>
      <c r="S7657" s="7">
        <f t="shared" si="671"/>
        <v>2</v>
      </c>
      <c r="T7657" s="15" t="str">
        <f>VLOOKUP(R7657,产品分类!$C$2:$D$1278,2,0)</f>
        <v>数码电子</v>
      </c>
    </row>
    <row r="7658" spans="1:20">
      <c r="A7658" s="8">
        <f>DATE(2012,12,31)-454</f>
        <v>40820</v>
      </c>
      <c r="B7658" s="8">
        <f>DATE(2012,12,31)-454</f>
        <v>40820</v>
      </c>
      <c r="C7658" s="9" t="s">
        <v>1080</v>
      </c>
      <c r="D7658">
        <v>10021248548</v>
      </c>
      <c r="E7658" t="s">
        <v>47</v>
      </c>
      <c r="F7658" t="s">
        <v>72</v>
      </c>
      <c r="G7658" t="s">
        <v>73</v>
      </c>
      <c r="H7658" t="s">
        <v>2606</v>
      </c>
      <c r="I7658" t="s">
        <v>2607</v>
      </c>
      <c r="J7658" t="s">
        <v>271</v>
      </c>
      <c r="K7658" s="3">
        <v>10082764542</v>
      </c>
      <c r="L7658" s="10">
        <v>40822</v>
      </c>
      <c r="M7658">
        <v>143.9815</v>
      </c>
      <c r="N7658" s="11">
        <v>3</v>
      </c>
      <c r="O7658" s="12">
        <v>55.99</v>
      </c>
      <c r="P7658" s="12">
        <v>2.5</v>
      </c>
      <c r="Q7658" s="13">
        <v>-283.228</v>
      </c>
      <c r="R7658" s="36" t="s">
        <v>636</v>
      </c>
      <c r="S7658" s="7">
        <f t="shared" si="671"/>
        <v>2</v>
      </c>
      <c r="T7658" s="15" t="str">
        <f>VLOOKUP(R7658,产品分类!$C$2:$D$1278,2,0)</f>
        <v>数码电子</v>
      </c>
    </row>
    <row r="7659" spans="1:20">
      <c r="A7659" s="8">
        <f>DATE(2012,12,31)-968</f>
        <v>40306</v>
      </c>
      <c r="B7659" s="8">
        <f>DATE(2012,12,31)-968</f>
        <v>40306</v>
      </c>
      <c r="C7659" s="9" t="s">
        <v>313</v>
      </c>
      <c r="D7659">
        <v>10021295351</v>
      </c>
      <c r="E7659" t="s">
        <v>47</v>
      </c>
      <c r="F7659" t="s">
        <v>72</v>
      </c>
      <c r="G7659" t="s">
        <v>73</v>
      </c>
      <c r="H7659" t="s">
        <v>2606</v>
      </c>
      <c r="I7659" t="s">
        <v>2607</v>
      </c>
      <c r="J7659" t="s">
        <v>271</v>
      </c>
      <c r="K7659" s="3">
        <v>100716194225</v>
      </c>
      <c r="L7659" s="10">
        <v>40311</v>
      </c>
      <c r="M7659">
        <v>171.52</v>
      </c>
      <c r="N7659" s="11">
        <v>32</v>
      </c>
      <c r="O7659" s="12">
        <v>5.68</v>
      </c>
      <c r="P7659" s="12">
        <v>1.39</v>
      </c>
      <c r="Q7659" s="13">
        <v>46.61</v>
      </c>
      <c r="R7659" s="36" t="s">
        <v>1990</v>
      </c>
      <c r="S7659" s="7">
        <f t="shared" si="671"/>
        <v>5</v>
      </c>
      <c r="T7659" s="15" t="str">
        <f>VLOOKUP(R7659,产品分类!$C$2:$D$1278,2,0)</f>
        <v>家具产品</v>
      </c>
    </row>
    <row r="7660" spans="1:20">
      <c r="A7660" s="8">
        <f>DATE(2012,12,31)-814</f>
        <v>40460</v>
      </c>
      <c r="B7660" s="8">
        <f>DATE(2012,12,31)-814</f>
        <v>40460</v>
      </c>
      <c r="C7660" s="9" t="s">
        <v>313</v>
      </c>
      <c r="D7660">
        <v>10021501081</v>
      </c>
      <c r="E7660" t="s">
        <v>47</v>
      </c>
      <c r="F7660" t="s">
        <v>78</v>
      </c>
      <c r="G7660" t="s">
        <v>79</v>
      </c>
      <c r="H7660" t="s">
        <v>80</v>
      </c>
      <c r="I7660" t="s">
        <v>81</v>
      </c>
      <c r="J7660" t="s">
        <v>271</v>
      </c>
      <c r="K7660" s="3">
        <v>100426923684</v>
      </c>
      <c r="L7660" s="10">
        <v>40462</v>
      </c>
      <c r="M7660">
        <v>134.68</v>
      </c>
      <c r="N7660" s="11">
        <v>29</v>
      </c>
      <c r="O7660" s="12">
        <v>4.98</v>
      </c>
      <c r="P7660" s="12">
        <v>4.7</v>
      </c>
      <c r="Q7660" s="13">
        <v>-66.46</v>
      </c>
      <c r="R7660" s="36" t="s">
        <v>150</v>
      </c>
      <c r="S7660" s="7">
        <f t="shared" si="671"/>
        <v>2</v>
      </c>
      <c r="T7660" s="15" t="str">
        <f>VLOOKUP(R7660,产品分类!$C$2:$D$1278,2,0)</f>
        <v>家具产品</v>
      </c>
    </row>
    <row r="7661" spans="1:20">
      <c r="A7661" s="8">
        <f>DATE(2012,12,31)-1194</f>
        <v>40080</v>
      </c>
      <c r="B7661" s="8">
        <f>DATE(2012,12,31)-1194</f>
        <v>40080</v>
      </c>
      <c r="C7661" s="9" t="s">
        <v>1741</v>
      </c>
      <c r="D7661">
        <v>10021712328</v>
      </c>
      <c r="E7661" t="s">
        <v>47</v>
      </c>
      <c r="F7661" t="s">
        <v>72</v>
      </c>
      <c r="G7661" t="s">
        <v>73</v>
      </c>
      <c r="H7661" t="s">
        <v>2606</v>
      </c>
      <c r="I7661" t="s">
        <v>2607</v>
      </c>
      <c r="J7661" t="s">
        <v>271</v>
      </c>
      <c r="K7661" s="3">
        <v>100732765755</v>
      </c>
      <c r="L7661" s="10">
        <v>40081</v>
      </c>
      <c r="M7661">
        <v>1132.54</v>
      </c>
      <c r="N7661" s="11">
        <v>22</v>
      </c>
      <c r="O7661" s="12">
        <v>48.91</v>
      </c>
      <c r="P7661" s="12">
        <v>35</v>
      </c>
      <c r="Q7661" s="13">
        <v>-628.38</v>
      </c>
      <c r="R7661" s="36" t="s">
        <v>1171</v>
      </c>
      <c r="S7661" s="7">
        <f t="shared" si="671"/>
        <v>1</v>
      </c>
      <c r="T7661" s="15" t="str">
        <f>VLOOKUP(R7661,产品分类!$C$2:$D$1278,2,0)</f>
        <v>办公用品</v>
      </c>
    </row>
    <row r="7662" spans="1:20">
      <c r="A7662" s="16">
        <f>DATE(2012,12,31)-1079</f>
        <v>40195</v>
      </c>
      <c r="B7662" s="16">
        <f>DATE(2012,12,31)-1079</f>
        <v>40195</v>
      </c>
      <c r="C7662" s="9" t="s">
        <v>1263</v>
      </c>
      <c r="D7662">
        <v>10021663790</v>
      </c>
      <c r="E7662" t="s">
        <v>47</v>
      </c>
      <c r="F7662" t="s">
        <v>72</v>
      </c>
      <c r="G7662" t="s">
        <v>73</v>
      </c>
      <c r="H7662" t="s">
        <v>2606</v>
      </c>
      <c r="I7662" t="s">
        <v>2607</v>
      </c>
      <c r="J7662" t="s">
        <v>271</v>
      </c>
      <c r="K7662" s="3">
        <v>100424491983</v>
      </c>
      <c r="L7662" s="10">
        <v>40196</v>
      </c>
      <c r="M7662">
        <v>85.71</v>
      </c>
      <c r="N7662" s="17">
        <v>26</v>
      </c>
      <c r="O7662" s="5">
        <v>3.28</v>
      </c>
      <c r="P7662" s="5">
        <v>0.98</v>
      </c>
      <c r="Q7662" s="6">
        <v>9.32</v>
      </c>
      <c r="R7662" s="37" t="s">
        <v>146</v>
      </c>
      <c r="S7662" s="7">
        <f t="shared" si="671"/>
        <v>1</v>
      </c>
      <c r="T7662" s="15" t="str">
        <f>VLOOKUP(R7662,产品分类!$C$2:$D$1278,2,0)</f>
        <v>办公用品</v>
      </c>
    </row>
    <row r="7663" spans="1:20">
      <c r="A7663" s="8">
        <f>DATE(2012,12,31)-1079</f>
        <v>40195</v>
      </c>
      <c r="B7663" s="8">
        <f>DATE(2012,12,31)-1079</f>
        <v>40195</v>
      </c>
      <c r="C7663" s="9" t="s">
        <v>1263</v>
      </c>
      <c r="D7663">
        <v>10021628596</v>
      </c>
      <c r="E7663" t="s">
        <v>47</v>
      </c>
      <c r="F7663" t="s">
        <v>78</v>
      </c>
      <c r="G7663" t="s">
        <v>79</v>
      </c>
      <c r="H7663" t="s">
        <v>80</v>
      </c>
      <c r="I7663" t="s">
        <v>81</v>
      </c>
      <c r="J7663" t="s">
        <v>271</v>
      </c>
      <c r="K7663" s="3">
        <v>10072749125</v>
      </c>
      <c r="L7663" s="10">
        <v>40196</v>
      </c>
      <c r="M7663">
        <v>576.58</v>
      </c>
      <c r="N7663" s="11">
        <v>41</v>
      </c>
      <c r="O7663" s="12">
        <v>13.9</v>
      </c>
      <c r="P7663" s="12">
        <v>7.59</v>
      </c>
      <c r="Q7663" s="13">
        <v>-81.55</v>
      </c>
      <c r="R7663" s="36" t="s">
        <v>1561</v>
      </c>
      <c r="S7663" s="7">
        <f t="shared" si="671"/>
        <v>1</v>
      </c>
      <c r="T7663" s="15" t="str">
        <f>VLOOKUP(R7663,产品分类!$C$2:$D$1278,2,0)</f>
        <v>数码电子</v>
      </c>
    </row>
    <row r="7664" spans="1:20">
      <c r="A7664" s="8">
        <f>DATE(2012,12,31)-911</f>
        <v>40363</v>
      </c>
      <c r="B7664" s="8">
        <f>DATE(2012,12,31)-911</f>
        <v>40363</v>
      </c>
      <c r="C7664" s="9" t="s">
        <v>2285</v>
      </c>
      <c r="D7664">
        <v>10021738558</v>
      </c>
      <c r="E7664" t="s">
        <v>47</v>
      </c>
      <c r="F7664" t="s">
        <v>78</v>
      </c>
      <c r="G7664" t="s">
        <v>79</v>
      </c>
      <c r="H7664" t="s">
        <v>80</v>
      </c>
      <c r="I7664" t="s">
        <v>81</v>
      </c>
      <c r="J7664" t="s">
        <v>271</v>
      </c>
      <c r="K7664" s="3">
        <v>100113904076</v>
      </c>
      <c r="L7664" s="10">
        <v>40365</v>
      </c>
      <c r="M7664">
        <v>438.8</v>
      </c>
      <c r="N7664" s="11">
        <v>39</v>
      </c>
      <c r="O7664" s="12">
        <v>11.7</v>
      </c>
      <c r="P7664" s="12">
        <v>6.96</v>
      </c>
      <c r="Q7664" s="13">
        <v>-84.19</v>
      </c>
      <c r="R7664" s="36" t="s">
        <v>772</v>
      </c>
      <c r="S7664" s="7">
        <f t="shared" si="671"/>
        <v>2</v>
      </c>
      <c r="T7664" s="15" t="str">
        <f>VLOOKUP(R7664,产品分类!$C$2:$D$1278,2,0)</f>
        <v>数码电子</v>
      </c>
    </row>
    <row r="7665" spans="1:20">
      <c r="A7665" s="16">
        <f>DATE(2012,12,31)-101</f>
        <v>41173</v>
      </c>
      <c r="B7665" s="16">
        <f>DATE(2012,12,31)-101</f>
        <v>41173</v>
      </c>
      <c r="C7665" s="9" t="s">
        <v>2285</v>
      </c>
      <c r="D7665">
        <v>10021522208</v>
      </c>
      <c r="E7665" t="s">
        <v>47</v>
      </c>
      <c r="F7665" t="s">
        <v>230</v>
      </c>
      <c r="G7665" t="s">
        <v>231</v>
      </c>
      <c r="H7665" t="s">
        <v>2602</v>
      </c>
      <c r="I7665" t="s">
        <v>2603</v>
      </c>
      <c r="J7665" t="s">
        <v>271</v>
      </c>
      <c r="K7665" s="3">
        <v>100811116622</v>
      </c>
      <c r="L7665" s="10">
        <v>41175</v>
      </c>
      <c r="M7665">
        <v>985.29</v>
      </c>
      <c r="N7665" s="17">
        <v>22</v>
      </c>
      <c r="O7665" s="5">
        <v>43.98</v>
      </c>
      <c r="P7665" s="5">
        <v>8.99</v>
      </c>
      <c r="Q7665" s="6">
        <v>138.37</v>
      </c>
      <c r="R7665" s="37" t="s">
        <v>195</v>
      </c>
      <c r="S7665" s="7">
        <f t="shared" si="671"/>
        <v>2</v>
      </c>
      <c r="T7665" s="15" t="str">
        <f>VLOOKUP(R7665,产品分类!$C$2:$D$1278,2,0)</f>
        <v>家具产品</v>
      </c>
    </row>
    <row r="7666" spans="1:20">
      <c r="A7666" s="8">
        <f>DATE(2012,12,31)-66</f>
        <v>41208</v>
      </c>
      <c r="B7666" s="8">
        <f>DATE(2012,12,31)-66</f>
        <v>41208</v>
      </c>
      <c r="C7666" s="9" t="s">
        <v>2271</v>
      </c>
      <c r="D7666">
        <v>10021739793</v>
      </c>
      <c r="E7666" t="s">
        <v>47</v>
      </c>
      <c r="F7666" t="s">
        <v>230</v>
      </c>
      <c r="G7666" t="s">
        <v>231</v>
      </c>
      <c r="H7666" t="s">
        <v>2602</v>
      </c>
      <c r="I7666" t="s">
        <v>2603</v>
      </c>
      <c r="J7666" t="s">
        <v>271</v>
      </c>
      <c r="K7666" s="3">
        <v>100816883392</v>
      </c>
      <c r="L7666" s="10">
        <v>41209</v>
      </c>
      <c r="M7666">
        <v>575.89</v>
      </c>
      <c r="N7666" s="11">
        <v>29</v>
      </c>
      <c r="O7666" s="12">
        <v>19.98</v>
      </c>
      <c r="P7666" s="12">
        <v>4</v>
      </c>
      <c r="Q7666" s="13">
        <v>-14.04</v>
      </c>
      <c r="R7666" s="36" t="s">
        <v>2225</v>
      </c>
      <c r="S7666" s="7">
        <f t="shared" si="671"/>
        <v>1</v>
      </c>
      <c r="T7666" s="15" t="str">
        <f>VLOOKUP(R7666,产品分类!$C$2:$D$1278,2,0)</f>
        <v>办公用品</v>
      </c>
    </row>
    <row r="7667" spans="1:20">
      <c r="A7667" s="8">
        <f>DATE(2012,12,31)-66</f>
        <v>41208</v>
      </c>
      <c r="B7667" s="8">
        <f>DATE(2012,12,31)-66</f>
        <v>41208</v>
      </c>
      <c r="C7667" s="9" t="s">
        <v>2271</v>
      </c>
      <c r="D7667">
        <v>10021670388</v>
      </c>
      <c r="E7667" t="s">
        <v>47</v>
      </c>
      <c r="F7667" t="s">
        <v>230</v>
      </c>
      <c r="G7667" t="s">
        <v>231</v>
      </c>
      <c r="H7667" t="s">
        <v>2602</v>
      </c>
      <c r="I7667" t="s">
        <v>2603</v>
      </c>
      <c r="J7667" t="s">
        <v>271</v>
      </c>
      <c r="K7667" s="3">
        <v>100930284851</v>
      </c>
      <c r="L7667" s="10">
        <v>41208</v>
      </c>
      <c r="M7667">
        <v>260.6</v>
      </c>
      <c r="N7667" s="11">
        <v>43</v>
      </c>
      <c r="O7667" s="12">
        <v>5.78</v>
      </c>
      <c r="P7667" s="12">
        <v>7.96</v>
      </c>
      <c r="Q7667" s="13">
        <v>-182.71</v>
      </c>
      <c r="R7667" s="36" t="s">
        <v>2260</v>
      </c>
      <c r="S7667" s="7">
        <f t="shared" si="671"/>
        <v>0</v>
      </c>
      <c r="T7667" s="15" t="str">
        <f>VLOOKUP(R7667,产品分类!$C$2:$D$1278,2,0)</f>
        <v>家具产品</v>
      </c>
    </row>
    <row r="7668" spans="1:20">
      <c r="A7668" s="8">
        <f>DATE(2012,12,31)-759</f>
        <v>40515</v>
      </c>
      <c r="B7668" s="8">
        <f>DATE(2012,12,31)-759</f>
        <v>40515</v>
      </c>
      <c r="C7668" s="9" t="s">
        <v>373</v>
      </c>
      <c r="D7668">
        <v>10021523325</v>
      </c>
      <c r="E7668" t="s">
        <v>47</v>
      </c>
      <c r="F7668" t="s">
        <v>78</v>
      </c>
      <c r="G7668" t="s">
        <v>79</v>
      </c>
      <c r="H7668" t="s">
        <v>80</v>
      </c>
      <c r="I7668" t="s">
        <v>81</v>
      </c>
      <c r="J7668" t="s">
        <v>271</v>
      </c>
      <c r="K7668" s="3">
        <v>10077055715</v>
      </c>
      <c r="L7668" s="10">
        <v>40516</v>
      </c>
      <c r="M7668">
        <v>37.89</v>
      </c>
      <c r="N7668" s="11">
        <v>1</v>
      </c>
      <c r="O7668" s="12">
        <v>35.41</v>
      </c>
      <c r="P7668" s="12">
        <v>1.99</v>
      </c>
      <c r="Q7668" s="13">
        <v>-120.97</v>
      </c>
      <c r="R7668" s="36" t="s">
        <v>684</v>
      </c>
      <c r="S7668" s="7">
        <f t="shared" si="671"/>
        <v>1</v>
      </c>
      <c r="T7668" s="15" t="str">
        <f>VLOOKUP(R7668,产品分类!$C$2:$D$1278,2,0)</f>
        <v>办公用品</v>
      </c>
    </row>
    <row r="7669" spans="1:20">
      <c r="A7669" s="16">
        <f>DATE(2012,12,31)-856</f>
        <v>40418</v>
      </c>
      <c r="B7669" s="16">
        <f>DATE(2012,12,31)-856</f>
        <v>40418</v>
      </c>
      <c r="C7669" s="9" t="s">
        <v>373</v>
      </c>
      <c r="D7669">
        <v>10021387555</v>
      </c>
      <c r="E7669" t="s">
        <v>47</v>
      </c>
      <c r="F7669" t="s">
        <v>230</v>
      </c>
      <c r="G7669" t="s">
        <v>231</v>
      </c>
      <c r="H7669" t="s">
        <v>2602</v>
      </c>
      <c r="I7669" t="s">
        <v>2603</v>
      </c>
      <c r="J7669" t="s">
        <v>271</v>
      </c>
      <c r="K7669" s="3">
        <v>100421637263</v>
      </c>
      <c r="L7669" s="10">
        <v>40420</v>
      </c>
      <c r="M7669">
        <v>505.08</v>
      </c>
      <c r="N7669" s="17">
        <v>33</v>
      </c>
      <c r="O7669" s="5">
        <v>15.15</v>
      </c>
      <c r="P7669" s="5">
        <v>10.13</v>
      </c>
      <c r="Q7669" s="6">
        <v>-56.9135</v>
      </c>
      <c r="R7669" s="37" t="s">
        <v>1202</v>
      </c>
      <c r="S7669" s="7">
        <f t="shared" si="671"/>
        <v>2</v>
      </c>
      <c r="T7669" s="15" t="str">
        <f>VLOOKUP(R7669,产品分类!$C$2:$D$1278,2,0)</f>
        <v>办公用品</v>
      </c>
    </row>
    <row r="7670" spans="1:20">
      <c r="A7670" s="8">
        <f>DATE(2012,12,31)-856</f>
        <v>40418</v>
      </c>
      <c r="B7670" s="8">
        <f>DATE(2012,12,31)-856</f>
        <v>40418</v>
      </c>
      <c r="C7670" s="9" t="s">
        <v>2026</v>
      </c>
      <c r="D7670">
        <v>10021252238</v>
      </c>
      <c r="E7670" t="s">
        <v>47</v>
      </c>
      <c r="F7670" t="s">
        <v>230</v>
      </c>
      <c r="G7670" t="s">
        <v>231</v>
      </c>
      <c r="H7670" t="s">
        <v>2602</v>
      </c>
      <c r="I7670" t="s">
        <v>2603</v>
      </c>
      <c r="J7670" t="s">
        <v>271</v>
      </c>
      <c r="K7670" s="3">
        <v>10048132943</v>
      </c>
      <c r="L7670" s="10">
        <v>40420</v>
      </c>
      <c r="M7670">
        <v>649.2385</v>
      </c>
      <c r="N7670" s="11">
        <v>4</v>
      </c>
      <c r="O7670" s="12">
        <v>205.99</v>
      </c>
      <c r="P7670" s="12">
        <v>2.79</v>
      </c>
      <c r="Q7670" s="13">
        <v>-830.72</v>
      </c>
      <c r="R7670" s="36" t="s">
        <v>1416</v>
      </c>
      <c r="S7670" s="7">
        <f t="shared" si="671"/>
        <v>2</v>
      </c>
      <c r="T7670" s="15" t="str">
        <f>VLOOKUP(R7670,产品分类!$C$2:$D$1278,2,0)</f>
        <v>数码电子</v>
      </c>
    </row>
    <row r="7671" spans="1:20">
      <c r="A7671" s="8">
        <f>DATE(2012,12,31)-495</f>
        <v>40779</v>
      </c>
      <c r="B7671" s="8">
        <f>DATE(2012,12,31)-495</f>
        <v>40779</v>
      </c>
      <c r="C7671" s="9" t="s">
        <v>1505</v>
      </c>
      <c r="D7671">
        <v>10021505812</v>
      </c>
      <c r="E7671" t="s">
        <v>47</v>
      </c>
      <c r="F7671" t="s">
        <v>2517</v>
      </c>
      <c r="G7671" t="s">
        <v>2518</v>
      </c>
      <c r="H7671" t="s">
        <v>2587</v>
      </c>
      <c r="I7671" t="s">
        <v>2588</v>
      </c>
      <c r="J7671" t="s">
        <v>271</v>
      </c>
      <c r="K7671" s="3">
        <v>100131135296</v>
      </c>
      <c r="L7671" s="10">
        <v>40781</v>
      </c>
      <c r="M7671">
        <v>3093.76</v>
      </c>
      <c r="N7671" s="11">
        <v>33</v>
      </c>
      <c r="O7671" s="12">
        <v>95.99</v>
      </c>
      <c r="P7671" s="12">
        <v>35</v>
      </c>
      <c r="Q7671" s="13">
        <v>-850.71</v>
      </c>
      <c r="R7671" s="36" t="s">
        <v>2229</v>
      </c>
      <c r="S7671" s="7">
        <f t="shared" si="671"/>
        <v>2</v>
      </c>
      <c r="T7671" s="15" t="str">
        <f>VLOOKUP(R7671,产品分类!$C$2:$D$1278,2,0)</f>
        <v>办公用品</v>
      </c>
    </row>
    <row r="7672" spans="1:20">
      <c r="A7672" s="8">
        <f>DATE(2012,12,31)-495</f>
        <v>40779</v>
      </c>
      <c r="B7672" s="8">
        <f>DATE(2012,12,31)-495</f>
        <v>40779</v>
      </c>
      <c r="C7672" s="9" t="s">
        <v>1505</v>
      </c>
      <c r="D7672">
        <v>10021494439</v>
      </c>
      <c r="E7672" t="s">
        <v>47</v>
      </c>
      <c r="F7672" t="s">
        <v>473</v>
      </c>
      <c r="G7672" t="s">
        <v>474</v>
      </c>
      <c r="H7672" t="s">
        <v>2523</v>
      </c>
      <c r="I7672" t="s">
        <v>2524</v>
      </c>
      <c r="J7672" t="s">
        <v>271</v>
      </c>
      <c r="K7672" s="3">
        <v>10035543409</v>
      </c>
      <c r="L7672" s="10">
        <v>40786</v>
      </c>
      <c r="M7672">
        <v>6335.8575</v>
      </c>
      <c r="N7672" s="11">
        <v>49</v>
      </c>
      <c r="O7672" s="12">
        <v>155.99</v>
      </c>
      <c r="P7672" s="12">
        <v>8.99</v>
      </c>
      <c r="Q7672" s="13">
        <v>1620.225</v>
      </c>
      <c r="R7672" s="36" t="s">
        <v>1671</v>
      </c>
      <c r="S7672" s="7">
        <f t="shared" si="671"/>
        <v>7</v>
      </c>
      <c r="T7672" s="15" t="str">
        <f>VLOOKUP(R7672,产品分类!$C$2:$D$1278,2,0)</f>
        <v>办公用品</v>
      </c>
    </row>
    <row r="7673" spans="1:20">
      <c r="A7673" s="8">
        <f>DATE(2012,12,31)-995</f>
        <v>40279</v>
      </c>
      <c r="B7673" s="8">
        <f>DATE(2012,12,31)-995</f>
        <v>40279</v>
      </c>
      <c r="C7673" s="9" t="s">
        <v>1924</v>
      </c>
      <c r="D7673">
        <v>10021671589</v>
      </c>
      <c r="E7673" t="s">
        <v>47</v>
      </c>
      <c r="F7673" t="s">
        <v>473</v>
      </c>
      <c r="G7673" t="s">
        <v>474</v>
      </c>
      <c r="H7673" t="s">
        <v>2523</v>
      </c>
      <c r="I7673" t="s">
        <v>2524</v>
      </c>
      <c r="J7673" t="s">
        <v>271</v>
      </c>
      <c r="K7673" s="3">
        <v>100930976591</v>
      </c>
      <c r="L7673" s="10">
        <v>40279</v>
      </c>
      <c r="M7673">
        <v>994.4745</v>
      </c>
      <c r="N7673" s="11">
        <v>18</v>
      </c>
      <c r="O7673" s="12">
        <v>65.99</v>
      </c>
      <c r="P7673" s="12">
        <v>7.69</v>
      </c>
      <c r="Q7673" s="13">
        <v>0.711000000000006</v>
      </c>
      <c r="R7673" s="36" t="s">
        <v>827</v>
      </c>
      <c r="S7673" s="7">
        <f t="shared" si="671"/>
        <v>0</v>
      </c>
      <c r="T7673" s="15" t="str">
        <f>VLOOKUP(R7673,产品分类!$C$2:$D$1278,2,0)</f>
        <v>家具产品</v>
      </c>
    </row>
    <row r="7674" spans="1:20">
      <c r="A7674" s="8">
        <f>DATE(2012,12,31)-425</f>
        <v>40849</v>
      </c>
      <c r="B7674" s="8">
        <f>DATE(2012,12,31)-425</f>
        <v>40849</v>
      </c>
      <c r="C7674" s="9" t="s">
        <v>1924</v>
      </c>
      <c r="D7674">
        <v>10021755830</v>
      </c>
      <c r="E7674" t="s">
        <v>47</v>
      </c>
      <c r="F7674" t="s">
        <v>91</v>
      </c>
      <c r="G7674" t="s">
        <v>92</v>
      </c>
      <c r="H7674" t="s">
        <v>2573</v>
      </c>
      <c r="I7674" t="s">
        <v>2574</v>
      </c>
      <c r="J7674" t="s">
        <v>271</v>
      </c>
      <c r="K7674" s="3">
        <v>100132987128</v>
      </c>
      <c r="L7674" s="10">
        <v>40850</v>
      </c>
      <c r="M7674">
        <v>52.7</v>
      </c>
      <c r="N7674" s="11">
        <v>20</v>
      </c>
      <c r="O7674" s="12">
        <v>1.8</v>
      </c>
      <c r="P7674" s="12">
        <v>4.79</v>
      </c>
      <c r="Q7674" s="13">
        <v>-64.883</v>
      </c>
      <c r="R7674" s="36" t="s">
        <v>747</v>
      </c>
      <c r="S7674" s="7">
        <f t="shared" si="671"/>
        <v>1</v>
      </c>
      <c r="T7674" s="15" t="str">
        <f>VLOOKUP(R7674,产品分类!$C$2:$D$1278,2,0)</f>
        <v>数码电子</v>
      </c>
    </row>
    <row r="7675" spans="1:20">
      <c r="A7675" s="8">
        <f>DATE(2012,12,31)-887</f>
        <v>40387</v>
      </c>
      <c r="B7675" s="8">
        <f>DATE(2012,12,31)-887</f>
        <v>40387</v>
      </c>
      <c r="C7675" s="9" t="s">
        <v>686</v>
      </c>
      <c r="D7675">
        <v>10021304282</v>
      </c>
      <c r="E7675" t="s">
        <v>47</v>
      </c>
      <c r="F7675" t="s">
        <v>91</v>
      </c>
      <c r="G7675" t="s">
        <v>92</v>
      </c>
      <c r="H7675" t="s">
        <v>2573</v>
      </c>
      <c r="I7675" t="s">
        <v>2574</v>
      </c>
      <c r="J7675" t="s">
        <v>271</v>
      </c>
      <c r="K7675" s="3">
        <v>100132493676</v>
      </c>
      <c r="L7675" s="10">
        <v>40391</v>
      </c>
      <c r="M7675">
        <v>600.86</v>
      </c>
      <c r="N7675" s="11">
        <v>12</v>
      </c>
      <c r="O7675" s="12">
        <v>53.98</v>
      </c>
      <c r="P7675" s="12">
        <v>5.5</v>
      </c>
      <c r="Q7675" s="13">
        <v>-82.67</v>
      </c>
      <c r="R7675" s="36" t="s">
        <v>834</v>
      </c>
      <c r="S7675" s="7">
        <f t="shared" si="671"/>
        <v>4</v>
      </c>
      <c r="T7675" s="15" t="str">
        <f>VLOOKUP(R7675,产品分类!$C$2:$D$1278,2,0)</f>
        <v>家具产品</v>
      </c>
    </row>
    <row r="7676" spans="1:20">
      <c r="A7676" s="8">
        <f>DATE(2012,12,31)-887</f>
        <v>40387</v>
      </c>
      <c r="B7676" s="8">
        <f>DATE(2012,12,31)-887</f>
        <v>40387</v>
      </c>
      <c r="C7676" s="9" t="s">
        <v>1749</v>
      </c>
      <c r="D7676">
        <v>10021450623</v>
      </c>
      <c r="E7676" t="s">
        <v>47</v>
      </c>
      <c r="F7676" t="s">
        <v>55</v>
      </c>
      <c r="G7676" t="s">
        <v>56</v>
      </c>
      <c r="H7676" t="s">
        <v>2604</v>
      </c>
      <c r="I7676" t="s">
        <v>2605</v>
      </c>
      <c r="J7676" t="s">
        <v>271</v>
      </c>
      <c r="K7676" s="3">
        <v>10094214091</v>
      </c>
      <c r="L7676" s="10">
        <v>40389</v>
      </c>
      <c r="M7676">
        <v>17.06</v>
      </c>
      <c r="N7676" s="11">
        <v>5</v>
      </c>
      <c r="O7676" s="12">
        <v>2.98</v>
      </c>
      <c r="P7676" s="12">
        <v>2.03</v>
      </c>
      <c r="Q7676" s="13">
        <v>-7.54</v>
      </c>
      <c r="R7676" s="36" t="s">
        <v>517</v>
      </c>
      <c r="S7676" s="7">
        <f t="shared" si="671"/>
        <v>2</v>
      </c>
      <c r="T7676" s="15" t="str">
        <f>VLOOKUP(R7676,产品分类!$C$2:$D$1278,2,0)</f>
        <v>办公用品</v>
      </c>
    </row>
    <row r="7677" spans="1:20">
      <c r="A7677" s="8">
        <f>DATE(2012,12,31)-817</f>
        <v>40457</v>
      </c>
      <c r="B7677" s="8">
        <f>DATE(2012,12,31)-817</f>
        <v>40457</v>
      </c>
      <c r="C7677" s="9" t="s">
        <v>1749</v>
      </c>
      <c r="D7677">
        <v>10021250172</v>
      </c>
      <c r="E7677" t="s">
        <v>47</v>
      </c>
      <c r="F7677" t="s">
        <v>91</v>
      </c>
      <c r="G7677" t="s">
        <v>92</v>
      </c>
      <c r="H7677" t="s">
        <v>2573</v>
      </c>
      <c r="I7677" t="s">
        <v>2574</v>
      </c>
      <c r="J7677" t="s">
        <v>271</v>
      </c>
      <c r="K7677" s="3">
        <v>10015671218</v>
      </c>
      <c r="L7677" s="10">
        <v>40459</v>
      </c>
      <c r="M7677">
        <v>2532.6175</v>
      </c>
      <c r="N7677" s="11">
        <v>33</v>
      </c>
      <c r="O7677" s="12">
        <v>85.99</v>
      </c>
      <c r="P7677" s="12">
        <v>2.79</v>
      </c>
      <c r="Q7677" s="13">
        <v>730.512</v>
      </c>
      <c r="R7677" s="36" t="s">
        <v>1974</v>
      </c>
      <c r="S7677" s="7">
        <f t="shared" si="671"/>
        <v>2</v>
      </c>
      <c r="T7677" s="15" t="str">
        <f>VLOOKUP(R7677,产品分类!$C$2:$D$1278,2,0)</f>
        <v>办公用品</v>
      </c>
    </row>
    <row r="7678" spans="1:20">
      <c r="A7678" s="8">
        <f>DATE(2012,12,31)-28</f>
        <v>41246</v>
      </c>
      <c r="B7678" s="8">
        <f>DATE(2012,12,31)-28</f>
        <v>41246</v>
      </c>
      <c r="C7678" s="9" t="s">
        <v>1749</v>
      </c>
      <c r="D7678">
        <v>10021347929</v>
      </c>
      <c r="E7678" t="s">
        <v>47</v>
      </c>
      <c r="F7678" t="s">
        <v>55</v>
      </c>
      <c r="G7678" t="s">
        <v>56</v>
      </c>
      <c r="H7678" t="s">
        <v>2604</v>
      </c>
      <c r="I7678" t="s">
        <v>2605</v>
      </c>
      <c r="J7678" t="s">
        <v>271</v>
      </c>
      <c r="K7678" s="3">
        <v>100131323657</v>
      </c>
      <c r="L7678" s="10">
        <v>41246</v>
      </c>
      <c r="M7678">
        <v>1008.872</v>
      </c>
      <c r="N7678" s="11">
        <v>6</v>
      </c>
      <c r="O7678" s="12">
        <v>209.37</v>
      </c>
      <c r="P7678" s="12">
        <v>69</v>
      </c>
      <c r="Q7678" s="13">
        <v>-505.984479</v>
      </c>
      <c r="R7678" s="36" t="s">
        <v>1042</v>
      </c>
      <c r="S7678" s="7">
        <f t="shared" si="671"/>
        <v>0</v>
      </c>
      <c r="T7678" s="15" t="str">
        <f>VLOOKUP(R7678,产品分类!$C$2:$D$1278,2,0)</f>
        <v>家具产品</v>
      </c>
    </row>
    <row r="7679" spans="1:20">
      <c r="A7679" s="8">
        <f>DATE(2012,12,31)-28</f>
        <v>41246</v>
      </c>
      <c r="B7679" s="8">
        <f>DATE(2012,12,31)-28</f>
        <v>41246</v>
      </c>
      <c r="C7679" s="9" t="s">
        <v>1749</v>
      </c>
      <c r="D7679">
        <v>10021736662</v>
      </c>
      <c r="E7679" t="s">
        <v>47</v>
      </c>
      <c r="F7679" t="s">
        <v>91</v>
      </c>
      <c r="G7679" t="s">
        <v>92</v>
      </c>
      <c r="H7679" t="s">
        <v>2573</v>
      </c>
      <c r="I7679" t="s">
        <v>2574</v>
      </c>
      <c r="J7679" t="s">
        <v>271</v>
      </c>
      <c r="K7679" s="3">
        <v>10049026184</v>
      </c>
      <c r="L7679" s="10">
        <v>41247</v>
      </c>
      <c r="M7679">
        <v>95.68</v>
      </c>
      <c r="N7679" s="11">
        <v>13</v>
      </c>
      <c r="O7679" s="12">
        <v>6.48</v>
      </c>
      <c r="P7679" s="12">
        <v>5.14</v>
      </c>
      <c r="Q7679" s="13">
        <v>-15.27</v>
      </c>
      <c r="R7679" s="36" t="s">
        <v>769</v>
      </c>
      <c r="S7679" s="7">
        <f t="shared" si="671"/>
        <v>1</v>
      </c>
      <c r="T7679" s="15" t="str">
        <f>VLOOKUP(R7679,产品分类!$C$2:$D$1278,2,0)</f>
        <v>办公用品</v>
      </c>
    </row>
    <row r="7680" spans="1:20">
      <c r="A7680" s="8">
        <f>DATE(2012,12,31)-1195</f>
        <v>40079</v>
      </c>
      <c r="B7680" s="8">
        <f>DATE(2012,12,31)-1195</f>
        <v>40079</v>
      </c>
      <c r="C7680" s="9" t="s">
        <v>1485</v>
      </c>
      <c r="D7680">
        <v>10021703466</v>
      </c>
      <c r="E7680" t="s">
        <v>47</v>
      </c>
      <c r="F7680" t="s">
        <v>55</v>
      </c>
      <c r="G7680" t="s">
        <v>56</v>
      </c>
      <c r="H7680" t="s">
        <v>2604</v>
      </c>
      <c r="I7680" t="s">
        <v>2605</v>
      </c>
      <c r="J7680" t="s">
        <v>271</v>
      </c>
      <c r="K7680" s="3">
        <v>100912812501</v>
      </c>
      <c r="L7680" s="10">
        <v>40084</v>
      </c>
      <c r="M7680">
        <v>706.3925</v>
      </c>
      <c r="N7680" s="11">
        <v>39</v>
      </c>
      <c r="O7680" s="12">
        <v>20.99</v>
      </c>
      <c r="P7680" s="12">
        <v>0.99</v>
      </c>
      <c r="Q7680" s="13">
        <v>346.14</v>
      </c>
      <c r="R7680" s="36" t="s">
        <v>608</v>
      </c>
      <c r="S7680" s="7">
        <f t="shared" si="671"/>
        <v>5</v>
      </c>
      <c r="T7680" s="15" t="str">
        <f>VLOOKUP(R7680,产品分类!$C$2:$D$1278,2,0)</f>
        <v>家具产品</v>
      </c>
    </row>
    <row r="7681" spans="1:20">
      <c r="A7681" s="8">
        <f>DATE(2012,12,31)-289</f>
        <v>40985</v>
      </c>
      <c r="B7681" s="8">
        <f>DATE(2012,12,31)-289</f>
        <v>40985</v>
      </c>
      <c r="C7681" s="9" t="s">
        <v>1485</v>
      </c>
      <c r="D7681">
        <v>10021350271</v>
      </c>
      <c r="E7681" t="s">
        <v>47</v>
      </c>
      <c r="F7681" t="s">
        <v>253</v>
      </c>
      <c r="G7681" t="s">
        <v>254</v>
      </c>
      <c r="H7681" t="s">
        <v>2579</v>
      </c>
      <c r="I7681" t="s">
        <v>2580</v>
      </c>
      <c r="J7681" t="s">
        <v>271</v>
      </c>
      <c r="K7681" s="3">
        <v>100832138652</v>
      </c>
      <c r="L7681" s="10">
        <v>40986</v>
      </c>
      <c r="M7681">
        <v>61.46</v>
      </c>
      <c r="N7681" s="11">
        <v>11</v>
      </c>
      <c r="O7681" s="12">
        <v>4.89</v>
      </c>
      <c r="P7681" s="12">
        <v>4.93</v>
      </c>
      <c r="Q7681" s="13">
        <v>-47.83</v>
      </c>
      <c r="R7681" s="36" t="s">
        <v>1303</v>
      </c>
      <c r="S7681" s="7">
        <f t="shared" si="671"/>
        <v>1</v>
      </c>
      <c r="T7681" s="15" t="str">
        <f>VLOOKUP(R7681,产品分类!$C$2:$D$1278,2,0)</f>
        <v>办公用品</v>
      </c>
    </row>
    <row r="7682" spans="1:20">
      <c r="A7682" s="8">
        <f>DATE(2012,12,31)-1030</f>
        <v>40244</v>
      </c>
      <c r="B7682" s="8">
        <f>DATE(2012,12,31)-1030</f>
        <v>40244</v>
      </c>
      <c r="C7682" s="9" t="s">
        <v>754</v>
      </c>
      <c r="D7682">
        <v>10021430436</v>
      </c>
      <c r="E7682" t="s">
        <v>47</v>
      </c>
      <c r="F7682" t="s">
        <v>91</v>
      </c>
      <c r="G7682" t="s">
        <v>92</v>
      </c>
      <c r="H7682" t="s">
        <v>2573</v>
      </c>
      <c r="I7682" t="s">
        <v>2574</v>
      </c>
      <c r="J7682" t="s">
        <v>271</v>
      </c>
      <c r="K7682" s="3">
        <v>100431935144</v>
      </c>
      <c r="L7682" s="10">
        <v>40245</v>
      </c>
      <c r="M7682">
        <v>49.61</v>
      </c>
      <c r="N7682" s="11">
        <v>1</v>
      </c>
      <c r="O7682" s="12">
        <v>30.98</v>
      </c>
      <c r="P7682" s="12">
        <v>17.08</v>
      </c>
      <c r="Q7682" s="13">
        <v>-41.82</v>
      </c>
      <c r="R7682" s="36" t="s">
        <v>1966</v>
      </c>
      <c r="S7682" s="7">
        <f t="shared" si="671"/>
        <v>1</v>
      </c>
      <c r="T7682" s="15" t="str">
        <f>VLOOKUP(R7682,产品分类!$C$2:$D$1278,2,0)</f>
        <v>数码电子</v>
      </c>
    </row>
    <row r="7683" spans="1:20">
      <c r="A7683" s="16">
        <f>DATE(2012,12,31)-1074</f>
        <v>40200</v>
      </c>
      <c r="B7683" s="16">
        <f>DATE(2012,12,31)-1074</f>
        <v>40200</v>
      </c>
      <c r="C7683" s="9" t="s">
        <v>341</v>
      </c>
      <c r="D7683">
        <v>10021504541</v>
      </c>
      <c r="E7683" t="s">
        <v>47</v>
      </c>
      <c r="F7683" t="s">
        <v>91</v>
      </c>
      <c r="G7683" t="s">
        <v>92</v>
      </c>
      <c r="H7683" t="s">
        <v>2573</v>
      </c>
      <c r="I7683" t="s">
        <v>2574</v>
      </c>
      <c r="J7683" t="s">
        <v>271</v>
      </c>
      <c r="K7683" s="3">
        <v>100930384201</v>
      </c>
      <c r="L7683" s="10">
        <v>40201</v>
      </c>
      <c r="M7683">
        <v>35.14</v>
      </c>
      <c r="N7683" s="17">
        <v>1</v>
      </c>
      <c r="O7683" s="5">
        <v>29.17</v>
      </c>
      <c r="P7683" s="5">
        <v>6.27</v>
      </c>
      <c r="Q7683" s="6">
        <v>-12.7535</v>
      </c>
      <c r="R7683" s="37" t="s">
        <v>1394</v>
      </c>
      <c r="S7683" s="7">
        <f t="shared" ref="S7683:S7746" si="674">+L7683-B7683</f>
        <v>1</v>
      </c>
      <c r="T7683" s="15" t="str">
        <f>VLOOKUP(R7683,产品分类!$C$2:$D$1278,2,0)</f>
        <v>办公用品</v>
      </c>
    </row>
    <row r="7684" spans="1:20">
      <c r="A7684" s="8">
        <f>DATE(2012,12,31)-661</f>
        <v>40613</v>
      </c>
      <c r="B7684" s="8">
        <f>DATE(2012,12,31)-661</f>
        <v>40613</v>
      </c>
      <c r="C7684" s="9" t="s">
        <v>400</v>
      </c>
      <c r="D7684">
        <v>10021669273</v>
      </c>
      <c r="E7684" t="s">
        <v>47</v>
      </c>
      <c r="F7684" t="s">
        <v>91</v>
      </c>
      <c r="G7684" t="s">
        <v>92</v>
      </c>
      <c r="H7684" t="s">
        <v>2573</v>
      </c>
      <c r="I7684" t="s">
        <v>2574</v>
      </c>
      <c r="J7684" t="s">
        <v>271</v>
      </c>
      <c r="K7684" s="3">
        <v>10042269993</v>
      </c>
      <c r="L7684" s="10">
        <v>40615</v>
      </c>
      <c r="M7684">
        <v>1648.33</v>
      </c>
      <c r="N7684" s="11">
        <v>16</v>
      </c>
      <c r="O7684" s="12">
        <v>100.89</v>
      </c>
      <c r="P7684" s="12">
        <v>42</v>
      </c>
      <c r="Q7684" s="13">
        <v>-210.14</v>
      </c>
      <c r="R7684" s="36" t="s">
        <v>1876</v>
      </c>
      <c r="S7684" s="7">
        <f t="shared" si="674"/>
        <v>2</v>
      </c>
      <c r="T7684" s="15" t="str">
        <f>VLOOKUP(R7684,产品分类!$C$2:$D$1278,2,0)</f>
        <v>家具产品</v>
      </c>
    </row>
    <row r="7685" spans="1:20">
      <c r="A7685" s="16">
        <f>DATE(2012,12,31)-74</f>
        <v>41200</v>
      </c>
      <c r="B7685" s="16">
        <f>DATE(2012,12,31)-74</f>
        <v>41200</v>
      </c>
      <c r="C7685" s="9" t="s">
        <v>1867</v>
      </c>
      <c r="D7685">
        <v>10021637398</v>
      </c>
      <c r="E7685" t="s">
        <v>47</v>
      </c>
      <c r="F7685" t="s">
        <v>91</v>
      </c>
      <c r="G7685" t="s">
        <v>92</v>
      </c>
      <c r="H7685" t="s">
        <v>2573</v>
      </c>
      <c r="I7685" t="s">
        <v>2574</v>
      </c>
      <c r="J7685" t="s">
        <v>271</v>
      </c>
      <c r="K7685" s="3">
        <v>10095142351</v>
      </c>
      <c r="L7685" s="10">
        <v>41204</v>
      </c>
      <c r="M7685">
        <v>317.06</v>
      </c>
      <c r="N7685" s="17">
        <v>32</v>
      </c>
      <c r="O7685" s="5">
        <v>10.06</v>
      </c>
      <c r="P7685" s="5">
        <v>2.06</v>
      </c>
      <c r="Q7685" s="6">
        <v>105.47</v>
      </c>
      <c r="R7685" s="37" t="s">
        <v>1510</v>
      </c>
      <c r="S7685" s="7">
        <f t="shared" si="674"/>
        <v>4</v>
      </c>
      <c r="T7685" s="15" t="str">
        <f>VLOOKUP(R7685,产品分类!$C$2:$D$1278,2,0)</f>
        <v>办公用品</v>
      </c>
    </row>
    <row r="7686" spans="1:20">
      <c r="A7686" s="8">
        <f>DATE(2012,12,31)-804</f>
        <v>40470</v>
      </c>
      <c r="B7686" s="8">
        <f>DATE(2012,12,31)-804</f>
        <v>40470</v>
      </c>
      <c r="C7686" s="9" t="s">
        <v>1472</v>
      </c>
      <c r="D7686">
        <v>10021292788</v>
      </c>
      <c r="E7686" t="s">
        <v>47</v>
      </c>
      <c r="F7686" t="s">
        <v>91</v>
      </c>
      <c r="G7686" t="s">
        <v>92</v>
      </c>
      <c r="H7686" t="s">
        <v>2573</v>
      </c>
      <c r="I7686" t="s">
        <v>2574</v>
      </c>
      <c r="J7686" t="s">
        <v>271</v>
      </c>
      <c r="K7686" s="3">
        <v>10011873876</v>
      </c>
      <c r="L7686" s="10">
        <v>40472</v>
      </c>
      <c r="M7686">
        <v>566.66</v>
      </c>
      <c r="N7686" s="11">
        <v>29</v>
      </c>
      <c r="O7686" s="12">
        <v>19.98</v>
      </c>
      <c r="P7686" s="12">
        <v>8.68</v>
      </c>
      <c r="Q7686" s="13">
        <v>60.59</v>
      </c>
      <c r="R7686" s="36" t="s">
        <v>696</v>
      </c>
      <c r="S7686" s="7">
        <f t="shared" si="674"/>
        <v>2</v>
      </c>
      <c r="T7686" s="15" t="str">
        <f>VLOOKUP(R7686,产品分类!$C$2:$D$1278,2,0)</f>
        <v>办公用品</v>
      </c>
    </row>
    <row r="7687" spans="1:20">
      <c r="A7687" s="8">
        <f>DATE(2012,12,31)-1247</f>
        <v>40027</v>
      </c>
      <c r="B7687" s="8">
        <f>DATE(2012,12,31)-1247</f>
        <v>40027</v>
      </c>
      <c r="C7687" s="9" t="s">
        <v>1472</v>
      </c>
      <c r="D7687">
        <v>10021266746</v>
      </c>
      <c r="E7687" t="s">
        <v>47</v>
      </c>
      <c r="F7687" t="s">
        <v>91</v>
      </c>
      <c r="G7687" t="s">
        <v>92</v>
      </c>
      <c r="H7687" t="s">
        <v>2573</v>
      </c>
      <c r="I7687" t="s">
        <v>2574</v>
      </c>
      <c r="J7687" t="s">
        <v>271</v>
      </c>
      <c r="K7687" s="3">
        <v>100931884141</v>
      </c>
      <c r="L7687" s="10">
        <v>40028</v>
      </c>
      <c r="M7687">
        <v>368.66</v>
      </c>
      <c r="N7687" s="11">
        <v>1</v>
      </c>
      <c r="O7687" s="12">
        <v>300.98</v>
      </c>
      <c r="P7687" s="12">
        <v>64.73</v>
      </c>
      <c r="Q7687" s="13">
        <v>-165.6</v>
      </c>
      <c r="R7687" s="36" t="s">
        <v>1204</v>
      </c>
      <c r="S7687" s="7">
        <f t="shared" si="674"/>
        <v>1</v>
      </c>
      <c r="T7687" s="15" t="str">
        <f>VLOOKUP(R7687,产品分类!$C$2:$D$1278,2,0)</f>
        <v>办公用品</v>
      </c>
    </row>
    <row r="7688" spans="1:20">
      <c r="A7688" s="8">
        <f>DATE(2012,12,31)-276</f>
        <v>40998</v>
      </c>
      <c r="B7688" s="8">
        <f>DATE(2012,12,31)-276</f>
        <v>40998</v>
      </c>
      <c r="C7688" s="9" t="s">
        <v>1230</v>
      </c>
      <c r="D7688">
        <v>10021748379</v>
      </c>
      <c r="E7688" t="s">
        <v>47</v>
      </c>
      <c r="F7688" t="s">
        <v>122</v>
      </c>
      <c r="G7688" t="s">
        <v>123</v>
      </c>
      <c r="H7688" t="s">
        <v>2458</v>
      </c>
      <c r="I7688" t="s">
        <v>2459</v>
      </c>
      <c r="J7688" t="s">
        <v>271</v>
      </c>
      <c r="K7688" s="3">
        <v>100130214857</v>
      </c>
      <c r="L7688" s="10">
        <v>40998</v>
      </c>
      <c r="M7688">
        <v>22.28</v>
      </c>
      <c r="N7688" s="11">
        <v>20</v>
      </c>
      <c r="O7688" s="12">
        <v>1.14</v>
      </c>
      <c r="P7688" s="12">
        <v>0.7</v>
      </c>
      <c r="Q7688" s="13">
        <v>-2.66</v>
      </c>
      <c r="R7688" s="36" t="s">
        <v>217</v>
      </c>
      <c r="S7688" s="7">
        <f t="shared" si="674"/>
        <v>0</v>
      </c>
      <c r="T7688" s="15" t="str">
        <f>VLOOKUP(R7688,产品分类!$C$2:$D$1278,2,0)</f>
        <v>办公用品</v>
      </c>
    </row>
    <row r="7689" spans="1:20">
      <c r="A7689" s="8">
        <f t="shared" ref="A7689:B7691" si="675">DATE(2012,12,31)-1410</f>
        <v>39864</v>
      </c>
      <c r="B7689" s="8">
        <f t="shared" si="675"/>
        <v>39864</v>
      </c>
      <c r="C7689" s="9" t="s">
        <v>1083</v>
      </c>
      <c r="D7689">
        <v>10021385777</v>
      </c>
      <c r="E7689" t="s">
        <v>47</v>
      </c>
      <c r="F7689" t="s">
        <v>91</v>
      </c>
      <c r="G7689" t="s">
        <v>92</v>
      </c>
      <c r="H7689" t="s">
        <v>2573</v>
      </c>
      <c r="I7689" t="s">
        <v>2574</v>
      </c>
      <c r="J7689" t="s">
        <v>271</v>
      </c>
      <c r="K7689" s="3">
        <v>1004368283</v>
      </c>
      <c r="L7689" s="10">
        <v>39866</v>
      </c>
      <c r="M7689">
        <v>159.89</v>
      </c>
      <c r="N7689" s="11">
        <v>37</v>
      </c>
      <c r="O7689" s="12">
        <v>4.06</v>
      </c>
      <c r="P7689" s="12">
        <v>6.89</v>
      </c>
      <c r="Q7689" s="13">
        <v>-185.17</v>
      </c>
      <c r="R7689" s="36" t="s">
        <v>1648</v>
      </c>
      <c r="S7689" s="7">
        <f t="shared" si="674"/>
        <v>2</v>
      </c>
      <c r="T7689" s="15" t="str">
        <f>VLOOKUP(R7689,产品分类!$C$2:$D$1278,2,0)</f>
        <v>办公用品</v>
      </c>
    </row>
    <row r="7690" spans="1:20">
      <c r="A7690" s="16">
        <f t="shared" si="675"/>
        <v>39864</v>
      </c>
      <c r="B7690" s="16">
        <f t="shared" si="675"/>
        <v>39864</v>
      </c>
      <c r="C7690" s="9" t="s">
        <v>2043</v>
      </c>
      <c r="D7690">
        <v>10021589561</v>
      </c>
      <c r="E7690" t="s">
        <v>47</v>
      </c>
      <c r="F7690" t="s">
        <v>91</v>
      </c>
      <c r="G7690" t="s">
        <v>92</v>
      </c>
      <c r="H7690" t="s">
        <v>2573</v>
      </c>
      <c r="I7690" t="s">
        <v>2574</v>
      </c>
      <c r="J7690" t="s">
        <v>271</v>
      </c>
      <c r="K7690" s="3">
        <v>100931135341</v>
      </c>
      <c r="L7690" s="10">
        <v>39865</v>
      </c>
      <c r="M7690">
        <v>180.48</v>
      </c>
      <c r="N7690" s="17">
        <v>48</v>
      </c>
      <c r="O7690" s="5">
        <v>3.75</v>
      </c>
      <c r="P7690" s="5">
        <v>0.5</v>
      </c>
      <c r="Q7690" s="6">
        <v>82.38</v>
      </c>
      <c r="R7690" s="37" t="s">
        <v>1240</v>
      </c>
      <c r="S7690" s="7">
        <f t="shared" si="674"/>
        <v>1</v>
      </c>
      <c r="T7690" s="15" t="str">
        <f>VLOOKUP(R7690,产品分类!$C$2:$D$1278,2,0)</f>
        <v>办公用品</v>
      </c>
    </row>
    <row r="7691" spans="1:20">
      <c r="A7691" s="8">
        <f t="shared" si="675"/>
        <v>39864</v>
      </c>
      <c r="B7691" s="8">
        <f t="shared" si="675"/>
        <v>39864</v>
      </c>
      <c r="C7691" s="9" t="s">
        <v>689</v>
      </c>
      <c r="D7691">
        <v>10021248304</v>
      </c>
      <c r="E7691" t="s">
        <v>47</v>
      </c>
      <c r="F7691" t="s">
        <v>91</v>
      </c>
      <c r="G7691" t="s">
        <v>92</v>
      </c>
      <c r="H7691" t="s">
        <v>2573</v>
      </c>
      <c r="I7691" t="s">
        <v>2574</v>
      </c>
      <c r="J7691" t="s">
        <v>271</v>
      </c>
      <c r="K7691" s="3">
        <v>10091288191</v>
      </c>
      <c r="L7691" s="10">
        <v>39866</v>
      </c>
      <c r="M7691">
        <v>350.48</v>
      </c>
      <c r="N7691" s="11">
        <v>31</v>
      </c>
      <c r="O7691" s="12">
        <v>10.68</v>
      </c>
      <c r="P7691" s="12">
        <v>13.04</v>
      </c>
      <c r="Q7691" s="13">
        <v>-231.05</v>
      </c>
      <c r="R7691" s="36" t="s">
        <v>1762</v>
      </c>
      <c r="S7691" s="7">
        <f t="shared" si="674"/>
        <v>2</v>
      </c>
      <c r="T7691" s="15" t="str">
        <f>VLOOKUP(R7691,产品分类!$C$2:$D$1278,2,0)</f>
        <v>数码电子</v>
      </c>
    </row>
    <row r="7692" spans="1:20">
      <c r="A7692" s="8">
        <f>DATE(2012,12,31)-1237</f>
        <v>40037</v>
      </c>
      <c r="B7692" s="8">
        <f>DATE(2012,12,31)-1237</f>
        <v>40037</v>
      </c>
      <c r="C7692" s="9" t="s">
        <v>689</v>
      </c>
      <c r="D7692">
        <v>10021613313</v>
      </c>
      <c r="E7692" t="s">
        <v>47</v>
      </c>
      <c r="F7692" t="s">
        <v>91</v>
      </c>
      <c r="G7692" t="s">
        <v>92</v>
      </c>
      <c r="H7692" t="s">
        <v>2573</v>
      </c>
      <c r="I7692" t="s">
        <v>2574</v>
      </c>
      <c r="J7692" t="s">
        <v>271</v>
      </c>
      <c r="K7692" s="3">
        <v>100131985266</v>
      </c>
      <c r="L7692" s="10">
        <v>40037</v>
      </c>
      <c r="M7692">
        <v>633.91</v>
      </c>
      <c r="N7692" s="11">
        <v>49</v>
      </c>
      <c r="O7692" s="12">
        <v>12.58</v>
      </c>
      <c r="P7692" s="12">
        <v>5.16</v>
      </c>
      <c r="Q7692" s="13">
        <v>141.17</v>
      </c>
      <c r="R7692" s="36" t="s">
        <v>1021</v>
      </c>
      <c r="S7692" s="7">
        <f t="shared" si="674"/>
        <v>0</v>
      </c>
      <c r="T7692" s="15" t="str">
        <f>VLOOKUP(R7692,产品分类!$C$2:$D$1278,2,0)</f>
        <v>办公用品</v>
      </c>
    </row>
    <row r="7693" spans="1:20">
      <c r="A7693" s="8">
        <f>DATE(2012,12,31)-749</f>
        <v>40525</v>
      </c>
      <c r="B7693" s="8">
        <f>DATE(2012,12,31)-749</f>
        <v>40525</v>
      </c>
      <c r="C7693" s="9" t="s">
        <v>258</v>
      </c>
      <c r="D7693">
        <v>10021396264</v>
      </c>
      <c r="E7693" t="s">
        <v>47</v>
      </c>
      <c r="F7693" t="s">
        <v>55</v>
      </c>
      <c r="G7693" t="s">
        <v>56</v>
      </c>
      <c r="H7693" t="s">
        <v>2604</v>
      </c>
      <c r="I7693" t="s">
        <v>2605</v>
      </c>
      <c r="J7693" t="s">
        <v>271</v>
      </c>
      <c r="K7693" s="3">
        <v>100319648219</v>
      </c>
      <c r="L7693" s="10">
        <v>40527</v>
      </c>
      <c r="M7693">
        <v>50.35</v>
      </c>
      <c r="N7693" s="11">
        <v>13</v>
      </c>
      <c r="O7693" s="12">
        <v>3.69</v>
      </c>
      <c r="P7693" s="12">
        <v>2.5</v>
      </c>
      <c r="Q7693" s="13">
        <v>-8.24</v>
      </c>
      <c r="R7693" s="36" t="s">
        <v>244</v>
      </c>
      <c r="S7693" s="7">
        <f t="shared" si="674"/>
        <v>2</v>
      </c>
      <c r="T7693" s="15" t="str">
        <f>VLOOKUP(R7693,产品分类!$C$2:$D$1278,2,0)</f>
        <v>办公用品</v>
      </c>
    </row>
    <row r="7694" spans="1:20">
      <c r="A7694" s="8">
        <f>DATE(2012,12,31)-107</f>
        <v>41167</v>
      </c>
      <c r="B7694" s="8">
        <f>DATE(2012,12,31)-107</f>
        <v>41167</v>
      </c>
      <c r="C7694" s="9" t="s">
        <v>1006</v>
      </c>
      <c r="D7694">
        <v>10021751381</v>
      </c>
      <c r="E7694" t="s">
        <v>47</v>
      </c>
      <c r="F7694" t="s">
        <v>171</v>
      </c>
      <c r="G7694" t="s">
        <v>172</v>
      </c>
      <c r="H7694" t="s">
        <v>2486</v>
      </c>
      <c r="I7694" t="s">
        <v>2310</v>
      </c>
      <c r="J7694" t="s">
        <v>271</v>
      </c>
      <c r="K7694" s="3">
        <v>100431671813</v>
      </c>
      <c r="L7694" s="10">
        <v>41169</v>
      </c>
      <c r="M7694">
        <v>8684.23</v>
      </c>
      <c r="N7694" s="11">
        <v>30</v>
      </c>
      <c r="O7694" s="12">
        <v>280.98</v>
      </c>
      <c r="P7694" s="12">
        <v>35.67</v>
      </c>
      <c r="Q7694" s="13">
        <v>1488.77</v>
      </c>
      <c r="R7694" s="36" t="s">
        <v>189</v>
      </c>
      <c r="S7694" s="7">
        <f t="shared" si="674"/>
        <v>2</v>
      </c>
      <c r="T7694" s="15" t="str">
        <f>VLOOKUP(R7694,产品分类!$C$2:$D$1278,2,0)</f>
        <v>数码电子</v>
      </c>
    </row>
    <row r="7695" spans="1:20">
      <c r="A7695" s="16">
        <f>DATE(2012,12,31)-1439</f>
        <v>39835</v>
      </c>
      <c r="B7695" s="16">
        <f>DATE(2012,12,31)-1439</f>
        <v>39835</v>
      </c>
      <c r="C7695" s="9" t="s">
        <v>1761</v>
      </c>
      <c r="D7695">
        <v>10021312729</v>
      </c>
      <c r="E7695" t="s">
        <v>47</v>
      </c>
      <c r="F7695" t="s">
        <v>97</v>
      </c>
      <c r="G7695" t="s">
        <v>98</v>
      </c>
      <c r="H7695" t="s">
        <v>99</v>
      </c>
      <c r="I7695" t="s">
        <v>98</v>
      </c>
      <c r="J7695" t="s">
        <v>271</v>
      </c>
      <c r="K7695" s="3">
        <v>100430280124</v>
      </c>
      <c r="L7695" s="10">
        <v>39837</v>
      </c>
      <c r="M7695">
        <v>134.83</v>
      </c>
      <c r="N7695" s="17">
        <v>49</v>
      </c>
      <c r="O7695" s="5">
        <v>2.89</v>
      </c>
      <c r="P7695" s="5">
        <v>0.5</v>
      </c>
      <c r="Q7695" s="6">
        <v>50.74</v>
      </c>
      <c r="R7695" s="37" t="s">
        <v>846</v>
      </c>
      <c r="S7695" s="7">
        <f t="shared" si="674"/>
        <v>2</v>
      </c>
      <c r="T7695" s="15" t="str">
        <f>VLOOKUP(R7695,产品分类!$C$2:$D$1278,2,0)</f>
        <v>数码电子</v>
      </c>
    </row>
    <row r="7696" spans="1:20">
      <c r="A7696" s="8">
        <f>DATE(2012,12,31)-1439</f>
        <v>39835</v>
      </c>
      <c r="B7696" s="8">
        <f>DATE(2012,12,31)-1439</f>
        <v>39835</v>
      </c>
      <c r="C7696" s="9" t="s">
        <v>1761</v>
      </c>
      <c r="D7696">
        <v>10021341356</v>
      </c>
      <c r="E7696" t="s">
        <v>47</v>
      </c>
      <c r="F7696" t="s">
        <v>132</v>
      </c>
      <c r="G7696" t="s">
        <v>133</v>
      </c>
      <c r="H7696" t="s">
        <v>134</v>
      </c>
      <c r="I7696" t="s">
        <v>133</v>
      </c>
      <c r="J7696" t="s">
        <v>271</v>
      </c>
      <c r="K7696" s="3">
        <v>100127027877</v>
      </c>
      <c r="L7696" s="10">
        <v>39836</v>
      </c>
      <c r="M7696">
        <v>8865.1</v>
      </c>
      <c r="N7696" s="11">
        <v>39</v>
      </c>
      <c r="O7696" s="12">
        <v>217.85</v>
      </c>
      <c r="P7696" s="12">
        <v>29.1</v>
      </c>
      <c r="Q7696" s="13">
        <v>1517.12</v>
      </c>
      <c r="R7696" s="36" t="s">
        <v>1065</v>
      </c>
      <c r="S7696" s="7">
        <f t="shared" si="674"/>
        <v>1</v>
      </c>
      <c r="T7696" s="15" t="str">
        <f>VLOOKUP(R7696,产品分类!$C$2:$D$1278,2,0)</f>
        <v>办公用品</v>
      </c>
    </row>
    <row r="7697" spans="1:20">
      <c r="A7697" s="8">
        <f>DATE(2012,12,31)-649</f>
        <v>40625</v>
      </c>
      <c r="B7697" s="8">
        <f>DATE(2012,12,31)-649</f>
        <v>40625</v>
      </c>
      <c r="C7697" s="9" t="s">
        <v>1809</v>
      </c>
      <c r="D7697">
        <v>10021593158</v>
      </c>
      <c r="E7697" t="s">
        <v>47</v>
      </c>
      <c r="F7697" t="s">
        <v>132</v>
      </c>
      <c r="G7697" t="s">
        <v>133</v>
      </c>
      <c r="H7697" t="s">
        <v>134</v>
      </c>
      <c r="I7697" t="s">
        <v>133</v>
      </c>
      <c r="J7697" t="s">
        <v>271</v>
      </c>
      <c r="K7697" s="3">
        <v>100730427905</v>
      </c>
      <c r="L7697" s="10">
        <v>40626</v>
      </c>
      <c r="M7697">
        <v>51.39</v>
      </c>
      <c r="N7697" s="11">
        <v>22</v>
      </c>
      <c r="O7697" s="12">
        <v>1.76</v>
      </c>
      <c r="P7697" s="12">
        <v>4.86</v>
      </c>
      <c r="Q7697" s="13">
        <v>-64.37</v>
      </c>
      <c r="R7697" s="36" t="s">
        <v>1051</v>
      </c>
      <c r="S7697" s="7">
        <f t="shared" si="674"/>
        <v>1</v>
      </c>
      <c r="T7697" s="15" t="str">
        <f>VLOOKUP(R7697,产品分类!$C$2:$D$1278,2,0)</f>
        <v>家具产品</v>
      </c>
    </row>
    <row r="7698" spans="1:20">
      <c r="A7698" s="8">
        <f>DATE(2012,12,31)-649</f>
        <v>40625</v>
      </c>
      <c r="B7698" s="8">
        <f>DATE(2012,12,31)-649</f>
        <v>40625</v>
      </c>
      <c r="C7698" s="9" t="s">
        <v>288</v>
      </c>
      <c r="D7698">
        <v>10021350750</v>
      </c>
      <c r="E7698" t="s">
        <v>47</v>
      </c>
      <c r="F7698" t="s">
        <v>132</v>
      </c>
      <c r="G7698" t="s">
        <v>133</v>
      </c>
      <c r="H7698" t="s">
        <v>134</v>
      </c>
      <c r="I7698" t="s">
        <v>133</v>
      </c>
      <c r="J7698" t="s">
        <v>271</v>
      </c>
      <c r="K7698" s="3">
        <v>100932178181</v>
      </c>
      <c r="L7698" s="10">
        <v>40626</v>
      </c>
      <c r="M7698">
        <v>293.52</v>
      </c>
      <c r="N7698" s="11">
        <v>31</v>
      </c>
      <c r="O7698" s="12">
        <v>9.38</v>
      </c>
      <c r="P7698" s="12">
        <v>7.28</v>
      </c>
      <c r="Q7698" s="13">
        <v>-116.66</v>
      </c>
      <c r="R7698" s="36" t="s">
        <v>1729</v>
      </c>
      <c r="S7698" s="7">
        <f t="shared" si="674"/>
        <v>1</v>
      </c>
      <c r="T7698" s="15" t="str">
        <f>VLOOKUP(R7698,产品分类!$C$2:$D$1278,2,0)</f>
        <v>办公用品</v>
      </c>
    </row>
    <row r="7699" spans="1:20">
      <c r="A7699" s="8">
        <f>DATE(2012,12,31)-621</f>
        <v>40653</v>
      </c>
      <c r="B7699" s="8">
        <f>DATE(2012,12,31)-621</f>
        <v>40653</v>
      </c>
      <c r="C7699" s="9" t="s">
        <v>288</v>
      </c>
      <c r="D7699">
        <v>10021453844</v>
      </c>
      <c r="E7699" t="s">
        <v>47</v>
      </c>
      <c r="F7699" t="s">
        <v>132</v>
      </c>
      <c r="G7699" t="s">
        <v>133</v>
      </c>
      <c r="H7699" t="s">
        <v>134</v>
      </c>
      <c r="I7699" t="s">
        <v>133</v>
      </c>
      <c r="J7699" t="s">
        <v>271</v>
      </c>
      <c r="K7699" s="3">
        <v>100332502549</v>
      </c>
      <c r="L7699" s="10">
        <v>40655</v>
      </c>
      <c r="M7699">
        <v>67.84</v>
      </c>
      <c r="N7699" s="11">
        <v>24</v>
      </c>
      <c r="O7699" s="12">
        <v>2.88</v>
      </c>
      <c r="P7699" s="12">
        <v>0.99</v>
      </c>
      <c r="Q7699" s="13">
        <v>13.44</v>
      </c>
      <c r="R7699" s="36" t="s">
        <v>2534</v>
      </c>
      <c r="S7699" s="7">
        <f t="shared" si="674"/>
        <v>2</v>
      </c>
      <c r="T7699" s="15" t="str">
        <f>VLOOKUP(R7699,产品分类!$C$2:$D$1278,2,0)</f>
        <v>数码电子</v>
      </c>
    </row>
    <row r="7700" spans="1:20">
      <c r="A7700" s="8">
        <f>DATE(2012,12,31)-734</f>
        <v>40540</v>
      </c>
      <c r="B7700" s="8">
        <f>DATE(2012,12,31)-734</f>
        <v>40540</v>
      </c>
      <c r="C7700" s="9" t="s">
        <v>689</v>
      </c>
      <c r="D7700">
        <v>10021630820</v>
      </c>
      <c r="E7700" t="s">
        <v>47</v>
      </c>
      <c r="F7700" t="s">
        <v>304</v>
      </c>
      <c r="G7700" t="s">
        <v>305</v>
      </c>
      <c r="H7700" t="s">
        <v>2527</v>
      </c>
      <c r="I7700" t="s">
        <v>2528</v>
      </c>
      <c r="J7700" t="s">
        <v>271</v>
      </c>
      <c r="K7700" s="3">
        <v>100132166598</v>
      </c>
      <c r="L7700" s="10">
        <v>40542</v>
      </c>
      <c r="M7700">
        <v>2232.06</v>
      </c>
      <c r="N7700" s="11">
        <v>14</v>
      </c>
      <c r="O7700" s="12">
        <v>155.06</v>
      </c>
      <c r="P7700" s="12">
        <v>7.07</v>
      </c>
      <c r="Q7700" s="13">
        <v>542.16</v>
      </c>
      <c r="R7700" s="36" t="s">
        <v>144</v>
      </c>
      <c r="S7700" s="7">
        <f t="shared" si="674"/>
        <v>2</v>
      </c>
      <c r="T7700" s="15" t="str">
        <f>VLOOKUP(R7700,产品分类!$C$2:$D$1278,2,0)</f>
        <v>办公用品</v>
      </c>
    </row>
    <row r="7701" spans="1:20">
      <c r="A7701" s="8">
        <f>DATE(2012,12,31)-82</f>
        <v>41192</v>
      </c>
      <c r="B7701" s="8">
        <f>DATE(2012,12,31)-82</f>
        <v>41192</v>
      </c>
      <c r="C7701" s="9" t="s">
        <v>689</v>
      </c>
      <c r="D7701">
        <v>10021331641</v>
      </c>
      <c r="E7701" t="s">
        <v>47</v>
      </c>
      <c r="F7701" t="s">
        <v>102</v>
      </c>
      <c r="G7701" t="s">
        <v>103</v>
      </c>
      <c r="H7701" t="s">
        <v>2560</v>
      </c>
      <c r="I7701" t="s">
        <v>2561</v>
      </c>
      <c r="J7701" t="s">
        <v>271</v>
      </c>
      <c r="K7701" s="3">
        <v>10014472337</v>
      </c>
      <c r="L7701" s="10">
        <v>41193</v>
      </c>
      <c r="M7701">
        <v>387.17</v>
      </c>
      <c r="N7701" s="11">
        <v>7</v>
      </c>
      <c r="O7701" s="12">
        <v>55.94</v>
      </c>
      <c r="P7701" s="12">
        <v>6.55</v>
      </c>
      <c r="Q7701" s="13">
        <v>-204.65</v>
      </c>
      <c r="R7701" s="36" t="s">
        <v>469</v>
      </c>
      <c r="S7701" s="7">
        <f t="shared" si="674"/>
        <v>1</v>
      </c>
      <c r="T7701" s="15" t="str">
        <f>VLOOKUP(R7701,产品分类!$C$2:$D$1278,2,0)</f>
        <v>办公用品</v>
      </c>
    </row>
    <row r="7702" spans="1:20">
      <c r="A7702" s="8">
        <f>DATE(2012,12,31)-1451</f>
        <v>39823</v>
      </c>
      <c r="B7702" s="8">
        <f>DATE(2012,12,31)-1451</f>
        <v>39823</v>
      </c>
      <c r="C7702" s="9" t="s">
        <v>1247</v>
      </c>
      <c r="D7702">
        <v>10021594210</v>
      </c>
      <c r="E7702" t="s">
        <v>47</v>
      </c>
      <c r="F7702" t="s">
        <v>102</v>
      </c>
      <c r="G7702" t="s">
        <v>103</v>
      </c>
      <c r="H7702" t="s">
        <v>2560</v>
      </c>
      <c r="I7702" t="s">
        <v>2561</v>
      </c>
      <c r="J7702" t="s">
        <v>271</v>
      </c>
      <c r="K7702" s="3">
        <v>100732475225</v>
      </c>
      <c r="L7702" s="10">
        <v>39824</v>
      </c>
      <c r="M7702">
        <v>2137.1</v>
      </c>
      <c r="N7702" s="11">
        <v>31</v>
      </c>
      <c r="O7702" s="12">
        <v>70.98</v>
      </c>
      <c r="P7702" s="12">
        <v>46.74</v>
      </c>
      <c r="Q7702" s="13">
        <v>-686.01</v>
      </c>
      <c r="R7702" s="36" t="s">
        <v>246</v>
      </c>
      <c r="S7702" s="7">
        <f t="shared" si="674"/>
        <v>1</v>
      </c>
      <c r="T7702" s="15" t="str">
        <f>VLOOKUP(R7702,产品分类!$C$2:$D$1278,2,0)</f>
        <v>办公用品</v>
      </c>
    </row>
    <row r="7703" spans="1:20">
      <c r="A7703" s="8">
        <f>DATE(2012,12,31)-1451</f>
        <v>39823</v>
      </c>
      <c r="B7703" s="8">
        <f>DATE(2012,12,31)-1451</f>
        <v>39823</v>
      </c>
      <c r="C7703" s="9" t="s">
        <v>1321</v>
      </c>
      <c r="D7703">
        <v>10021661357</v>
      </c>
      <c r="E7703" t="s">
        <v>47</v>
      </c>
      <c r="F7703" t="s">
        <v>102</v>
      </c>
      <c r="G7703" t="s">
        <v>103</v>
      </c>
      <c r="H7703" t="s">
        <v>2560</v>
      </c>
      <c r="I7703" t="s">
        <v>2561</v>
      </c>
      <c r="J7703" t="s">
        <v>271</v>
      </c>
      <c r="K7703" s="3">
        <v>100416117644</v>
      </c>
      <c r="L7703" s="10">
        <v>39825</v>
      </c>
      <c r="M7703">
        <v>571.17</v>
      </c>
      <c r="N7703" s="11">
        <v>48</v>
      </c>
      <c r="O7703" s="12">
        <v>11.55</v>
      </c>
      <c r="P7703" s="12">
        <v>2.36</v>
      </c>
      <c r="Q7703" s="13">
        <v>129.87</v>
      </c>
      <c r="R7703" s="36" t="s">
        <v>2322</v>
      </c>
      <c r="S7703" s="7">
        <f t="shared" si="674"/>
        <v>2</v>
      </c>
      <c r="T7703" s="15" t="str">
        <f>VLOOKUP(R7703,产品分类!$C$2:$D$1278,2,0)</f>
        <v>家具产品</v>
      </c>
    </row>
    <row r="7704" spans="1:20">
      <c r="A7704" s="8">
        <f>DATE(2012,12,31)-1304</f>
        <v>39970</v>
      </c>
      <c r="B7704" s="8">
        <f>DATE(2012,12,31)-1304</f>
        <v>39970</v>
      </c>
      <c r="C7704" s="9" t="s">
        <v>2610</v>
      </c>
      <c r="D7704">
        <v>10021389074</v>
      </c>
      <c r="E7704" t="s">
        <v>47</v>
      </c>
      <c r="F7704" t="s">
        <v>304</v>
      </c>
      <c r="G7704" t="s">
        <v>305</v>
      </c>
      <c r="H7704" t="s">
        <v>2527</v>
      </c>
      <c r="I7704" t="s">
        <v>2528</v>
      </c>
      <c r="J7704" t="s">
        <v>271</v>
      </c>
      <c r="K7704" s="3">
        <v>100931174951</v>
      </c>
      <c r="L7704" s="10">
        <v>39971</v>
      </c>
      <c r="M7704">
        <v>129.3</v>
      </c>
      <c r="N7704" s="11">
        <v>20</v>
      </c>
      <c r="O7704" s="12">
        <v>6.47</v>
      </c>
      <c r="P7704" s="12">
        <v>1.22</v>
      </c>
      <c r="Q7704" s="13">
        <v>40.2</v>
      </c>
      <c r="R7704" s="36" t="s">
        <v>814</v>
      </c>
      <c r="S7704" s="7">
        <f t="shared" si="674"/>
        <v>1</v>
      </c>
      <c r="T7704" s="15" t="str">
        <f>VLOOKUP(R7704,产品分类!$C$2:$D$1278,2,0)</f>
        <v>办公用品</v>
      </c>
    </row>
    <row r="7705" spans="1:20">
      <c r="A7705" s="8">
        <f>DATE(2012,12,31)-1304</f>
        <v>39970</v>
      </c>
      <c r="B7705" s="8">
        <f>DATE(2012,12,31)-1304</f>
        <v>39970</v>
      </c>
      <c r="C7705" s="9" t="s">
        <v>2610</v>
      </c>
      <c r="D7705">
        <v>10021353301</v>
      </c>
      <c r="E7705" t="s">
        <v>47</v>
      </c>
      <c r="F7705" t="s">
        <v>304</v>
      </c>
      <c r="G7705" t="s">
        <v>305</v>
      </c>
      <c r="H7705" t="s">
        <v>2527</v>
      </c>
      <c r="I7705" t="s">
        <v>2528</v>
      </c>
      <c r="J7705" t="s">
        <v>271</v>
      </c>
      <c r="K7705" s="3">
        <v>100432562264</v>
      </c>
      <c r="L7705" s="10">
        <v>39972</v>
      </c>
      <c r="M7705">
        <v>104.97</v>
      </c>
      <c r="N7705" s="11">
        <v>39</v>
      </c>
      <c r="O7705" s="12">
        <v>2.84</v>
      </c>
      <c r="P7705" s="12">
        <v>0.93</v>
      </c>
      <c r="Q7705" s="13">
        <v>3.21</v>
      </c>
      <c r="R7705" s="36" t="s">
        <v>2097</v>
      </c>
      <c r="S7705" s="7">
        <f t="shared" si="674"/>
        <v>2</v>
      </c>
      <c r="T7705" s="15" t="str">
        <f>VLOOKUP(R7705,产品分类!$C$2:$D$1278,2,0)</f>
        <v>数码电子</v>
      </c>
    </row>
    <row r="7706" spans="1:20">
      <c r="A7706" s="8">
        <f>DATE(2012,12,31)-1039</f>
        <v>40235</v>
      </c>
      <c r="B7706" s="8">
        <f>DATE(2012,12,31)-1039</f>
        <v>40235</v>
      </c>
      <c r="C7706" s="9" t="s">
        <v>737</v>
      </c>
      <c r="D7706">
        <v>10021672179</v>
      </c>
      <c r="E7706" t="s">
        <v>47</v>
      </c>
      <c r="F7706" t="s">
        <v>527</v>
      </c>
      <c r="G7706" t="s">
        <v>528</v>
      </c>
      <c r="H7706" t="s">
        <v>2567</v>
      </c>
      <c r="I7706" t="s">
        <v>2568</v>
      </c>
      <c r="J7706" t="s">
        <v>271</v>
      </c>
      <c r="K7706" s="3">
        <v>100331314549</v>
      </c>
      <c r="L7706" s="10">
        <v>40237</v>
      </c>
      <c r="M7706">
        <v>340.7</v>
      </c>
      <c r="N7706" s="11">
        <v>21</v>
      </c>
      <c r="O7706" s="12">
        <v>15.23</v>
      </c>
      <c r="P7706" s="12">
        <v>27.75</v>
      </c>
      <c r="Q7706" s="13">
        <v>11.65095</v>
      </c>
      <c r="R7706" s="36" t="s">
        <v>1471</v>
      </c>
      <c r="S7706" s="7">
        <f t="shared" si="674"/>
        <v>2</v>
      </c>
      <c r="T7706" s="15" t="str">
        <f>VLOOKUP(R7706,产品分类!$C$2:$D$1278,2,0)</f>
        <v>数码电子</v>
      </c>
    </row>
    <row r="7707" spans="1:20">
      <c r="A7707" s="16">
        <f>DATE(2012,12,31)-1076</f>
        <v>40198</v>
      </c>
      <c r="B7707" s="16">
        <f>DATE(2012,12,31)-1076</f>
        <v>40198</v>
      </c>
      <c r="C7707" s="9" t="s">
        <v>1604</v>
      </c>
      <c r="D7707">
        <v>10021418432</v>
      </c>
      <c r="E7707" t="s">
        <v>47</v>
      </c>
      <c r="F7707" t="s">
        <v>171</v>
      </c>
      <c r="G7707" t="s">
        <v>172</v>
      </c>
      <c r="H7707" t="s">
        <v>2486</v>
      </c>
      <c r="I7707" t="s">
        <v>2310</v>
      </c>
      <c r="J7707" t="s">
        <v>271</v>
      </c>
      <c r="K7707" s="3">
        <v>100121399736</v>
      </c>
      <c r="L7707" s="10">
        <v>40199</v>
      </c>
      <c r="M7707">
        <v>46.42</v>
      </c>
      <c r="N7707" s="17">
        <v>21</v>
      </c>
      <c r="O7707" s="5">
        <v>2.1</v>
      </c>
      <c r="P7707" s="5">
        <v>0.7</v>
      </c>
      <c r="Q7707" s="6">
        <v>2.38</v>
      </c>
      <c r="R7707" s="37" t="s">
        <v>1184</v>
      </c>
      <c r="S7707" s="7">
        <f t="shared" si="674"/>
        <v>1</v>
      </c>
      <c r="T7707" s="15" t="str">
        <f>VLOOKUP(R7707,产品分类!$C$2:$D$1278,2,0)</f>
        <v>数码电子</v>
      </c>
    </row>
    <row r="7708" spans="1:20">
      <c r="A7708" s="16">
        <f>DATE(2012,12,31)-1076</f>
        <v>40198</v>
      </c>
      <c r="B7708" s="16">
        <f>DATE(2012,12,31)-1076</f>
        <v>40198</v>
      </c>
      <c r="C7708" s="9" t="s">
        <v>1604</v>
      </c>
      <c r="D7708">
        <v>10021336513</v>
      </c>
      <c r="E7708" t="s">
        <v>47</v>
      </c>
      <c r="F7708" t="s">
        <v>171</v>
      </c>
      <c r="G7708" t="s">
        <v>172</v>
      </c>
      <c r="H7708" t="s">
        <v>2486</v>
      </c>
      <c r="I7708" t="s">
        <v>2310</v>
      </c>
      <c r="J7708" t="s">
        <v>271</v>
      </c>
      <c r="K7708" s="3">
        <v>100718992605</v>
      </c>
      <c r="L7708" s="10">
        <v>40200</v>
      </c>
      <c r="M7708">
        <v>154.99</v>
      </c>
      <c r="N7708" s="17">
        <v>24</v>
      </c>
      <c r="O7708" s="5">
        <v>4.48</v>
      </c>
      <c r="P7708" s="5">
        <v>49</v>
      </c>
      <c r="Q7708" s="6">
        <v>-1085.52</v>
      </c>
      <c r="R7708" s="37" t="s">
        <v>325</v>
      </c>
      <c r="S7708" s="7">
        <f t="shared" si="674"/>
        <v>2</v>
      </c>
      <c r="T7708" s="15" t="str">
        <f>VLOOKUP(R7708,产品分类!$C$2:$D$1278,2,0)</f>
        <v>数码电子</v>
      </c>
    </row>
    <row r="7709" spans="1:20">
      <c r="A7709" s="8">
        <f>DATE(2012,12,31)-1035</f>
        <v>40239</v>
      </c>
      <c r="B7709" s="8">
        <f>DATE(2012,12,31)-1035</f>
        <v>40239</v>
      </c>
      <c r="C7709" s="9" t="s">
        <v>1638</v>
      </c>
      <c r="D7709">
        <v>10021389312</v>
      </c>
      <c r="E7709" t="s">
        <v>47</v>
      </c>
      <c r="F7709" t="s">
        <v>171</v>
      </c>
      <c r="G7709" t="s">
        <v>172</v>
      </c>
      <c r="H7709" t="s">
        <v>2486</v>
      </c>
      <c r="I7709" t="s">
        <v>2310</v>
      </c>
      <c r="J7709" t="s">
        <v>271</v>
      </c>
      <c r="K7709" s="3">
        <v>100931806931</v>
      </c>
      <c r="L7709" s="10">
        <v>40241</v>
      </c>
      <c r="M7709">
        <v>25.84</v>
      </c>
      <c r="N7709" s="11">
        <v>6</v>
      </c>
      <c r="O7709" s="12">
        <v>1.76</v>
      </c>
      <c r="P7709" s="12">
        <v>4.86</v>
      </c>
      <c r="Q7709" s="13">
        <v>-4.13</v>
      </c>
      <c r="R7709" s="36" t="s">
        <v>1154</v>
      </c>
      <c r="S7709" s="7">
        <f t="shared" si="674"/>
        <v>2</v>
      </c>
      <c r="T7709" s="15" t="str">
        <f>VLOOKUP(R7709,产品分类!$C$2:$D$1278,2,0)</f>
        <v>办公用品</v>
      </c>
    </row>
    <row r="7710" spans="1:20">
      <c r="A7710" s="8">
        <f t="shared" ref="A7710:B7712" si="676">DATE(2012,12,31)-426</f>
        <v>40848</v>
      </c>
      <c r="B7710" s="8">
        <f t="shared" si="676"/>
        <v>40848</v>
      </c>
      <c r="C7710" s="9" t="s">
        <v>1399</v>
      </c>
      <c r="D7710">
        <v>10021588290</v>
      </c>
      <c r="E7710" t="s">
        <v>47</v>
      </c>
      <c r="F7710" t="s">
        <v>171</v>
      </c>
      <c r="G7710" t="s">
        <v>172</v>
      </c>
      <c r="H7710" t="s">
        <v>2486</v>
      </c>
      <c r="I7710" t="s">
        <v>2310</v>
      </c>
      <c r="J7710" t="s">
        <v>271</v>
      </c>
      <c r="K7710" s="3">
        <v>100130436608</v>
      </c>
      <c r="L7710" s="10">
        <v>40849</v>
      </c>
      <c r="M7710">
        <v>73.86</v>
      </c>
      <c r="N7710" s="11">
        <v>7</v>
      </c>
      <c r="O7710" s="12">
        <v>9.71</v>
      </c>
      <c r="P7710" s="12">
        <v>9.45</v>
      </c>
      <c r="Q7710" s="13">
        <v>-52.49</v>
      </c>
      <c r="R7710" s="36" t="s">
        <v>512</v>
      </c>
      <c r="S7710" s="7">
        <f t="shared" si="674"/>
        <v>1</v>
      </c>
      <c r="T7710" s="15" t="str">
        <f>VLOOKUP(R7710,产品分类!$C$2:$D$1278,2,0)</f>
        <v>办公用品</v>
      </c>
    </row>
    <row r="7711" spans="1:20">
      <c r="A7711" s="8">
        <f t="shared" si="676"/>
        <v>40848</v>
      </c>
      <c r="B7711" s="8">
        <f t="shared" si="676"/>
        <v>40848</v>
      </c>
      <c r="C7711" s="9" t="s">
        <v>1546</v>
      </c>
      <c r="D7711">
        <v>10021523984</v>
      </c>
      <c r="E7711" t="s">
        <v>47</v>
      </c>
      <c r="F7711" t="s">
        <v>171</v>
      </c>
      <c r="G7711" t="s">
        <v>172</v>
      </c>
      <c r="H7711" t="s">
        <v>2486</v>
      </c>
      <c r="I7711" t="s">
        <v>2310</v>
      </c>
      <c r="J7711" t="s">
        <v>271</v>
      </c>
      <c r="K7711" s="3">
        <v>100115385206</v>
      </c>
      <c r="L7711" s="10">
        <v>40849</v>
      </c>
      <c r="M7711">
        <v>4373.8535</v>
      </c>
      <c r="N7711" s="11">
        <v>42</v>
      </c>
      <c r="O7711" s="12">
        <v>125.99</v>
      </c>
      <c r="P7711" s="12">
        <v>7.69</v>
      </c>
      <c r="Q7711" s="13">
        <v>963.675</v>
      </c>
      <c r="R7711" s="36" t="s">
        <v>1977</v>
      </c>
      <c r="S7711" s="7">
        <f t="shared" si="674"/>
        <v>1</v>
      </c>
      <c r="T7711" s="15" t="str">
        <f>VLOOKUP(R7711,产品分类!$C$2:$D$1278,2,0)</f>
        <v>数码电子</v>
      </c>
    </row>
    <row r="7712" spans="1:20">
      <c r="A7712" s="8">
        <f t="shared" si="676"/>
        <v>40848</v>
      </c>
      <c r="B7712" s="8">
        <f t="shared" si="676"/>
        <v>40848</v>
      </c>
      <c r="C7712" s="9" t="s">
        <v>369</v>
      </c>
      <c r="D7712">
        <v>10021497170</v>
      </c>
      <c r="E7712" t="s">
        <v>47</v>
      </c>
      <c r="F7712" t="s">
        <v>527</v>
      </c>
      <c r="G7712" t="s">
        <v>528</v>
      </c>
      <c r="H7712" t="s">
        <v>2567</v>
      </c>
      <c r="I7712" t="s">
        <v>2568</v>
      </c>
      <c r="J7712" t="s">
        <v>271</v>
      </c>
      <c r="K7712" s="3">
        <v>10013225837</v>
      </c>
      <c r="L7712" s="10">
        <v>40850</v>
      </c>
      <c r="M7712">
        <v>2302.36</v>
      </c>
      <c r="N7712" s="11">
        <v>8</v>
      </c>
      <c r="O7712" s="12">
        <v>300.97</v>
      </c>
      <c r="P7712" s="12">
        <v>7.18</v>
      </c>
      <c r="Q7712" s="13">
        <v>-114.68</v>
      </c>
      <c r="R7712" s="36" t="s">
        <v>1115</v>
      </c>
      <c r="S7712" s="7">
        <f t="shared" si="674"/>
        <v>2</v>
      </c>
      <c r="T7712" s="15" t="str">
        <f>VLOOKUP(R7712,产品分类!$C$2:$D$1278,2,0)</f>
        <v>家具产品</v>
      </c>
    </row>
    <row r="7713" spans="1:20">
      <c r="A7713" s="16">
        <f>DATE(2012,12,31)-1281</f>
        <v>39993</v>
      </c>
      <c r="B7713" s="16">
        <f>DATE(2012,12,31)-1281</f>
        <v>39993</v>
      </c>
      <c r="C7713" s="9" t="s">
        <v>275</v>
      </c>
      <c r="D7713">
        <v>10021508975</v>
      </c>
      <c r="E7713" t="s">
        <v>47</v>
      </c>
      <c r="F7713" t="s">
        <v>527</v>
      </c>
      <c r="G7713" t="s">
        <v>528</v>
      </c>
      <c r="H7713" t="s">
        <v>2567</v>
      </c>
      <c r="I7713" t="s">
        <v>2568</v>
      </c>
      <c r="J7713" t="s">
        <v>271</v>
      </c>
      <c r="K7713" s="3">
        <v>100732330135</v>
      </c>
      <c r="L7713" s="10">
        <v>39995</v>
      </c>
      <c r="M7713">
        <v>260.59</v>
      </c>
      <c r="N7713" s="17">
        <v>43</v>
      </c>
      <c r="O7713" s="5">
        <v>6.48</v>
      </c>
      <c r="P7713" s="5">
        <v>7.03</v>
      </c>
      <c r="Q7713" s="6">
        <v>-157.76</v>
      </c>
      <c r="R7713" s="37" t="s">
        <v>2343</v>
      </c>
      <c r="S7713" s="7">
        <f t="shared" si="674"/>
        <v>2</v>
      </c>
      <c r="T7713" s="15" t="str">
        <f>VLOOKUP(R7713,产品分类!$C$2:$D$1278,2,0)</f>
        <v>办公用品</v>
      </c>
    </row>
    <row r="7714" spans="1:20">
      <c r="A7714" s="8">
        <f>DATE(2012,12,31)-206</f>
        <v>41068</v>
      </c>
      <c r="B7714" s="8">
        <f>DATE(2012,12,31)-206</f>
        <v>41068</v>
      </c>
      <c r="C7714" s="9" t="s">
        <v>411</v>
      </c>
      <c r="D7714">
        <v>10021294063</v>
      </c>
      <c r="E7714" t="s">
        <v>47</v>
      </c>
      <c r="F7714" t="s">
        <v>171</v>
      </c>
      <c r="G7714" t="s">
        <v>172</v>
      </c>
      <c r="H7714" t="s">
        <v>2486</v>
      </c>
      <c r="I7714" t="s">
        <v>2310</v>
      </c>
      <c r="J7714" t="s">
        <v>271</v>
      </c>
      <c r="K7714" s="3">
        <v>100410863994</v>
      </c>
      <c r="L7714" s="10">
        <v>41069</v>
      </c>
      <c r="M7714">
        <v>3723.99</v>
      </c>
      <c r="N7714" s="11">
        <v>13</v>
      </c>
      <c r="O7714" s="12">
        <v>289.53</v>
      </c>
      <c r="P7714" s="12">
        <v>19.99</v>
      </c>
      <c r="Q7714" s="13">
        <v>777.28</v>
      </c>
      <c r="R7714" s="36" t="s">
        <v>880</v>
      </c>
      <c r="S7714" s="7">
        <f t="shared" si="674"/>
        <v>1</v>
      </c>
      <c r="T7714" s="15" t="str">
        <f>VLOOKUP(R7714,产品分类!$C$2:$D$1278,2,0)</f>
        <v>办公用品</v>
      </c>
    </row>
    <row r="7715" spans="1:20">
      <c r="A7715" s="8">
        <f>DATE(2012,12,31)-206</f>
        <v>41068</v>
      </c>
      <c r="B7715" s="8">
        <f>DATE(2012,12,31)-206</f>
        <v>41068</v>
      </c>
      <c r="C7715" s="9" t="s">
        <v>2146</v>
      </c>
      <c r="D7715">
        <v>10021738078</v>
      </c>
      <c r="E7715" t="s">
        <v>47</v>
      </c>
      <c r="F7715" t="s">
        <v>177</v>
      </c>
      <c r="G7715" t="s">
        <v>178</v>
      </c>
      <c r="H7715" t="s">
        <v>2611</v>
      </c>
      <c r="I7715" t="s">
        <v>2612</v>
      </c>
      <c r="J7715" t="s">
        <v>271</v>
      </c>
      <c r="K7715" s="3">
        <v>10047285134</v>
      </c>
      <c r="L7715" s="10">
        <v>41069</v>
      </c>
      <c r="M7715">
        <v>61.94</v>
      </c>
      <c r="N7715" s="11">
        <v>39</v>
      </c>
      <c r="O7715" s="12">
        <v>1.6</v>
      </c>
      <c r="P7715" s="12">
        <v>1.29</v>
      </c>
      <c r="Q7715" s="13">
        <v>-17.78</v>
      </c>
      <c r="R7715" s="36" t="s">
        <v>1340</v>
      </c>
      <c r="S7715" s="7">
        <f t="shared" si="674"/>
        <v>1</v>
      </c>
      <c r="T7715" s="15" t="str">
        <f>VLOOKUP(R7715,产品分类!$C$2:$D$1278,2,0)</f>
        <v>办公用品</v>
      </c>
    </row>
    <row r="7716" spans="1:20">
      <c r="A7716" s="8">
        <f>DATE(2012,12,31)-290</f>
        <v>40984</v>
      </c>
      <c r="B7716" s="8">
        <f>DATE(2012,12,31)-290</f>
        <v>40984</v>
      </c>
      <c r="C7716" s="9" t="s">
        <v>2072</v>
      </c>
      <c r="D7716">
        <v>10021505248</v>
      </c>
      <c r="E7716" t="s">
        <v>47</v>
      </c>
      <c r="F7716" t="s">
        <v>171</v>
      </c>
      <c r="G7716" t="s">
        <v>172</v>
      </c>
      <c r="H7716" t="s">
        <v>2486</v>
      </c>
      <c r="I7716" t="s">
        <v>2310</v>
      </c>
      <c r="J7716" t="s">
        <v>271</v>
      </c>
      <c r="K7716" s="3">
        <v>100926266711</v>
      </c>
      <c r="L7716" s="10">
        <v>40986</v>
      </c>
      <c r="M7716">
        <v>115.78</v>
      </c>
      <c r="N7716" s="11">
        <v>32</v>
      </c>
      <c r="O7716" s="12">
        <v>3.52</v>
      </c>
      <c r="P7716" s="12">
        <v>6.83</v>
      </c>
      <c r="Q7716" s="13">
        <v>-167.417</v>
      </c>
      <c r="R7716" s="36" t="s">
        <v>1063</v>
      </c>
      <c r="S7716" s="7">
        <f t="shared" si="674"/>
        <v>2</v>
      </c>
      <c r="T7716" s="15" t="str">
        <f>VLOOKUP(R7716,产品分类!$C$2:$D$1278,2,0)</f>
        <v>办公用品</v>
      </c>
    </row>
    <row r="7717" spans="1:20">
      <c r="A7717" s="8">
        <f>DATE(2012,12,31)-290</f>
        <v>40984</v>
      </c>
      <c r="B7717" s="8">
        <f>DATE(2012,12,31)-290</f>
        <v>40984</v>
      </c>
      <c r="C7717" s="9" t="s">
        <v>686</v>
      </c>
      <c r="D7717">
        <v>10021509871</v>
      </c>
      <c r="E7717" t="s">
        <v>47</v>
      </c>
      <c r="F7717" t="s">
        <v>171</v>
      </c>
      <c r="G7717" t="s">
        <v>172</v>
      </c>
      <c r="H7717" t="s">
        <v>2486</v>
      </c>
      <c r="I7717" t="s">
        <v>2310</v>
      </c>
      <c r="J7717" t="s">
        <v>271</v>
      </c>
      <c r="K7717" s="3">
        <v>100332471319</v>
      </c>
      <c r="L7717" s="10">
        <v>40986</v>
      </c>
      <c r="M7717">
        <v>210.22</v>
      </c>
      <c r="N7717" s="11">
        <v>13</v>
      </c>
      <c r="O7717" s="12">
        <v>14.98</v>
      </c>
      <c r="P7717" s="12">
        <v>7.69</v>
      </c>
      <c r="Q7717" s="13">
        <v>-30.71</v>
      </c>
      <c r="R7717" s="36" t="s">
        <v>1635</v>
      </c>
      <c r="S7717" s="7">
        <f t="shared" si="674"/>
        <v>2</v>
      </c>
      <c r="T7717" s="15" t="str">
        <f>VLOOKUP(R7717,产品分类!$C$2:$D$1278,2,0)</f>
        <v>家具产品</v>
      </c>
    </row>
    <row r="7718" spans="1:20">
      <c r="A7718" s="8">
        <f>DATE(2012,12,31)-1346</f>
        <v>39928</v>
      </c>
      <c r="B7718" s="8">
        <f>DATE(2012,12,31)-1346</f>
        <v>39928</v>
      </c>
      <c r="C7718" s="9" t="s">
        <v>675</v>
      </c>
      <c r="D7718">
        <v>10021422066</v>
      </c>
      <c r="E7718" t="s">
        <v>47</v>
      </c>
      <c r="F7718" t="s">
        <v>527</v>
      </c>
      <c r="G7718" t="s">
        <v>528</v>
      </c>
      <c r="H7718" t="s">
        <v>2567</v>
      </c>
      <c r="I7718" t="s">
        <v>2568</v>
      </c>
      <c r="J7718" t="s">
        <v>271</v>
      </c>
      <c r="K7718" s="3">
        <v>100326802039</v>
      </c>
      <c r="L7718" s="10">
        <v>39930</v>
      </c>
      <c r="M7718">
        <v>126.95</v>
      </c>
      <c r="N7718" s="11">
        <v>5</v>
      </c>
      <c r="O7718" s="12">
        <v>22.84</v>
      </c>
      <c r="P7718" s="12">
        <v>8.18</v>
      </c>
      <c r="Q7718" s="13">
        <v>-4.17</v>
      </c>
      <c r="R7718" s="36" t="s">
        <v>1285</v>
      </c>
      <c r="S7718" s="7">
        <f t="shared" si="674"/>
        <v>2</v>
      </c>
      <c r="T7718" s="15" t="str">
        <f>VLOOKUP(R7718,产品分类!$C$2:$D$1278,2,0)</f>
        <v>办公用品</v>
      </c>
    </row>
    <row r="7719" spans="1:20">
      <c r="A7719" s="8">
        <f>DATE(2012,12,31)-219</f>
        <v>41055</v>
      </c>
      <c r="B7719" s="8">
        <f>DATE(2012,12,31)-219</f>
        <v>41055</v>
      </c>
      <c r="C7719" s="9" t="s">
        <v>675</v>
      </c>
      <c r="D7719">
        <v>10021255945</v>
      </c>
      <c r="E7719" t="s">
        <v>47</v>
      </c>
      <c r="F7719" t="s">
        <v>171</v>
      </c>
      <c r="G7719" t="s">
        <v>172</v>
      </c>
      <c r="H7719" t="s">
        <v>2486</v>
      </c>
      <c r="I7719" t="s">
        <v>2310</v>
      </c>
      <c r="J7719" t="s">
        <v>271</v>
      </c>
      <c r="K7719" s="3">
        <v>100124865357</v>
      </c>
      <c r="L7719" s="10">
        <v>41057</v>
      </c>
      <c r="M7719">
        <v>1944.87</v>
      </c>
      <c r="N7719" s="11">
        <v>49</v>
      </c>
      <c r="O7719" s="12">
        <v>41.71</v>
      </c>
      <c r="P7719" s="12">
        <v>4.5</v>
      </c>
      <c r="Q7719" s="13">
        <v>496.43</v>
      </c>
      <c r="R7719" s="36" t="s">
        <v>1027</v>
      </c>
      <c r="S7719" s="7">
        <f t="shared" si="674"/>
        <v>2</v>
      </c>
      <c r="T7719" s="15" t="str">
        <f>VLOOKUP(R7719,产品分类!$C$2:$D$1278,2,0)</f>
        <v>数码电子</v>
      </c>
    </row>
    <row r="7720" spans="1:20">
      <c r="A7720" s="16">
        <f>DATE(2012,12,31)-219</f>
        <v>41055</v>
      </c>
      <c r="B7720" s="16">
        <f>DATE(2012,12,31)-219</f>
        <v>41055</v>
      </c>
      <c r="C7720" s="9" t="s">
        <v>675</v>
      </c>
      <c r="D7720">
        <v>10021335324</v>
      </c>
      <c r="E7720" t="s">
        <v>47</v>
      </c>
      <c r="F7720" t="s">
        <v>171</v>
      </c>
      <c r="G7720" t="s">
        <v>172</v>
      </c>
      <c r="H7720" t="s">
        <v>2486</v>
      </c>
      <c r="I7720" t="s">
        <v>2310</v>
      </c>
      <c r="J7720" t="s">
        <v>271</v>
      </c>
      <c r="K7720" s="3">
        <v>100111636148</v>
      </c>
      <c r="L7720" s="10">
        <v>41056</v>
      </c>
      <c r="M7720">
        <v>61.82</v>
      </c>
      <c r="N7720" s="17">
        <v>12</v>
      </c>
      <c r="O7720" s="5">
        <v>5.34</v>
      </c>
      <c r="P7720" s="5">
        <v>2.99</v>
      </c>
      <c r="Q7720" s="6">
        <v>-10.4535</v>
      </c>
      <c r="R7720" s="37" t="s">
        <v>2548</v>
      </c>
      <c r="S7720" s="7">
        <f t="shared" si="674"/>
        <v>1</v>
      </c>
      <c r="T7720" s="15" t="str">
        <f>VLOOKUP(R7720,产品分类!$C$2:$D$1278,2,0)</f>
        <v>数码电子</v>
      </c>
    </row>
    <row r="7721" spans="1:20">
      <c r="A7721" s="8">
        <f>DATE(2012,12,31)-1190</f>
        <v>40084</v>
      </c>
      <c r="B7721" s="8">
        <f>DATE(2012,12,31)-1190</f>
        <v>40084</v>
      </c>
      <c r="C7721" s="9" t="s">
        <v>158</v>
      </c>
      <c r="D7721">
        <v>10021661817</v>
      </c>
      <c r="E7721" t="s">
        <v>47</v>
      </c>
      <c r="F7721" t="s">
        <v>167</v>
      </c>
      <c r="G7721" t="s">
        <v>168</v>
      </c>
      <c r="H7721" t="s">
        <v>169</v>
      </c>
      <c r="I7721" t="s">
        <v>168</v>
      </c>
      <c r="J7721" t="s">
        <v>271</v>
      </c>
      <c r="K7721" s="3">
        <v>100920010421</v>
      </c>
      <c r="L7721" s="10">
        <v>40085</v>
      </c>
      <c r="M7721">
        <v>84.01</v>
      </c>
      <c r="N7721" s="11">
        <v>16</v>
      </c>
      <c r="O7721" s="12">
        <v>4.82</v>
      </c>
      <c r="P7721" s="12">
        <v>5.72</v>
      </c>
      <c r="Q7721" s="13">
        <v>-34.12</v>
      </c>
      <c r="R7721" s="36" t="s">
        <v>883</v>
      </c>
      <c r="S7721" s="7">
        <f t="shared" si="674"/>
        <v>1</v>
      </c>
      <c r="T7721" s="15" t="str">
        <f>VLOOKUP(R7721,产品分类!$C$2:$D$1278,2,0)</f>
        <v>家具产品</v>
      </c>
    </row>
    <row r="7722" spans="1:20">
      <c r="A7722" s="8">
        <f t="shared" ref="A7722:B7724" si="677">DATE(2012,12,31)-279</f>
        <v>40995</v>
      </c>
      <c r="B7722" s="8">
        <f t="shared" si="677"/>
        <v>40995</v>
      </c>
      <c r="C7722" s="9" t="s">
        <v>671</v>
      </c>
      <c r="D7722">
        <v>10021746869</v>
      </c>
      <c r="E7722" t="s">
        <v>47</v>
      </c>
      <c r="F7722" t="s">
        <v>177</v>
      </c>
      <c r="G7722" t="s">
        <v>178</v>
      </c>
      <c r="H7722" t="s">
        <v>2611</v>
      </c>
      <c r="I7722" t="s">
        <v>2612</v>
      </c>
      <c r="J7722" t="s">
        <v>271</v>
      </c>
      <c r="K7722" s="3">
        <v>100111404127</v>
      </c>
      <c r="L7722" s="10">
        <v>40997</v>
      </c>
      <c r="M7722">
        <v>75.27</v>
      </c>
      <c r="N7722" s="11">
        <v>13</v>
      </c>
      <c r="O7722" s="12">
        <v>5.58</v>
      </c>
      <c r="P7722" s="12">
        <v>2.99</v>
      </c>
      <c r="Q7722" s="13">
        <v>-1.84</v>
      </c>
      <c r="R7722" s="36" t="s">
        <v>1982</v>
      </c>
      <c r="S7722" s="7">
        <f t="shared" si="674"/>
        <v>2</v>
      </c>
      <c r="T7722" s="15" t="str">
        <f>VLOOKUP(R7722,产品分类!$C$2:$D$1278,2,0)</f>
        <v>办公用品</v>
      </c>
    </row>
    <row r="7723" spans="1:20">
      <c r="A7723" s="8">
        <f t="shared" si="677"/>
        <v>40995</v>
      </c>
      <c r="B7723" s="8">
        <f t="shared" si="677"/>
        <v>40995</v>
      </c>
      <c r="C7723" s="9" t="s">
        <v>419</v>
      </c>
      <c r="D7723">
        <v>10021334706</v>
      </c>
      <c r="E7723" t="s">
        <v>47</v>
      </c>
      <c r="F7723" t="s">
        <v>177</v>
      </c>
      <c r="G7723" t="s">
        <v>178</v>
      </c>
      <c r="H7723" t="s">
        <v>2611</v>
      </c>
      <c r="I7723" t="s">
        <v>2612</v>
      </c>
      <c r="J7723" t="s">
        <v>271</v>
      </c>
      <c r="K7723" s="3">
        <v>100116274857</v>
      </c>
      <c r="L7723" s="10">
        <v>40996</v>
      </c>
      <c r="M7723">
        <v>1184.53</v>
      </c>
      <c r="N7723" s="11">
        <v>31</v>
      </c>
      <c r="O7723" s="12">
        <v>39.98</v>
      </c>
      <c r="P7723" s="12">
        <v>7.12</v>
      </c>
      <c r="Q7723" s="13">
        <v>-26.49</v>
      </c>
      <c r="R7723" s="36" t="s">
        <v>395</v>
      </c>
      <c r="S7723" s="7">
        <f t="shared" si="674"/>
        <v>1</v>
      </c>
      <c r="T7723" s="15" t="str">
        <f>VLOOKUP(R7723,产品分类!$C$2:$D$1278,2,0)</f>
        <v>数码电子</v>
      </c>
    </row>
    <row r="7724" spans="1:20">
      <c r="A7724" s="8">
        <f t="shared" si="677"/>
        <v>40995</v>
      </c>
      <c r="B7724" s="8">
        <f t="shared" si="677"/>
        <v>40995</v>
      </c>
      <c r="C7724" s="9" t="s">
        <v>1485</v>
      </c>
      <c r="D7724">
        <v>10021749821</v>
      </c>
      <c r="E7724" t="s">
        <v>47</v>
      </c>
      <c r="F7724" t="s">
        <v>167</v>
      </c>
      <c r="G7724" t="s">
        <v>168</v>
      </c>
      <c r="H7724" t="s">
        <v>169</v>
      </c>
      <c r="I7724" t="s">
        <v>168</v>
      </c>
      <c r="J7724" t="s">
        <v>271</v>
      </c>
      <c r="K7724" s="3">
        <v>100131028286</v>
      </c>
      <c r="L7724" s="10">
        <v>40996</v>
      </c>
      <c r="M7724">
        <v>3683.73</v>
      </c>
      <c r="N7724" s="11">
        <v>35</v>
      </c>
      <c r="O7724" s="12">
        <v>125.99</v>
      </c>
      <c r="P7724" s="12">
        <v>8.99</v>
      </c>
      <c r="Q7724" s="13">
        <v>708.759</v>
      </c>
      <c r="R7724" s="36" t="s">
        <v>118</v>
      </c>
      <c r="S7724" s="7">
        <f t="shared" si="674"/>
        <v>1</v>
      </c>
      <c r="T7724" s="15" t="str">
        <f>VLOOKUP(R7724,产品分类!$C$2:$D$1278,2,0)</f>
        <v>办公用品</v>
      </c>
    </row>
    <row r="7725" spans="1:20">
      <c r="A7725" s="8">
        <f>DATE(2012,12,31)-1141</f>
        <v>40133</v>
      </c>
      <c r="B7725" s="8">
        <f>DATE(2012,12,31)-1141</f>
        <v>40133</v>
      </c>
      <c r="C7725" s="9" t="s">
        <v>1485</v>
      </c>
      <c r="D7725">
        <v>10021744419</v>
      </c>
      <c r="E7725" t="s">
        <v>47</v>
      </c>
      <c r="F7725" t="s">
        <v>183</v>
      </c>
      <c r="G7725" t="s">
        <v>184</v>
      </c>
      <c r="H7725" t="s">
        <v>2575</v>
      </c>
      <c r="I7725" t="s">
        <v>130</v>
      </c>
      <c r="J7725" t="s">
        <v>271</v>
      </c>
      <c r="K7725" s="3">
        <v>100826839372</v>
      </c>
      <c r="L7725" s="10">
        <v>40134</v>
      </c>
      <c r="M7725">
        <v>246.2</v>
      </c>
      <c r="N7725" s="11">
        <v>3</v>
      </c>
      <c r="O7725" s="12">
        <v>70.89</v>
      </c>
      <c r="P7725" s="12">
        <v>89.3</v>
      </c>
      <c r="Q7725" s="13">
        <v>-184.16</v>
      </c>
      <c r="R7725" s="36" t="s">
        <v>2542</v>
      </c>
      <c r="S7725" s="7">
        <f t="shared" si="674"/>
        <v>1</v>
      </c>
      <c r="T7725" s="15" t="str">
        <f>VLOOKUP(R7725,产品分类!$C$2:$D$1278,2,0)</f>
        <v>办公用品</v>
      </c>
    </row>
    <row r="7726" spans="1:20">
      <c r="A7726" s="8">
        <f>DATE(2012,12,31)-469</f>
        <v>40805</v>
      </c>
      <c r="B7726" s="8">
        <f>DATE(2012,12,31)-469</f>
        <v>40805</v>
      </c>
      <c r="C7726" s="9" t="s">
        <v>2291</v>
      </c>
      <c r="D7726">
        <v>10021296495</v>
      </c>
      <c r="E7726" t="s">
        <v>47</v>
      </c>
      <c r="F7726" t="s">
        <v>167</v>
      </c>
      <c r="G7726" t="s">
        <v>168</v>
      </c>
      <c r="H7726" t="s">
        <v>169</v>
      </c>
      <c r="I7726" t="s">
        <v>168</v>
      </c>
      <c r="J7726" t="s">
        <v>271</v>
      </c>
      <c r="K7726" s="3">
        <v>100422026413</v>
      </c>
      <c r="L7726" s="10">
        <v>40807</v>
      </c>
      <c r="M7726">
        <v>1124.244</v>
      </c>
      <c r="N7726" s="11">
        <v>10</v>
      </c>
      <c r="O7726" s="12">
        <v>125.99</v>
      </c>
      <c r="P7726" s="12">
        <v>7.69</v>
      </c>
      <c r="Q7726" s="13">
        <v>-126.445</v>
      </c>
      <c r="R7726" s="36" t="s">
        <v>1353</v>
      </c>
      <c r="S7726" s="7">
        <f t="shared" si="674"/>
        <v>2</v>
      </c>
      <c r="T7726" s="15" t="str">
        <f>VLOOKUP(R7726,产品分类!$C$2:$D$1278,2,0)</f>
        <v>办公用品</v>
      </c>
    </row>
    <row r="7727" spans="1:20">
      <c r="A7727" s="8">
        <f>DATE(2012,12,31)-189</f>
        <v>41085</v>
      </c>
      <c r="B7727" s="8">
        <f>DATE(2012,12,31)-189</f>
        <v>41085</v>
      </c>
      <c r="C7727" s="9" t="s">
        <v>2291</v>
      </c>
      <c r="D7727">
        <v>10021385943</v>
      </c>
      <c r="E7727" t="s">
        <v>47</v>
      </c>
      <c r="F7727" t="s">
        <v>177</v>
      </c>
      <c r="G7727" t="s">
        <v>178</v>
      </c>
      <c r="H7727" t="s">
        <v>2611</v>
      </c>
      <c r="I7727" t="s">
        <v>2612</v>
      </c>
      <c r="J7727" t="s">
        <v>271</v>
      </c>
      <c r="K7727" s="3">
        <v>10093329201</v>
      </c>
      <c r="L7727" s="10">
        <v>41087</v>
      </c>
      <c r="M7727">
        <v>57.82</v>
      </c>
      <c r="N7727" s="11">
        <v>4</v>
      </c>
      <c r="O7727" s="12">
        <v>10.98</v>
      </c>
      <c r="P7727" s="12">
        <v>4.8</v>
      </c>
      <c r="Q7727" s="13">
        <v>0.849999999999998</v>
      </c>
      <c r="R7727" s="36" t="s">
        <v>1970</v>
      </c>
      <c r="S7727" s="7">
        <f t="shared" si="674"/>
        <v>2</v>
      </c>
      <c r="T7727" s="15" t="str">
        <f>VLOOKUP(R7727,产品分类!$C$2:$D$1278,2,0)</f>
        <v>办公用品</v>
      </c>
    </row>
    <row r="7728" spans="1:20">
      <c r="A7728" s="8">
        <f>DATE(2012,12,31)-189</f>
        <v>41085</v>
      </c>
      <c r="B7728" s="8">
        <f>DATE(2012,12,31)-189</f>
        <v>41085</v>
      </c>
      <c r="C7728" s="9" t="s">
        <v>2084</v>
      </c>
      <c r="D7728">
        <v>10021576237</v>
      </c>
      <c r="E7728" t="s">
        <v>47</v>
      </c>
      <c r="F7728" t="s">
        <v>127</v>
      </c>
      <c r="G7728" t="s">
        <v>128</v>
      </c>
      <c r="H7728" t="s">
        <v>2608</v>
      </c>
      <c r="I7728" t="s">
        <v>2609</v>
      </c>
      <c r="J7728" t="s">
        <v>271</v>
      </c>
      <c r="K7728" s="3">
        <v>10016430548</v>
      </c>
      <c r="L7728" s="10">
        <v>41086</v>
      </c>
      <c r="M7728">
        <v>544.89</v>
      </c>
      <c r="N7728" s="11">
        <v>49</v>
      </c>
      <c r="O7728" s="12">
        <v>11.97</v>
      </c>
      <c r="P7728" s="12">
        <v>5.81</v>
      </c>
      <c r="Q7728" s="13">
        <v>-115.66</v>
      </c>
      <c r="R7728" s="36" t="s">
        <v>1207</v>
      </c>
      <c r="S7728" s="7">
        <f t="shared" si="674"/>
        <v>1</v>
      </c>
      <c r="T7728" s="15" t="str">
        <f>VLOOKUP(R7728,产品分类!$C$2:$D$1278,2,0)</f>
        <v>数码电子</v>
      </c>
    </row>
    <row r="7729" spans="1:20">
      <c r="A7729" s="8">
        <f>DATE(2012,12,31)-604</f>
        <v>40670</v>
      </c>
      <c r="B7729" s="8">
        <f>DATE(2012,12,31)-604</f>
        <v>40670</v>
      </c>
      <c r="C7729" s="9" t="s">
        <v>1228</v>
      </c>
      <c r="D7729">
        <v>10021416215</v>
      </c>
      <c r="E7729" t="s">
        <v>47</v>
      </c>
      <c r="F7729" t="s">
        <v>177</v>
      </c>
      <c r="G7729" t="s">
        <v>178</v>
      </c>
      <c r="H7729" t="s">
        <v>2611</v>
      </c>
      <c r="I7729" t="s">
        <v>2612</v>
      </c>
      <c r="J7729" t="s">
        <v>271</v>
      </c>
      <c r="K7729" s="3">
        <v>100913945071</v>
      </c>
      <c r="L7729" s="10">
        <v>40671</v>
      </c>
      <c r="M7729">
        <v>525.77</v>
      </c>
      <c r="N7729" s="11">
        <v>43</v>
      </c>
      <c r="O7729" s="12">
        <v>11.99</v>
      </c>
      <c r="P7729" s="12">
        <v>5.99</v>
      </c>
      <c r="Q7729" s="13">
        <v>34.63</v>
      </c>
      <c r="R7729" s="36" t="s">
        <v>1160</v>
      </c>
      <c r="S7729" s="7">
        <f t="shared" si="674"/>
        <v>1</v>
      </c>
      <c r="T7729" s="15" t="str">
        <f>VLOOKUP(R7729,产品分类!$C$2:$D$1278,2,0)</f>
        <v>数码电子</v>
      </c>
    </row>
    <row r="7730" spans="1:20">
      <c r="A7730" s="8">
        <f>DATE(2012,12,31)-1333</f>
        <v>39941</v>
      </c>
      <c r="B7730" s="8">
        <f>DATE(2012,12,31)-1333</f>
        <v>39941</v>
      </c>
      <c r="C7730" s="9" t="s">
        <v>1592</v>
      </c>
      <c r="D7730">
        <v>10021658710</v>
      </c>
      <c r="E7730" t="s">
        <v>47</v>
      </c>
      <c r="F7730" t="s">
        <v>127</v>
      </c>
      <c r="G7730" t="s">
        <v>128</v>
      </c>
      <c r="H7730" t="s">
        <v>2608</v>
      </c>
      <c r="I7730" t="s">
        <v>2609</v>
      </c>
      <c r="J7730" t="s">
        <v>271</v>
      </c>
      <c r="K7730" s="3">
        <v>100110488658</v>
      </c>
      <c r="L7730" s="10">
        <v>39941</v>
      </c>
      <c r="M7730">
        <v>291.4</v>
      </c>
      <c r="N7730" s="11">
        <v>1</v>
      </c>
      <c r="O7730" s="12">
        <v>300.97</v>
      </c>
      <c r="P7730" s="12">
        <v>7.18</v>
      </c>
      <c r="Q7730" s="13">
        <v>-763.16</v>
      </c>
      <c r="R7730" s="36" t="s">
        <v>740</v>
      </c>
      <c r="S7730" s="7">
        <f t="shared" si="674"/>
        <v>0</v>
      </c>
      <c r="T7730" s="15" t="str">
        <f>VLOOKUP(R7730,产品分类!$C$2:$D$1278,2,0)</f>
        <v>办公用品</v>
      </c>
    </row>
    <row r="7731" spans="1:20">
      <c r="A7731" s="16">
        <f>DATE(2012,12,31)-182</f>
        <v>41092</v>
      </c>
      <c r="B7731" s="16">
        <f>DATE(2012,12,31)-182</f>
        <v>41092</v>
      </c>
      <c r="C7731" s="9" t="s">
        <v>1139</v>
      </c>
      <c r="D7731">
        <v>10021693800</v>
      </c>
      <c r="E7731" t="s">
        <v>47</v>
      </c>
      <c r="F7731" t="s">
        <v>61</v>
      </c>
      <c r="G7731" t="s">
        <v>62</v>
      </c>
      <c r="H7731" t="s">
        <v>2596</v>
      </c>
      <c r="I7731" t="s">
        <v>2597</v>
      </c>
      <c r="J7731" t="s">
        <v>271</v>
      </c>
      <c r="K7731" s="3">
        <v>100430252693</v>
      </c>
      <c r="L7731" s="10">
        <v>41093</v>
      </c>
      <c r="M7731">
        <v>445.17</v>
      </c>
      <c r="N7731" s="17">
        <v>23</v>
      </c>
      <c r="O7731" s="5">
        <v>18.97</v>
      </c>
      <c r="P7731" s="5">
        <v>9.03</v>
      </c>
      <c r="Q7731" s="6">
        <v>38.11</v>
      </c>
      <c r="R7731" s="37" t="s">
        <v>408</v>
      </c>
      <c r="S7731" s="7">
        <f t="shared" si="674"/>
        <v>1</v>
      </c>
      <c r="T7731" s="15" t="str">
        <f>VLOOKUP(R7731,产品分类!$C$2:$D$1278,2,0)</f>
        <v>家具产品</v>
      </c>
    </row>
    <row r="7732" spans="1:20">
      <c r="A7732" s="8">
        <f>DATE(2012,12,31)-1263</f>
        <v>40011</v>
      </c>
      <c r="B7732" s="8">
        <f>DATE(2012,12,31)-1263</f>
        <v>40011</v>
      </c>
      <c r="C7732" s="9" t="s">
        <v>1139</v>
      </c>
      <c r="D7732">
        <v>10021694591</v>
      </c>
      <c r="E7732" t="s">
        <v>47</v>
      </c>
      <c r="F7732" t="s">
        <v>61</v>
      </c>
      <c r="G7732" t="s">
        <v>62</v>
      </c>
      <c r="H7732" t="s">
        <v>2596</v>
      </c>
      <c r="I7732" t="s">
        <v>2597</v>
      </c>
      <c r="J7732" t="s">
        <v>271</v>
      </c>
      <c r="K7732" s="3">
        <v>100112225657</v>
      </c>
      <c r="L7732" s="10">
        <v>40012</v>
      </c>
      <c r="M7732">
        <v>177.52</v>
      </c>
      <c r="N7732" s="11">
        <v>32</v>
      </c>
      <c r="O7732" s="12">
        <v>5.68</v>
      </c>
      <c r="P7732" s="12">
        <v>1.39</v>
      </c>
      <c r="Q7732" s="13">
        <v>52.61</v>
      </c>
      <c r="R7732" s="36" t="s">
        <v>1043</v>
      </c>
      <c r="S7732" s="7">
        <f t="shared" si="674"/>
        <v>1</v>
      </c>
      <c r="T7732" s="15" t="str">
        <f>VLOOKUP(R7732,产品分类!$C$2:$D$1278,2,0)</f>
        <v>家具产品</v>
      </c>
    </row>
    <row r="7733" spans="1:20">
      <c r="A7733" s="16">
        <f t="shared" ref="A7733:B7735" si="678">DATE(2012,12,31)-1141</f>
        <v>40133</v>
      </c>
      <c r="B7733" s="16">
        <f t="shared" si="678"/>
        <v>40133</v>
      </c>
      <c r="C7733" s="9" t="s">
        <v>785</v>
      </c>
      <c r="D7733">
        <v>10021663520</v>
      </c>
      <c r="E7733" t="s">
        <v>47</v>
      </c>
      <c r="F7733" t="s">
        <v>253</v>
      </c>
      <c r="G7733" t="s">
        <v>254</v>
      </c>
      <c r="H7733" t="s">
        <v>2579</v>
      </c>
      <c r="I7733" t="s">
        <v>2580</v>
      </c>
      <c r="J7733" t="s">
        <v>271</v>
      </c>
      <c r="K7733" s="3">
        <v>100923961081</v>
      </c>
      <c r="L7733" s="10">
        <v>40134</v>
      </c>
      <c r="M7733">
        <v>122.09</v>
      </c>
      <c r="N7733" s="17">
        <v>6</v>
      </c>
      <c r="O7733" s="5">
        <v>18.97</v>
      </c>
      <c r="P7733" s="5">
        <v>9.54</v>
      </c>
      <c r="Q7733" s="6">
        <v>-15.2</v>
      </c>
      <c r="R7733" s="37" t="s">
        <v>1681</v>
      </c>
      <c r="S7733" s="7">
        <f t="shared" si="674"/>
        <v>1</v>
      </c>
      <c r="T7733" s="15" t="str">
        <f>VLOOKUP(R7733,产品分类!$C$2:$D$1278,2,0)</f>
        <v>办公用品</v>
      </c>
    </row>
    <row r="7734" spans="1:20">
      <c r="A7734" s="8">
        <f t="shared" si="678"/>
        <v>40133</v>
      </c>
      <c r="B7734" s="8">
        <f t="shared" si="678"/>
        <v>40133</v>
      </c>
      <c r="C7734" s="9" t="s">
        <v>785</v>
      </c>
      <c r="D7734">
        <v>10021657010</v>
      </c>
      <c r="E7734" t="s">
        <v>47</v>
      </c>
      <c r="F7734" t="s">
        <v>61</v>
      </c>
      <c r="G7734" t="s">
        <v>62</v>
      </c>
      <c r="H7734" t="s">
        <v>2596</v>
      </c>
      <c r="I7734" t="s">
        <v>2597</v>
      </c>
      <c r="J7734" t="s">
        <v>271</v>
      </c>
      <c r="K7734" s="3">
        <v>10014891017</v>
      </c>
      <c r="L7734" s="10">
        <v>40136</v>
      </c>
      <c r="M7734">
        <v>150.06</v>
      </c>
      <c r="N7734" s="11">
        <v>49</v>
      </c>
      <c r="O7734" s="12">
        <v>2.88</v>
      </c>
      <c r="P7734" s="12">
        <v>0.7</v>
      </c>
      <c r="Q7734" s="13">
        <v>30.97</v>
      </c>
      <c r="R7734" s="36" t="s">
        <v>544</v>
      </c>
      <c r="S7734" s="7">
        <f t="shared" si="674"/>
        <v>3</v>
      </c>
      <c r="T7734" s="15" t="str">
        <f>VLOOKUP(R7734,产品分类!$C$2:$D$1278,2,0)</f>
        <v>办公用品</v>
      </c>
    </row>
    <row r="7735" spans="1:20">
      <c r="A7735" s="8">
        <f t="shared" si="678"/>
        <v>40133</v>
      </c>
      <c r="B7735" s="8">
        <f t="shared" si="678"/>
        <v>40133</v>
      </c>
      <c r="C7735" s="9" t="s">
        <v>2060</v>
      </c>
      <c r="D7735">
        <v>10021660383</v>
      </c>
      <c r="E7735" t="s">
        <v>47</v>
      </c>
      <c r="F7735" t="s">
        <v>253</v>
      </c>
      <c r="G7735" t="s">
        <v>254</v>
      </c>
      <c r="H7735" t="s">
        <v>2579</v>
      </c>
      <c r="I7735" t="s">
        <v>2580</v>
      </c>
      <c r="J7735" t="s">
        <v>271</v>
      </c>
      <c r="K7735" s="3">
        <v>10048095044</v>
      </c>
      <c r="L7735" s="10">
        <v>40134</v>
      </c>
      <c r="M7735">
        <v>95.09</v>
      </c>
      <c r="N7735" s="11">
        <v>9</v>
      </c>
      <c r="O7735" s="12">
        <v>10.98</v>
      </c>
      <c r="P7735" s="12">
        <v>3.37</v>
      </c>
      <c r="Q7735" s="13">
        <v>-13.53</v>
      </c>
      <c r="R7735" s="36" t="s">
        <v>1728</v>
      </c>
      <c r="S7735" s="7">
        <f t="shared" si="674"/>
        <v>1</v>
      </c>
      <c r="T7735" s="15" t="str">
        <f>VLOOKUP(R7735,产品分类!$C$2:$D$1278,2,0)</f>
        <v>家具产品</v>
      </c>
    </row>
    <row r="7736" spans="1:20">
      <c r="A7736" s="8">
        <f>DATE(2012,12,31)-875</f>
        <v>40399</v>
      </c>
      <c r="B7736" s="8">
        <f>DATE(2012,12,31)-875</f>
        <v>40399</v>
      </c>
      <c r="C7736" s="9" t="s">
        <v>518</v>
      </c>
      <c r="D7736">
        <v>10021580591</v>
      </c>
      <c r="E7736" t="s">
        <v>47</v>
      </c>
      <c r="F7736" t="s">
        <v>342</v>
      </c>
      <c r="G7736" t="s">
        <v>343</v>
      </c>
      <c r="H7736" t="s">
        <v>2582</v>
      </c>
      <c r="I7736" t="s">
        <v>2583</v>
      </c>
      <c r="J7736" t="s">
        <v>271</v>
      </c>
      <c r="K7736" s="3">
        <v>100923106801</v>
      </c>
      <c r="L7736" s="10">
        <v>40399</v>
      </c>
      <c r="M7736">
        <v>1294.04</v>
      </c>
      <c r="N7736" s="11">
        <v>8</v>
      </c>
      <c r="O7736" s="12">
        <v>150.98</v>
      </c>
      <c r="P7736" s="12">
        <v>66.27</v>
      </c>
      <c r="Q7736" s="13">
        <v>-323.18</v>
      </c>
      <c r="R7736" s="36" t="s">
        <v>1959</v>
      </c>
      <c r="S7736" s="7">
        <f t="shared" si="674"/>
        <v>0</v>
      </c>
      <c r="T7736" s="15" t="str">
        <f>VLOOKUP(R7736,产品分类!$C$2:$D$1278,2,0)</f>
        <v>办公用品</v>
      </c>
    </row>
    <row r="7737" spans="1:20">
      <c r="A7737" s="8">
        <f>DATE(2012,12,31)-875</f>
        <v>40399</v>
      </c>
      <c r="B7737" s="8">
        <f>DATE(2012,12,31)-875</f>
        <v>40399</v>
      </c>
      <c r="C7737" s="9" t="s">
        <v>518</v>
      </c>
      <c r="D7737">
        <v>10021444918</v>
      </c>
      <c r="E7737" t="s">
        <v>47</v>
      </c>
      <c r="F7737" t="s">
        <v>61</v>
      </c>
      <c r="G7737" t="s">
        <v>62</v>
      </c>
      <c r="H7737" t="s">
        <v>2596</v>
      </c>
      <c r="I7737" t="s">
        <v>2597</v>
      </c>
      <c r="J7737" t="s">
        <v>271</v>
      </c>
      <c r="K7737" s="3">
        <v>100910061931</v>
      </c>
      <c r="L7737" s="10">
        <v>40401</v>
      </c>
      <c r="M7737">
        <v>392.57</v>
      </c>
      <c r="N7737" s="11">
        <v>23</v>
      </c>
      <c r="O7737" s="12">
        <v>17.07</v>
      </c>
      <c r="P7737" s="12">
        <v>8.13</v>
      </c>
      <c r="Q7737" s="13">
        <v>22.25</v>
      </c>
      <c r="R7737" s="36" t="s">
        <v>337</v>
      </c>
      <c r="S7737" s="7">
        <f t="shared" si="674"/>
        <v>2</v>
      </c>
      <c r="T7737" s="15" t="str">
        <f>VLOOKUP(R7737,产品分类!$C$2:$D$1278,2,0)</f>
        <v>数码电子</v>
      </c>
    </row>
    <row r="7738" spans="1:20">
      <c r="A7738" s="8">
        <f>DATE(2012,12,31)-603</f>
        <v>40671</v>
      </c>
      <c r="B7738" s="8">
        <f>DATE(2012,12,31)-603</f>
        <v>40671</v>
      </c>
      <c r="C7738" s="9" t="s">
        <v>2203</v>
      </c>
      <c r="D7738">
        <v>10021386902</v>
      </c>
      <c r="E7738" t="s">
        <v>47</v>
      </c>
      <c r="F7738" t="s">
        <v>61</v>
      </c>
      <c r="G7738" t="s">
        <v>62</v>
      </c>
      <c r="H7738" t="s">
        <v>2596</v>
      </c>
      <c r="I7738" t="s">
        <v>2597</v>
      </c>
      <c r="J7738" t="s">
        <v>271</v>
      </c>
      <c r="K7738" s="3">
        <v>100413815444</v>
      </c>
      <c r="L7738" s="10">
        <v>40672</v>
      </c>
      <c r="M7738">
        <v>437.478</v>
      </c>
      <c r="N7738" s="11">
        <v>24</v>
      </c>
      <c r="O7738" s="12">
        <v>20.99</v>
      </c>
      <c r="P7738" s="12">
        <v>1.25</v>
      </c>
      <c r="Q7738" s="13">
        <v>-42.229</v>
      </c>
      <c r="R7738" s="36" t="s">
        <v>1353</v>
      </c>
      <c r="S7738" s="7">
        <f t="shared" si="674"/>
        <v>1</v>
      </c>
      <c r="T7738" s="15" t="str">
        <f>VLOOKUP(R7738,产品分类!$C$2:$D$1278,2,0)</f>
        <v>办公用品</v>
      </c>
    </row>
    <row r="7739" spans="1:20">
      <c r="A7739" s="8">
        <f>DATE(2012,12,31)-603</f>
        <v>40671</v>
      </c>
      <c r="B7739" s="8">
        <f>DATE(2012,12,31)-603</f>
        <v>40671</v>
      </c>
      <c r="C7739" s="9" t="s">
        <v>592</v>
      </c>
      <c r="D7739">
        <v>10021523995</v>
      </c>
      <c r="E7739" t="s">
        <v>47</v>
      </c>
      <c r="F7739" t="s">
        <v>61</v>
      </c>
      <c r="G7739" t="s">
        <v>62</v>
      </c>
      <c r="H7739" t="s">
        <v>2596</v>
      </c>
      <c r="I7739" t="s">
        <v>2597</v>
      </c>
      <c r="J7739" t="s">
        <v>271</v>
      </c>
      <c r="K7739" s="3">
        <v>100315393199</v>
      </c>
      <c r="L7739" s="10">
        <v>40672</v>
      </c>
      <c r="M7739">
        <v>184.74</v>
      </c>
      <c r="N7739" s="11">
        <v>29</v>
      </c>
      <c r="O7739" s="12">
        <v>5.98</v>
      </c>
      <c r="P7739" s="12">
        <v>4.38</v>
      </c>
      <c r="Q7739" s="13">
        <v>-102.25</v>
      </c>
      <c r="R7739" s="36" t="s">
        <v>135</v>
      </c>
      <c r="S7739" s="7">
        <f t="shared" si="674"/>
        <v>1</v>
      </c>
      <c r="T7739" s="15" t="str">
        <f>VLOOKUP(R7739,产品分类!$C$2:$D$1278,2,0)</f>
        <v>办公用品</v>
      </c>
    </row>
    <row r="7740" spans="1:20">
      <c r="A7740" s="8">
        <f>DATE(2012,12,31)-345</f>
        <v>40929</v>
      </c>
      <c r="B7740" s="8">
        <f>DATE(2012,12,31)-345</f>
        <v>40929</v>
      </c>
      <c r="C7740" s="9" t="s">
        <v>592</v>
      </c>
      <c r="D7740">
        <v>10021428969</v>
      </c>
      <c r="E7740" t="s">
        <v>47</v>
      </c>
      <c r="F7740" t="s">
        <v>253</v>
      </c>
      <c r="G7740" t="s">
        <v>254</v>
      </c>
      <c r="H7740" t="s">
        <v>2613</v>
      </c>
      <c r="I7740" t="s">
        <v>2614</v>
      </c>
      <c r="J7740" t="s">
        <v>271</v>
      </c>
      <c r="K7740" s="3">
        <v>100831356192</v>
      </c>
      <c r="L7740" s="10">
        <v>40930</v>
      </c>
      <c r="M7740">
        <v>1494.232</v>
      </c>
      <c r="N7740" s="11">
        <v>48</v>
      </c>
      <c r="O7740" s="12">
        <v>35.99</v>
      </c>
      <c r="P7740" s="12">
        <v>1.25</v>
      </c>
      <c r="Q7740" s="13">
        <v>479.952</v>
      </c>
      <c r="R7740" s="36" t="s">
        <v>999</v>
      </c>
      <c r="S7740" s="7">
        <f t="shared" si="674"/>
        <v>1</v>
      </c>
      <c r="T7740" s="15" t="str">
        <f>VLOOKUP(R7740,产品分类!$C$2:$D$1278,2,0)</f>
        <v>办公用品</v>
      </c>
    </row>
    <row r="7741" spans="1:20">
      <c r="A7741" s="8">
        <f>DATE(2012,12,31)-657</f>
        <v>40617</v>
      </c>
      <c r="B7741" s="8">
        <f>DATE(2012,12,31)-657</f>
        <v>40617</v>
      </c>
      <c r="C7741" s="9" t="s">
        <v>592</v>
      </c>
      <c r="D7741">
        <v>10021584326</v>
      </c>
      <c r="E7741" t="s">
        <v>47</v>
      </c>
      <c r="F7741" t="s">
        <v>61</v>
      </c>
      <c r="G7741" t="s">
        <v>62</v>
      </c>
      <c r="H7741" t="s">
        <v>2596</v>
      </c>
      <c r="I7741" t="s">
        <v>2597</v>
      </c>
      <c r="J7741" t="s">
        <v>271</v>
      </c>
      <c r="K7741" s="3">
        <v>100727176205</v>
      </c>
      <c r="L7741" s="10">
        <v>40619</v>
      </c>
      <c r="M7741">
        <v>6356.68</v>
      </c>
      <c r="N7741" s="11">
        <v>50</v>
      </c>
      <c r="O7741" s="12">
        <v>128.24</v>
      </c>
      <c r="P7741" s="12">
        <v>12.65</v>
      </c>
      <c r="Q7741" s="13">
        <v>1812.86</v>
      </c>
      <c r="R7741" s="36" t="s">
        <v>755</v>
      </c>
      <c r="S7741" s="7">
        <f t="shared" si="674"/>
        <v>2</v>
      </c>
      <c r="T7741" s="15" t="str">
        <f>VLOOKUP(R7741,产品分类!$C$2:$D$1278,2,0)</f>
        <v>办公用品</v>
      </c>
    </row>
    <row r="7742" spans="1:20">
      <c r="A7742" s="8">
        <f>DATE(2012,12,31)-657</f>
        <v>40617</v>
      </c>
      <c r="B7742" s="8">
        <f>DATE(2012,12,31)-657</f>
        <v>40617</v>
      </c>
      <c r="C7742" s="9" t="s">
        <v>716</v>
      </c>
      <c r="D7742">
        <v>10021614022</v>
      </c>
      <c r="E7742" t="s">
        <v>47</v>
      </c>
      <c r="F7742" t="s">
        <v>253</v>
      </c>
      <c r="G7742" t="s">
        <v>254</v>
      </c>
      <c r="H7742" t="s">
        <v>2613</v>
      </c>
      <c r="I7742" t="s">
        <v>2614</v>
      </c>
      <c r="J7742" t="s">
        <v>271</v>
      </c>
      <c r="K7742" s="3">
        <v>100132603277</v>
      </c>
      <c r="L7742" s="10">
        <v>40624</v>
      </c>
      <c r="M7742">
        <v>193.15</v>
      </c>
      <c r="N7742" s="11">
        <v>47</v>
      </c>
      <c r="O7742" s="12">
        <v>4.28</v>
      </c>
      <c r="P7742" s="12">
        <v>0.94</v>
      </c>
      <c r="Q7742" s="13">
        <v>27.76</v>
      </c>
      <c r="R7742" s="36" t="s">
        <v>1421</v>
      </c>
      <c r="S7742" s="7">
        <f t="shared" si="674"/>
        <v>7</v>
      </c>
      <c r="T7742" s="15" t="str">
        <f>VLOOKUP(R7742,产品分类!$C$2:$D$1278,2,0)</f>
        <v>办公用品</v>
      </c>
    </row>
    <row r="7743" spans="1:20">
      <c r="A7743" s="8">
        <f>DATE(2012,12,31)-87</f>
        <v>41187</v>
      </c>
      <c r="B7743" s="8">
        <f>DATE(2012,12,31)-87</f>
        <v>41187</v>
      </c>
      <c r="C7743" s="9" t="s">
        <v>575</v>
      </c>
      <c r="D7743">
        <v>10021451895</v>
      </c>
      <c r="E7743" t="s">
        <v>47</v>
      </c>
      <c r="F7743" t="s">
        <v>253</v>
      </c>
      <c r="G7743" t="s">
        <v>254</v>
      </c>
      <c r="H7743" t="s">
        <v>2613</v>
      </c>
      <c r="I7743" t="s">
        <v>2614</v>
      </c>
      <c r="J7743" t="s">
        <v>271</v>
      </c>
      <c r="K7743" s="3">
        <v>100130481077</v>
      </c>
      <c r="L7743" s="10">
        <v>41188</v>
      </c>
      <c r="M7743">
        <v>10348.73</v>
      </c>
      <c r="N7743" s="11">
        <v>47</v>
      </c>
      <c r="O7743" s="12">
        <v>227.55</v>
      </c>
      <c r="P7743" s="12">
        <v>32.48</v>
      </c>
      <c r="Q7743" s="13">
        <v>1094.57</v>
      </c>
      <c r="R7743" s="36" t="s">
        <v>1596</v>
      </c>
      <c r="S7743" s="7">
        <f t="shared" si="674"/>
        <v>1</v>
      </c>
      <c r="T7743" s="15" t="str">
        <f>VLOOKUP(R7743,产品分类!$C$2:$D$1278,2,0)</f>
        <v>办公用品</v>
      </c>
    </row>
    <row r="7744" spans="1:20">
      <c r="A7744" s="8">
        <f>DATE(2012,12,31)-1209</f>
        <v>40065</v>
      </c>
      <c r="B7744" s="8">
        <f>DATE(2012,12,31)-1209</f>
        <v>40065</v>
      </c>
      <c r="C7744" s="9" t="s">
        <v>575</v>
      </c>
      <c r="D7744">
        <v>10021319056</v>
      </c>
      <c r="E7744" t="s">
        <v>47</v>
      </c>
      <c r="F7744" t="s">
        <v>61</v>
      </c>
      <c r="G7744" t="s">
        <v>62</v>
      </c>
      <c r="H7744" t="s">
        <v>2596</v>
      </c>
      <c r="I7744" t="s">
        <v>2597</v>
      </c>
      <c r="J7744" t="s">
        <v>271</v>
      </c>
      <c r="K7744" s="3">
        <v>10048113593</v>
      </c>
      <c r="L7744" s="10">
        <v>40068</v>
      </c>
      <c r="M7744">
        <v>14.74</v>
      </c>
      <c r="N7744" s="11">
        <v>5</v>
      </c>
      <c r="O7744" s="12">
        <v>2.88</v>
      </c>
      <c r="P7744" s="12">
        <v>0.7</v>
      </c>
      <c r="Q7744" s="13">
        <v>-2.58</v>
      </c>
      <c r="R7744" s="36" t="s">
        <v>2253</v>
      </c>
      <c r="S7744" s="7">
        <f t="shared" si="674"/>
        <v>3</v>
      </c>
      <c r="T7744" s="15" t="str">
        <f>VLOOKUP(R7744,产品分类!$C$2:$D$1278,2,0)</f>
        <v>办公用品</v>
      </c>
    </row>
    <row r="7745" spans="1:20">
      <c r="A7745" s="8">
        <f>DATE(2012,12,31)-437</f>
        <v>40837</v>
      </c>
      <c r="B7745" s="8">
        <f>DATE(2012,12,31)-437</f>
        <v>40837</v>
      </c>
      <c r="C7745" s="9" t="s">
        <v>2348</v>
      </c>
      <c r="D7745">
        <v>10021337535</v>
      </c>
      <c r="E7745" t="s">
        <v>47</v>
      </c>
      <c r="F7745" t="s">
        <v>253</v>
      </c>
      <c r="G7745" t="s">
        <v>254</v>
      </c>
      <c r="H7745" t="s">
        <v>2613</v>
      </c>
      <c r="I7745" t="s">
        <v>2614</v>
      </c>
      <c r="J7745" t="s">
        <v>271</v>
      </c>
      <c r="K7745" s="3">
        <v>100322157959</v>
      </c>
      <c r="L7745" s="10">
        <v>40839</v>
      </c>
      <c r="M7745">
        <v>1258.97</v>
      </c>
      <c r="N7745" s="11">
        <v>41</v>
      </c>
      <c r="O7745" s="12">
        <v>32.98</v>
      </c>
      <c r="P7745" s="12">
        <v>5.5</v>
      </c>
      <c r="Q7745" s="13">
        <v>-112.58</v>
      </c>
      <c r="R7745" s="36" t="s">
        <v>1969</v>
      </c>
      <c r="S7745" s="7">
        <f t="shared" si="674"/>
        <v>2</v>
      </c>
      <c r="T7745" s="15" t="str">
        <f>VLOOKUP(R7745,产品分类!$C$2:$D$1278,2,0)</f>
        <v>办公用品</v>
      </c>
    </row>
    <row r="7746" spans="1:20">
      <c r="A7746" s="8">
        <f t="shared" ref="A7746:B7748" si="679">DATE(2012,12,31)-299</f>
        <v>40975</v>
      </c>
      <c r="B7746" s="8">
        <f t="shared" si="679"/>
        <v>40975</v>
      </c>
      <c r="C7746" s="9" t="s">
        <v>2348</v>
      </c>
      <c r="D7746">
        <v>10021286537</v>
      </c>
      <c r="E7746" t="s">
        <v>47</v>
      </c>
      <c r="F7746" t="s">
        <v>61</v>
      </c>
      <c r="G7746" t="s">
        <v>62</v>
      </c>
      <c r="H7746" t="s">
        <v>2596</v>
      </c>
      <c r="I7746" t="s">
        <v>2597</v>
      </c>
      <c r="J7746" t="s">
        <v>271</v>
      </c>
      <c r="K7746" s="3">
        <v>100316318399</v>
      </c>
      <c r="L7746" s="10">
        <v>40976</v>
      </c>
      <c r="M7746">
        <v>995.724</v>
      </c>
      <c r="N7746" s="11">
        <v>11</v>
      </c>
      <c r="O7746" s="12">
        <v>110.99</v>
      </c>
      <c r="P7746" s="12">
        <v>2.5</v>
      </c>
      <c r="Q7746" s="13">
        <v>-117.612</v>
      </c>
      <c r="R7746" s="36" t="s">
        <v>1142</v>
      </c>
      <c r="S7746" s="7">
        <f t="shared" si="674"/>
        <v>1</v>
      </c>
      <c r="T7746" s="15" t="str">
        <f>VLOOKUP(R7746,产品分类!$C$2:$D$1278,2,0)</f>
        <v>办公用品</v>
      </c>
    </row>
    <row r="7747" spans="1:20">
      <c r="A7747" s="8">
        <f t="shared" si="679"/>
        <v>40975</v>
      </c>
      <c r="B7747" s="8">
        <f t="shared" si="679"/>
        <v>40975</v>
      </c>
      <c r="C7747" s="9" t="s">
        <v>1535</v>
      </c>
      <c r="D7747">
        <v>10021332682</v>
      </c>
      <c r="E7747" t="s">
        <v>47</v>
      </c>
      <c r="F7747" t="s">
        <v>61</v>
      </c>
      <c r="G7747" t="s">
        <v>62</v>
      </c>
      <c r="H7747" t="s">
        <v>2596</v>
      </c>
      <c r="I7747" t="s">
        <v>2597</v>
      </c>
      <c r="J7747" t="s">
        <v>271</v>
      </c>
      <c r="K7747" s="3">
        <v>100910312851</v>
      </c>
      <c r="L7747" s="10">
        <v>40978</v>
      </c>
      <c r="M7747">
        <v>830.53</v>
      </c>
      <c r="N7747" s="11">
        <v>41</v>
      </c>
      <c r="O7747" s="12">
        <v>20.24</v>
      </c>
      <c r="P7747" s="12">
        <v>8.99</v>
      </c>
      <c r="Q7747" s="13">
        <v>120.69</v>
      </c>
      <c r="R7747" s="36" t="s">
        <v>1569</v>
      </c>
      <c r="S7747" s="7">
        <f t="shared" ref="S7747:S7810" si="680">+L7747-B7747</f>
        <v>3</v>
      </c>
      <c r="T7747" s="15" t="str">
        <f>VLOOKUP(R7747,产品分类!$C$2:$D$1278,2,0)</f>
        <v>办公用品</v>
      </c>
    </row>
    <row r="7748" spans="1:20">
      <c r="A7748" s="8">
        <f t="shared" si="679"/>
        <v>40975</v>
      </c>
      <c r="B7748" s="8">
        <f t="shared" si="679"/>
        <v>40975</v>
      </c>
      <c r="C7748" s="9" t="s">
        <v>864</v>
      </c>
      <c r="D7748">
        <v>10021464398</v>
      </c>
      <c r="E7748" t="s">
        <v>47</v>
      </c>
      <c r="F7748" t="s">
        <v>61</v>
      </c>
      <c r="G7748" t="s">
        <v>62</v>
      </c>
      <c r="H7748" t="s">
        <v>2596</v>
      </c>
      <c r="I7748" t="s">
        <v>2597</v>
      </c>
      <c r="J7748" t="s">
        <v>271</v>
      </c>
      <c r="K7748" s="3">
        <v>10015956708</v>
      </c>
      <c r="L7748" s="10">
        <v>40976</v>
      </c>
      <c r="M7748">
        <v>79.93</v>
      </c>
      <c r="N7748" s="11">
        <v>2</v>
      </c>
      <c r="O7748" s="12">
        <v>27.75</v>
      </c>
      <c r="P7748" s="12">
        <v>19.99</v>
      </c>
      <c r="Q7748" s="13">
        <v>-52.73</v>
      </c>
      <c r="R7748" s="36" t="s">
        <v>2329</v>
      </c>
      <c r="S7748" s="7">
        <f t="shared" si="680"/>
        <v>1</v>
      </c>
      <c r="T7748" s="15" t="str">
        <f>VLOOKUP(R7748,产品分类!$C$2:$D$1278,2,0)</f>
        <v>家具产品</v>
      </c>
    </row>
    <row r="7749" spans="1:20">
      <c r="A7749" s="8">
        <f>DATE(2012,12,31)-766</f>
        <v>40508</v>
      </c>
      <c r="B7749" s="8">
        <f>DATE(2012,12,31)-766</f>
        <v>40508</v>
      </c>
      <c r="C7749" s="9" t="s">
        <v>864</v>
      </c>
      <c r="D7749">
        <v>10021415965</v>
      </c>
      <c r="E7749" t="s">
        <v>47</v>
      </c>
      <c r="F7749" t="s">
        <v>61</v>
      </c>
      <c r="G7749" t="s">
        <v>62</v>
      </c>
      <c r="H7749" t="s">
        <v>2596</v>
      </c>
      <c r="I7749" t="s">
        <v>2597</v>
      </c>
      <c r="J7749" t="s">
        <v>271</v>
      </c>
      <c r="K7749" s="3">
        <v>100111491996</v>
      </c>
      <c r="L7749" s="10">
        <v>40509</v>
      </c>
      <c r="M7749">
        <v>15152.55</v>
      </c>
      <c r="N7749" s="11">
        <v>34</v>
      </c>
      <c r="O7749" s="12">
        <v>500.98</v>
      </c>
      <c r="P7749" s="12">
        <v>28.14</v>
      </c>
      <c r="Q7749" s="13">
        <v>7719.21</v>
      </c>
      <c r="R7749" s="36" t="s">
        <v>415</v>
      </c>
      <c r="S7749" s="7">
        <f t="shared" si="680"/>
        <v>1</v>
      </c>
      <c r="T7749" s="15" t="str">
        <f>VLOOKUP(R7749,产品分类!$C$2:$D$1278,2,0)</f>
        <v>办公用品</v>
      </c>
    </row>
    <row r="7750" spans="1:20">
      <c r="A7750" s="8">
        <f>DATE(2012,12,31)-834</f>
        <v>40440</v>
      </c>
      <c r="B7750" s="8">
        <f>DATE(2012,12,31)-834</f>
        <v>40440</v>
      </c>
      <c r="C7750" s="9" t="s">
        <v>375</v>
      </c>
      <c r="D7750">
        <v>10021502098</v>
      </c>
      <c r="E7750" t="s">
        <v>47</v>
      </c>
      <c r="F7750" t="s">
        <v>61</v>
      </c>
      <c r="G7750" t="s">
        <v>62</v>
      </c>
      <c r="H7750" t="s">
        <v>2596</v>
      </c>
      <c r="I7750" t="s">
        <v>2597</v>
      </c>
      <c r="J7750" t="s">
        <v>271</v>
      </c>
      <c r="K7750" s="3">
        <v>100128145217</v>
      </c>
      <c r="L7750" s="10">
        <v>40442</v>
      </c>
      <c r="M7750">
        <v>17.3</v>
      </c>
      <c r="N7750" s="11">
        <v>2</v>
      </c>
      <c r="O7750" s="12">
        <v>6.98</v>
      </c>
      <c r="P7750" s="12">
        <v>2.83</v>
      </c>
      <c r="Q7750" s="13">
        <v>-7.49</v>
      </c>
      <c r="R7750" s="36" t="s">
        <v>1647</v>
      </c>
      <c r="S7750" s="7">
        <f t="shared" si="680"/>
        <v>2</v>
      </c>
      <c r="T7750" s="15" t="str">
        <f>VLOOKUP(R7750,产品分类!$C$2:$D$1278,2,0)</f>
        <v>办公用品</v>
      </c>
    </row>
    <row r="7751" spans="1:20">
      <c r="A7751" s="8">
        <f>DATE(2012,12,31)-98</f>
        <v>41176</v>
      </c>
      <c r="B7751" s="8">
        <f>DATE(2012,12,31)-98</f>
        <v>41176</v>
      </c>
      <c r="C7751" s="9" t="s">
        <v>1286</v>
      </c>
      <c r="D7751">
        <v>10021741834</v>
      </c>
      <c r="E7751" t="s">
        <v>47</v>
      </c>
      <c r="F7751" t="s">
        <v>61</v>
      </c>
      <c r="G7751" t="s">
        <v>62</v>
      </c>
      <c r="H7751" t="s">
        <v>2596</v>
      </c>
      <c r="I7751" t="s">
        <v>2597</v>
      </c>
      <c r="J7751" t="s">
        <v>271</v>
      </c>
      <c r="K7751" s="3">
        <v>100124029346</v>
      </c>
      <c r="L7751" s="10">
        <v>41178</v>
      </c>
      <c r="M7751">
        <v>3671.1415</v>
      </c>
      <c r="N7751" s="11">
        <v>33</v>
      </c>
      <c r="O7751" s="12">
        <v>125.99</v>
      </c>
      <c r="P7751" s="12">
        <v>8.99</v>
      </c>
      <c r="Q7751" s="13">
        <v>995.085</v>
      </c>
      <c r="R7751" s="36" t="s">
        <v>2465</v>
      </c>
      <c r="S7751" s="7">
        <f t="shared" si="680"/>
        <v>2</v>
      </c>
      <c r="T7751" s="15" t="str">
        <f>VLOOKUP(R7751,产品分类!$C$2:$D$1278,2,0)</f>
        <v>办公用品</v>
      </c>
    </row>
    <row r="7752" spans="1:20">
      <c r="A7752" s="8">
        <f>DATE(2012,12,31)-169</f>
        <v>41105</v>
      </c>
      <c r="B7752" s="8">
        <f>DATE(2012,12,31)-169</f>
        <v>41105</v>
      </c>
      <c r="C7752" s="9" t="s">
        <v>1286</v>
      </c>
      <c r="D7752">
        <v>10021579806</v>
      </c>
      <c r="E7752" t="s">
        <v>47</v>
      </c>
      <c r="F7752" t="s">
        <v>61</v>
      </c>
      <c r="G7752" t="s">
        <v>62</v>
      </c>
      <c r="H7752" t="s">
        <v>2596</v>
      </c>
      <c r="I7752" t="s">
        <v>2597</v>
      </c>
      <c r="J7752" t="s">
        <v>271</v>
      </c>
      <c r="K7752" s="3">
        <v>100321319239</v>
      </c>
      <c r="L7752" s="10">
        <v>41107</v>
      </c>
      <c r="M7752">
        <v>172.23</v>
      </c>
      <c r="N7752" s="11">
        <v>50</v>
      </c>
      <c r="O7752" s="12">
        <v>3.29</v>
      </c>
      <c r="P7752" s="12">
        <v>1.35</v>
      </c>
      <c r="Q7752" s="13">
        <v>32.35</v>
      </c>
      <c r="R7752" s="36" t="s">
        <v>1547</v>
      </c>
      <c r="S7752" s="7">
        <f t="shared" si="680"/>
        <v>2</v>
      </c>
      <c r="T7752" s="15" t="str">
        <f>VLOOKUP(R7752,产品分类!$C$2:$D$1278,2,0)</f>
        <v>办公用品</v>
      </c>
    </row>
    <row r="7753" spans="1:20">
      <c r="A7753" s="8">
        <f>DATE(2012,12,31)-169</f>
        <v>41105</v>
      </c>
      <c r="B7753" s="8">
        <f>DATE(2012,12,31)-169</f>
        <v>41105</v>
      </c>
      <c r="C7753" s="9" t="s">
        <v>1286</v>
      </c>
      <c r="D7753">
        <v>10021686082</v>
      </c>
      <c r="E7753" t="s">
        <v>47</v>
      </c>
      <c r="F7753" t="s">
        <v>91</v>
      </c>
      <c r="G7753" t="s">
        <v>92</v>
      </c>
      <c r="H7753" t="s">
        <v>2573</v>
      </c>
      <c r="I7753" t="s">
        <v>2574</v>
      </c>
      <c r="J7753" t="s">
        <v>271</v>
      </c>
      <c r="K7753" s="3">
        <v>100933284541</v>
      </c>
      <c r="L7753" s="10">
        <v>41106</v>
      </c>
      <c r="M7753">
        <v>1198.1</v>
      </c>
      <c r="N7753" s="11">
        <v>23</v>
      </c>
      <c r="O7753" s="12">
        <v>51.75</v>
      </c>
      <c r="P7753" s="12">
        <v>19.99</v>
      </c>
      <c r="Q7753" s="13">
        <v>187.19</v>
      </c>
      <c r="R7753" s="36" t="s">
        <v>1637</v>
      </c>
      <c r="S7753" s="7">
        <f t="shared" si="680"/>
        <v>1</v>
      </c>
      <c r="T7753" s="15" t="str">
        <f>VLOOKUP(R7753,产品分类!$C$2:$D$1278,2,0)</f>
        <v>数码电子</v>
      </c>
    </row>
    <row r="7754" spans="1:20">
      <c r="A7754" s="8">
        <f t="shared" ref="A7754:B7756" si="681">DATE(2012,12,31)-647</f>
        <v>40627</v>
      </c>
      <c r="B7754" s="8">
        <f t="shared" si="681"/>
        <v>40627</v>
      </c>
      <c r="C7754" s="9" t="s">
        <v>558</v>
      </c>
      <c r="D7754">
        <v>10021304608</v>
      </c>
      <c r="E7754" t="s">
        <v>47</v>
      </c>
      <c r="F7754" t="s">
        <v>97</v>
      </c>
      <c r="G7754" t="s">
        <v>98</v>
      </c>
      <c r="H7754" t="s">
        <v>99</v>
      </c>
      <c r="I7754" t="s">
        <v>98</v>
      </c>
      <c r="J7754" t="s">
        <v>271</v>
      </c>
      <c r="K7754" s="3">
        <v>100132793916</v>
      </c>
      <c r="L7754" s="10">
        <v>40629</v>
      </c>
      <c r="M7754">
        <v>423.14</v>
      </c>
      <c r="N7754" s="11">
        <v>26</v>
      </c>
      <c r="O7754" s="12">
        <v>15.98</v>
      </c>
      <c r="P7754" s="12">
        <v>4</v>
      </c>
      <c r="Q7754" s="13">
        <v>85.51</v>
      </c>
      <c r="R7754" s="36" t="s">
        <v>70</v>
      </c>
      <c r="S7754" s="7">
        <f t="shared" si="680"/>
        <v>2</v>
      </c>
      <c r="T7754" s="15" t="str">
        <f>VLOOKUP(R7754,产品分类!$C$2:$D$1278,2,0)</f>
        <v>数码电子</v>
      </c>
    </row>
    <row r="7755" spans="1:20">
      <c r="A7755" s="16">
        <f t="shared" si="681"/>
        <v>40627</v>
      </c>
      <c r="B7755" s="16">
        <f t="shared" si="681"/>
        <v>40627</v>
      </c>
      <c r="C7755" s="9" t="s">
        <v>1472</v>
      </c>
      <c r="D7755">
        <v>10021733848</v>
      </c>
      <c r="E7755" t="s">
        <v>47</v>
      </c>
      <c r="F7755" t="s">
        <v>171</v>
      </c>
      <c r="G7755" t="s">
        <v>172</v>
      </c>
      <c r="H7755" t="s">
        <v>2486</v>
      </c>
      <c r="I7755" t="s">
        <v>2310</v>
      </c>
      <c r="J7755" t="s">
        <v>271</v>
      </c>
      <c r="K7755" s="3">
        <v>100933354481</v>
      </c>
      <c r="L7755" s="10">
        <v>40629</v>
      </c>
      <c r="M7755">
        <v>628.39</v>
      </c>
      <c r="N7755" s="17">
        <v>22</v>
      </c>
      <c r="O7755" s="5">
        <v>30.98</v>
      </c>
      <c r="P7755" s="5">
        <v>5.09</v>
      </c>
      <c r="Q7755" s="6">
        <v>181.83</v>
      </c>
      <c r="R7755" s="37" t="s">
        <v>903</v>
      </c>
      <c r="S7755" s="7">
        <f t="shared" si="680"/>
        <v>2</v>
      </c>
      <c r="T7755" s="15" t="str">
        <f>VLOOKUP(R7755,产品分类!$C$2:$D$1278,2,0)</f>
        <v>家具产品</v>
      </c>
    </row>
    <row r="7756" spans="1:20">
      <c r="A7756" s="16">
        <f t="shared" si="681"/>
        <v>40627</v>
      </c>
      <c r="B7756" s="16">
        <f t="shared" si="681"/>
        <v>40627</v>
      </c>
      <c r="C7756" s="9" t="s">
        <v>1050</v>
      </c>
      <c r="D7756">
        <v>10021653625</v>
      </c>
      <c r="E7756" t="s">
        <v>47</v>
      </c>
      <c r="F7756" t="s">
        <v>66</v>
      </c>
      <c r="G7756" t="s">
        <v>67</v>
      </c>
      <c r="H7756" t="s">
        <v>2584</v>
      </c>
      <c r="I7756" t="s">
        <v>2585</v>
      </c>
      <c r="J7756" t="s">
        <v>271</v>
      </c>
      <c r="K7756" s="3">
        <v>100133253347</v>
      </c>
      <c r="L7756" s="10">
        <v>40630</v>
      </c>
      <c r="M7756">
        <v>162.49</v>
      </c>
      <c r="N7756" s="17">
        <v>2</v>
      </c>
      <c r="O7756" s="5">
        <v>81.32</v>
      </c>
      <c r="P7756" s="5">
        <v>0.99</v>
      </c>
      <c r="Q7756" s="6">
        <v>-94.83</v>
      </c>
      <c r="R7756" s="37" t="s">
        <v>1102</v>
      </c>
      <c r="S7756" s="7">
        <f t="shared" si="680"/>
        <v>3</v>
      </c>
      <c r="T7756" s="15" t="str">
        <f>VLOOKUP(R7756,产品分类!$C$2:$D$1278,2,0)</f>
        <v>家具产品</v>
      </c>
    </row>
    <row r="7757" spans="1:20">
      <c r="A7757" s="8">
        <f>DATE(2012,12,31)-1428</f>
        <v>39846</v>
      </c>
      <c r="B7757" s="8">
        <f>DATE(2012,12,31)-1428</f>
        <v>39846</v>
      </c>
      <c r="C7757" s="9" t="s">
        <v>1050</v>
      </c>
      <c r="D7757">
        <v>10021758781</v>
      </c>
      <c r="E7757" t="s">
        <v>47</v>
      </c>
      <c r="F7757" t="s">
        <v>72</v>
      </c>
      <c r="G7757" t="s">
        <v>73</v>
      </c>
      <c r="H7757" t="s">
        <v>2606</v>
      </c>
      <c r="I7757" t="s">
        <v>2607</v>
      </c>
      <c r="J7757" t="s">
        <v>271</v>
      </c>
      <c r="K7757" s="3">
        <v>100133366216</v>
      </c>
      <c r="L7757" s="10">
        <v>39848</v>
      </c>
      <c r="M7757">
        <v>5718.85</v>
      </c>
      <c r="N7757" s="11">
        <v>49</v>
      </c>
      <c r="O7757" s="12">
        <v>122.99</v>
      </c>
      <c r="P7757" s="12">
        <v>70.2</v>
      </c>
      <c r="Q7757" s="13">
        <v>-2426.55</v>
      </c>
      <c r="R7757" s="36" t="s">
        <v>499</v>
      </c>
      <c r="S7757" s="7">
        <f t="shared" si="680"/>
        <v>2</v>
      </c>
      <c r="T7757" s="15" t="str">
        <f>VLOOKUP(R7757,产品分类!$C$2:$D$1278,2,0)</f>
        <v>办公用品</v>
      </c>
    </row>
    <row r="7758" spans="1:20">
      <c r="A7758" s="8">
        <f>DATE(2012,12,31)-639</f>
        <v>40635</v>
      </c>
      <c r="B7758" s="8">
        <f>DATE(2012,12,31)-639</f>
        <v>40635</v>
      </c>
      <c r="C7758" s="9" t="s">
        <v>216</v>
      </c>
      <c r="D7758">
        <v>10021442668</v>
      </c>
      <c r="E7758" t="s">
        <v>47</v>
      </c>
      <c r="F7758" t="s">
        <v>91</v>
      </c>
      <c r="G7758" t="s">
        <v>92</v>
      </c>
      <c r="H7758" t="s">
        <v>2573</v>
      </c>
      <c r="I7758" t="s">
        <v>2574</v>
      </c>
      <c r="J7758" t="s">
        <v>271</v>
      </c>
      <c r="K7758" s="3">
        <v>100332983889</v>
      </c>
      <c r="L7758" s="10">
        <v>40637</v>
      </c>
      <c r="M7758">
        <v>168.57</v>
      </c>
      <c r="N7758" s="11">
        <v>28</v>
      </c>
      <c r="O7758" s="12">
        <v>5.28</v>
      </c>
      <c r="P7758" s="12">
        <v>2.99</v>
      </c>
      <c r="Q7758" s="13">
        <v>16.6515</v>
      </c>
      <c r="R7758" s="36" t="s">
        <v>1275</v>
      </c>
      <c r="S7758" s="7">
        <f t="shared" si="680"/>
        <v>2</v>
      </c>
      <c r="T7758" s="15" t="str">
        <f>VLOOKUP(R7758,产品分类!$C$2:$D$1278,2,0)</f>
        <v>家具产品</v>
      </c>
    </row>
    <row r="7759" spans="1:20">
      <c r="A7759" s="8">
        <f>DATE(2012,12,31)-70</f>
        <v>41204</v>
      </c>
      <c r="B7759" s="8">
        <f>DATE(2012,12,31)-70</f>
        <v>41204</v>
      </c>
      <c r="C7759" s="9" t="s">
        <v>523</v>
      </c>
      <c r="D7759">
        <v>10021411207</v>
      </c>
      <c r="E7759" t="s">
        <v>47</v>
      </c>
      <c r="F7759" t="s">
        <v>102</v>
      </c>
      <c r="G7759" t="s">
        <v>103</v>
      </c>
      <c r="H7759" t="s">
        <v>2560</v>
      </c>
      <c r="I7759" t="s">
        <v>2561</v>
      </c>
      <c r="J7759" t="s">
        <v>271</v>
      </c>
      <c r="K7759" s="3">
        <v>100432954674</v>
      </c>
      <c r="L7759" s="10">
        <v>41205</v>
      </c>
      <c r="M7759">
        <v>14665.55</v>
      </c>
      <c r="N7759" s="11">
        <v>9</v>
      </c>
      <c r="O7759" s="12">
        <v>1637.53</v>
      </c>
      <c r="P7759" s="12">
        <v>24.49</v>
      </c>
      <c r="Q7759" s="13">
        <v>-767.51</v>
      </c>
      <c r="R7759" s="36" t="s">
        <v>755</v>
      </c>
      <c r="S7759" s="7">
        <f t="shared" si="680"/>
        <v>1</v>
      </c>
      <c r="T7759" s="15" t="str">
        <f>VLOOKUP(R7759,产品分类!$C$2:$D$1278,2,0)</f>
        <v>办公用品</v>
      </c>
    </row>
    <row r="7760" spans="1:20">
      <c r="A7760" s="8">
        <f>DATE(2012,12,31)-438</f>
        <v>40836</v>
      </c>
      <c r="B7760" s="8">
        <f>DATE(2012,12,31)-438</f>
        <v>40836</v>
      </c>
      <c r="C7760" s="9" t="s">
        <v>1152</v>
      </c>
      <c r="D7760">
        <v>10021292418</v>
      </c>
      <c r="E7760" t="s">
        <v>47</v>
      </c>
      <c r="F7760" t="s">
        <v>183</v>
      </c>
      <c r="G7760" t="s">
        <v>184</v>
      </c>
      <c r="H7760" t="s">
        <v>2615</v>
      </c>
      <c r="I7760" t="s">
        <v>2616</v>
      </c>
      <c r="J7760" t="s">
        <v>271</v>
      </c>
      <c r="K7760" s="3">
        <v>100132792278</v>
      </c>
      <c r="L7760" s="10">
        <v>40837</v>
      </c>
      <c r="M7760">
        <v>415.055</v>
      </c>
      <c r="N7760" s="11">
        <v>23</v>
      </c>
      <c r="O7760" s="12">
        <v>20.99</v>
      </c>
      <c r="P7760" s="12">
        <v>0.99</v>
      </c>
      <c r="Q7760" s="13">
        <v>-44.132</v>
      </c>
      <c r="R7760" s="36" t="s">
        <v>131</v>
      </c>
      <c r="S7760" s="7">
        <f t="shared" si="680"/>
        <v>1</v>
      </c>
      <c r="T7760" s="15" t="str">
        <f>VLOOKUP(R7760,产品分类!$C$2:$D$1278,2,0)</f>
        <v>家具产品</v>
      </c>
    </row>
    <row r="7761" spans="1:20">
      <c r="A7761" s="8">
        <f>DATE(2012,12,31)-1280</f>
        <v>39994</v>
      </c>
      <c r="B7761" s="8">
        <f>DATE(2012,12,31)-1280</f>
        <v>39994</v>
      </c>
      <c r="C7761" s="9" t="s">
        <v>1071</v>
      </c>
      <c r="D7761">
        <v>10021683212</v>
      </c>
      <c r="E7761" t="s">
        <v>47</v>
      </c>
      <c r="F7761" t="s">
        <v>66</v>
      </c>
      <c r="G7761" t="s">
        <v>67</v>
      </c>
      <c r="H7761" t="s">
        <v>2584</v>
      </c>
      <c r="I7761" t="s">
        <v>2585</v>
      </c>
      <c r="J7761" t="s">
        <v>271</v>
      </c>
      <c r="K7761" s="3">
        <v>100433277233</v>
      </c>
      <c r="L7761" s="10">
        <v>39996</v>
      </c>
      <c r="M7761">
        <v>324.75</v>
      </c>
      <c r="N7761" s="11">
        <v>29</v>
      </c>
      <c r="O7761" s="12">
        <v>11.29</v>
      </c>
      <c r="P7761" s="12">
        <v>5.03</v>
      </c>
      <c r="Q7761" s="13">
        <v>-36.87</v>
      </c>
      <c r="R7761" s="36" t="s">
        <v>217</v>
      </c>
      <c r="S7761" s="7">
        <f t="shared" si="680"/>
        <v>2</v>
      </c>
      <c r="T7761" s="15" t="str">
        <f>VLOOKUP(R7761,产品分类!$C$2:$D$1278,2,0)</f>
        <v>办公用品</v>
      </c>
    </row>
    <row r="7762" spans="1:20">
      <c r="A7762" s="8">
        <f>DATE(2012,12,31)-29</f>
        <v>41245</v>
      </c>
      <c r="B7762" s="8">
        <f>DATE(2012,12,31)-29</f>
        <v>41245</v>
      </c>
      <c r="C7762" s="9" t="s">
        <v>970</v>
      </c>
      <c r="D7762">
        <v>10021327347</v>
      </c>
      <c r="E7762" t="s">
        <v>47</v>
      </c>
      <c r="F7762" t="s">
        <v>177</v>
      </c>
      <c r="G7762" t="s">
        <v>178</v>
      </c>
      <c r="H7762" t="s">
        <v>2611</v>
      </c>
      <c r="I7762" t="s">
        <v>2612</v>
      </c>
      <c r="J7762" t="s">
        <v>271</v>
      </c>
      <c r="K7762" s="3">
        <v>100432848744</v>
      </c>
      <c r="L7762" s="10">
        <v>41246</v>
      </c>
      <c r="M7762">
        <v>17560.95</v>
      </c>
      <c r="N7762" s="11">
        <v>36</v>
      </c>
      <c r="O7762" s="12">
        <v>500.98</v>
      </c>
      <c r="P7762" s="12">
        <v>26</v>
      </c>
      <c r="Q7762" s="13">
        <v>4801.82</v>
      </c>
      <c r="R7762" s="36" t="s">
        <v>302</v>
      </c>
      <c r="S7762" s="7">
        <f t="shared" si="680"/>
        <v>1</v>
      </c>
      <c r="T7762" s="15" t="str">
        <f>VLOOKUP(R7762,产品分类!$C$2:$D$1278,2,0)</f>
        <v>家具产品</v>
      </c>
    </row>
    <row r="7763" spans="1:20">
      <c r="A7763" s="8">
        <f>DATE(2012,12,31)-29</f>
        <v>41245</v>
      </c>
      <c r="B7763" s="8">
        <f>DATE(2012,12,31)-29</f>
        <v>41245</v>
      </c>
      <c r="C7763" s="9" t="s">
        <v>970</v>
      </c>
      <c r="D7763">
        <v>10021361809</v>
      </c>
      <c r="E7763" t="s">
        <v>47</v>
      </c>
      <c r="F7763" t="s">
        <v>61</v>
      </c>
      <c r="G7763" t="s">
        <v>62</v>
      </c>
      <c r="H7763" t="s">
        <v>2596</v>
      </c>
      <c r="I7763" t="s">
        <v>2597</v>
      </c>
      <c r="J7763" t="s">
        <v>271</v>
      </c>
      <c r="K7763" s="3">
        <v>100132886067</v>
      </c>
      <c r="L7763" s="10">
        <v>41247</v>
      </c>
      <c r="M7763">
        <v>19845.696</v>
      </c>
      <c r="N7763" s="11">
        <v>42</v>
      </c>
      <c r="O7763" s="12">
        <v>550.98</v>
      </c>
      <c r="P7763" s="12">
        <v>64.59</v>
      </c>
      <c r="Q7763" s="13">
        <v>-1331.553366</v>
      </c>
      <c r="R7763" s="36" t="s">
        <v>100</v>
      </c>
      <c r="S7763" s="7">
        <f t="shared" si="680"/>
        <v>2</v>
      </c>
      <c r="T7763" s="15" t="str">
        <f>VLOOKUP(R7763,产品分类!$C$2:$D$1278,2,0)</f>
        <v>数码电子</v>
      </c>
    </row>
    <row r="7764" spans="1:20">
      <c r="A7764" s="16">
        <f>DATE(2012,12,31)-242</f>
        <v>41032</v>
      </c>
      <c r="B7764" s="16">
        <f>DATE(2012,12,31)-242</f>
        <v>41032</v>
      </c>
      <c r="C7764" s="9" t="s">
        <v>970</v>
      </c>
      <c r="D7764">
        <v>10021732979</v>
      </c>
      <c r="E7764" t="s">
        <v>47</v>
      </c>
      <c r="F7764" t="s">
        <v>230</v>
      </c>
      <c r="G7764" t="s">
        <v>231</v>
      </c>
      <c r="H7764" t="s">
        <v>2602</v>
      </c>
      <c r="I7764" t="s">
        <v>2603</v>
      </c>
      <c r="J7764" t="s">
        <v>271</v>
      </c>
      <c r="K7764" s="3">
        <v>100822779562</v>
      </c>
      <c r="L7764" s="10">
        <v>41033</v>
      </c>
      <c r="M7764">
        <v>364.8</v>
      </c>
      <c r="N7764" s="17">
        <v>42</v>
      </c>
      <c r="O7764" s="5">
        <v>8.74</v>
      </c>
      <c r="P7764" s="5">
        <v>1.39</v>
      </c>
      <c r="Q7764" s="6">
        <v>149.45</v>
      </c>
      <c r="R7764" s="37" t="s">
        <v>1792</v>
      </c>
      <c r="S7764" s="7">
        <f t="shared" si="680"/>
        <v>1</v>
      </c>
      <c r="T7764" s="15" t="str">
        <f>VLOOKUP(R7764,产品分类!$C$2:$D$1278,2,0)</f>
        <v>办公用品</v>
      </c>
    </row>
    <row r="7765" spans="1:20">
      <c r="A7765" s="8">
        <f>DATE(2012,12,31)-857</f>
        <v>40417</v>
      </c>
      <c r="B7765" s="8">
        <f>DATE(2012,12,31)-857</f>
        <v>40417</v>
      </c>
      <c r="C7765" s="9" t="s">
        <v>2208</v>
      </c>
      <c r="D7765">
        <v>10021758511</v>
      </c>
      <c r="E7765" t="s">
        <v>47</v>
      </c>
      <c r="F7765" t="s">
        <v>171</v>
      </c>
      <c r="G7765" t="s">
        <v>172</v>
      </c>
      <c r="H7765" t="s">
        <v>2486</v>
      </c>
      <c r="I7765" t="s">
        <v>2310</v>
      </c>
      <c r="J7765" t="s">
        <v>271</v>
      </c>
      <c r="K7765" s="3">
        <v>100933344661</v>
      </c>
      <c r="L7765" s="10">
        <v>40419</v>
      </c>
      <c r="M7765">
        <v>5445.992</v>
      </c>
      <c r="N7765" s="11">
        <v>31</v>
      </c>
      <c r="O7765" s="12">
        <v>218.75</v>
      </c>
      <c r="P7765" s="12">
        <v>69.64</v>
      </c>
      <c r="Q7765" s="13">
        <v>-791.66</v>
      </c>
      <c r="R7765" s="36" t="s">
        <v>1166</v>
      </c>
      <c r="S7765" s="7">
        <f t="shared" si="680"/>
        <v>2</v>
      </c>
      <c r="T7765" s="15" t="str">
        <f>VLOOKUP(R7765,产品分类!$C$2:$D$1278,2,0)</f>
        <v>办公用品</v>
      </c>
    </row>
    <row r="7766" spans="1:20">
      <c r="A7766" s="8">
        <f>DATE(2012,12,31)-1380</f>
        <v>39894</v>
      </c>
      <c r="B7766" s="8">
        <f>DATE(2012,12,31)-1380</f>
        <v>39894</v>
      </c>
      <c r="C7766" s="9" t="s">
        <v>2208</v>
      </c>
      <c r="D7766">
        <v>10021347185</v>
      </c>
      <c r="E7766" t="s">
        <v>47</v>
      </c>
      <c r="F7766" t="s">
        <v>72</v>
      </c>
      <c r="G7766" t="s">
        <v>73</v>
      </c>
      <c r="H7766" t="s">
        <v>2606</v>
      </c>
      <c r="I7766" t="s">
        <v>2607</v>
      </c>
      <c r="J7766" t="s">
        <v>271</v>
      </c>
      <c r="K7766" s="3">
        <v>100130974926</v>
      </c>
      <c r="L7766" s="10">
        <v>39895</v>
      </c>
      <c r="M7766">
        <v>4856.1</v>
      </c>
      <c r="N7766" s="11">
        <v>32</v>
      </c>
      <c r="O7766" s="12">
        <v>145.45</v>
      </c>
      <c r="P7766" s="12">
        <v>17.85</v>
      </c>
      <c r="Q7766" s="13">
        <v>1096.64</v>
      </c>
      <c r="R7766" s="36" t="s">
        <v>2134</v>
      </c>
      <c r="S7766" s="7">
        <f t="shared" si="680"/>
        <v>1</v>
      </c>
      <c r="T7766" s="15" t="str">
        <f>VLOOKUP(R7766,产品分类!$C$2:$D$1278,2,0)</f>
        <v>办公用品</v>
      </c>
    </row>
    <row r="7767" spans="1:20">
      <c r="A7767" s="8">
        <f>DATE(2012,12,31)-51</f>
        <v>41223</v>
      </c>
      <c r="B7767" s="8">
        <f>DATE(2012,12,31)-51</f>
        <v>41223</v>
      </c>
      <c r="C7767" s="9" t="s">
        <v>1604</v>
      </c>
      <c r="D7767">
        <v>10021340831</v>
      </c>
      <c r="E7767" t="s">
        <v>47</v>
      </c>
      <c r="F7767" t="s">
        <v>171</v>
      </c>
      <c r="G7767" t="s">
        <v>172</v>
      </c>
      <c r="H7767" t="s">
        <v>2486</v>
      </c>
      <c r="I7767" t="s">
        <v>2310</v>
      </c>
      <c r="J7767" t="s">
        <v>271</v>
      </c>
      <c r="K7767" s="3">
        <v>100826747662</v>
      </c>
      <c r="L7767" s="10">
        <v>41224</v>
      </c>
      <c r="M7767">
        <v>323.53</v>
      </c>
      <c r="N7767" s="11">
        <v>6</v>
      </c>
      <c r="O7767" s="12">
        <v>51.75</v>
      </c>
      <c r="P7767" s="12">
        <v>19.99</v>
      </c>
      <c r="Q7767" s="13">
        <v>136.32</v>
      </c>
      <c r="R7767" s="36" t="s">
        <v>1326</v>
      </c>
      <c r="S7767" s="7">
        <f t="shared" si="680"/>
        <v>1</v>
      </c>
      <c r="T7767" s="15" t="str">
        <f>VLOOKUP(R7767,产品分类!$C$2:$D$1278,2,0)</f>
        <v>家具产品</v>
      </c>
    </row>
    <row r="7768" spans="1:20">
      <c r="A7768" s="8">
        <f>DATE(2012,12,31)-51</f>
        <v>41223</v>
      </c>
      <c r="B7768" s="8">
        <f>DATE(2012,12,31)-51</f>
        <v>41223</v>
      </c>
      <c r="C7768" s="9" t="s">
        <v>1604</v>
      </c>
      <c r="D7768">
        <v>10021634973</v>
      </c>
      <c r="E7768" t="s">
        <v>47</v>
      </c>
      <c r="F7768" t="s">
        <v>152</v>
      </c>
      <c r="G7768" t="s">
        <v>153</v>
      </c>
      <c r="H7768" t="s">
        <v>154</v>
      </c>
      <c r="I7768" t="s">
        <v>155</v>
      </c>
      <c r="J7768" t="s">
        <v>271</v>
      </c>
      <c r="K7768" s="3">
        <v>100110547896</v>
      </c>
      <c r="L7768" s="10">
        <v>41225</v>
      </c>
      <c r="M7768">
        <v>65.7475</v>
      </c>
      <c r="N7768" s="11">
        <v>1</v>
      </c>
      <c r="O7768" s="12">
        <v>65.99</v>
      </c>
      <c r="P7768" s="12">
        <v>3.99</v>
      </c>
      <c r="Q7768" s="13">
        <v>-252.483</v>
      </c>
      <c r="R7768" s="36" t="s">
        <v>655</v>
      </c>
      <c r="S7768" s="7">
        <f t="shared" si="680"/>
        <v>2</v>
      </c>
      <c r="T7768" s="15" t="str">
        <f>VLOOKUP(R7768,产品分类!$C$2:$D$1278,2,0)</f>
        <v>家具产品</v>
      </c>
    </row>
    <row r="7769" spans="1:20">
      <c r="A7769" s="8">
        <f>DATE(2012,12,31)-296</f>
        <v>40978</v>
      </c>
      <c r="B7769" s="8">
        <f>DATE(2012,12,31)-296</f>
        <v>40978</v>
      </c>
      <c r="C7769" s="9" t="s">
        <v>584</v>
      </c>
      <c r="D7769">
        <v>10021681112</v>
      </c>
      <c r="E7769" t="s">
        <v>47</v>
      </c>
      <c r="F7769" t="s">
        <v>48</v>
      </c>
      <c r="G7769" t="s">
        <v>49</v>
      </c>
      <c r="H7769" t="s">
        <v>2599</v>
      </c>
      <c r="I7769" t="s">
        <v>2600</v>
      </c>
      <c r="J7769" t="s">
        <v>271</v>
      </c>
      <c r="K7769" s="3">
        <v>100133270456</v>
      </c>
      <c r="L7769" s="10">
        <v>40979</v>
      </c>
      <c r="M7769">
        <v>4073.17</v>
      </c>
      <c r="N7769" s="11">
        <v>26</v>
      </c>
      <c r="O7769" s="12">
        <v>160.98</v>
      </c>
      <c r="P7769" s="12">
        <v>30</v>
      </c>
      <c r="Q7769" s="13">
        <v>376.21</v>
      </c>
      <c r="R7769" s="36" t="s">
        <v>718</v>
      </c>
      <c r="S7769" s="7">
        <f t="shared" si="680"/>
        <v>1</v>
      </c>
      <c r="T7769" s="15" t="str">
        <f>VLOOKUP(R7769,产品分类!$C$2:$D$1278,2,0)</f>
        <v>数码电子</v>
      </c>
    </row>
    <row r="7770" spans="1:20">
      <c r="A7770" s="8">
        <f>DATE(2012,12,31)-686</f>
        <v>40588</v>
      </c>
      <c r="B7770" s="8">
        <f>DATE(2012,12,31)-686</f>
        <v>40588</v>
      </c>
      <c r="C7770" s="9" t="s">
        <v>826</v>
      </c>
      <c r="D7770">
        <v>10021398003</v>
      </c>
      <c r="E7770" t="s">
        <v>47</v>
      </c>
      <c r="F7770" t="s">
        <v>78</v>
      </c>
      <c r="G7770" t="s">
        <v>79</v>
      </c>
      <c r="H7770" t="s">
        <v>80</v>
      </c>
      <c r="I7770" t="s">
        <v>81</v>
      </c>
      <c r="J7770" t="s">
        <v>271</v>
      </c>
      <c r="K7770" s="3">
        <v>100112784387</v>
      </c>
      <c r="L7770" s="10">
        <v>40590</v>
      </c>
      <c r="M7770">
        <v>830.28</v>
      </c>
      <c r="N7770" s="11">
        <v>6</v>
      </c>
      <c r="O7770" s="12">
        <v>122.99</v>
      </c>
      <c r="P7770" s="12">
        <v>70.2</v>
      </c>
      <c r="Q7770" s="13">
        <v>-382.98</v>
      </c>
      <c r="R7770" s="36" t="s">
        <v>622</v>
      </c>
      <c r="S7770" s="7">
        <f t="shared" si="680"/>
        <v>2</v>
      </c>
      <c r="T7770" s="15" t="str">
        <f>VLOOKUP(R7770,产品分类!$C$2:$D$1278,2,0)</f>
        <v>办公用品</v>
      </c>
    </row>
    <row r="7771" spans="1:20">
      <c r="A7771" s="8">
        <f>DATE(2012,12,31)-686</f>
        <v>40588</v>
      </c>
      <c r="B7771" s="8">
        <f>DATE(2012,12,31)-686</f>
        <v>40588</v>
      </c>
      <c r="C7771" s="9" t="s">
        <v>826</v>
      </c>
      <c r="D7771">
        <v>10021562911</v>
      </c>
      <c r="E7771" t="s">
        <v>47</v>
      </c>
      <c r="F7771" t="s">
        <v>72</v>
      </c>
      <c r="G7771" t="s">
        <v>73</v>
      </c>
      <c r="H7771" t="s">
        <v>2606</v>
      </c>
      <c r="I7771" t="s">
        <v>2607</v>
      </c>
      <c r="J7771" t="s">
        <v>271</v>
      </c>
      <c r="K7771" s="3">
        <v>100816696002</v>
      </c>
      <c r="L7771" s="10">
        <v>40590</v>
      </c>
      <c r="M7771">
        <v>837.386</v>
      </c>
      <c r="N7771" s="11">
        <v>45</v>
      </c>
      <c r="O7771" s="12">
        <v>20.99</v>
      </c>
      <c r="P7771" s="12">
        <v>4.81</v>
      </c>
      <c r="Q7771" s="13">
        <v>104.328</v>
      </c>
      <c r="R7771" s="36" t="s">
        <v>637</v>
      </c>
      <c r="S7771" s="7">
        <f t="shared" si="680"/>
        <v>2</v>
      </c>
      <c r="T7771" s="15" t="str">
        <f>VLOOKUP(R7771,产品分类!$C$2:$D$1278,2,0)</f>
        <v>数码电子</v>
      </c>
    </row>
    <row r="7772" spans="1:20">
      <c r="A7772" s="8">
        <f>DATE(2012,12,31)-478</f>
        <v>40796</v>
      </c>
      <c r="B7772" s="8">
        <f>DATE(2012,12,31)-478</f>
        <v>40796</v>
      </c>
      <c r="C7772" s="9" t="s">
        <v>714</v>
      </c>
      <c r="D7772">
        <v>10021724934</v>
      </c>
      <c r="E7772" t="s">
        <v>47</v>
      </c>
      <c r="F7772" t="s">
        <v>72</v>
      </c>
      <c r="G7772" t="s">
        <v>73</v>
      </c>
      <c r="H7772" t="s">
        <v>2606</v>
      </c>
      <c r="I7772" t="s">
        <v>2607</v>
      </c>
      <c r="J7772" t="s">
        <v>271</v>
      </c>
      <c r="K7772" s="3">
        <v>100932950471</v>
      </c>
      <c r="L7772" s="10">
        <v>40798</v>
      </c>
      <c r="M7772">
        <v>250.7</v>
      </c>
      <c r="N7772" s="11">
        <v>2</v>
      </c>
      <c r="O7772" s="12">
        <v>100.98</v>
      </c>
      <c r="P7772" s="12">
        <v>45</v>
      </c>
      <c r="Q7772" s="13">
        <v>-180.61</v>
      </c>
      <c r="R7772" s="36" t="s">
        <v>399</v>
      </c>
      <c r="S7772" s="7">
        <f t="shared" si="680"/>
        <v>2</v>
      </c>
      <c r="T7772" s="15" t="str">
        <f>VLOOKUP(R7772,产品分类!$C$2:$D$1278,2,0)</f>
        <v>办公用品</v>
      </c>
    </row>
    <row r="7773" spans="1:20">
      <c r="A7773" s="8">
        <f>DATE(2012,12,31)-156</f>
        <v>41118</v>
      </c>
      <c r="B7773" s="8">
        <f>DATE(2012,12,31)-156</f>
        <v>41118</v>
      </c>
      <c r="C7773" s="9" t="s">
        <v>439</v>
      </c>
      <c r="D7773">
        <v>10021457784</v>
      </c>
      <c r="E7773" t="s">
        <v>47</v>
      </c>
      <c r="F7773" t="s">
        <v>91</v>
      </c>
      <c r="G7773" t="s">
        <v>92</v>
      </c>
      <c r="H7773" t="s">
        <v>2573</v>
      </c>
      <c r="I7773" t="s">
        <v>2574</v>
      </c>
      <c r="J7773" t="s">
        <v>271</v>
      </c>
      <c r="K7773" s="3">
        <v>10099144471</v>
      </c>
      <c r="L7773" s="10">
        <v>41118</v>
      </c>
      <c r="M7773">
        <v>2650.77</v>
      </c>
      <c r="N7773" s="11">
        <v>39</v>
      </c>
      <c r="O7773" s="12">
        <v>70.71</v>
      </c>
      <c r="P7773" s="12">
        <v>37.58</v>
      </c>
      <c r="Q7773" s="13">
        <v>-824.43</v>
      </c>
      <c r="R7773" s="36" t="s">
        <v>1070</v>
      </c>
      <c r="S7773" s="7">
        <f t="shared" si="680"/>
        <v>0</v>
      </c>
      <c r="T7773" s="15" t="str">
        <f>VLOOKUP(R7773,产品分类!$C$2:$D$1278,2,0)</f>
        <v>办公用品</v>
      </c>
    </row>
    <row r="7774" spans="1:20">
      <c r="A7774" s="8">
        <f>DATE(2012,12,31)-718</f>
        <v>40556</v>
      </c>
      <c r="B7774" s="8">
        <f>DATE(2012,12,31)-718</f>
        <v>40556</v>
      </c>
      <c r="C7774" s="9" t="s">
        <v>1497</v>
      </c>
      <c r="D7774">
        <v>10021758352</v>
      </c>
      <c r="E7774" t="s">
        <v>47</v>
      </c>
      <c r="F7774" t="s">
        <v>122</v>
      </c>
      <c r="G7774" t="s">
        <v>123</v>
      </c>
      <c r="H7774" t="s">
        <v>2458</v>
      </c>
      <c r="I7774" t="s">
        <v>2459</v>
      </c>
      <c r="J7774" t="s">
        <v>271</v>
      </c>
      <c r="K7774" s="3">
        <v>100132796238</v>
      </c>
      <c r="L7774" s="10">
        <v>40557</v>
      </c>
      <c r="M7774">
        <v>2860.19</v>
      </c>
      <c r="N7774" s="11">
        <v>28</v>
      </c>
      <c r="O7774" s="12">
        <v>105.29</v>
      </c>
      <c r="P7774" s="12">
        <v>10.12</v>
      </c>
      <c r="Q7774" s="13">
        <v>458.4</v>
      </c>
      <c r="R7774" s="36" t="s">
        <v>1040</v>
      </c>
      <c r="S7774" s="7">
        <f t="shared" si="680"/>
        <v>1</v>
      </c>
      <c r="T7774" s="15" t="str">
        <f>VLOOKUP(R7774,产品分类!$C$2:$D$1278,2,0)</f>
        <v>数码电子</v>
      </c>
    </row>
    <row r="7775" spans="1:20">
      <c r="A7775" s="16">
        <f>DATE(2012,12,31)-1232</f>
        <v>40042</v>
      </c>
      <c r="B7775" s="16">
        <f>DATE(2012,12,31)-1232</f>
        <v>40042</v>
      </c>
      <c r="C7775" s="9" t="s">
        <v>800</v>
      </c>
      <c r="D7775">
        <v>10021481843</v>
      </c>
      <c r="E7775" t="s">
        <v>47</v>
      </c>
      <c r="F7775" t="s">
        <v>122</v>
      </c>
      <c r="G7775" t="s">
        <v>123</v>
      </c>
      <c r="H7775" t="s">
        <v>2458</v>
      </c>
      <c r="I7775" t="s">
        <v>2459</v>
      </c>
      <c r="J7775" t="s">
        <v>271</v>
      </c>
      <c r="K7775" s="3">
        <v>100432164103</v>
      </c>
      <c r="L7775" s="10">
        <v>40042</v>
      </c>
      <c r="M7775">
        <v>59.03</v>
      </c>
      <c r="N7775" s="17">
        <v>11</v>
      </c>
      <c r="O7775" s="5">
        <v>4.98</v>
      </c>
      <c r="P7775" s="5">
        <v>4.86</v>
      </c>
      <c r="Q7775" s="6">
        <v>-25.21</v>
      </c>
      <c r="R7775" s="37" t="s">
        <v>1056</v>
      </c>
      <c r="S7775" s="7">
        <f t="shared" si="680"/>
        <v>0</v>
      </c>
      <c r="T7775" s="15" t="str">
        <f>VLOOKUP(R7775,产品分类!$C$2:$D$1278,2,0)</f>
        <v>家具产品</v>
      </c>
    </row>
    <row r="7776" spans="1:20">
      <c r="A7776" s="8">
        <f>DATE(2012,12,31)-529</f>
        <v>40745</v>
      </c>
      <c r="B7776" s="8">
        <f>DATE(2012,12,31)-529</f>
        <v>40745</v>
      </c>
      <c r="C7776" s="9" t="s">
        <v>800</v>
      </c>
      <c r="D7776">
        <v>10021307960</v>
      </c>
      <c r="E7776" t="s">
        <v>47</v>
      </c>
      <c r="F7776" t="s">
        <v>55</v>
      </c>
      <c r="G7776" t="s">
        <v>56</v>
      </c>
      <c r="H7776" t="s">
        <v>2604</v>
      </c>
      <c r="I7776" t="s">
        <v>2605</v>
      </c>
      <c r="J7776" t="s">
        <v>271</v>
      </c>
      <c r="K7776" s="3">
        <v>100731863045</v>
      </c>
      <c r="L7776" s="10">
        <v>40749</v>
      </c>
      <c r="M7776">
        <v>4203.88</v>
      </c>
      <c r="N7776" s="11">
        <v>29</v>
      </c>
      <c r="O7776" s="12">
        <v>150.98</v>
      </c>
      <c r="P7776" s="12">
        <v>66.27</v>
      </c>
      <c r="Q7776" s="13">
        <v>-865.88</v>
      </c>
      <c r="R7776" s="36" t="s">
        <v>2368</v>
      </c>
      <c r="S7776" s="7">
        <f t="shared" si="680"/>
        <v>4</v>
      </c>
      <c r="T7776" s="15" t="str">
        <f>VLOOKUP(R7776,产品分类!$C$2:$D$1278,2,0)</f>
        <v>数码电子</v>
      </c>
    </row>
    <row r="7777" spans="1:20">
      <c r="A7777" s="8">
        <f t="shared" ref="A7777:B7779" si="682">DATE(2012,12,31)-1260</f>
        <v>40014</v>
      </c>
      <c r="B7777" s="8">
        <f t="shared" si="682"/>
        <v>40014</v>
      </c>
      <c r="C7777" s="9" t="s">
        <v>800</v>
      </c>
      <c r="D7777">
        <v>10021763518</v>
      </c>
      <c r="E7777" t="s">
        <v>47</v>
      </c>
      <c r="F7777" t="s">
        <v>91</v>
      </c>
      <c r="G7777" t="s">
        <v>92</v>
      </c>
      <c r="H7777" t="s">
        <v>2573</v>
      </c>
      <c r="I7777" t="s">
        <v>2574</v>
      </c>
      <c r="J7777" t="s">
        <v>271</v>
      </c>
      <c r="K7777" s="3">
        <v>100119316956</v>
      </c>
      <c r="L7777" s="10">
        <v>40014</v>
      </c>
      <c r="M7777">
        <v>221.05</v>
      </c>
      <c r="N7777" s="11">
        <v>30</v>
      </c>
      <c r="O7777" s="12">
        <v>7.1</v>
      </c>
      <c r="P7777" s="12">
        <v>6.05</v>
      </c>
      <c r="Q7777" s="13">
        <v>-66.378</v>
      </c>
      <c r="R7777" s="36" t="s">
        <v>1289</v>
      </c>
      <c r="S7777" s="7">
        <f t="shared" si="680"/>
        <v>0</v>
      </c>
      <c r="T7777" s="15" t="str">
        <f>VLOOKUP(R7777,产品分类!$C$2:$D$1278,2,0)</f>
        <v>数码电子</v>
      </c>
    </row>
    <row r="7778" spans="1:20">
      <c r="A7778" s="8">
        <f t="shared" si="682"/>
        <v>40014</v>
      </c>
      <c r="B7778" s="8">
        <f t="shared" si="682"/>
        <v>40014</v>
      </c>
      <c r="C7778" s="9" t="s">
        <v>1391</v>
      </c>
      <c r="D7778">
        <v>10021443222</v>
      </c>
      <c r="E7778" t="s">
        <v>47</v>
      </c>
      <c r="F7778" t="s">
        <v>55</v>
      </c>
      <c r="G7778" t="s">
        <v>56</v>
      </c>
      <c r="H7778" t="s">
        <v>2604</v>
      </c>
      <c r="I7778" t="s">
        <v>2605</v>
      </c>
      <c r="J7778" t="s">
        <v>271</v>
      </c>
      <c r="K7778" s="3">
        <v>100123656468</v>
      </c>
      <c r="L7778" s="10">
        <v>40017</v>
      </c>
      <c r="M7778">
        <v>133.15</v>
      </c>
      <c r="N7778" s="11">
        <v>21</v>
      </c>
      <c r="O7778" s="12">
        <v>6.28</v>
      </c>
      <c r="P7778" s="12">
        <v>5.36</v>
      </c>
      <c r="Q7778" s="13">
        <v>-51.428</v>
      </c>
      <c r="R7778" s="36" t="s">
        <v>248</v>
      </c>
      <c r="S7778" s="7">
        <f t="shared" si="680"/>
        <v>3</v>
      </c>
      <c r="T7778" s="15" t="str">
        <f>VLOOKUP(R7778,产品分类!$C$2:$D$1278,2,0)</f>
        <v>家具产品</v>
      </c>
    </row>
    <row r="7779" spans="1:20">
      <c r="A7779" s="16">
        <f t="shared" si="682"/>
        <v>40014</v>
      </c>
      <c r="B7779" s="16">
        <f t="shared" si="682"/>
        <v>40014</v>
      </c>
      <c r="C7779" s="9" t="s">
        <v>2427</v>
      </c>
      <c r="D7779">
        <v>10021764961</v>
      </c>
      <c r="E7779" t="s">
        <v>47</v>
      </c>
      <c r="F7779" t="s">
        <v>91</v>
      </c>
      <c r="G7779" t="s">
        <v>92</v>
      </c>
      <c r="H7779" t="s">
        <v>2573</v>
      </c>
      <c r="I7779" t="s">
        <v>2574</v>
      </c>
      <c r="J7779" t="s">
        <v>271</v>
      </c>
      <c r="K7779" s="3">
        <v>100133047977</v>
      </c>
      <c r="L7779" s="10">
        <v>40015</v>
      </c>
      <c r="M7779">
        <v>136.71</v>
      </c>
      <c r="N7779" s="17">
        <v>45</v>
      </c>
      <c r="O7779" s="5">
        <v>3.08</v>
      </c>
      <c r="P7779" s="5">
        <v>0.99</v>
      </c>
      <c r="Q7779" s="6">
        <v>34.72</v>
      </c>
      <c r="R7779" s="37" t="s">
        <v>1984</v>
      </c>
      <c r="S7779" s="7">
        <f t="shared" si="680"/>
        <v>1</v>
      </c>
      <c r="T7779" s="15" t="str">
        <f>VLOOKUP(R7779,产品分类!$C$2:$D$1278,2,0)</f>
        <v>办公用品</v>
      </c>
    </row>
    <row r="7780" spans="1:20">
      <c r="A7780" s="8">
        <f>DATE(2012,12,31)-408</f>
        <v>40866</v>
      </c>
      <c r="B7780" s="8">
        <f>DATE(2012,12,31)-408</f>
        <v>40866</v>
      </c>
      <c r="C7780" s="9" t="s">
        <v>1178</v>
      </c>
      <c r="D7780">
        <v>10021376489</v>
      </c>
      <c r="E7780" t="s">
        <v>47</v>
      </c>
      <c r="F7780" t="s">
        <v>171</v>
      </c>
      <c r="G7780" t="s">
        <v>172</v>
      </c>
      <c r="H7780" t="s">
        <v>2486</v>
      </c>
      <c r="I7780" t="s">
        <v>2310</v>
      </c>
      <c r="J7780" t="s">
        <v>271</v>
      </c>
      <c r="K7780" s="3">
        <v>100713831455</v>
      </c>
      <c r="L7780" s="10">
        <v>40873</v>
      </c>
      <c r="M7780">
        <v>15602.93</v>
      </c>
      <c r="N7780" s="11">
        <v>48</v>
      </c>
      <c r="O7780" s="12">
        <v>306.14</v>
      </c>
      <c r="P7780" s="12">
        <v>26.53</v>
      </c>
      <c r="Q7780" s="13">
        <v>4875.89</v>
      </c>
      <c r="R7780" s="36" t="s">
        <v>1634</v>
      </c>
      <c r="S7780" s="7">
        <f t="shared" si="680"/>
        <v>7</v>
      </c>
      <c r="T7780" s="15" t="str">
        <f>VLOOKUP(R7780,产品分类!$C$2:$D$1278,2,0)</f>
        <v>家具产品</v>
      </c>
    </row>
    <row r="7781" spans="1:20">
      <c r="A7781" s="8">
        <f t="shared" ref="A7781:B7783" si="683">DATE(2012,12,31)-1414</f>
        <v>39860</v>
      </c>
      <c r="B7781" s="8">
        <f t="shared" si="683"/>
        <v>39860</v>
      </c>
      <c r="C7781" s="9" t="s">
        <v>1359</v>
      </c>
      <c r="D7781">
        <v>10021438642</v>
      </c>
      <c r="E7781" t="s">
        <v>47</v>
      </c>
      <c r="F7781" t="s">
        <v>97</v>
      </c>
      <c r="G7781" t="s">
        <v>98</v>
      </c>
      <c r="H7781" t="s">
        <v>99</v>
      </c>
      <c r="I7781" t="s">
        <v>98</v>
      </c>
      <c r="J7781" t="s">
        <v>271</v>
      </c>
      <c r="K7781" s="3">
        <v>100129864146</v>
      </c>
      <c r="L7781" s="10">
        <v>39861</v>
      </c>
      <c r="M7781">
        <v>208.83</v>
      </c>
      <c r="N7781" s="11">
        <v>28</v>
      </c>
      <c r="O7781" s="12">
        <v>7.1</v>
      </c>
      <c r="P7781" s="12">
        <v>6.05</v>
      </c>
      <c r="Q7781" s="13">
        <v>-60.145</v>
      </c>
      <c r="R7781" s="36" t="s">
        <v>908</v>
      </c>
      <c r="S7781" s="7">
        <f t="shared" si="680"/>
        <v>1</v>
      </c>
      <c r="T7781" s="15" t="str">
        <f>VLOOKUP(R7781,产品分类!$C$2:$D$1278,2,0)</f>
        <v>办公用品</v>
      </c>
    </row>
    <row r="7782" spans="1:20">
      <c r="A7782" s="8">
        <f t="shared" si="683"/>
        <v>39860</v>
      </c>
      <c r="B7782" s="8">
        <f t="shared" si="683"/>
        <v>39860</v>
      </c>
      <c r="C7782" s="9" t="s">
        <v>1359</v>
      </c>
      <c r="D7782">
        <v>10021374809</v>
      </c>
      <c r="E7782" t="s">
        <v>47</v>
      </c>
      <c r="F7782" t="s">
        <v>102</v>
      </c>
      <c r="G7782" t="s">
        <v>103</v>
      </c>
      <c r="H7782" t="s">
        <v>2560</v>
      </c>
      <c r="I7782" t="s">
        <v>2561</v>
      </c>
      <c r="J7782" t="s">
        <v>271</v>
      </c>
      <c r="K7782" s="3">
        <v>100131254708</v>
      </c>
      <c r="L7782" s="10">
        <v>39862</v>
      </c>
      <c r="M7782">
        <v>228.3</v>
      </c>
      <c r="N7782" s="11">
        <v>41</v>
      </c>
      <c r="O7782" s="12">
        <v>4.98</v>
      </c>
      <c r="P7782" s="12">
        <v>4.62</v>
      </c>
      <c r="Q7782" s="13">
        <v>-111.72</v>
      </c>
      <c r="R7782" s="36" t="s">
        <v>2132</v>
      </c>
      <c r="S7782" s="7">
        <f t="shared" si="680"/>
        <v>2</v>
      </c>
      <c r="T7782" s="15" t="str">
        <f>VLOOKUP(R7782,产品分类!$C$2:$D$1278,2,0)</f>
        <v>办公用品</v>
      </c>
    </row>
    <row r="7783" spans="1:20">
      <c r="A7783" s="8">
        <f t="shared" si="683"/>
        <v>39860</v>
      </c>
      <c r="B7783" s="8">
        <f t="shared" si="683"/>
        <v>39860</v>
      </c>
      <c r="C7783" s="9" t="s">
        <v>1455</v>
      </c>
      <c r="D7783">
        <v>10021559998</v>
      </c>
      <c r="E7783" t="s">
        <v>47</v>
      </c>
      <c r="F7783" t="s">
        <v>102</v>
      </c>
      <c r="G7783" t="s">
        <v>103</v>
      </c>
      <c r="H7783" t="s">
        <v>2617</v>
      </c>
      <c r="I7783" t="s">
        <v>2618</v>
      </c>
      <c r="J7783" t="s">
        <v>271</v>
      </c>
      <c r="K7783" s="3">
        <v>100333047319</v>
      </c>
      <c r="L7783" s="10">
        <v>39860</v>
      </c>
      <c r="M7783">
        <v>129.53</v>
      </c>
      <c r="N7783" s="11">
        <v>24</v>
      </c>
      <c r="O7783" s="12">
        <v>5.68</v>
      </c>
      <c r="P7783" s="12">
        <v>1.39</v>
      </c>
      <c r="Q7783" s="13">
        <v>33.01</v>
      </c>
      <c r="R7783" s="36" t="s">
        <v>371</v>
      </c>
      <c r="S7783" s="7">
        <f t="shared" si="680"/>
        <v>0</v>
      </c>
      <c r="T7783" s="15" t="str">
        <f>VLOOKUP(R7783,产品分类!$C$2:$D$1278,2,0)</f>
        <v>办公用品</v>
      </c>
    </row>
    <row r="7784" spans="1:20">
      <c r="A7784" s="8">
        <f>DATE(2012,12,31)-1132</f>
        <v>40142</v>
      </c>
      <c r="B7784" s="8">
        <f>DATE(2012,12,31)-1132</f>
        <v>40142</v>
      </c>
      <c r="C7784" s="9" t="s">
        <v>1455</v>
      </c>
      <c r="D7784">
        <v>10021615543</v>
      </c>
      <c r="E7784" t="s">
        <v>47</v>
      </c>
      <c r="F7784" t="s">
        <v>208</v>
      </c>
      <c r="G7784" t="s">
        <v>209</v>
      </c>
      <c r="H7784" t="s">
        <v>2300</v>
      </c>
      <c r="I7784" t="s">
        <v>2301</v>
      </c>
      <c r="J7784" t="s">
        <v>271</v>
      </c>
      <c r="K7784" s="3">
        <v>100932406771</v>
      </c>
      <c r="L7784" s="10">
        <v>40145</v>
      </c>
      <c r="M7784">
        <v>413.86</v>
      </c>
      <c r="N7784" s="11">
        <v>50</v>
      </c>
      <c r="O7784" s="12">
        <v>7.59</v>
      </c>
      <c r="P7784" s="12">
        <v>4</v>
      </c>
      <c r="Q7784" s="13">
        <v>39.29</v>
      </c>
      <c r="R7784" s="36" t="s">
        <v>1461</v>
      </c>
      <c r="S7784" s="7">
        <f t="shared" si="680"/>
        <v>3</v>
      </c>
      <c r="T7784" s="15" t="str">
        <f>VLOOKUP(R7784,产品分类!$C$2:$D$1278,2,0)</f>
        <v>办公用品</v>
      </c>
    </row>
    <row r="7785" spans="1:20">
      <c r="A7785" s="8">
        <f>DATE(2012,12,31)-1132</f>
        <v>40142</v>
      </c>
      <c r="B7785" s="8">
        <f>DATE(2012,12,31)-1132</f>
        <v>40142</v>
      </c>
      <c r="C7785" s="9" t="s">
        <v>1455</v>
      </c>
      <c r="D7785">
        <v>10021401664</v>
      </c>
      <c r="E7785" t="s">
        <v>47</v>
      </c>
      <c r="F7785" t="s">
        <v>171</v>
      </c>
      <c r="G7785" t="s">
        <v>172</v>
      </c>
      <c r="H7785" t="s">
        <v>2486</v>
      </c>
      <c r="I7785" t="s">
        <v>2310</v>
      </c>
      <c r="J7785" t="s">
        <v>271</v>
      </c>
      <c r="K7785" s="3">
        <v>100832932452</v>
      </c>
      <c r="L7785" s="10">
        <v>40142</v>
      </c>
      <c r="M7785">
        <v>178.45</v>
      </c>
      <c r="N7785" s="11">
        <v>31</v>
      </c>
      <c r="O7785" s="12">
        <v>5.98</v>
      </c>
      <c r="P7785" s="12">
        <v>4.69</v>
      </c>
      <c r="Q7785" s="13">
        <v>-104.96</v>
      </c>
      <c r="R7785" s="36" t="s">
        <v>1893</v>
      </c>
      <c r="S7785" s="7">
        <f t="shared" si="680"/>
        <v>0</v>
      </c>
      <c r="T7785" s="15" t="str">
        <f>VLOOKUP(R7785,产品分类!$C$2:$D$1278,2,0)</f>
        <v>办公用品</v>
      </c>
    </row>
    <row r="7786" spans="1:20">
      <c r="A7786" s="8">
        <f>DATE(2012,12,31)-1063</f>
        <v>40211</v>
      </c>
      <c r="B7786" s="8">
        <f>DATE(2012,12,31)-1063</f>
        <v>40211</v>
      </c>
      <c r="C7786" s="9" t="s">
        <v>776</v>
      </c>
      <c r="D7786">
        <v>10021440145</v>
      </c>
      <c r="E7786" t="s">
        <v>47</v>
      </c>
      <c r="F7786" t="s">
        <v>527</v>
      </c>
      <c r="G7786" t="s">
        <v>528</v>
      </c>
      <c r="H7786" t="s">
        <v>2567</v>
      </c>
      <c r="I7786" t="s">
        <v>2568</v>
      </c>
      <c r="J7786" t="s">
        <v>271</v>
      </c>
      <c r="K7786" s="3">
        <v>100120736787</v>
      </c>
      <c r="L7786" s="10">
        <v>40213</v>
      </c>
      <c r="M7786">
        <v>144.28</v>
      </c>
      <c r="N7786" s="11">
        <v>40</v>
      </c>
      <c r="O7786" s="12">
        <v>3.08</v>
      </c>
      <c r="P7786" s="12">
        <v>0.99</v>
      </c>
      <c r="Q7786" s="13">
        <v>52.94</v>
      </c>
      <c r="R7786" s="36" t="s">
        <v>860</v>
      </c>
      <c r="S7786" s="7">
        <f t="shared" si="680"/>
        <v>2</v>
      </c>
      <c r="T7786" s="15" t="str">
        <f>VLOOKUP(R7786,产品分类!$C$2:$D$1278,2,0)</f>
        <v>办公用品</v>
      </c>
    </row>
    <row r="7787" spans="1:20">
      <c r="A7787" s="16">
        <f>DATE(2012,12,31)-1063</f>
        <v>40211</v>
      </c>
      <c r="B7787" s="16">
        <f>DATE(2012,12,31)-1063</f>
        <v>40211</v>
      </c>
      <c r="C7787" s="9" t="s">
        <v>748</v>
      </c>
      <c r="D7787">
        <v>10021650605</v>
      </c>
      <c r="E7787" t="s">
        <v>47</v>
      </c>
      <c r="F7787" t="s">
        <v>527</v>
      </c>
      <c r="G7787" t="s">
        <v>528</v>
      </c>
      <c r="H7787" t="s">
        <v>2567</v>
      </c>
      <c r="I7787" t="s">
        <v>2568</v>
      </c>
      <c r="J7787" t="s">
        <v>271</v>
      </c>
      <c r="K7787" s="3">
        <v>100926037481</v>
      </c>
      <c r="L7787" s="10">
        <v>40212</v>
      </c>
      <c r="M7787">
        <v>126.53</v>
      </c>
      <c r="N7787" s="17">
        <v>19</v>
      </c>
      <c r="O7787" s="5">
        <v>5.98</v>
      </c>
      <c r="P7787" s="5">
        <v>7.5</v>
      </c>
      <c r="Q7787" s="6">
        <v>-73.38</v>
      </c>
      <c r="R7787" s="37" t="s">
        <v>385</v>
      </c>
      <c r="S7787" s="7">
        <f t="shared" si="680"/>
        <v>1</v>
      </c>
      <c r="T7787" s="15" t="str">
        <f>VLOOKUP(R7787,产品分类!$C$2:$D$1278,2,0)</f>
        <v>数码电子</v>
      </c>
    </row>
    <row r="7788" spans="1:20">
      <c r="A7788" s="16">
        <f t="shared" ref="A7788:B7790" si="684">DATE(2012,12,31)-1131</f>
        <v>40143</v>
      </c>
      <c r="B7788" s="16">
        <f t="shared" si="684"/>
        <v>40143</v>
      </c>
      <c r="C7788" s="9" t="s">
        <v>734</v>
      </c>
      <c r="D7788">
        <v>10021458494</v>
      </c>
      <c r="E7788" t="s">
        <v>47</v>
      </c>
      <c r="F7788" t="s">
        <v>527</v>
      </c>
      <c r="G7788" t="s">
        <v>528</v>
      </c>
      <c r="H7788" t="s">
        <v>2567</v>
      </c>
      <c r="I7788" t="s">
        <v>2568</v>
      </c>
      <c r="J7788" t="s">
        <v>271</v>
      </c>
      <c r="K7788" s="3">
        <v>10033693009</v>
      </c>
      <c r="L7788" s="10">
        <v>40145</v>
      </c>
      <c r="M7788">
        <v>276.3</v>
      </c>
      <c r="N7788" s="17">
        <v>49</v>
      </c>
      <c r="O7788" s="5">
        <v>5.58</v>
      </c>
      <c r="P7788" s="5">
        <v>2.99</v>
      </c>
      <c r="Q7788" s="6">
        <v>14.841</v>
      </c>
      <c r="R7788" s="37" t="s">
        <v>1192</v>
      </c>
      <c r="S7788" s="7">
        <f t="shared" si="680"/>
        <v>2</v>
      </c>
      <c r="T7788" s="15" t="str">
        <f>VLOOKUP(R7788,产品分类!$C$2:$D$1278,2,0)</f>
        <v>办公用品</v>
      </c>
    </row>
    <row r="7789" spans="1:20">
      <c r="A7789" s="8">
        <f t="shared" si="684"/>
        <v>40143</v>
      </c>
      <c r="B7789" s="8">
        <f t="shared" si="684"/>
        <v>40143</v>
      </c>
      <c r="C7789" s="9" t="s">
        <v>643</v>
      </c>
      <c r="D7789">
        <v>10021305260</v>
      </c>
      <c r="E7789" t="s">
        <v>47</v>
      </c>
      <c r="F7789" t="s">
        <v>127</v>
      </c>
      <c r="G7789" t="s">
        <v>128</v>
      </c>
      <c r="H7789" t="s">
        <v>2608</v>
      </c>
      <c r="I7789" t="s">
        <v>2609</v>
      </c>
      <c r="J7789" t="s">
        <v>271</v>
      </c>
      <c r="K7789" s="3">
        <v>100132795527</v>
      </c>
      <c r="L7789" s="10">
        <v>40144</v>
      </c>
      <c r="M7789">
        <v>120.52</v>
      </c>
      <c r="N7789" s="11">
        <v>15</v>
      </c>
      <c r="O7789" s="12">
        <v>7.98</v>
      </c>
      <c r="P7789" s="12">
        <v>1.25</v>
      </c>
      <c r="Q7789" s="13">
        <v>43.92</v>
      </c>
      <c r="R7789" s="36" t="s">
        <v>1915</v>
      </c>
      <c r="S7789" s="7">
        <f t="shared" si="680"/>
        <v>1</v>
      </c>
      <c r="T7789" s="15" t="str">
        <f>VLOOKUP(R7789,产品分类!$C$2:$D$1278,2,0)</f>
        <v>办公用品</v>
      </c>
    </row>
    <row r="7790" spans="1:20">
      <c r="A7790" s="8">
        <f t="shared" si="684"/>
        <v>40143</v>
      </c>
      <c r="B7790" s="8">
        <f t="shared" si="684"/>
        <v>40143</v>
      </c>
      <c r="C7790" s="9" t="s">
        <v>1282</v>
      </c>
      <c r="D7790">
        <v>10021438157</v>
      </c>
      <c r="E7790" t="s">
        <v>47</v>
      </c>
      <c r="F7790" t="s">
        <v>177</v>
      </c>
      <c r="G7790" t="s">
        <v>178</v>
      </c>
      <c r="H7790" t="s">
        <v>2611</v>
      </c>
      <c r="I7790" t="s">
        <v>2612</v>
      </c>
      <c r="J7790" t="s">
        <v>271</v>
      </c>
      <c r="K7790" s="3">
        <v>10044349974</v>
      </c>
      <c r="L7790" s="10">
        <v>40144</v>
      </c>
      <c r="M7790">
        <v>2269.01</v>
      </c>
      <c r="N7790" s="11">
        <v>42</v>
      </c>
      <c r="O7790" s="12">
        <v>54.1</v>
      </c>
      <c r="P7790" s="12">
        <v>19.99</v>
      </c>
      <c r="Q7790" s="13">
        <v>-19.37</v>
      </c>
      <c r="R7790" s="36" t="s">
        <v>1138</v>
      </c>
      <c r="S7790" s="7">
        <f t="shared" si="680"/>
        <v>1</v>
      </c>
      <c r="T7790" s="15" t="str">
        <f>VLOOKUP(R7790,产品分类!$C$2:$D$1278,2,0)</f>
        <v>办公用品</v>
      </c>
    </row>
    <row r="7791" spans="1:20">
      <c r="A7791" s="8">
        <f>DATE(2012,12,31)-1318</f>
        <v>39956</v>
      </c>
      <c r="B7791" s="8">
        <f>DATE(2012,12,31)-1318</f>
        <v>39956</v>
      </c>
      <c r="C7791" s="9" t="s">
        <v>536</v>
      </c>
      <c r="D7791">
        <v>10021536232</v>
      </c>
      <c r="E7791" t="s">
        <v>47</v>
      </c>
      <c r="F7791" t="s">
        <v>177</v>
      </c>
      <c r="G7791" t="s">
        <v>178</v>
      </c>
      <c r="H7791" t="s">
        <v>2611</v>
      </c>
      <c r="I7791" t="s">
        <v>2612</v>
      </c>
      <c r="J7791" t="s">
        <v>271</v>
      </c>
      <c r="K7791" s="3">
        <v>10078871475</v>
      </c>
      <c r="L7791" s="10">
        <v>39957</v>
      </c>
      <c r="M7791">
        <v>1844.97</v>
      </c>
      <c r="N7791" s="11">
        <v>44</v>
      </c>
      <c r="O7791" s="12">
        <v>42.8</v>
      </c>
      <c r="P7791" s="12">
        <v>2.99</v>
      </c>
      <c r="Q7791" s="13">
        <v>807.381</v>
      </c>
      <c r="R7791" s="36" t="s">
        <v>614</v>
      </c>
      <c r="S7791" s="7">
        <f t="shared" si="680"/>
        <v>1</v>
      </c>
      <c r="T7791" s="15" t="str">
        <f>VLOOKUP(R7791,产品分类!$C$2:$D$1278,2,0)</f>
        <v>办公用品</v>
      </c>
    </row>
    <row r="7792" spans="1:20">
      <c r="A7792" s="8">
        <f>DATE(2012,12,31)-1322</f>
        <v>39952</v>
      </c>
      <c r="B7792" s="8">
        <f>DATE(2012,12,31)-1322</f>
        <v>39952</v>
      </c>
      <c r="C7792" s="9" t="s">
        <v>536</v>
      </c>
      <c r="D7792">
        <v>10021407457</v>
      </c>
      <c r="E7792" t="s">
        <v>47</v>
      </c>
      <c r="F7792" t="s">
        <v>61</v>
      </c>
      <c r="G7792" t="s">
        <v>62</v>
      </c>
      <c r="H7792" t="s">
        <v>2596</v>
      </c>
      <c r="I7792" t="s">
        <v>2597</v>
      </c>
      <c r="J7792" t="s">
        <v>271</v>
      </c>
      <c r="K7792" s="3">
        <v>100325001769</v>
      </c>
      <c r="L7792" s="10">
        <v>39959</v>
      </c>
      <c r="M7792">
        <v>32.6</v>
      </c>
      <c r="N7792" s="11">
        <v>2</v>
      </c>
      <c r="O7792" s="12">
        <v>13.43</v>
      </c>
      <c r="P7792" s="12">
        <v>5.5</v>
      </c>
      <c r="Q7792" s="13">
        <v>-20.57</v>
      </c>
      <c r="R7792" s="36" t="s">
        <v>1642</v>
      </c>
      <c r="S7792" s="7">
        <f t="shared" si="680"/>
        <v>7</v>
      </c>
      <c r="T7792" s="15" t="str">
        <f>VLOOKUP(R7792,产品分类!$C$2:$D$1278,2,0)</f>
        <v>家具产品</v>
      </c>
    </row>
    <row r="7793" spans="1:20">
      <c r="A7793" s="16">
        <f>DATE(2012,12,31)-1322</f>
        <v>39952</v>
      </c>
      <c r="B7793" s="16">
        <f>DATE(2012,12,31)-1322</f>
        <v>39952</v>
      </c>
      <c r="C7793" s="9" t="s">
        <v>1725</v>
      </c>
      <c r="D7793">
        <v>10021640079</v>
      </c>
      <c r="E7793" t="s">
        <v>47</v>
      </c>
      <c r="F7793" t="s">
        <v>253</v>
      </c>
      <c r="G7793" t="s">
        <v>254</v>
      </c>
      <c r="H7793" t="s">
        <v>2613</v>
      </c>
      <c r="I7793" t="s">
        <v>2614</v>
      </c>
      <c r="J7793" t="s">
        <v>271</v>
      </c>
      <c r="K7793" s="3">
        <v>100132798227</v>
      </c>
      <c r="L7793" s="10">
        <v>39956</v>
      </c>
      <c r="M7793">
        <v>526.76</v>
      </c>
      <c r="N7793" s="17">
        <v>3</v>
      </c>
      <c r="O7793" s="5">
        <v>172.99</v>
      </c>
      <c r="P7793" s="5">
        <v>19.99</v>
      </c>
      <c r="Q7793" s="6">
        <v>-93.8285</v>
      </c>
      <c r="R7793" s="37" t="s">
        <v>618</v>
      </c>
      <c r="S7793" s="7">
        <f t="shared" si="680"/>
        <v>4</v>
      </c>
      <c r="T7793" s="15" t="str">
        <f>VLOOKUP(R7793,产品分类!$C$2:$D$1278,2,0)</f>
        <v>办公用品</v>
      </c>
    </row>
    <row r="7794" spans="1:20">
      <c r="A7794" s="8">
        <f>DATE(2012,12,31)-1435</f>
        <v>39839</v>
      </c>
      <c r="B7794" s="8">
        <f>DATE(2012,12,31)-1435</f>
        <v>39839</v>
      </c>
      <c r="C7794" s="9" t="s">
        <v>2296</v>
      </c>
      <c r="D7794">
        <v>10021378716</v>
      </c>
      <c r="E7794" t="s">
        <v>47</v>
      </c>
      <c r="F7794" t="s">
        <v>61</v>
      </c>
      <c r="G7794" t="s">
        <v>62</v>
      </c>
      <c r="H7794" t="s">
        <v>2596</v>
      </c>
      <c r="I7794" t="s">
        <v>2597</v>
      </c>
      <c r="J7794" t="s">
        <v>271</v>
      </c>
      <c r="K7794" s="3">
        <v>100130714988</v>
      </c>
      <c r="L7794" s="10">
        <v>39841</v>
      </c>
      <c r="M7794">
        <v>392.77</v>
      </c>
      <c r="N7794" s="11">
        <v>10</v>
      </c>
      <c r="O7794" s="12">
        <v>39.98</v>
      </c>
      <c r="P7794" s="12">
        <v>7.12</v>
      </c>
      <c r="Q7794" s="13">
        <v>-146.2</v>
      </c>
      <c r="R7794" s="36" t="s">
        <v>456</v>
      </c>
      <c r="S7794" s="7">
        <f t="shared" si="680"/>
        <v>2</v>
      </c>
      <c r="T7794" s="15" t="str">
        <f>VLOOKUP(R7794,产品分类!$C$2:$D$1278,2,0)</f>
        <v>办公用品</v>
      </c>
    </row>
    <row r="7795" spans="1:20">
      <c r="A7795" s="8">
        <f>DATE(2012,12,31)-1435</f>
        <v>39839</v>
      </c>
      <c r="B7795" s="8">
        <f>DATE(2012,12,31)-1435</f>
        <v>39839</v>
      </c>
      <c r="C7795" s="9" t="s">
        <v>2512</v>
      </c>
      <c r="D7795">
        <v>10021407877</v>
      </c>
      <c r="E7795" t="s">
        <v>47</v>
      </c>
      <c r="F7795" t="s">
        <v>253</v>
      </c>
      <c r="G7795" t="s">
        <v>254</v>
      </c>
      <c r="H7795" t="s">
        <v>2613</v>
      </c>
      <c r="I7795" t="s">
        <v>2614</v>
      </c>
      <c r="J7795" t="s">
        <v>271</v>
      </c>
      <c r="K7795" s="3">
        <v>100824729952</v>
      </c>
      <c r="L7795" s="10">
        <v>39841</v>
      </c>
      <c r="M7795">
        <v>7332.088</v>
      </c>
      <c r="N7795" s="11">
        <v>24</v>
      </c>
      <c r="O7795" s="12">
        <v>376.13</v>
      </c>
      <c r="P7795" s="12">
        <v>85.63</v>
      </c>
      <c r="Q7795" s="13">
        <v>53.79</v>
      </c>
      <c r="R7795" s="36" t="s">
        <v>322</v>
      </c>
      <c r="S7795" s="7">
        <f t="shared" si="680"/>
        <v>2</v>
      </c>
      <c r="T7795" s="15" t="str">
        <f>VLOOKUP(R7795,产品分类!$C$2:$D$1278,2,0)</f>
        <v>家具产品</v>
      </c>
    </row>
    <row r="7796" spans="1:20">
      <c r="A7796" s="8">
        <f>DATE(2012,12,31)-182</f>
        <v>41092</v>
      </c>
      <c r="B7796" s="8">
        <f>DATE(2012,12,31)-182</f>
        <v>41092</v>
      </c>
      <c r="C7796" s="9" t="s">
        <v>861</v>
      </c>
      <c r="D7796">
        <v>10021566243</v>
      </c>
      <c r="E7796" t="s">
        <v>47</v>
      </c>
      <c r="F7796" t="s">
        <v>72</v>
      </c>
      <c r="G7796" t="s">
        <v>73</v>
      </c>
      <c r="H7796" t="s">
        <v>2606</v>
      </c>
      <c r="I7796" t="s">
        <v>2607</v>
      </c>
      <c r="J7796" t="s">
        <v>271</v>
      </c>
      <c r="K7796" s="3">
        <v>100716042665</v>
      </c>
      <c r="L7796" s="10">
        <v>41093</v>
      </c>
      <c r="M7796">
        <v>802.46</v>
      </c>
      <c r="N7796" s="11">
        <v>42</v>
      </c>
      <c r="O7796" s="12">
        <v>19.98</v>
      </c>
      <c r="P7796" s="12">
        <v>5.97</v>
      </c>
      <c r="Q7796" s="13">
        <v>192.88</v>
      </c>
      <c r="R7796" s="36" t="s">
        <v>2132</v>
      </c>
      <c r="S7796" s="7">
        <f t="shared" si="680"/>
        <v>1</v>
      </c>
      <c r="T7796" s="15" t="str">
        <f>VLOOKUP(R7796,产品分类!$C$2:$D$1278,2,0)</f>
        <v>办公用品</v>
      </c>
    </row>
    <row r="7797" spans="1:20">
      <c r="A7797" s="16">
        <f>DATE(2012,12,31)-182</f>
        <v>41092</v>
      </c>
      <c r="B7797" s="16">
        <f>DATE(2012,12,31)-182</f>
        <v>41092</v>
      </c>
      <c r="C7797" s="9" t="s">
        <v>861</v>
      </c>
      <c r="D7797">
        <v>10021764569</v>
      </c>
      <c r="E7797" t="s">
        <v>47</v>
      </c>
      <c r="F7797" t="s">
        <v>72</v>
      </c>
      <c r="G7797" t="s">
        <v>73</v>
      </c>
      <c r="H7797" t="s">
        <v>2606</v>
      </c>
      <c r="I7797" t="s">
        <v>2607</v>
      </c>
      <c r="J7797" t="s">
        <v>271</v>
      </c>
      <c r="K7797" s="3">
        <v>100415323583</v>
      </c>
      <c r="L7797" s="10">
        <v>41093</v>
      </c>
      <c r="M7797">
        <v>1769.9</v>
      </c>
      <c r="N7797" s="17">
        <v>18</v>
      </c>
      <c r="O7797" s="5">
        <v>95.99</v>
      </c>
      <c r="P7797" s="5">
        <v>35</v>
      </c>
      <c r="Q7797" s="6">
        <v>-468.89</v>
      </c>
      <c r="R7797" s="37" t="s">
        <v>727</v>
      </c>
      <c r="S7797" s="7">
        <f t="shared" si="680"/>
        <v>1</v>
      </c>
      <c r="T7797" s="15" t="str">
        <f>VLOOKUP(R7797,产品分类!$C$2:$D$1278,2,0)</f>
        <v>家具产品</v>
      </c>
    </row>
    <row r="7798" spans="1:20">
      <c r="A7798" s="8">
        <f>DATE(2012,12,31)-1342</f>
        <v>39932</v>
      </c>
      <c r="B7798" s="8">
        <f>DATE(2012,12,31)-1342</f>
        <v>39932</v>
      </c>
      <c r="C7798" s="9" t="s">
        <v>1809</v>
      </c>
      <c r="D7798">
        <v>10021376817</v>
      </c>
      <c r="E7798" t="s">
        <v>47</v>
      </c>
      <c r="F7798" t="s">
        <v>91</v>
      </c>
      <c r="G7798" t="s">
        <v>92</v>
      </c>
      <c r="H7798" t="s">
        <v>2573</v>
      </c>
      <c r="I7798" t="s">
        <v>2574</v>
      </c>
      <c r="J7798" t="s">
        <v>271</v>
      </c>
      <c r="K7798" s="3">
        <v>1001660828</v>
      </c>
      <c r="L7798" s="10">
        <v>39933</v>
      </c>
      <c r="M7798">
        <v>2925.78</v>
      </c>
      <c r="N7798" s="11">
        <v>29</v>
      </c>
      <c r="O7798" s="12">
        <v>100.98</v>
      </c>
      <c r="P7798" s="12">
        <v>7.18</v>
      </c>
      <c r="Q7798" s="13">
        <v>1041.29</v>
      </c>
      <c r="R7798" s="36" t="s">
        <v>764</v>
      </c>
      <c r="S7798" s="7">
        <f t="shared" si="680"/>
        <v>1</v>
      </c>
      <c r="T7798" s="15" t="str">
        <f>VLOOKUP(R7798,产品分类!$C$2:$D$1278,2,0)</f>
        <v>家具产品</v>
      </c>
    </row>
    <row r="7799" spans="1:20">
      <c r="A7799" s="16">
        <f>DATE(2012,12,31)-92</f>
        <v>41182</v>
      </c>
      <c r="B7799" s="16">
        <f>DATE(2012,12,31)-92</f>
        <v>41182</v>
      </c>
      <c r="C7799" s="9" t="s">
        <v>421</v>
      </c>
      <c r="D7799">
        <v>10021458272</v>
      </c>
      <c r="E7799" t="s">
        <v>47</v>
      </c>
      <c r="F7799" t="s">
        <v>97</v>
      </c>
      <c r="G7799" t="s">
        <v>98</v>
      </c>
      <c r="H7799" t="s">
        <v>99</v>
      </c>
      <c r="I7799" t="s">
        <v>98</v>
      </c>
      <c r="J7799" t="s">
        <v>271</v>
      </c>
      <c r="K7799" s="3">
        <v>100732929825</v>
      </c>
      <c r="L7799" s="10">
        <v>41184</v>
      </c>
      <c r="M7799">
        <v>73.62</v>
      </c>
      <c r="N7799" s="17">
        <v>40</v>
      </c>
      <c r="O7799" s="5">
        <v>1.82</v>
      </c>
      <c r="P7799" s="5">
        <v>1</v>
      </c>
      <c r="Q7799" s="6">
        <v>0.86</v>
      </c>
      <c r="R7799" s="37" t="s">
        <v>860</v>
      </c>
      <c r="S7799" s="7">
        <f t="shared" si="680"/>
        <v>2</v>
      </c>
      <c r="T7799" s="15" t="str">
        <f>VLOOKUP(R7799,产品分类!$C$2:$D$1278,2,0)</f>
        <v>办公用品</v>
      </c>
    </row>
    <row r="7800" spans="1:20">
      <c r="A7800" s="8">
        <f>DATE(2012,12,31)-819</f>
        <v>40455</v>
      </c>
      <c r="B7800" s="8">
        <f>DATE(2012,12,31)-819</f>
        <v>40455</v>
      </c>
      <c r="C7800" s="9" t="s">
        <v>421</v>
      </c>
      <c r="D7800">
        <v>10021362392</v>
      </c>
      <c r="E7800" t="s">
        <v>47</v>
      </c>
      <c r="F7800" t="s">
        <v>102</v>
      </c>
      <c r="G7800" t="s">
        <v>103</v>
      </c>
      <c r="H7800" t="s">
        <v>2617</v>
      </c>
      <c r="I7800" t="s">
        <v>2618</v>
      </c>
      <c r="J7800" t="s">
        <v>271</v>
      </c>
      <c r="K7800" s="3">
        <v>100332753749</v>
      </c>
      <c r="L7800" s="10">
        <v>40458</v>
      </c>
      <c r="M7800">
        <v>2329.4</v>
      </c>
      <c r="N7800" s="11">
        <v>37</v>
      </c>
      <c r="O7800" s="12">
        <v>64.98</v>
      </c>
      <c r="P7800" s="12">
        <v>6.88</v>
      </c>
      <c r="Q7800" s="13">
        <v>189.77</v>
      </c>
      <c r="R7800" s="36" t="s">
        <v>692</v>
      </c>
      <c r="S7800" s="7">
        <f t="shared" si="680"/>
        <v>3</v>
      </c>
      <c r="T7800" s="15" t="str">
        <f>VLOOKUP(R7800,产品分类!$C$2:$D$1278,2,0)</f>
        <v>办公用品</v>
      </c>
    </row>
    <row r="7801" spans="1:20">
      <c r="A7801" s="8">
        <f>DATE(2012,12,31)-994</f>
        <v>40280</v>
      </c>
      <c r="B7801" s="8">
        <f>DATE(2012,12,31)-994</f>
        <v>40280</v>
      </c>
      <c r="C7801" s="9" t="s">
        <v>1380</v>
      </c>
      <c r="D7801">
        <v>10021474394</v>
      </c>
      <c r="E7801" t="s">
        <v>47</v>
      </c>
      <c r="F7801" t="s">
        <v>527</v>
      </c>
      <c r="G7801" t="s">
        <v>528</v>
      </c>
      <c r="H7801" t="s">
        <v>2567</v>
      </c>
      <c r="I7801" t="s">
        <v>2568</v>
      </c>
      <c r="J7801" t="s">
        <v>271</v>
      </c>
      <c r="K7801" s="3">
        <v>100111509888</v>
      </c>
      <c r="L7801" s="10">
        <v>40284</v>
      </c>
      <c r="M7801">
        <v>118.36</v>
      </c>
      <c r="N7801" s="11">
        <v>17</v>
      </c>
      <c r="O7801" s="12">
        <v>6.48</v>
      </c>
      <c r="P7801" s="12">
        <v>7.37</v>
      </c>
      <c r="Q7801" s="13">
        <v>-60.65</v>
      </c>
      <c r="R7801" s="36" t="s">
        <v>2412</v>
      </c>
      <c r="S7801" s="7">
        <f t="shared" si="680"/>
        <v>4</v>
      </c>
      <c r="T7801" s="15" t="str">
        <f>VLOOKUP(R7801,产品分类!$C$2:$D$1278,2,0)</f>
        <v>家具产品</v>
      </c>
    </row>
    <row r="7802" spans="1:20">
      <c r="A7802" s="8">
        <f t="shared" ref="A7802:B7805" si="685">DATE(2012,12,31)-1276</f>
        <v>39998</v>
      </c>
      <c r="B7802" s="8">
        <f t="shared" si="685"/>
        <v>39998</v>
      </c>
      <c r="C7802" s="9" t="s">
        <v>1598</v>
      </c>
      <c r="D7802">
        <v>10021277826</v>
      </c>
      <c r="E7802" t="s">
        <v>47</v>
      </c>
      <c r="F7802" t="s">
        <v>167</v>
      </c>
      <c r="G7802" t="s">
        <v>168</v>
      </c>
      <c r="H7802" t="s">
        <v>169</v>
      </c>
      <c r="I7802" t="s">
        <v>168</v>
      </c>
      <c r="J7802" t="s">
        <v>271</v>
      </c>
      <c r="K7802" s="3">
        <v>100821679852</v>
      </c>
      <c r="L7802" s="10">
        <v>40000</v>
      </c>
      <c r="M7802">
        <v>514.53</v>
      </c>
      <c r="N7802" s="11">
        <v>21</v>
      </c>
      <c r="O7802" s="12">
        <v>23.99</v>
      </c>
      <c r="P7802" s="12">
        <v>6.71</v>
      </c>
      <c r="Q7802" s="13">
        <v>149.31</v>
      </c>
      <c r="R7802" s="36" t="s">
        <v>1212</v>
      </c>
      <c r="S7802" s="7">
        <f t="shared" si="680"/>
        <v>2</v>
      </c>
      <c r="T7802" s="15" t="str">
        <f>VLOOKUP(R7802,产品分类!$C$2:$D$1278,2,0)</f>
        <v>办公用品</v>
      </c>
    </row>
    <row r="7803" spans="1:20">
      <c r="A7803" s="8">
        <f t="shared" si="685"/>
        <v>39998</v>
      </c>
      <c r="B7803" s="8">
        <f t="shared" si="685"/>
        <v>39998</v>
      </c>
      <c r="C7803" s="9" t="s">
        <v>1437</v>
      </c>
      <c r="D7803">
        <v>10021271021</v>
      </c>
      <c r="E7803" t="s">
        <v>47</v>
      </c>
      <c r="F7803" t="s">
        <v>61</v>
      </c>
      <c r="G7803" t="s">
        <v>62</v>
      </c>
      <c r="H7803" t="s">
        <v>2596</v>
      </c>
      <c r="I7803" t="s">
        <v>2597</v>
      </c>
      <c r="J7803" t="s">
        <v>271</v>
      </c>
      <c r="K7803" s="3">
        <v>100926594581</v>
      </c>
      <c r="L7803" s="10">
        <v>40002</v>
      </c>
      <c r="M7803">
        <v>748.84</v>
      </c>
      <c r="N7803" s="11">
        <v>14</v>
      </c>
      <c r="O7803" s="12">
        <v>55.98</v>
      </c>
      <c r="P7803" s="12">
        <v>4.86</v>
      </c>
      <c r="Q7803" s="13">
        <v>286.7</v>
      </c>
      <c r="R7803" s="36" t="s">
        <v>461</v>
      </c>
      <c r="S7803" s="7">
        <f t="shared" si="680"/>
        <v>4</v>
      </c>
      <c r="T7803" s="15" t="str">
        <f>VLOOKUP(R7803,产品分类!$C$2:$D$1278,2,0)</f>
        <v>数码电子</v>
      </c>
    </row>
    <row r="7804" spans="1:20">
      <c r="A7804" s="8">
        <f t="shared" si="685"/>
        <v>39998</v>
      </c>
      <c r="B7804" s="8">
        <f t="shared" si="685"/>
        <v>39998</v>
      </c>
      <c r="C7804" s="9" t="s">
        <v>394</v>
      </c>
      <c r="D7804">
        <v>10021393605</v>
      </c>
      <c r="E7804" t="s">
        <v>47</v>
      </c>
      <c r="F7804" t="s">
        <v>61</v>
      </c>
      <c r="G7804" t="s">
        <v>62</v>
      </c>
      <c r="H7804" t="s">
        <v>2596</v>
      </c>
      <c r="I7804" t="s">
        <v>2597</v>
      </c>
      <c r="J7804" t="s">
        <v>271</v>
      </c>
      <c r="K7804" s="3">
        <v>100924701331</v>
      </c>
      <c r="L7804" s="10">
        <v>40005</v>
      </c>
      <c r="M7804">
        <v>1497.93</v>
      </c>
      <c r="N7804" s="11">
        <v>9</v>
      </c>
      <c r="O7804" s="12">
        <v>161.55</v>
      </c>
      <c r="P7804" s="12">
        <v>19.99</v>
      </c>
      <c r="Q7804" s="13">
        <v>35.31</v>
      </c>
      <c r="R7804" s="36" t="s">
        <v>251</v>
      </c>
      <c r="S7804" s="7">
        <f t="shared" si="680"/>
        <v>7</v>
      </c>
      <c r="T7804" s="15" t="str">
        <f>VLOOKUP(R7804,产品分类!$C$2:$D$1278,2,0)</f>
        <v>办公用品</v>
      </c>
    </row>
    <row r="7805" spans="1:20">
      <c r="A7805" s="8">
        <f t="shared" si="685"/>
        <v>39998</v>
      </c>
      <c r="B7805" s="8">
        <f t="shared" si="685"/>
        <v>39998</v>
      </c>
      <c r="C7805" s="9" t="s">
        <v>1074</v>
      </c>
      <c r="D7805">
        <v>10021586234</v>
      </c>
      <c r="E7805" t="s">
        <v>47</v>
      </c>
      <c r="F7805" t="s">
        <v>152</v>
      </c>
      <c r="G7805" t="s">
        <v>153</v>
      </c>
      <c r="H7805" t="s">
        <v>154</v>
      </c>
      <c r="I7805" t="s">
        <v>155</v>
      </c>
      <c r="J7805" t="s">
        <v>271</v>
      </c>
      <c r="K7805" s="3">
        <v>100829034462</v>
      </c>
      <c r="L7805" s="10">
        <v>40000</v>
      </c>
      <c r="M7805">
        <v>3857.56</v>
      </c>
      <c r="N7805" s="11">
        <v>14</v>
      </c>
      <c r="O7805" s="12">
        <v>290.98</v>
      </c>
      <c r="P7805" s="12">
        <v>69</v>
      </c>
      <c r="Q7805" s="13">
        <v>-377.811</v>
      </c>
      <c r="R7805" s="36" t="s">
        <v>1166</v>
      </c>
      <c r="S7805" s="7">
        <f t="shared" si="680"/>
        <v>2</v>
      </c>
      <c r="T7805" s="15" t="str">
        <f>VLOOKUP(R7805,产品分类!$C$2:$D$1278,2,0)</f>
        <v>办公用品</v>
      </c>
    </row>
    <row r="7806" spans="1:20">
      <c r="A7806" s="8">
        <f>DATE(2012,12,31)-1000</f>
        <v>40274</v>
      </c>
      <c r="B7806" s="8">
        <f>DATE(2012,12,31)-1000</f>
        <v>40274</v>
      </c>
      <c r="C7806" s="9" t="s">
        <v>1941</v>
      </c>
      <c r="D7806">
        <v>10021576899</v>
      </c>
      <c r="E7806" t="s">
        <v>47</v>
      </c>
      <c r="F7806" t="s">
        <v>152</v>
      </c>
      <c r="G7806" t="s">
        <v>153</v>
      </c>
      <c r="H7806" t="s">
        <v>154</v>
      </c>
      <c r="I7806" t="s">
        <v>155</v>
      </c>
      <c r="J7806" t="s">
        <v>271</v>
      </c>
      <c r="K7806" s="3">
        <v>100816609332</v>
      </c>
      <c r="L7806" s="10">
        <v>40275</v>
      </c>
      <c r="M7806">
        <v>1835.47</v>
      </c>
      <c r="N7806" s="11">
        <v>13</v>
      </c>
      <c r="O7806" s="12">
        <v>150.98</v>
      </c>
      <c r="P7806" s="12">
        <v>16.01</v>
      </c>
      <c r="Q7806" s="13">
        <v>-364.873366</v>
      </c>
      <c r="R7806" s="36" t="s">
        <v>958</v>
      </c>
      <c r="S7806" s="7">
        <f t="shared" si="680"/>
        <v>1</v>
      </c>
      <c r="T7806" s="15" t="str">
        <f>VLOOKUP(R7806,产品分类!$C$2:$D$1278,2,0)</f>
        <v>办公用品</v>
      </c>
    </row>
    <row r="7807" spans="1:20">
      <c r="A7807" s="16">
        <f>DATE(2012,12,31)-457</f>
        <v>40817</v>
      </c>
      <c r="B7807" s="16">
        <f>DATE(2012,12,31)-457</f>
        <v>40817</v>
      </c>
      <c r="C7807" s="9" t="s">
        <v>1049</v>
      </c>
      <c r="D7807">
        <v>10021389432</v>
      </c>
      <c r="E7807" t="s">
        <v>47</v>
      </c>
      <c r="F7807" t="s">
        <v>152</v>
      </c>
      <c r="G7807" t="s">
        <v>153</v>
      </c>
      <c r="H7807" t="s">
        <v>154</v>
      </c>
      <c r="I7807" t="s">
        <v>155</v>
      </c>
      <c r="J7807" t="s">
        <v>271</v>
      </c>
      <c r="K7807" s="3">
        <v>100132009718</v>
      </c>
      <c r="L7807" s="10">
        <v>40817</v>
      </c>
      <c r="M7807">
        <v>102.99</v>
      </c>
      <c r="N7807" s="17">
        <v>16</v>
      </c>
      <c r="O7807" s="5">
        <v>6.48</v>
      </c>
      <c r="P7807" s="5">
        <v>9.68</v>
      </c>
      <c r="Q7807" s="6">
        <v>-102.17</v>
      </c>
      <c r="R7807" s="37" t="s">
        <v>552</v>
      </c>
      <c r="S7807" s="7">
        <f t="shared" si="680"/>
        <v>0</v>
      </c>
      <c r="T7807" s="15" t="str">
        <f>VLOOKUP(R7807,产品分类!$C$2:$D$1278,2,0)</f>
        <v>家具产品</v>
      </c>
    </row>
    <row r="7808" spans="1:20">
      <c r="A7808" s="8">
        <f>DATE(2012,12,31)-457</f>
        <v>40817</v>
      </c>
      <c r="B7808" s="8">
        <f>DATE(2012,12,31)-457</f>
        <v>40817</v>
      </c>
      <c r="C7808" s="9" t="s">
        <v>1049</v>
      </c>
      <c r="D7808">
        <v>10021585952</v>
      </c>
      <c r="E7808" t="s">
        <v>47</v>
      </c>
      <c r="F7808" t="s">
        <v>152</v>
      </c>
      <c r="G7808" t="s">
        <v>153</v>
      </c>
      <c r="H7808" t="s">
        <v>154</v>
      </c>
      <c r="I7808" t="s">
        <v>155</v>
      </c>
      <c r="J7808" t="s">
        <v>271</v>
      </c>
      <c r="K7808" s="3">
        <v>100428657714</v>
      </c>
      <c r="L7808" s="10">
        <v>40819</v>
      </c>
      <c r="M7808">
        <v>1429.088</v>
      </c>
      <c r="N7808" s="11">
        <v>20</v>
      </c>
      <c r="O7808" s="12">
        <v>85.99</v>
      </c>
      <c r="P7808" s="12">
        <v>1.25</v>
      </c>
      <c r="Q7808" s="13">
        <v>500.049</v>
      </c>
      <c r="R7808" s="36" t="s">
        <v>283</v>
      </c>
      <c r="S7808" s="7">
        <f t="shared" si="680"/>
        <v>2</v>
      </c>
      <c r="T7808" s="15" t="str">
        <f>VLOOKUP(R7808,产品分类!$C$2:$D$1278,2,0)</f>
        <v>办公用品</v>
      </c>
    </row>
    <row r="7809" spans="1:20">
      <c r="A7809" s="8">
        <f>DATE(2012,12,31)-378</f>
        <v>40896</v>
      </c>
      <c r="B7809" s="8">
        <f>DATE(2012,12,31)-378</f>
        <v>40896</v>
      </c>
      <c r="C7809" s="9" t="s">
        <v>2392</v>
      </c>
      <c r="D7809">
        <v>10021332359</v>
      </c>
      <c r="E7809" t="s">
        <v>47</v>
      </c>
      <c r="F7809" t="s">
        <v>66</v>
      </c>
      <c r="G7809" t="s">
        <v>67</v>
      </c>
      <c r="H7809" t="s">
        <v>2584</v>
      </c>
      <c r="I7809" t="s">
        <v>2585</v>
      </c>
      <c r="J7809" t="s">
        <v>271</v>
      </c>
      <c r="K7809" s="3">
        <v>10019617458</v>
      </c>
      <c r="L7809" s="10">
        <v>40896</v>
      </c>
      <c r="M7809">
        <v>2893.31</v>
      </c>
      <c r="N7809" s="11">
        <v>31</v>
      </c>
      <c r="O7809" s="12">
        <v>96.45</v>
      </c>
      <c r="P7809" s="12">
        <v>13.99</v>
      </c>
      <c r="Q7809" s="13">
        <v>937.64</v>
      </c>
      <c r="R7809" s="36" t="s">
        <v>1483</v>
      </c>
      <c r="S7809" s="7">
        <f t="shared" si="680"/>
        <v>0</v>
      </c>
      <c r="T7809" s="15" t="str">
        <f>VLOOKUP(R7809,产品分类!$C$2:$D$1278,2,0)</f>
        <v>办公用品</v>
      </c>
    </row>
    <row r="7810" spans="1:20">
      <c r="A7810" s="8">
        <f>DATE(2012,12,31)-378</f>
        <v>40896</v>
      </c>
      <c r="B7810" s="8">
        <f>DATE(2012,12,31)-378</f>
        <v>40896</v>
      </c>
      <c r="C7810" s="9" t="s">
        <v>1689</v>
      </c>
      <c r="D7810">
        <v>10021336205</v>
      </c>
      <c r="E7810" t="s">
        <v>47</v>
      </c>
      <c r="F7810" t="s">
        <v>66</v>
      </c>
      <c r="G7810" t="s">
        <v>67</v>
      </c>
      <c r="H7810" t="s">
        <v>2584</v>
      </c>
      <c r="I7810" t="s">
        <v>2585</v>
      </c>
      <c r="J7810" t="s">
        <v>271</v>
      </c>
      <c r="K7810" s="3">
        <v>100915878831</v>
      </c>
      <c r="L7810" s="10">
        <v>40898</v>
      </c>
      <c r="M7810">
        <v>3923.27</v>
      </c>
      <c r="N7810" s="11">
        <v>25</v>
      </c>
      <c r="O7810" s="12">
        <v>159.31</v>
      </c>
      <c r="P7810" s="12">
        <v>60</v>
      </c>
      <c r="Q7810" s="13">
        <v>-85.86</v>
      </c>
      <c r="R7810" s="36" t="s">
        <v>958</v>
      </c>
      <c r="S7810" s="7">
        <f t="shared" si="680"/>
        <v>2</v>
      </c>
      <c r="T7810" s="15" t="str">
        <f>VLOOKUP(R7810,产品分类!$C$2:$D$1278,2,0)</f>
        <v>办公用品</v>
      </c>
    </row>
    <row r="7811" spans="1:20">
      <c r="A7811" s="8">
        <f>DATE(2012,12,31)-402</f>
        <v>40872</v>
      </c>
      <c r="B7811" s="8">
        <f>DATE(2012,12,31)-402</f>
        <v>40872</v>
      </c>
      <c r="C7811" s="9" t="s">
        <v>1689</v>
      </c>
      <c r="D7811">
        <v>10021494612</v>
      </c>
      <c r="E7811" t="s">
        <v>47</v>
      </c>
      <c r="F7811" t="s">
        <v>66</v>
      </c>
      <c r="G7811" t="s">
        <v>67</v>
      </c>
      <c r="H7811" t="s">
        <v>2584</v>
      </c>
      <c r="I7811" t="s">
        <v>2585</v>
      </c>
      <c r="J7811" t="s">
        <v>271</v>
      </c>
      <c r="K7811" s="3">
        <v>10039790159</v>
      </c>
      <c r="L7811" s="10">
        <v>40877</v>
      </c>
      <c r="M7811">
        <v>156.66</v>
      </c>
      <c r="N7811" s="11">
        <v>23</v>
      </c>
      <c r="O7811" s="12">
        <v>6.68</v>
      </c>
      <c r="P7811" s="12">
        <v>5.2</v>
      </c>
      <c r="Q7811" s="13">
        <v>-33.15</v>
      </c>
      <c r="R7811" s="36" t="s">
        <v>146</v>
      </c>
      <c r="S7811" s="7">
        <f t="shared" ref="S7811:S7874" si="686">+L7811-B7811</f>
        <v>5</v>
      </c>
      <c r="T7811" s="15" t="str">
        <f>VLOOKUP(R7811,产品分类!$C$2:$D$1278,2,0)</f>
        <v>办公用品</v>
      </c>
    </row>
    <row r="7812" spans="1:20">
      <c r="A7812" s="8">
        <f>DATE(2012,12,31)-1159</f>
        <v>40115</v>
      </c>
      <c r="B7812" s="8">
        <f>DATE(2012,12,31)-1159</f>
        <v>40115</v>
      </c>
      <c r="C7812" s="9" t="s">
        <v>1689</v>
      </c>
      <c r="D7812">
        <v>10021606362</v>
      </c>
      <c r="E7812" t="s">
        <v>47</v>
      </c>
      <c r="F7812" t="s">
        <v>48</v>
      </c>
      <c r="G7812" t="s">
        <v>49</v>
      </c>
      <c r="H7812" t="s">
        <v>2599</v>
      </c>
      <c r="I7812" t="s">
        <v>2600</v>
      </c>
      <c r="J7812" t="s">
        <v>271</v>
      </c>
      <c r="K7812" s="3">
        <v>100416341753</v>
      </c>
      <c r="L7812" s="10">
        <v>40115</v>
      </c>
      <c r="M7812">
        <v>1169.26</v>
      </c>
      <c r="N7812" s="11">
        <v>41</v>
      </c>
      <c r="O7812" s="12">
        <v>28.53</v>
      </c>
      <c r="P7812" s="12">
        <v>1.49</v>
      </c>
      <c r="Q7812" s="13">
        <v>515.6185</v>
      </c>
      <c r="R7812" s="36" t="s">
        <v>217</v>
      </c>
      <c r="S7812" s="7">
        <f t="shared" si="686"/>
        <v>0</v>
      </c>
      <c r="T7812" s="15" t="str">
        <f>VLOOKUP(R7812,产品分类!$C$2:$D$1278,2,0)</f>
        <v>办公用品</v>
      </c>
    </row>
    <row r="7813" spans="1:20">
      <c r="A7813" s="8">
        <f>DATE(2012,12,31)-78</f>
        <v>41196</v>
      </c>
      <c r="B7813" s="8">
        <f>DATE(2012,12,31)-78</f>
        <v>41196</v>
      </c>
      <c r="C7813" s="9" t="s">
        <v>816</v>
      </c>
      <c r="D7813">
        <v>10021579810</v>
      </c>
      <c r="E7813" t="s">
        <v>47</v>
      </c>
      <c r="F7813" t="s">
        <v>152</v>
      </c>
      <c r="G7813" t="s">
        <v>153</v>
      </c>
      <c r="H7813" t="s">
        <v>154</v>
      </c>
      <c r="I7813" t="s">
        <v>155</v>
      </c>
      <c r="J7813" t="s">
        <v>271</v>
      </c>
      <c r="K7813" s="3">
        <v>100121320318</v>
      </c>
      <c r="L7813" s="10">
        <v>41201</v>
      </c>
      <c r="M7813">
        <v>55.66</v>
      </c>
      <c r="N7813" s="11">
        <v>10</v>
      </c>
      <c r="O7813" s="12">
        <v>5.68</v>
      </c>
      <c r="P7813" s="12">
        <v>1.39</v>
      </c>
      <c r="Q7813" s="13">
        <v>8.82</v>
      </c>
      <c r="R7813" s="36" t="s">
        <v>996</v>
      </c>
      <c r="S7813" s="7">
        <f t="shared" si="686"/>
        <v>5</v>
      </c>
      <c r="T7813" s="15" t="str">
        <f>VLOOKUP(R7813,产品分类!$C$2:$D$1278,2,0)</f>
        <v>家具产品</v>
      </c>
    </row>
    <row r="7814" spans="1:20">
      <c r="A7814" s="8">
        <f>DATE(2012,12,31)-818</f>
        <v>40456</v>
      </c>
      <c r="B7814" s="8">
        <f>DATE(2012,12,31)-818</f>
        <v>40456</v>
      </c>
      <c r="C7814" s="9" t="s">
        <v>816</v>
      </c>
      <c r="D7814">
        <v>10021524915</v>
      </c>
      <c r="E7814" t="s">
        <v>47</v>
      </c>
      <c r="F7814" t="s">
        <v>152</v>
      </c>
      <c r="G7814" t="s">
        <v>153</v>
      </c>
      <c r="H7814" t="s">
        <v>154</v>
      </c>
      <c r="I7814" t="s">
        <v>155</v>
      </c>
      <c r="J7814" t="s">
        <v>271</v>
      </c>
      <c r="K7814" s="3">
        <v>100720002295</v>
      </c>
      <c r="L7814" s="10">
        <v>40463</v>
      </c>
      <c r="M7814">
        <v>96.03</v>
      </c>
      <c r="N7814" s="11">
        <v>6</v>
      </c>
      <c r="O7814" s="12">
        <v>15.7</v>
      </c>
      <c r="P7814" s="12">
        <v>11.25</v>
      </c>
      <c r="Q7814" s="13">
        <v>-59.39</v>
      </c>
      <c r="R7814" s="36" t="s">
        <v>854</v>
      </c>
      <c r="S7814" s="7">
        <f t="shared" si="686"/>
        <v>7</v>
      </c>
      <c r="T7814" s="15" t="str">
        <f>VLOOKUP(R7814,产品分类!$C$2:$D$1278,2,0)</f>
        <v>办公用品</v>
      </c>
    </row>
    <row r="7815" spans="1:20">
      <c r="A7815" s="16">
        <f>DATE(2012,12,31)-818</f>
        <v>40456</v>
      </c>
      <c r="B7815" s="16">
        <f>DATE(2012,12,31)-818</f>
        <v>40456</v>
      </c>
      <c r="C7815" s="9" t="s">
        <v>1930</v>
      </c>
      <c r="D7815">
        <v>10021746706</v>
      </c>
      <c r="E7815" t="s">
        <v>47</v>
      </c>
      <c r="F7815" t="s">
        <v>152</v>
      </c>
      <c r="G7815" t="s">
        <v>153</v>
      </c>
      <c r="H7815" t="s">
        <v>154</v>
      </c>
      <c r="I7815" t="s">
        <v>155</v>
      </c>
      <c r="J7815" t="s">
        <v>271</v>
      </c>
      <c r="K7815" s="3">
        <v>100928972661</v>
      </c>
      <c r="L7815" s="10">
        <v>40463</v>
      </c>
      <c r="M7815">
        <v>122.35</v>
      </c>
      <c r="N7815" s="17">
        <v>11</v>
      </c>
      <c r="O7815" s="5">
        <v>10.98</v>
      </c>
      <c r="P7815" s="5">
        <v>3.99</v>
      </c>
      <c r="Q7815" s="6">
        <v>-13.55</v>
      </c>
      <c r="R7815" s="37" t="s">
        <v>2031</v>
      </c>
      <c r="S7815" s="7">
        <f t="shared" si="686"/>
        <v>7</v>
      </c>
      <c r="T7815" s="15" t="str">
        <f>VLOOKUP(R7815,产品分类!$C$2:$D$1278,2,0)</f>
        <v>数码电子</v>
      </c>
    </row>
    <row r="7816" spans="1:20">
      <c r="A7816" s="8">
        <f>DATE(2012,12,31)-896</f>
        <v>40378</v>
      </c>
      <c r="B7816" s="8">
        <f>DATE(2012,12,31)-896</f>
        <v>40378</v>
      </c>
      <c r="C7816" s="9" t="s">
        <v>1930</v>
      </c>
      <c r="D7816">
        <v>10021380501</v>
      </c>
      <c r="E7816" t="s">
        <v>47</v>
      </c>
      <c r="F7816" t="s">
        <v>152</v>
      </c>
      <c r="G7816" t="s">
        <v>153</v>
      </c>
      <c r="H7816" t="s">
        <v>154</v>
      </c>
      <c r="I7816" t="s">
        <v>155</v>
      </c>
      <c r="J7816" t="s">
        <v>271</v>
      </c>
      <c r="K7816" s="3">
        <v>100125143087</v>
      </c>
      <c r="L7816" s="10">
        <v>40380</v>
      </c>
      <c r="M7816">
        <v>21.45</v>
      </c>
      <c r="N7816" s="11">
        <v>1</v>
      </c>
      <c r="O7816" s="12">
        <v>14.42</v>
      </c>
      <c r="P7816" s="12">
        <v>6.75</v>
      </c>
      <c r="Q7816" s="13">
        <v>-7.22</v>
      </c>
      <c r="R7816" s="36" t="s">
        <v>1903</v>
      </c>
      <c r="S7816" s="7">
        <f t="shared" si="686"/>
        <v>2</v>
      </c>
      <c r="T7816" s="15" t="str">
        <f>VLOOKUP(R7816,产品分类!$C$2:$D$1278,2,0)</f>
        <v>家具产品</v>
      </c>
    </row>
    <row r="7817" spans="1:20">
      <c r="A7817" s="16">
        <f>DATE(2012,12,31)-896</f>
        <v>40378</v>
      </c>
      <c r="B7817" s="16">
        <f>DATE(2012,12,31)-896</f>
        <v>40378</v>
      </c>
      <c r="C7817" s="9" t="s">
        <v>1616</v>
      </c>
      <c r="D7817">
        <v>10021527239</v>
      </c>
      <c r="E7817" t="s">
        <v>47</v>
      </c>
      <c r="F7817" t="s">
        <v>152</v>
      </c>
      <c r="G7817" t="s">
        <v>153</v>
      </c>
      <c r="H7817" t="s">
        <v>154</v>
      </c>
      <c r="I7817" t="s">
        <v>155</v>
      </c>
      <c r="J7817" t="s">
        <v>271</v>
      </c>
      <c r="K7817" s="3">
        <v>10043527283</v>
      </c>
      <c r="L7817" s="10">
        <v>40381</v>
      </c>
      <c r="M7817">
        <v>5347.13</v>
      </c>
      <c r="N7817" s="17">
        <v>44</v>
      </c>
      <c r="O7817" s="5">
        <v>122.99</v>
      </c>
      <c r="P7817" s="5">
        <v>19.99</v>
      </c>
      <c r="Q7817" s="6">
        <v>1886.4135</v>
      </c>
      <c r="R7817" s="37" t="s">
        <v>2465</v>
      </c>
      <c r="S7817" s="7">
        <f t="shared" si="686"/>
        <v>3</v>
      </c>
      <c r="T7817" s="15" t="str">
        <f>VLOOKUP(R7817,产品分类!$C$2:$D$1278,2,0)</f>
        <v>办公用品</v>
      </c>
    </row>
    <row r="7818" spans="1:20">
      <c r="A7818" s="8">
        <f>DATE(2012,12,31)-736</f>
        <v>40538</v>
      </c>
      <c r="B7818" s="8">
        <f>DATE(2012,12,31)-736</f>
        <v>40538</v>
      </c>
      <c r="C7818" s="9" t="s">
        <v>1616</v>
      </c>
      <c r="D7818">
        <v>10021748954</v>
      </c>
      <c r="E7818" t="s">
        <v>47</v>
      </c>
      <c r="F7818" t="s">
        <v>132</v>
      </c>
      <c r="G7818" t="s">
        <v>133</v>
      </c>
      <c r="H7818" t="s">
        <v>134</v>
      </c>
      <c r="I7818" t="s">
        <v>133</v>
      </c>
      <c r="J7818" t="s">
        <v>271</v>
      </c>
      <c r="K7818" s="3">
        <v>100130325106</v>
      </c>
      <c r="L7818" s="10">
        <v>40540</v>
      </c>
      <c r="M7818">
        <v>2332.5955</v>
      </c>
      <c r="N7818" s="11">
        <v>24</v>
      </c>
      <c r="O7818" s="12">
        <v>115.99</v>
      </c>
      <c r="P7818" s="12">
        <v>5.92</v>
      </c>
      <c r="Q7818" s="13">
        <v>366.858</v>
      </c>
      <c r="R7818" s="36" t="s">
        <v>2263</v>
      </c>
      <c r="S7818" s="7">
        <f t="shared" si="686"/>
        <v>2</v>
      </c>
      <c r="T7818" s="15" t="str">
        <f>VLOOKUP(R7818,产品分类!$C$2:$D$1278,2,0)</f>
        <v>数码电子</v>
      </c>
    </row>
    <row r="7819" spans="1:20">
      <c r="A7819" s="8">
        <f>DATE(2012,12,31)-885</f>
        <v>40389</v>
      </c>
      <c r="B7819" s="8">
        <f>DATE(2012,12,31)-885</f>
        <v>40389</v>
      </c>
      <c r="C7819" s="9" t="s">
        <v>1616</v>
      </c>
      <c r="D7819">
        <v>10021416819</v>
      </c>
      <c r="E7819" t="s">
        <v>47</v>
      </c>
      <c r="F7819" t="s">
        <v>152</v>
      </c>
      <c r="G7819" t="s">
        <v>153</v>
      </c>
      <c r="H7819" t="s">
        <v>154</v>
      </c>
      <c r="I7819" t="s">
        <v>155</v>
      </c>
      <c r="J7819" t="s">
        <v>271</v>
      </c>
      <c r="K7819" s="3">
        <v>100412270594</v>
      </c>
      <c r="L7819" s="10">
        <v>40389</v>
      </c>
      <c r="M7819">
        <v>902.19</v>
      </c>
      <c r="N7819" s="11">
        <v>41</v>
      </c>
      <c r="O7819" s="12">
        <v>22.99</v>
      </c>
      <c r="P7819" s="12">
        <v>8.99</v>
      </c>
      <c r="Q7819" s="13">
        <v>-49.66</v>
      </c>
      <c r="R7819" s="36" t="s">
        <v>2173</v>
      </c>
      <c r="S7819" s="7">
        <f t="shared" si="686"/>
        <v>0</v>
      </c>
      <c r="T7819" s="15" t="str">
        <f>VLOOKUP(R7819,产品分类!$C$2:$D$1278,2,0)</f>
        <v>家具产品</v>
      </c>
    </row>
    <row r="7820" spans="1:20">
      <c r="A7820" s="8">
        <f>DATE(2012,12,31)-885</f>
        <v>40389</v>
      </c>
      <c r="B7820" s="8">
        <f>DATE(2012,12,31)-885</f>
        <v>40389</v>
      </c>
      <c r="C7820" s="9" t="s">
        <v>564</v>
      </c>
      <c r="D7820">
        <v>10021753428</v>
      </c>
      <c r="E7820" t="s">
        <v>47</v>
      </c>
      <c r="F7820" t="s">
        <v>132</v>
      </c>
      <c r="G7820" t="s">
        <v>133</v>
      </c>
      <c r="H7820" t="s">
        <v>134</v>
      </c>
      <c r="I7820" t="s">
        <v>133</v>
      </c>
      <c r="J7820" t="s">
        <v>271</v>
      </c>
      <c r="K7820" s="3">
        <v>100432281013</v>
      </c>
      <c r="L7820" s="10">
        <v>40390</v>
      </c>
      <c r="M7820">
        <v>657.232</v>
      </c>
      <c r="N7820" s="11">
        <v>19</v>
      </c>
      <c r="O7820" s="12">
        <v>44.43</v>
      </c>
      <c r="P7820" s="12">
        <v>46.59</v>
      </c>
      <c r="Q7820" s="13">
        <v>33.98895</v>
      </c>
      <c r="R7820" s="36" t="s">
        <v>1468</v>
      </c>
      <c r="S7820" s="7">
        <f t="shared" si="686"/>
        <v>1</v>
      </c>
      <c r="T7820" s="15" t="str">
        <f>VLOOKUP(R7820,产品分类!$C$2:$D$1278,2,0)</f>
        <v>数码电子</v>
      </c>
    </row>
    <row r="7821" spans="1:20">
      <c r="A7821" s="8">
        <f>DATE(2012,12,31)-398</f>
        <v>40876</v>
      </c>
      <c r="B7821" s="8">
        <f>DATE(2012,12,31)-398</f>
        <v>40876</v>
      </c>
      <c r="C7821" s="9" t="s">
        <v>166</v>
      </c>
      <c r="D7821">
        <v>10021428893</v>
      </c>
      <c r="E7821" t="s">
        <v>47</v>
      </c>
      <c r="F7821" t="s">
        <v>66</v>
      </c>
      <c r="G7821" t="s">
        <v>67</v>
      </c>
      <c r="H7821" t="s">
        <v>2584</v>
      </c>
      <c r="I7821" t="s">
        <v>2585</v>
      </c>
      <c r="J7821" t="s">
        <v>271</v>
      </c>
      <c r="K7821" s="3">
        <v>100431347093</v>
      </c>
      <c r="L7821" s="10">
        <v>40878</v>
      </c>
      <c r="M7821">
        <v>246.06</v>
      </c>
      <c r="N7821" s="11">
        <v>13</v>
      </c>
      <c r="O7821" s="12">
        <v>18.7</v>
      </c>
      <c r="P7821" s="12">
        <v>8.99</v>
      </c>
      <c r="Q7821" s="13">
        <v>52.33</v>
      </c>
      <c r="R7821" s="36" t="s">
        <v>1162</v>
      </c>
      <c r="S7821" s="7">
        <f t="shared" si="686"/>
        <v>2</v>
      </c>
      <c r="T7821" s="15" t="str">
        <f>VLOOKUP(R7821,产品分类!$C$2:$D$1278,2,0)</f>
        <v>办公用品</v>
      </c>
    </row>
    <row r="7822" spans="1:20">
      <c r="A7822" s="8">
        <f>DATE(2012,12,31)-398</f>
        <v>40876</v>
      </c>
      <c r="B7822" s="8">
        <f>DATE(2012,12,31)-398</f>
        <v>40876</v>
      </c>
      <c r="C7822" s="9" t="s">
        <v>166</v>
      </c>
      <c r="D7822">
        <v>10021737811</v>
      </c>
      <c r="E7822" t="s">
        <v>47</v>
      </c>
      <c r="F7822" t="s">
        <v>152</v>
      </c>
      <c r="G7822" t="s">
        <v>153</v>
      </c>
      <c r="H7822" t="s">
        <v>154</v>
      </c>
      <c r="I7822" t="s">
        <v>155</v>
      </c>
      <c r="J7822" t="s">
        <v>271</v>
      </c>
      <c r="K7822" s="3">
        <v>100113115388</v>
      </c>
      <c r="L7822" s="10">
        <v>40878</v>
      </c>
      <c r="M7822">
        <v>41.87</v>
      </c>
      <c r="N7822" s="11">
        <v>25</v>
      </c>
      <c r="O7822" s="12">
        <v>1.68</v>
      </c>
      <c r="P7822" s="12">
        <v>1.57</v>
      </c>
      <c r="Q7822" s="13">
        <v>-25.52</v>
      </c>
      <c r="R7822" s="36" t="s">
        <v>1337</v>
      </c>
      <c r="S7822" s="7">
        <f t="shared" si="686"/>
        <v>2</v>
      </c>
      <c r="T7822" s="15" t="str">
        <f>VLOOKUP(R7822,产品分类!$C$2:$D$1278,2,0)</f>
        <v>办公用品</v>
      </c>
    </row>
    <row r="7823" spans="1:20">
      <c r="A7823" s="8">
        <f>DATE(2012,12,31)-779</f>
        <v>40495</v>
      </c>
      <c r="B7823" s="8">
        <f>DATE(2012,12,31)-779</f>
        <v>40495</v>
      </c>
      <c r="C7823" s="9" t="s">
        <v>490</v>
      </c>
      <c r="D7823">
        <v>10021345240</v>
      </c>
      <c r="E7823" t="s">
        <v>47</v>
      </c>
      <c r="F7823" t="s">
        <v>152</v>
      </c>
      <c r="G7823" t="s">
        <v>153</v>
      </c>
      <c r="H7823" t="s">
        <v>154</v>
      </c>
      <c r="I7823" t="s">
        <v>155</v>
      </c>
      <c r="J7823" t="s">
        <v>271</v>
      </c>
      <c r="K7823" s="3">
        <v>100929941231</v>
      </c>
      <c r="L7823" s="10">
        <v>40497</v>
      </c>
      <c r="M7823">
        <v>1118.82</v>
      </c>
      <c r="N7823" s="11">
        <v>8</v>
      </c>
      <c r="O7823" s="12">
        <v>140.98</v>
      </c>
      <c r="P7823" s="12">
        <v>36.09</v>
      </c>
      <c r="Q7823" s="13">
        <v>-320.3</v>
      </c>
      <c r="R7823" s="36" t="s">
        <v>1547</v>
      </c>
      <c r="S7823" s="7">
        <f t="shared" si="686"/>
        <v>2</v>
      </c>
      <c r="T7823" s="15" t="str">
        <f>VLOOKUP(R7823,产品分类!$C$2:$D$1278,2,0)</f>
        <v>办公用品</v>
      </c>
    </row>
    <row r="7824" spans="1:20">
      <c r="A7824" s="8">
        <f>DATE(2012,12,31)-779</f>
        <v>40495</v>
      </c>
      <c r="B7824" s="8">
        <f>DATE(2012,12,31)-779</f>
        <v>40495</v>
      </c>
      <c r="C7824" s="9" t="s">
        <v>490</v>
      </c>
      <c r="D7824">
        <v>10021351734</v>
      </c>
      <c r="E7824" t="s">
        <v>47</v>
      </c>
      <c r="F7824" t="s">
        <v>48</v>
      </c>
      <c r="G7824" t="s">
        <v>49</v>
      </c>
      <c r="H7824" t="s">
        <v>2599</v>
      </c>
      <c r="I7824" t="s">
        <v>2600</v>
      </c>
      <c r="J7824" t="s">
        <v>271</v>
      </c>
      <c r="K7824" s="3">
        <v>100132500037</v>
      </c>
      <c r="L7824" s="10">
        <v>40496</v>
      </c>
      <c r="M7824">
        <v>79.75</v>
      </c>
      <c r="N7824" s="11">
        <v>48</v>
      </c>
      <c r="O7824" s="12">
        <v>1.81</v>
      </c>
      <c r="P7824" s="12">
        <v>1.56</v>
      </c>
      <c r="Q7824" s="13">
        <v>-41.32</v>
      </c>
      <c r="R7824" s="36" t="s">
        <v>1213</v>
      </c>
      <c r="S7824" s="7">
        <f t="shared" si="686"/>
        <v>1</v>
      </c>
      <c r="T7824" s="15" t="str">
        <f>VLOOKUP(R7824,产品分类!$C$2:$D$1278,2,0)</f>
        <v>办公用品</v>
      </c>
    </row>
    <row r="7825" spans="1:20">
      <c r="A7825" s="8">
        <f>DATE(2012,12,31)-261</f>
        <v>41013</v>
      </c>
      <c r="B7825" s="8">
        <f>DATE(2012,12,31)-261</f>
        <v>41013</v>
      </c>
      <c r="C7825" s="9" t="s">
        <v>1072</v>
      </c>
      <c r="D7825">
        <v>10021664285</v>
      </c>
      <c r="E7825" t="s">
        <v>47</v>
      </c>
      <c r="F7825" t="s">
        <v>97</v>
      </c>
      <c r="G7825" t="s">
        <v>98</v>
      </c>
      <c r="H7825" t="s">
        <v>99</v>
      </c>
      <c r="I7825" t="s">
        <v>98</v>
      </c>
      <c r="J7825" t="s">
        <v>271</v>
      </c>
      <c r="K7825" s="3">
        <v>10016240017</v>
      </c>
      <c r="L7825" s="10">
        <v>41015</v>
      </c>
      <c r="M7825">
        <v>1504.22</v>
      </c>
      <c r="N7825" s="11">
        <v>38</v>
      </c>
      <c r="O7825" s="12">
        <v>39.99</v>
      </c>
      <c r="P7825" s="12">
        <v>10.25</v>
      </c>
      <c r="Q7825" s="13">
        <v>118.97</v>
      </c>
      <c r="R7825" s="36" t="s">
        <v>1420</v>
      </c>
      <c r="S7825" s="7">
        <f t="shared" si="686"/>
        <v>2</v>
      </c>
      <c r="T7825" s="15" t="str">
        <f>VLOOKUP(R7825,产品分类!$C$2:$D$1278,2,0)</f>
        <v>家具产品</v>
      </c>
    </row>
    <row r="7826" spans="1:20">
      <c r="A7826" s="8">
        <f>DATE(2012,12,31)-616</f>
        <v>40658</v>
      </c>
      <c r="B7826" s="8">
        <f>DATE(2012,12,31)-616</f>
        <v>40658</v>
      </c>
      <c r="C7826" s="9" t="s">
        <v>1072</v>
      </c>
      <c r="D7826">
        <v>10021261966</v>
      </c>
      <c r="E7826" t="s">
        <v>47</v>
      </c>
      <c r="F7826" t="s">
        <v>66</v>
      </c>
      <c r="G7826" t="s">
        <v>67</v>
      </c>
      <c r="H7826" t="s">
        <v>2584</v>
      </c>
      <c r="I7826" t="s">
        <v>2585</v>
      </c>
      <c r="J7826" t="s">
        <v>271</v>
      </c>
      <c r="K7826" s="3">
        <v>100429755723</v>
      </c>
      <c r="L7826" s="10">
        <v>40660</v>
      </c>
      <c r="M7826">
        <v>5217.79</v>
      </c>
      <c r="N7826" s="11">
        <v>30</v>
      </c>
      <c r="O7826" s="12">
        <v>180.98</v>
      </c>
      <c r="P7826" s="12">
        <v>30</v>
      </c>
      <c r="Q7826" s="13">
        <v>209.54</v>
      </c>
      <c r="R7826" s="36" t="s">
        <v>144</v>
      </c>
      <c r="S7826" s="7">
        <f t="shared" si="686"/>
        <v>2</v>
      </c>
      <c r="T7826" s="15" t="str">
        <f>VLOOKUP(R7826,产品分类!$C$2:$D$1278,2,0)</f>
        <v>办公用品</v>
      </c>
    </row>
    <row r="7827" spans="1:20">
      <c r="A7827" s="8">
        <f>DATE(2012,12,31)-1238</f>
        <v>40036</v>
      </c>
      <c r="B7827" s="8">
        <f>DATE(2012,12,31)-1238</f>
        <v>40036</v>
      </c>
      <c r="C7827" s="9" t="s">
        <v>1964</v>
      </c>
      <c r="D7827">
        <v>10021541584</v>
      </c>
      <c r="E7827" t="s">
        <v>47</v>
      </c>
      <c r="F7827" t="s">
        <v>48</v>
      </c>
      <c r="G7827" t="s">
        <v>49</v>
      </c>
      <c r="H7827" t="s">
        <v>2599</v>
      </c>
      <c r="I7827" t="s">
        <v>2600</v>
      </c>
      <c r="J7827" t="s">
        <v>271</v>
      </c>
      <c r="K7827" s="3">
        <v>100823634732</v>
      </c>
      <c r="L7827" s="10">
        <v>40038</v>
      </c>
      <c r="M7827">
        <v>119.9</v>
      </c>
      <c r="N7827" s="11">
        <v>3</v>
      </c>
      <c r="O7827" s="12">
        <v>37.94</v>
      </c>
      <c r="P7827" s="12">
        <v>5.08</v>
      </c>
      <c r="Q7827" s="13">
        <v>-14.47</v>
      </c>
      <c r="R7827" s="36" t="s">
        <v>1779</v>
      </c>
      <c r="S7827" s="7">
        <f t="shared" si="686"/>
        <v>2</v>
      </c>
      <c r="T7827" s="15" t="str">
        <f>VLOOKUP(R7827,产品分类!$C$2:$D$1278,2,0)</f>
        <v>家具产品</v>
      </c>
    </row>
    <row r="7828" spans="1:20">
      <c r="A7828" s="8">
        <f>DATE(2012,12,31)-880</f>
        <v>40394</v>
      </c>
      <c r="B7828" s="8">
        <f>DATE(2012,12,31)-880</f>
        <v>40394</v>
      </c>
      <c r="C7828" s="9" t="s">
        <v>2066</v>
      </c>
      <c r="D7828">
        <v>10021621469</v>
      </c>
      <c r="E7828" t="s">
        <v>47</v>
      </c>
      <c r="F7828" t="s">
        <v>72</v>
      </c>
      <c r="G7828" t="s">
        <v>73</v>
      </c>
      <c r="H7828" t="s">
        <v>2606</v>
      </c>
      <c r="I7828" t="s">
        <v>2607</v>
      </c>
      <c r="J7828" t="s">
        <v>271</v>
      </c>
      <c r="K7828" s="3">
        <v>100114316366</v>
      </c>
      <c r="L7828" s="10">
        <v>40396</v>
      </c>
      <c r="M7828">
        <v>615.68</v>
      </c>
      <c r="N7828" s="11">
        <v>45</v>
      </c>
      <c r="O7828" s="12">
        <v>14.42</v>
      </c>
      <c r="P7828" s="12">
        <v>6.75</v>
      </c>
      <c r="Q7828" s="13">
        <v>-54.34</v>
      </c>
      <c r="R7828" s="36" t="s">
        <v>797</v>
      </c>
      <c r="S7828" s="7">
        <f t="shared" si="686"/>
        <v>2</v>
      </c>
      <c r="T7828" s="15" t="str">
        <f>VLOOKUP(R7828,产品分类!$C$2:$D$1278,2,0)</f>
        <v>家具产品</v>
      </c>
    </row>
    <row r="7829" spans="1:20">
      <c r="A7829" s="8">
        <f>DATE(2012,12,31)-880</f>
        <v>40394</v>
      </c>
      <c r="B7829" s="8">
        <f>DATE(2012,12,31)-880</f>
        <v>40394</v>
      </c>
      <c r="C7829" s="9" t="s">
        <v>375</v>
      </c>
      <c r="D7829">
        <v>10021645564</v>
      </c>
      <c r="E7829" t="s">
        <v>47</v>
      </c>
      <c r="F7829" t="s">
        <v>72</v>
      </c>
      <c r="G7829" t="s">
        <v>73</v>
      </c>
      <c r="H7829" t="s">
        <v>2606</v>
      </c>
      <c r="I7829" t="s">
        <v>2607</v>
      </c>
      <c r="J7829" t="s">
        <v>271</v>
      </c>
      <c r="K7829" s="3">
        <v>10098018111</v>
      </c>
      <c r="L7829" s="10">
        <v>40395</v>
      </c>
      <c r="M7829">
        <v>142.24</v>
      </c>
      <c r="N7829" s="11">
        <v>1</v>
      </c>
      <c r="O7829" s="12">
        <v>100.89</v>
      </c>
      <c r="P7829" s="12">
        <v>42</v>
      </c>
      <c r="Q7829" s="13">
        <v>-62.19</v>
      </c>
      <c r="R7829" s="36" t="s">
        <v>765</v>
      </c>
      <c r="S7829" s="7">
        <f t="shared" si="686"/>
        <v>1</v>
      </c>
      <c r="T7829" s="15" t="str">
        <f>VLOOKUP(R7829,产品分类!$C$2:$D$1278,2,0)</f>
        <v>办公用品</v>
      </c>
    </row>
    <row r="7830" spans="1:20">
      <c r="A7830" s="8">
        <f>DATE(2012,12,31)-1330</f>
        <v>39944</v>
      </c>
      <c r="B7830" s="8">
        <f>DATE(2012,12,31)-1330</f>
        <v>39944</v>
      </c>
      <c r="C7830" s="9" t="s">
        <v>567</v>
      </c>
      <c r="D7830">
        <v>10021658660</v>
      </c>
      <c r="E7830" t="s">
        <v>47</v>
      </c>
      <c r="F7830" t="s">
        <v>78</v>
      </c>
      <c r="G7830" t="s">
        <v>79</v>
      </c>
      <c r="H7830" t="s">
        <v>80</v>
      </c>
      <c r="I7830" t="s">
        <v>81</v>
      </c>
      <c r="J7830" t="s">
        <v>271</v>
      </c>
      <c r="K7830" s="3">
        <v>100310362369</v>
      </c>
      <c r="L7830" s="10">
        <v>39946</v>
      </c>
      <c r="M7830">
        <v>28.63</v>
      </c>
      <c r="N7830" s="11">
        <v>11</v>
      </c>
      <c r="O7830" s="12">
        <v>1.74</v>
      </c>
      <c r="P7830" s="12">
        <v>4.08</v>
      </c>
      <c r="Q7830" s="13">
        <v>-21.17</v>
      </c>
      <c r="R7830" s="36" t="s">
        <v>1045</v>
      </c>
      <c r="S7830" s="7">
        <f t="shared" si="686"/>
        <v>2</v>
      </c>
      <c r="T7830" s="15" t="str">
        <f>VLOOKUP(R7830,产品分类!$C$2:$D$1278,2,0)</f>
        <v>数码电子</v>
      </c>
    </row>
    <row r="7831" spans="1:20">
      <c r="A7831" s="8">
        <f>DATE(2012,12,31)-1330</f>
        <v>39944</v>
      </c>
      <c r="B7831" s="8">
        <f>DATE(2012,12,31)-1330</f>
        <v>39944</v>
      </c>
      <c r="C7831" s="9" t="s">
        <v>297</v>
      </c>
      <c r="D7831">
        <v>10021662152</v>
      </c>
      <c r="E7831" t="s">
        <v>47</v>
      </c>
      <c r="F7831" t="s">
        <v>72</v>
      </c>
      <c r="G7831" t="s">
        <v>73</v>
      </c>
      <c r="H7831" t="s">
        <v>2606</v>
      </c>
      <c r="I7831" t="s">
        <v>2607</v>
      </c>
      <c r="J7831" t="s">
        <v>271</v>
      </c>
      <c r="K7831" s="3">
        <v>100421442863</v>
      </c>
      <c r="L7831" s="10">
        <v>39944</v>
      </c>
      <c r="M7831">
        <v>8014.624</v>
      </c>
      <c r="N7831" s="11">
        <v>45</v>
      </c>
      <c r="O7831" s="12">
        <v>227.55</v>
      </c>
      <c r="P7831" s="12">
        <v>32.48</v>
      </c>
      <c r="Q7831" s="13">
        <v>1366.1</v>
      </c>
      <c r="R7831" s="36" t="s">
        <v>1639</v>
      </c>
      <c r="S7831" s="7">
        <f t="shared" si="686"/>
        <v>0</v>
      </c>
      <c r="T7831" s="15" t="str">
        <f>VLOOKUP(R7831,产品分类!$C$2:$D$1278,2,0)</f>
        <v>办公用品</v>
      </c>
    </row>
    <row r="7832" spans="1:20">
      <c r="A7832" s="16">
        <f t="shared" ref="A7832:B7835" si="687">DATE(2012,12,31)-67</f>
        <v>41207</v>
      </c>
      <c r="B7832" s="16">
        <f t="shared" si="687"/>
        <v>41207</v>
      </c>
      <c r="C7832" s="9" t="s">
        <v>297</v>
      </c>
      <c r="D7832">
        <v>10021501458</v>
      </c>
      <c r="E7832" t="s">
        <v>47</v>
      </c>
      <c r="F7832" t="s">
        <v>72</v>
      </c>
      <c r="G7832" t="s">
        <v>73</v>
      </c>
      <c r="H7832" t="s">
        <v>2606</v>
      </c>
      <c r="I7832" t="s">
        <v>2607</v>
      </c>
      <c r="J7832" t="s">
        <v>271</v>
      </c>
      <c r="K7832" s="3">
        <v>100127319756</v>
      </c>
      <c r="L7832" s="10">
        <v>41209</v>
      </c>
      <c r="M7832">
        <v>144.06</v>
      </c>
      <c r="N7832" s="17">
        <v>35</v>
      </c>
      <c r="O7832" s="5">
        <v>3.81</v>
      </c>
      <c r="P7832" s="5">
        <v>5.44</v>
      </c>
      <c r="Q7832" s="6">
        <v>-117.2655</v>
      </c>
      <c r="R7832" s="37" t="s">
        <v>621</v>
      </c>
      <c r="S7832" s="7">
        <f t="shared" si="686"/>
        <v>2</v>
      </c>
      <c r="T7832" s="15" t="str">
        <f>VLOOKUP(R7832,产品分类!$C$2:$D$1278,2,0)</f>
        <v>数码电子</v>
      </c>
    </row>
    <row r="7833" spans="1:20">
      <c r="A7833" s="8">
        <f t="shared" si="687"/>
        <v>41207</v>
      </c>
      <c r="B7833" s="8">
        <f t="shared" si="687"/>
        <v>41207</v>
      </c>
      <c r="C7833" s="9" t="s">
        <v>297</v>
      </c>
      <c r="D7833">
        <v>10021258493</v>
      </c>
      <c r="E7833" t="s">
        <v>47</v>
      </c>
      <c r="F7833" t="s">
        <v>72</v>
      </c>
      <c r="G7833" t="s">
        <v>73</v>
      </c>
      <c r="H7833" t="s">
        <v>2606</v>
      </c>
      <c r="I7833" t="s">
        <v>2607</v>
      </c>
      <c r="J7833" t="s">
        <v>271</v>
      </c>
      <c r="K7833" s="3">
        <v>100926991481</v>
      </c>
      <c r="L7833" s="10">
        <v>41208</v>
      </c>
      <c r="M7833">
        <v>3205.24</v>
      </c>
      <c r="N7833" s="11">
        <v>32</v>
      </c>
      <c r="O7833" s="12">
        <v>95.95</v>
      </c>
      <c r="P7833" s="12">
        <v>74.35</v>
      </c>
      <c r="Q7833" s="13">
        <v>-1115.99</v>
      </c>
      <c r="R7833" s="36" t="s">
        <v>1896</v>
      </c>
      <c r="S7833" s="7">
        <f t="shared" si="686"/>
        <v>1</v>
      </c>
      <c r="T7833" s="15" t="str">
        <f>VLOOKUP(R7833,产品分类!$C$2:$D$1278,2,0)</f>
        <v>办公用品</v>
      </c>
    </row>
    <row r="7834" spans="1:20">
      <c r="A7834" s="8">
        <f t="shared" si="687"/>
        <v>41207</v>
      </c>
      <c r="B7834" s="8">
        <f t="shared" si="687"/>
        <v>41207</v>
      </c>
      <c r="C7834" s="9" t="s">
        <v>297</v>
      </c>
      <c r="D7834">
        <v>10021497428</v>
      </c>
      <c r="E7834" t="s">
        <v>47</v>
      </c>
      <c r="F7834" t="s">
        <v>78</v>
      </c>
      <c r="G7834" t="s">
        <v>79</v>
      </c>
      <c r="H7834" t="s">
        <v>80</v>
      </c>
      <c r="I7834" t="s">
        <v>81</v>
      </c>
      <c r="J7834" t="s">
        <v>271</v>
      </c>
      <c r="K7834" s="3">
        <v>100117691358</v>
      </c>
      <c r="L7834" s="10">
        <v>41207</v>
      </c>
      <c r="M7834">
        <v>339.27</v>
      </c>
      <c r="N7834" s="11">
        <v>46</v>
      </c>
      <c r="O7834" s="12">
        <v>7.89</v>
      </c>
      <c r="P7834" s="12">
        <v>2.82</v>
      </c>
      <c r="Q7834" s="13">
        <v>48.59</v>
      </c>
      <c r="R7834" s="36" t="s">
        <v>2151</v>
      </c>
      <c r="S7834" s="7">
        <f t="shared" si="686"/>
        <v>0</v>
      </c>
      <c r="T7834" s="15" t="str">
        <f>VLOOKUP(R7834,产品分类!$C$2:$D$1278,2,0)</f>
        <v>办公用品</v>
      </c>
    </row>
    <row r="7835" spans="1:20">
      <c r="A7835" s="8">
        <f t="shared" si="687"/>
        <v>41207</v>
      </c>
      <c r="B7835" s="8">
        <f t="shared" si="687"/>
        <v>41207</v>
      </c>
      <c r="C7835" s="9" t="s">
        <v>615</v>
      </c>
      <c r="D7835">
        <v>10021429060</v>
      </c>
      <c r="E7835" t="s">
        <v>47</v>
      </c>
      <c r="F7835" t="s">
        <v>72</v>
      </c>
      <c r="G7835" t="s">
        <v>73</v>
      </c>
      <c r="H7835" t="s">
        <v>2606</v>
      </c>
      <c r="I7835" t="s">
        <v>2607</v>
      </c>
      <c r="J7835" t="s">
        <v>271</v>
      </c>
      <c r="K7835" s="3">
        <v>100731368775</v>
      </c>
      <c r="L7835" s="10">
        <v>41208</v>
      </c>
      <c r="M7835">
        <v>902.024</v>
      </c>
      <c r="N7835" s="11">
        <v>9</v>
      </c>
      <c r="O7835" s="12">
        <v>124.49</v>
      </c>
      <c r="P7835" s="12">
        <v>51.94</v>
      </c>
      <c r="Q7835" s="13">
        <v>-153.252</v>
      </c>
      <c r="R7835" s="36" t="s">
        <v>986</v>
      </c>
      <c r="S7835" s="7">
        <f t="shared" si="686"/>
        <v>1</v>
      </c>
      <c r="T7835" s="15" t="str">
        <f>VLOOKUP(R7835,产品分类!$C$2:$D$1278,2,0)</f>
        <v>办公用品</v>
      </c>
    </row>
    <row r="7836" spans="1:20">
      <c r="A7836" s="8">
        <f>DATE(2012,12,31)-479</f>
        <v>40795</v>
      </c>
      <c r="B7836" s="8">
        <f>DATE(2012,12,31)-479</f>
        <v>40795</v>
      </c>
      <c r="C7836" s="9" t="s">
        <v>721</v>
      </c>
      <c r="D7836">
        <v>10021587845</v>
      </c>
      <c r="E7836" t="s">
        <v>47</v>
      </c>
      <c r="F7836" t="s">
        <v>78</v>
      </c>
      <c r="G7836" t="s">
        <v>79</v>
      </c>
      <c r="H7836" t="s">
        <v>80</v>
      </c>
      <c r="I7836" t="s">
        <v>81</v>
      </c>
      <c r="J7836" t="s">
        <v>271</v>
      </c>
      <c r="K7836" s="3">
        <v>100130093177</v>
      </c>
      <c r="L7836" s="10">
        <v>40796</v>
      </c>
      <c r="M7836">
        <v>266.3</v>
      </c>
      <c r="N7836" s="11">
        <v>49</v>
      </c>
      <c r="O7836" s="12">
        <v>4.97</v>
      </c>
      <c r="P7836" s="12">
        <v>5.71</v>
      </c>
      <c r="Q7836" s="13">
        <v>-135.06</v>
      </c>
      <c r="R7836" s="36" t="s">
        <v>1905</v>
      </c>
      <c r="S7836" s="7">
        <f t="shared" si="686"/>
        <v>1</v>
      </c>
      <c r="T7836" s="15" t="str">
        <f>VLOOKUP(R7836,产品分类!$C$2:$D$1278,2,0)</f>
        <v>数码电子</v>
      </c>
    </row>
    <row r="7837" spans="1:20">
      <c r="A7837" s="8">
        <f>DATE(2012,12,31)-1234</f>
        <v>40040</v>
      </c>
      <c r="B7837" s="8">
        <f>DATE(2012,12,31)-1234</f>
        <v>40040</v>
      </c>
      <c r="C7837" s="9" t="s">
        <v>721</v>
      </c>
      <c r="D7837">
        <v>10021497766</v>
      </c>
      <c r="E7837" t="s">
        <v>47</v>
      </c>
      <c r="F7837" t="s">
        <v>78</v>
      </c>
      <c r="G7837" t="s">
        <v>79</v>
      </c>
      <c r="H7837" t="s">
        <v>80</v>
      </c>
      <c r="I7837" t="s">
        <v>81</v>
      </c>
      <c r="J7837" t="s">
        <v>271</v>
      </c>
      <c r="K7837" s="3">
        <v>100319811479</v>
      </c>
      <c r="L7837" s="10">
        <v>40041</v>
      </c>
      <c r="M7837">
        <v>223.76</v>
      </c>
      <c r="N7837" s="11">
        <v>34</v>
      </c>
      <c r="O7837" s="12">
        <v>6.48</v>
      </c>
      <c r="P7837" s="12">
        <v>7.91</v>
      </c>
      <c r="Q7837" s="13">
        <v>-139.66</v>
      </c>
      <c r="R7837" s="36" t="s">
        <v>723</v>
      </c>
      <c r="S7837" s="7">
        <f t="shared" si="686"/>
        <v>1</v>
      </c>
      <c r="T7837" s="15" t="str">
        <f>VLOOKUP(R7837,产品分类!$C$2:$D$1278,2,0)</f>
        <v>办公用品</v>
      </c>
    </row>
    <row r="7838" spans="1:20">
      <c r="A7838" s="8">
        <f>DATE(2012,12,31)-308</f>
        <v>40966</v>
      </c>
      <c r="B7838" s="8">
        <f>DATE(2012,12,31)-308</f>
        <v>40966</v>
      </c>
      <c r="C7838" s="9" t="s">
        <v>417</v>
      </c>
      <c r="D7838">
        <v>10021369742</v>
      </c>
      <c r="E7838" t="s">
        <v>47</v>
      </c>
      <c r="F7838" t="s">
        <v>72</v>
      </c>
      <c r="G7838" t="s">
        <v>73</v>
      </c>
      <c r="H7838" t="s">
        <v>2606</v>
      </c>
      <c r="I7838" t="s">
        <v>2607</v>
      </c>
      <c r="J7838" t="s">
        <v>271</v>
      </c>
      <c r="K7838" s="3">
        <v>100730384895</v>
      </c>
      <c r="L7838" s="10">
        <v>40968</v>
      </c>
      <c r="M7838">
        <v>16886.76</v>
      </c>
      <c r="N7838" s="11">
        <v>43</v>
      </c>
      <c r="O7838" s="12">
        <v>376.13</v>
      </c>
      <c r="P7838" s="12">
        <v>85.63</v>
      </c>
      <c r="Q7838" s="13">
        <v>483.95</v>
      </c>
      <c r="R7838" s="36" t="s">
        <v>2167</v>
      </c>
      <c r="S7838" s="7">
        <f t="shared" si="686"/>
        <v>2</v>
      </c>
      <c r="T7838" s="15" t="str">
        <f>VLOOKUP(R7838,产品分类!$C$2:$D$1278,2,0)</f>
        <v>办公用品</v>
      </c>
    </row>
    <row r="7839" spans="1:20">
      <c r="A7839" s="8">
        <f>DATE(2012,12,31)-915</f>
        <v>40359</v>
      </c>
      <c r="B7839" s="8">
        <f>DATE(2012,12,31)-915</f>
        <v>40359</v>
      </c>
      <c r="C7839" s="9" t="s">
        <v>417</v>
      </c>
      <c r="D7839">
        <v>10021767464</v>
      </c>
      <c r="E7839" t="s">
        <v>47</v>
      </c>
      <c r="F7839" t="s">
        <v>78</v>
      </c>
      <c r="G7839" t="s">
        <v>79</v>
      </c>
      <c r="H7839" t="s">
        <v>80</v>
      </c>
      <c r="I7839" t="s">
        <v>81</v>
      </c>
      <c r="J7839" t="s">
        <v>271</v>
      </c>
      <c r="K7839" s="3">
        <v>10018359627</v>
      </c>
      <c r="L7839" s="10">
        <v>40359</v>
      </c>
      <c r="M7839">
        <v>1287.94</v>
      </c>
      <c r="N7839" s="11">
        <v>37</v>
      </c>
      <c r="O7839" s="12">
        <v>35.89</v>
      </c>
      <c r="P7839" s="12">
        <v>14.72</v>
      </c>
      <c r="Q7839" s="13">
        <v>140.35</v>
      </c>
      <c r="R7839" s="36" t="s">
        <v>717</v>
      </c>
      <c r="S7839" s="7">
        <f t="shared" si="686"/>
        <v>0</v>
      </c>
      <c r="T7839" s="15" t="str">
        <f>VLOOKUP(R7839,产品分类!$C$2:$D$1278,2,0)</f>
        <v>办公用品</v>
      </c>
    </row>
    <row r="7840" spans="1:20">
      <c r="A7840" s="8">
        <f>DATE(2012,12,31)-915</f>
        <v>40359</v>
      </c>
      <c r="B7840" s="8">
        <f>DATE(2012,12,31)-915</f>
        <v>40359</v>
      </c>
      <c r="C7840" s="9" t="s">
        <v>1689</v>
      </c>
      <c r="D7840">
        <v>10021629808</v>
      </c>
      <c r="E7840" t="s">
        <v>47</v>
      </c>
      <c r="F7840" t="s">
        <v>72</v>
      </c>
      <c r="G7840" t="s">
        <v>73</v>
      </c>
      <c r="H7840" t="s">
        <v>2606</v>
      </c>
      <c r="I7840" t="s">
        <v>2607</v>
      </c>
      <c r="J7840" t="s">
        <v>271</v>
      </c>
      <c r="K7840" s="3">
        <v>100931411461</v>
      </c>
      <c r="L7840" s="10">
        <v>40361</v>
      </c>
      <c r="M7840">
        <v>585.36</v>
      </c>
      <c r="N7840" s="11">
        <v>39</v>
      </c>
      <c r="O7840" s="12">
        <v>15.57</v>
      </c>
      <c r="P7840" s="12">
        <v>1.39</v>
      </c>
      <c r="Q7840" s="13">
        <v>269.26</v>
      </c>
      <c r="R7840" s="36" t="s">
        <v>1377</v>
      </c>
      <c r="S7840" s="7">
        <f t="shared" si="686"/>
        <v>2</v>
      </c>
      <c r="T7840" s="15" t="str">
        <f>VLOOKUP(R7840,产品分类!$C$2:$D$1278,2,0)</f>
        <v>办公用品</v>
      </c>
    </row>
    <row r="7841" spans="1:20">
      <c r="A7841" s="8">
        <f t="shared" ref="A7841:B7843" si="688">DATE(2012,12,31)-105</f>
        <v>41169</v>
      </c>
      <c r="B7841" s="8">
        <f t="shared" si="688"/>
        <v>41169</v>
      </c>
      <c r="C7841" s="9" t="s">
        <v>1083</v>
      </c>
      <c r="D7841">
        <v>10021767392</v>
      </c>
      <c r="E7841" t="s">
        <v>47</v>
      </c>
      <c r="F7841" t="s">
        <v>230</v>
      </c>
      <c r="G7841" t="s">
        <v>231</v>
      </c>
      <c r="H7841" t="s">
        <v>2602</v>
      </c>
      <c r="I7841" t="s">
        <v>2603</v>
      </c>
      <c r="J7841" t="s">
        <v>271</v>
      </c>
      <c r="K7841" s="3">
        <v>10017287358</v>
      </c>
      <c r="L7841" s="10">
        <v>41171</v>
      </c>
      <c r="M7841">
        <v>11022.53</v>
      </c>
      <c r="N7841" s="11">
        <v>22</v>
      </c>
      <c r="O7841" s="12">
        <v>517.48</v>
      </c>
      <c r="P7841" s="12">
        <v>16.63</v>
      </c>
      <c r="Q7841" s="13">
        <v>1869.86</v>
      </c>
      <c r="R7841" s="36" t="s">
        <v>1651</v>
      </c>
      <c r="S7841" s="7">
        <f t="shared" si="686"/>
        <v>2</v>
      </c>
      <c r="T7841" s="15" t="str">
        <f>VLOOKUP(R7841,产品分类!$C$2:$D$1278,2,0)</f>
        <v>数码电子</v>
      </c>
    </row>
    <row r="7842" spans="1:20">
      <c r="A7842" s="8">
        <f t="shared" si="688"/>
        <v>41169</v>
      </c>
      <c r="B7842" s="8">
        <f t="shared" si="688"/>
        <v>41169</v>
      </c>
      <c r="C7842" s="9" t="s">
        <v>558</v>
      </c>
      <c r="D7842">
        <v>10021645181</v>
      </c>
      <c r="E7842" t="s">
        <v>47</v>
      </c>
      <c r="F7842" t="s">
        <v>230</v>
      </c>
      <c r="G7842" t="s">
        <v>231</v>
      </c>
      <c r="H7842" t="s">
        <v>2602</v>
      </c>
      <c r="I7842" t="s">
        <v>2603</v>
      </c>
      <c r="J7842" t="s">
        <v>271</v>
      </c>
      <c r="K7842" s="3">
        <v>10092404641</v>
      </c>
      <c r="L7842" s="10">
        <v>41169</v>
      </c>
      <c r="M7842">
        <v>377.37</v>
      </c>
      <c r="N7842" s="11">
        <v>25</v>
      </c>
      <c r="O7842" s="12">
        <v>15.04</v>
      </c>
      <c r="P7842" s="12">
        <v>1.97</v>
      </c>
      <c r="Q7842" s="13">
        <v>151.4</v>
      </c>
      <c r="R7842" s="36" t="s">
        <v>217</v>
      </c>
      <c r="S7842" s="7">
        <f t="shared" si="686"/>
        <v>0</v>
      </c>
      <c r="T7842" s="15" t="str">
        <f>VLOOKUP(R7842,产品分类!$C$2:$D$1278,2,0)</f>
        <v>办公用品</v>
      </c>
    </row>
    <row r="7843" spans="1:20">
      <c r="A7843" s="8">
        <f t="shared" si="688"/>
        <v>41169</v>
      </c>
      <c r="B7843" s="8">
        <f t="shared" si="688"/>
        <v>41169</v>
      </c>
      <c r="C7843" s="9" t="s">
        <v>1342</v>
      </c>
      <c r="D7843">
        <v>10021497422</v>
      </c>
      <c r="E7843" t="s">
        <v>47</v>
      </c>
      <c r="F7843" t="s">
        <v>230</v>
      </c>
      <c r="G7843" t="s">
        <v>231</v>
      </c>
      <c r="H7843" t="s">
        <v>2602</v>
      </c>
      <c r="I7843" t="s">
        <v>2603</v>
      </c>
      <c r="J7843" t="s">
        <v>271</v>
      </c>
      <c r="K7843" s="3">
        <v>100417636944</v>
      </c>
      <c r="L7843" s="10">
        <v>41170</v>
      </c>
      <c r="M7843">
        <v>1200.7</v>
      </c>
      <c r="N7843" s="11">
        <v>47</v>
      </c>
      <c r="O7843" s="12">
        <v>24.98</v>
      </c>
      <c r="P7843" s="12">
        <v>8.79</v>
      </c>
      <c r="Q7843" s="13">
        <v>-37.27</v>
      </c>
      <c r="R7843" s="36" t="s">
        <v>261</v>
      </c>
      <c r="S7843" s="7">
        <f t="shared" si="686"/>
        <v>1</v>
      </c>
      <c r="T7843" s="15" t="str">
        <f>VLOOKUP(R7843,产品分类!$C$2:$D$1278,2,0)</f>
        <v>家具产品</v>
      </c>
    </row>
    <row r="7844" spans="1:20">
      <c r="A7844" s="8">
        <f>DATE(2012,12,31)-1091</f>
        <v>40183</v>
      </c>
      <c r="B7844" s="8">
        <f>DATE(2012,12,31)-1091</f>
        <v>40183</v>
      </c>
      <c r="C7844" s="9" t="s">
        <v>1342</v>
      </c>
      <c r="D7844">
        <v>10021596105</v>
      </c>
      <c r="E7844" t="s">
        <v>47</v>
      </c>
      <c r="F7844" t="s">
        <v>78</v>
      </c>
      <c r="G7844" t="s">
        <v>79</v>
      </c>
      <c r="H7844" t="s">
        <v>80</v>
      </c>
      <c r="I7844" t="s">
        <v>81</v>
      </c>
      <c r="J7844" t="s">
        <v>271</v>
      </c>
      <c r="K7844" s="3">
        <v>100131547947</v>
      </c>
      <c r="L7844" s="10">
        <v>40183</v>
      </c>
      <c r="M7844">
        <v>702.79</v>
      </c>
      <c r="N7844" s="11">
        <v>34</v>
      </c>
      <c r="O7844" s="12">
        <v>19.99</v>
      </c>
      <c r="P7844" s="12">
        <v>11.17</v>
      </c>
      <c r="Q7844" s="13">
        <v>-44.81</v>
      </c>
      <c r="R7844" s="36" t="s">
        <v>1382</v>
      </c>
      <c r="S7844" s="7">
        <f t="shared" si="686"/>
        <v>0</v>
      </c>
      <c r="T7844" s="15" t="str">
        <f>VLOOKUP(R7844,产品分类!$C$2:$D$1278,2,0)</f>
        <v>办公用品</v>
      </c>
    </row>
    <row r="7845" spans="1:20">
      <c r="A7845" s="8">
        <f>DATE(2012,12,31)-1091</f>
        <v>40183</v>
      </c>
      <c r="B7845" s="8">
        <f>DATE(2012,12,31)-1091</f>
        <v>40183</v>
      </c>
      <c r="C7845" s="9" t="s">
        <v>1678</v>
      </c>
      <c r="D7845">
        <v>10021669667</v>
      </c>
      <c r="E7845" t="s">
        <v>47</v>
      </c>
      <c r="F7845" t="s">
        <v>277</v>
      </c>
      <c r="G7845" t="s">
        <v>278</v>
      </c>
      <c r="H7845" t="s">
        <v>279</v>
      </c>
      <c r="I7845" t="s">
        <v>280</v>
      </c>
      <c r="J7845" t="s">
        <v>271</v>
      </c>
      <c r="K7845" s="3">
        <v>100429850583</v>
      </c>
      <c r="L7845" s="10">
        <v>40184</v>
      </c>
      <c r="M7845">
        <v>712.64</v>
      </c>
      <c r="N7845" s="11">
        <v>44</v>
      </c>
      <c r="O7845" s="12">
        <v>16.91</v>
      </c>
      <c r="P7845" s="12">
        <v>6.25</v>
      </c>
      <c r="Q7845" s="13">
        <v>-27.72</v>
      </c>
      <c r="R7845" s="36" t="s">
        <v>441</v>
      </c>
      <c r="S7845" s="7">
        <f t="shared" si="686"/>
        <v>1</v>
      </c>
      <c r="T7845" s="15" t="str">
        <f>VLOOKUP(R7845,产品分类!$C$2:$D$1278,2,0)</f>
        <v>办公用品</v>
      </c>
    </row>
    <row r="7846" spans="1:20">
      <c r="A7846" s="8">
        <f>DATE(2012,12,31)-990</f>
        <v>40284</v>
      </c>
      <c r="B7846" s="8">
        <f>DATE(2012,12,31)-990</f>
        <v>40284</v>
      </c>
      <c r="C7846" s="9" t="s">
        <v>1678</v>
      </c>
      <c r="D7846">
        <v>10021596270</v>
      </c>
      <c r="E7846" t="s">
        <v>47</v>
      </c>
      <c r="F7846" t="s">
        <v>2517</v>
      </c>
      <c r="G7846" t="s">
        <v>2518</v>
      </c>
      <c r="H7846" t="s">
        <v>2587</v>
      </c>
      <c r="I7846" t="s">
        <v>2588</v>
      </c>
      <c r="J7846" t="s">
        <v>271</v>
      </c>
      <c r="K7846" s="3">
        <v>100432840193</v>
      </c>
      <c r="L7846" s="10">
        <v>40286</v>
      </c>
      <c r="M7846">
        <v>135.88</v>
      </c>
      <c r="N7846" s="11">
        <v>24</v>
      </c>
      <c r="O7846" s="12">
        <v>5.8</v>
      </c>
      <c r="P7846" s="12">
        <v>5.59</v>
      </c>
      <c r="Q7846" s="13">
        <v>-75.394</v>
      </c>
      <c r="R7846" s="36" t="s">
        <v>389</v>
      </c>
      <c r="S7846" s="7">
        <f t="shared" si="686"/>
        <v>2</v>
      </c>
      <c r="T7846" s="15" t="str">
        <f>VLOOKUP(R7846,产品分类!$C$2:$D$1278,2,0)</f>
        <v>家具产品</v>
      </c>
    </row>
    <row r="7847" spans="1:20">
      <c r="A7847" s="8">
        <f>DATE(2012,12,31)-458</f>
        <v>40816</v>
      </c>
      <c r="B7847" s="8">
        <f>DATE(2012,12,31)-458</f>
        <v>40816</v>
      </c>
      <c r="C7847" s="9" t="s">
        <v>1616</v>
      </c>
      <c r="D7847">
        <v>10021430629</v>
      </c>
      <c r="E7847" t="s">
        <v>47</v>
      </c>
      <c r="F7847" t="s">
        <v>2517</v>
      </c>
      <c r="G7847" t="s">
        <v>2518</v>
      </c>
      <c r="H7847" t="s">
        <v>2587</v>
      </c>
      <c r="I7847" t="s">
        <v>2588</v>
      </c>
      <c r="J7847" t="s">
        <v>271</v>
      </c>
      <c r="K7847" s="3">
        <v>100331935829</v>
      </c>
      <c r="L7847" s="10">
        <v>40818</v>
      </c>
      <c r="M7847">
        <v>799.84</v>
      </c>
      <c r="N7847" s="11">
        <v>26</v>
      </c>
      <c r="O7847" s="12">
        <v>31.11</v>
      </c>
      <c r="P7847" s="12">
        <v>3.6</v>
      </c>
      <c r="Q7847" s="13">
        <v>64.13</v>
      </c>
      <c r="R7847" s="36" t="s">
        <v>1104</v>
      </c>
      <c r="S7847" s="7">
        <f t="shared" si="686"/>
        <v>2</v>
      </c>
      <c r="T7847" s="15" t="str">
        <f>VLOOKUP(R7847,产品分类!$C$2:$D$1278,2,0)</f>
        <v>办公用品</v>
      </c>
    </row>
    <row r="7848" spans="1:20">
      <c r="A7848" s="8">
        <f>DATE(2012,12,31)-458</f>
        <v>40816</v>
      </c>
      <c r="B7848" s="8">
        <f>DATE(2012,12,31)-458</f>
        <v>40816</v>
      </c>
      <c r="C7848" s="9" t="s">
        <v>407</v>
      </c>
      <c r="D7848">
        <v>10021253408</v>
      </c>
      <c r="E7848" t="s">
        <v>47</v>
      </c>
      <c r="F7848" t="s">
        <v>277</v>
      </c>
      <c r="G7848" t="s">
        <v>278</v>
      </c>
      <c r="H7848" t="s">
        <v>279</v>
      </c>
      <c r="I7848" t="s">
        <v>280</v>
      </c>
      <c r="J7848" t="s">
        <v>1225</v>
      </c>
      <c r="K7848" s="3">
        <v>100119079996</v>
      </c>
      <c r="L7848" s="10">
        <v>40818</v>
      </c>
      <c r="M7848">
        <v>1689.137</v>
      </c>
      <c r="N7848" s="11">
        <v>16</v>
      </c>
      <c r="O7848" s="12">
        <v>125.99</v>
      </c>
      <c r="P7848" s="12">
        <v>8.08</v>
      </c>
      <c r="Q7848" s="13">
        <v>71.064</v>
      </c>
      <c r="R7848" s="36" t="s">
        <v>1582</v>
      </c>
      <c r="S7848" s="7">
        <f t="shared" si="686"/>
        <v>2</v>
      </c>
      <c r="T7848" s="15" t="str">
        <f>VLOOKUP(R7848,产品分类!$C$2:$D$1278,2,0)</f>
        <v>数码电子</v>
      </c>
    </row>
    <row r="7849" spans="1:20">
      <c r="A7849" s="8">
        <f t="shared" ref="A7849:B7851" si="689">DATE(2012,12,31)-1085</f>
        <v>40189</v>
      </c>
      <c r="B7849" s="8">
        <f t="shared" si="689"/>
        <v>40189</v>
      </c>
      <c r="C7849" s="9" t="s">
        <v>407</v>
      </c>
      <c r="D7849">
        <v>10021434399</v>
      </c>
      <c r="E7849" t="s">
        <v>47</v>
      </c>
      <c r="F7849" t="s">
        <v>2517</v>
      </c>
      <c r="G7849" t="s">
        <v>2518</v>
      </c>
      <c r="H7849" t="s">
        <v>2619</v>
      </c>
      <c r="I7849" t="s">
        <v>2620</v>
      </c>
      <c r="J7849" t="s">
        <v>1225</v>
      </c>
      <c r="K7849" s="3">
        <v>100132660977</v>
      </c>
      <c r="L7849" s="10">
        <v>40190</v>
      </c>
      <c r="M7849">
        <v>1767.47</v>
      </c>
      <c r="N7849" s="11">
        <v>42</v>
      </c>
      <c r="O7849" s="12">
        <v>40.99</v>
      </c>
      <c r="P7849" s="12">
        <v>17.48</v>
      </c>
      <c r="Q7849" s="13">
        <v>331.56</v>
      </c>
      <c r="R7849" s="36" t="s">
        <v>1384</v>
      </c>
      <c r="S7849" s="7">
        <f t="shared" si="686"/>
        <v>1</v>
      </c>
      <c r="T7849" s="15" t="str">
        <f>VLOOKUP(R7849,产品分类!$C$2:$D$1278,2,0)</f>
        <v>家具产品</v>
      </c>
    </row>
    <row r="7850" spans="1:20">
      <c r="A7850" s="8">
        <f t="shared" si="689"/>
        <v>40189</v>
      </c>
      <c r="B7850" s="8">
        <f t="shared" si="689"/>
        <v>40189</v>
      </c>
      <c r="C7850" s="9" t="s">
        <v>1781</v>
      </c>
      <c r="D7850">
        <v>10021670255</v>
      </c>
      <c r="E7850" t="s">
        <v>47</v>
      </c>
      <c r="F7850" t="s">
        <v>277</v>
      </c>
      <c r="G7850" t="s">
        <v>278</v>
      </c>
      <c r="H7850" t="s">
        <v>279</v>
      </c>
      <c r="I7850" t="s">
        <v>280</v>
      </c>
      <c r="J7850" t="s">
        <v>1225</v>
      </c>
      <c r="K7850" s="3">
        <v>100930214641</v>
      </c>
      <c r="L7850" s="10">
        <v>40191</v>
      </c>
      <c r="M7850">
        <v>2164.07</v>
      </c>
      <c r="N7850" s="11">
        <v>11</v>
      </c>
      <c r="O7850" s="12">
        <v>180.98</v>
      </c>
      <c r="P7850" s="12">
        <v>55.24</v>
      </c>
      <c r="Q7850" s="13">
        <v>59.73</v>
      </c>
      <c r="R7850" s="36" t="s">
        <v>2121</v>
      </c>
      <c r="S7850" s="7">
        <f t="shared" si="686"/>
        <v>2</v>
      </c>
      <c r="T7850" s="15" t="str">
        <f>VLOOKUP(R7850,产品分类!$C$2:$D$1278,2,0)</f>
        <v>办公用品</v>
      </c>
    </row>
    <row r="7851" spans="1:20">
      <c r="A7851" s="8">
        <f t="shared" si="689"/>
        <v>40189</v>
      </c>
      <c r="B7851" s="8">
        <f t="shared" si="689"/>
        <v>40189</v>
      </c>
      <c r="C7851" s="9" t="s">
        <v>1781</v>
      </c>
      <c r="D7851">
        <v>10021251509</v>
      </c>
      <c r="E7851" t="s">
        <v>47</v>
      </c>
      <c r="F7851" t="s">
        <v>434</v>
      </c>
      <c r="G7851" t="s">
        <v>435</v>
      </c>
      <c r="H7851" t="s">
        <v>436</v>
      </c>
      <c r="I7851" t="s">
        <v>437</v>
      </c>
      <c r="J7851" t="s">
        <v>1225</v>
      </c>
      <c r="K7851" s="3">
        <v>100410084854</v>
      </c>
      <c r="L7851" s="10">
        <v>40190</v>
      </c>
      <c r="M7851">
        <v>1276.73</v>
      </c>
      <c r="N7851" s="11">
        <v>47</v>
      </c>
      <c r="O7851" s="12">
        <v>29.18</v>
      </c>
      <c r="P7851" s="12">
        <v>8.55</v>
      </c>
      <c r="Q7851" s="13">
        <v>357.23</v>
      </c>
      <c r="R7851" s="36" t="s">
        <v>881</v>
      </c>
      <c r="S7851" s="7">
        <f t="shared" si="686"/>
        <v>1</v>
      </c>
      <c r="T7851" s="15" t="str">
        <f>VLOOKUP(R7851,产品分类!$C$2:$D$1278,2,0)</f>
        <v>家具产品</v>
      </c>
    </row>
    <row r="7852" spans="1:20">
      <c r="A7852" s="8">
        <f>DATE(2012,12,31)-305</f>
        <v>40969</v>
      </c>
      <c r="B7852" s="8">
        <f>DATE(2012,12,31)-305</f>
        <v>40969</v>
      </c>
      <c r="C7852" s="9" t="s">
        <v>472</v>
      </c>
      <c r="D7852">
        <v>10021280273</v>
      </c>
      <c r="E7852" t="s">
        <v>47</v>
      </c>
      <c r="F7852" t="s">
        <v>55</v>
      </c>
      <c r="G7852" t="s">
        <v>56</v>
      </c>
      <c r="H7852" t="s">
        <v>2604</v>
      </c>
      <c r="I7852" t="s">
        <v>2605</v>
      </c>
      <c r="J7852" t="s">
        <v>1225</v>
      </c>
      <c r="K7852" s="3">
        <v>100713201625</v>
      </c>
      <c r="L7852" s="10">
        <v>40971</v>
      </c>
      <c r="M7852">
        <v>11.7</v>
      </c>
      <c r="N7852" s="11">
        <v>1</v>
      </c>
      <c r="O7852" s="12">
        <v>5.89</v>
      </c>
      <c r="P7852" s="12">
        <v>5.57</v>
      </c>
      <c r="Q7852" s="13">
        <v>-8.06</v>
      </c>
      <c r="R7852" s="36" t="s">
        <v>1090</v>
      </c>
      <c r="S7852" s="7">
        <f t="shared" si="686"/>
        <v>2</v>
      </c>
      <c r="T7852" s="15" t="str">
        <f>VLOOKUP(R7852,产品分类!$C$2:$D$1278,2,0)</f>
        <v>办公用品</v>
      </c>
    </row>
    <row r="7853" spans="1:20">
      <c r="A7853" s="8">
        <f>DATE(2012,12,31)-153</f>
        <v>41121</v>
      </c>
      <c r="B7853" s="8">
        <f>DATE(2012,12,31)-153</f>
        <v>41121</v>
      </c>
      <c r="C7853" s="9" t="s">
        <v>472</v>
      </c>
      <c r="D7853">
        <v>10021547521</v>
      </c>
      <c r="E7853" t="s">
        <v>47</v>
      </c>
      <c r="F7853" t="s">
        <v>122</v>
      </c>
      <c r="G7853" t="s">
        <v>123</v>
      </c>
      <c r="H7853" t="s">
        <v>2458</v>
      </c>
      <c r="I7853" t="s">
        <v>2459</v>
      </c>
      <c r="J7853" t="s">
        <v>1225</v>
      </c>
      <c r="K7853" s="3">
        <v>100931810981</v>
      </c>
      <c r="L7853" s="10">
        <v>41122</v>
      </c>
      <c r="M7853">
        <v>257.2</v>
      </c>
      <c r="N7853" s="11">
        <v>47</v>
      </c>
      <c r="O7853" s="12">
        <v>4.48</v>
      </c>
      <c r="P7853" s="12">
        <v>49</v>
      </c>
      <c r="Q7853" s="13">
        <v>-2172.14</v>
      </c>
      <c r="R7853" s="36" t="s">
        <v>2496</v>
      </c>
      <c r="S7853" s="7">
        <f t="shared" si="686"/>
        <v>1</v>
      </c>
      <c r="T7853" s="15" t="str">
        <f>VLOOKUP(R7853,产品分类!$C$2:$D$1278,2,0)</f>
        <v>家具产品</v>
      </c>
    </row>
    <row r="7854" spans="1:20">
      <c r="A7854" s="8">
        <f>DATE(2012,12,31)-153</f>
        <v>41121</v>
      </c>
      <c r="B7854" s="8">
        <f>DATE(2012,12,31)-153</f>
        <v>41121</v>
      </c>
      <c r="C7854" s="9" t="s">
        <v>421</v>
      </c>
      <c r="D7854">
        <v>10021338778</v>
      </c>
      <c r="E7854" t="s">
        <v>47</v>
      </c>
      <c r="F7854" t="s">
        <v>91</v>
      </c>
      <c r="G7854" t="s">
        <v>92</v>
      </c>
      <c r="H7854" t="s">
        <v>2573</v>
      </c>
      <c r="I7854" t="s">
        <v>2574</v>
      </c>
      <c r="J7854" t="s">
        <v>1225</v>
      </c>
      <c r="K7854" s="3">
        <v>100124483397</v>
      </c>
      <c r="L7854" s="10">
        <v>41123</v>
      </c>
      <c r="M7854">
        <v>6139.34</v>
      </c>
      <c r="N7854" s="11">
        <v>29</v>
      </c>
      <c r="O7854" s="12">
        <v>218.75</v>
      </c>
      <c r="P7854" s="12">
        <v>69.64</v>
      </c>
      <c r="Q7854" s="13">
        <v>-528.653125</v>
      </c>
      <c r="R7854" s="36" t="s">
        <v>1852</v>
      </c>
      <c r="S7854" s="7">
        <f t="shared" si="686"/>
        <v>2</v>
      </c>
      <c r="T7854" s="15" t="str">
        <f>VLOOKUP(R7854,产品分类!$C$2:$D$1278,2,0)</f>
        <v>办公用品</v>
      </c>
    </row>
    <row r="7855" spans="1:20">
      <c r="A7855" s="16">
        <f>DATE(2012,12,31)-591</f>
        <v>40683</v>
      </c>
      <c r="B7855" s="16">
        <f>DATE(2012,12,31)-591</f>
        <v>40683</v>
      </c>
      <c r="C7855" s="9" t="s">
        <v>1480</v>
      </c>
      <c r="D7855">
        <v>10021333199</v>
      </c>
      <c r="E7855" t="s">
        <v>47</v>
      </c>
      <c r="F7855" t="s">
        <v>91</v>
      </c>
      <c r="G7855" t="s">
        <v>92</v>
      </c>
      <c r="H7855" t="s">
        <v>2573</v>
      </c>
      <c r="I7855" t="s">
        <v>2574</v>
      </c>
      <c r="J7855" t="s">
        <v>1225</v>
      </c>
      <c r="K7855" s="3">
        <v>10086496942</v>
      </c>
      <c r="L7855" s="10">
        <v>40685</v>
      </c>
      <c r="M7855">
        <v>128.14</v>
      </c>
      <c r="N7855" s="17">
        <v>32</v>
      </c>
      <c r="O7855" s="5">
        <v>3.89</v>
      </c>
      <c r="P7855" s="5">
        <v>7.01</v>
      </c>
      <c r="Q7855" s="6">
        <v>-163.576</v>
      </c>
      <c r="R7855" s="37" t="s">
        <v>1627</v>
      </c>
      <c r="S7855" s="7">
        <f t="shared" si="686"/>
        <v>2</v>
      </c>
      <c r="T7855" s="15" t="str">
        <f>VLOOKUP(R7855,产品分类!$C$2:$D$1278,2,0)</f>
        <v>办公用品</v>
      </c>
    </row>
    <row r="7856" spans="1:20">
      <c r="A7856" s="8">
        <f>DATE(2012,12,31)-591</f>
        <v>40683</v>
      </c>
      <c r="B7856" s="8">
        <f>DATE(2012,12,31)-591</f>
        <v>40683</v>
      </c>
      <c r="C7856" s="9" t="s">
        <v>1633</v>
      </c>
      <c r="D7856">
        <v>10021248131</v>
      </c>
      <c r="E7856" t="s">
        <v>47</v>
      </c>
      <c r="F7856" t="s">
        <v>91</v>
      </c>
      <c r="G7856" t="s">
        <v>92</v>
      </c>
      <c r="H7856" t="s">
        <v>2573</v>
      </c>
      <c r="I7856" t="s">
        <v>2574</v>
      </c>
      <c r="J7856" t="s">
        <v>1225</v>
      </c>
      <c r="K7856" s="3">
        <v>1007321455</v>
      </c>
      <c r="L7856" s="10">
        <v>40685</v>
      </c>
      <c r="M7856">
        <v>67.46</v>
      </c>
      <c r="N7856" s="11">
        <v>9</v>
      </c>
      <c r="O7856" s="12">
        <v>6.48</v>
      </c>
      <c r="P7856" s="12">
        <v>10.05</v>
      </c>
      <c r="Q7856" s="13">
        <v>-57.53</v>
      </c>
      <c r="R7856" s="36" t="s">
        <v>947</v>
      </c>
      <c r="S7856" s="7">
        <f t="shared" si="686"/>
        <v>2</v>
      </c>
      <c r="T7856" s="15" t="str">
        <f>VLOOKUP(R7856,产品分类!$C$2:$D$1278,2,0)</f>
        <v>办公用品</v>
      </c>
    </row>
    <row r="7857" spans="1:20">
      <c r="A7857" s="8">
        <f>DATE(2012,12,31)-263</f>
        <v>41011</v>
      </c>
      <c r="B7857" s="8">
        <f>DATE(2012,12,31)-263</f>
        <v>41011</v>
      </c>
      <c r="C7857" s="9" t="s">
        <v>446</v>
      </c>
      <c r="D7857">
        <v>10021281940</v>
      </c>
      <c r="E7857" t="s">
        <v>47</v>
      </c>
      <c r="F7857" t="s">
        <v>91</v>
      </c>
      <c r="G7857" t="s">
        <v>92</v>
      </c>
      <c r="H7857" t="s">
        <v>2573</v>
      </c>
      <c r="I7857" t="s">
        <v>2574</v>
      </c>
      <c r="J7857" t="s">
        <v>1225</v>
      </c>
      <c r="K7857" s="3">
        <v>100723985535</v>
      </c>
      <c r="L7857" s="10">
        <v>41012</v>
      </c>
      <c r="M7857">
        <v>1613.84</v>
      </c>
      <c r="N7857" s="11">
        <v>47</v>
      </c>
      <c r="O7857" s="12">
        <v>34.76</v>
      </c>
      <c r="P7857" s="12">
        <v>8.22</v>
      </c>
      <c r="Q7857" s="13">
        <v>226.76</v>
      </c>
      <c r="R7857" s="36" t="s">
        <v>441</v>
      </c>
      <c r="S7857" s="7">
        <f t="shared" si="686"/>
        <v>1</v>
      </c>
      <c r="T7857" s="15" t="str">
        <f>VLOOKUP(R7857,产品分类!$C$2:$D$1278,2,0)</f>
        <v>办公用品</v>
      </c>
    </row>
    <row r="7858" spans="1:20">
      <c r="A7858" s="16">
        <f t="shared" ref="A7858:B7861" si="690">DATE(2012,12,31)-526</f>
        <v>40748</v>
      </c>
      <c r="B7858" s="16">
        <f t="shared" si="690"/>
        <v>40748</v>
      </c>
      <c r="C7858" s="9" t="s">
        <v>446</v>
      </c>
      <c r="D7858">
        <v>10021619617</v>
      </c>
      <c r="E7858" t="s">
        <v>47</v>
      </c>
      <c r="F7858" t="s">
        <v>91</v>
      </c>
      <c r="G7858" t="s">
        <v>92</v>
      </c>
      <c r="H7858" t="s">
        <v>2573</v>
      </c>
      <c r="I7858" t="s">
        <v>2574</v>
      </c>
      <c r="J7858" t="s">
        <v>1225</v>
      </c>
      <c r="K7858" s="3">
        <v>1007556365</v>
      </c>
      <c r="L7858" s="10">
        <v>40752</v>
      </c>
      <c r="M7858">
        <v>597.44</v>
      </c>
      <c r="N7858" s="17">
        <v>16</v>
      </c>
      <c r="O7858" s="5">
        <v>38.06</v>
      </c>
      <c r="P7858" s="5">
        <v>4.5</v>
      </c>
      <c r="Q7858" s="6">
        <v>108.3</v>
      </c>
      <c r="R7858" s="37" t="s">
        <v>2343</v>
      </c>
      <c r="S7858" s="7">
        <f t="shared" si="686"/>
        <v>4</v>
      </c>
      <c r="T7858" s="15" t="str">
        <f>VLOOKUP(R7858,产品分类!$C$2:$D$1278,2,0)</f>
        <v>办公用品</v>
      </c>
    </row>
    <row r="7859" spans="1:20">
      <c r="A7859" s="8">
        <f t="shared" si="690"/>
        <v>40748</v>
      </c>
      <c r="B7859" s="8">
        <f t="shared" si="690"/>
        <v>40748</v>
      </c>
      <c r="C7859" s="9" t="s">
        <v>1049</v>
      </c>
      <c r="D7859">
        <v>10021493581</v>
      </c>
      <c r="E7859" t="s">
        <v>47</v>
      </c>
      <c r="F7859" t="s">
        <v>122</v>
      </c>
      <c r="G7859" t="s">
        <v>123</v>
      </c>
      <c r="H7859" t="s">
        <v>2458</v>
      </c>
      <c r="I7859" t="s">
        <v>2459</v>
      </c>
      <c r="J7859" t="s">
        <v>1225</v>
      </c>
      <c r="K7859" s="3">
        <v>10043257814</v>
      </c>
      <c r="L7859" s="10">
        <v>40750</v>
      </c>
      <c r="M7859">
        <v>132.23</v>
      </c>
      <c r="N7859" s="11">
        <v>26</v>
      </c>
      <c r="O7859" s="12">
        <v>5.08</v>
      </c>
      <c r="P7859" s="12">
        <v>2.03</v>
      </c>
      <c r="Q7859" s="13">
        <v>22.25</v>
      </c>
      <c r="R7859" s="36" t="s">
        <v>980</v>
      </c>
      <c r="S7859" s="7">
        <f t="shared" si="686"/>
        <v>2</v>
      </c>
      <c r="T7859" s="15" t="str">
        <f>VLOOKUP(R7859,产品分类!$C$2:$D$1278,2,0)</f>
        <v>办公用品</v>
      </c>
    </row>
    <row r="7860" spans="1:20">
      <c r="A7860" s="8">
        <f t="shared" si="690"/>
        <v>40748</v>
      </c>
      <c r="B7860" s="8">
        <f t="shared" si="690"/>
        <v>40748</v>
      </c>
      <c r="C7860" s="9" t="s">
        <v>1049</v>
      </c>
      <c r="D7860">
        <v>10021662903</v>
      </c>
      <c r="E7860" t="s">
        <v>47</v>
      </c>
      <c r="F7860" t="s">
        <v>91</v>
      </c>
      <c r="G7860" t="s">
        <v>92</v>
      </c>
      <c r="H7860" t="s">
        <v>2621</v>
      </c>
      <c r="I7860" t="s">
        <v>2622</v>
      </c>
      <c r="J7860" t="s">
        <v>1225</v>
      </c>
      <c r="K7860" s="3">
        <v>100123144538</v>
      </c>
      <c r="L7860" s="10">
        <v>40753</v>
      </c>
      <c r="M7860">
        <v>2403.137</v>
      </c>
      <c r="N7860" s="11">
        <v>22</v>
      </c>
      <c r="O7860" s="12">
        <v>125.99</v>
      </c>
      <c r="P7860" s="12">
        <v>8.99</v>
      </c>
      <c r="Q7860" s="13">
        <v>377.622</v>
      </c>
      <c r="R7860" s="36" t="s">
        <v>399</v>
      </c>
      <c r="S7860" s="7">
        <f t="shared" si="686"/>
        <v>5</v>
      </c>
      <c r="T7860" s="15" t="str">
        <f>VLOOKUP(R7860,产品分类!$C$2:$D$1278,2,0)</f>
        <v>办公用品</v>
      </c>
    </row>
    <row r="7861" spans="1:20">
      <c r="A7861" s="8">
        <f t="shared" si="690"/>
        <v>40748</v>
      </c>
      <c r="B7861" s="8">
        <f t="shared" si="690"/>
        <v>40748</v>
      </c>
      <c r="C7861" s="9" t="s">
        <v>686</v>
      </c>
      <c r="D7861">
        <v>10021656950</v>
      </c>
      <c r="E7861" t="s">
        <v>47</v>
      </c>
      <c r="F7861" t="s">
        <v>91</v>
      </c>
      <c r="G7861" t="s">
        <v>92</v>
      </c>
      <c r="H7861" t="s">
        <v>2621</v>
      </c>
      <c r="I7861" t="s">
        <v>2622</v>
      </c>
      <c r="J7861" t="s">
        <v>1225</v>
      </c>
      <c r="K7861" s="3">
        <v>10074483885</v>
      </c>
      <c r="L7861" s="10">
        <v>40750</v>
      </c>
      <c r="M7861">
        <v>5138.335</v>
      </c>
      <c r="N7861" s="11">
        <v>48</v>
      </c>
      <c r="O7861" s="12">
        <v>125.99</v>
      </c>
      <c r="P7861" s="12">
        <v>8.08</v>
      </c>
      <c r="Q7861" s="13">
        <v>1422.198</v>
      </c>
      <c r="R7861" s="36" t="s">
        <v>878</v>
      </c>
      <c r="S7861" s="7">
        <f t="shared" si="686"/>
        <v>2</v>
      </c>
      <c r="T7861" s="15" t="str">
        <f>VLOOKUP(R7861,产品分类!$C$2:$D$1278,2,0)</f>
        <v>数码电子</v>
      </c>
    </row>
    <row r="7862" spans="1:20">
      <c r="A7862" s="8">
        <f>DATE(2012,12,31)-372</f>
        <v>40902</v>
      </c>
      <c r="B7862" s="8">
        <f>DATE(2012,12,31)-372</f>
        <v>40902</v>
      </c>
      <c r="C7862" s="9" t="s">
        <v>686</v>
      </c>
      <c r="D7862">
        <v>10021529282</v>
      </c>
      <c r="E7862" t="s">
        <v>47</v>
      </c>
      <c r="F7862" t="s">
        <v>122</v>
      </c>
      <c r="G7862" t="s">
        <v>123</v>
      </c>
      <c r="H7862" t="s">
        <v>2458</v>
      </c>
      <c r="I7862" t="s">
        <v>2459</v>
      </c>
      <c r="J7862" t="s">
        <v>1225</v>
      </c>
      <c r="K7862" s="3">
        <v>100311618409</v>
      </c>
      <c r="L7862" s="10">
        <v>40903</v>
      </c>
      <c r="M7862">
        <v>170.82</v>
      </c>
      <c r="N7862" s="11">
        <v>41</v>
      </c>
      <c r="O7862" s="12">
        <v>3.69</v>
      </c>
      <c r="P7862" s="12">
        <v>0.5</v>
      </c>
      <c r="Q7862" s="13">
        <v>85.45</v>
      </c>
      <c r="R7862" s="36" t="s">
        <v>574</v>
      </c>
      <c r="S7862" s="7">
        <f t="shared" si="686"/>
        <v>1</v>
      </c>
      <c r="T7862" s="15" t="str">
        <f>VLOOKUP(R7862,产品分类!$C$2:$D$1278,2,0)</f>
        <v>办公用品</v>
      </c>
    </row>
    <row r="7863" spans="1:20">
      <c r="A7863" s="8">
        <f>DATE(2012,12,31)-372</f>
        <v>40902</v>
      </c>
      <c r="B7863" s="8">
        <f>DATE(2012,12,31)-372</f>
        <v>40902</v>
      </c>
      <c r="C7863" s="9" t="s">
        <v>686</v>
      </c>
      <c r="D7863">
        <v>10021737807</v>
      </c>
      <c r="E7863" t="s">
        <v>47</v>
      </c>
      <c r="F7863" t="s">
        <v>83</v>
      </c>
      <c r="G7863" t="s">
        <v>84</v>
      </c>
      <c r="H7863" t="s">
        <v>2577</v>
      </c>
      <c r="I7863" t="s">
        <v>2578</v>
      </c>
      <c r="J7863" t="s">
        <v>1225</v>
      </c>
      <c r="K7863" s="3">
        <v>100113110987</v>
      </c>
      <c r="L7863" s="10">
        <v>40903</v>
      </c>
      <c r="M7863">
        <v>1609.69</v>
      </c>
      <c r="N7863" s="11">
        <v>4</v>
      </c>
      <c r="O7863" s="12">
        <v>419.19</v>
      </c>
      <c r="P7863" s="12">
        <v>19.99</v>
      </c>
      <c r="Q7863" s="13">
        <v>-281.17</v>
      </c>
      <c r="R7863" s="36" t="s">
        <v>2155</v>
      </c>
      <c r="S7863" s="7">
        <f t="shared" si="686"/>
        <v>1</v>
      </c>
      <c r="T7863" s="15" t="str">
        <f>VLOOKUP(R7863,产品分类!$C$2:$D$1278,2,0)</f>
        <v>数码电子</v>
      </c>
    </row>
    <row r="7864" spans="1:20">
      <c r="A7864" s="8">
        <f>DATE(2012,12,31)-1416</f>
        <v>39858</v>
      </c>
      <c r="B7864" s="8">
        <f>DATE(2012,12,31)-1416</f>
        <v>39858</v>
      </c>
      <c r="C7864" s="9" t="s">
        <v>686</v>
      </c>
      <c r="D7864">
        <v>10021690989</v>
      </c>
      <c r="E7864" t="s">
        <v>47</v>
      </c>
      <c r="F7864" t="s">
        <v>91</v>
      </c>
      <c r="G7864" t="s">
        <v>92</v>
      </c>
      <c r="H7864" t="s">
        <v>2621</v>
      </c>
      <c r="I7864" t="s">
        <v>2622</v>
      </c>
      <c r="J7864" t="s">
        <v>1225</v>
      </c>
      <c r="K7864" s="3">
        <v>100926345901</v>
      </c>
      <c r="L7864" s="10">
        <v>39859</v>
      </c>
      <c r="M7864">
        <v>6686.344</v>
      </c>
      <c r="N7864" s="11">
        <v>34</v>
      </c>
      <c r="O7864" s="12">
        <v>236.97</v>
      </c>
      <c r="P7864" s="12">
        <v>59.24</v>
      </c>
      <c r="Q7864" s="13">
        <v>1192.04</v>
      </c>
      <c r="R7864" s="36" t="s">
        <v>237</v>
      </c>
      <c r="S7864" s="7">
        <f t="shared" si="686"/>
        <v>1</v>
      </c>
      <c r="T7864" s="15" t="str">
        <f>VLOOKUP(R7864,产品分类!$C$2:$D$1278,2,0)</f>
        <v>数码电子</v>
      </c>
    </row>
    <row r="7865" spans="1:20">
      <c r="A7865" s="8">
        <f>DATE(2012,12,31)-264</f>
        <v>41010</v>
      </c>
      <c r="B7865" s="8">
        <f>DATE(2012,12,31)-264</f>
        <v>41010</v>
      </c>
      <c r="C7865" s="9" t="s">
        <v>851</v>
      </c>
      <c r="D7865">
        <v>10021766391</v>
      </c>
      <c r="E7865" t="s">
        <v>47</v>
      </c>
      <c r="F7865" t="s">
        <v>91</v>
      </c>
      <c r="G7865" t="s">
        <v>92</v>
      </c>
      <c r="H7865" t="s">
        <v>2621</v>
      </c>
      <c r="I7865" t="s">
        <v>2622</v>
      </c>
      <c r="J7865" t="s">
        <v>1225</v>
      </c>
      <c r="K7865" s="3">
        <v>10082008172</v>
      </c>
      <c r="L7865" s="10">
        <v>41011</v>
      </c>
      <c r="M7865">
        <v>2728.65</v>
      </c>
      <c r="N7865" s="11">
        <v>1</v>
      </c>
      <c r="O7865" s="12">
        <v>2550.14</v>
      </c>
      <c r="P7865" s="12">
        <v>29.7</v>
      </c>
      <c r="Q7865" s="13">
        <v>-5572.3935</v>
      </c>
      <c r="R7865" s="36" t="s">
        <v>351</v>
      </c>
      <c r="S7865" s="7">
        <f t="shared" si="686"/>
        <v>1</v>
      </c>
      <c r="T7865" s="15" t="str">
        <f>VLOOKUP(R7865,产品分类!$C$2:$D$1278,2,0)</f>
        <v>办公用品</v>
      </c>
    </row>
    <row r="7866" spans="1:20">
      <c r="A7866" s="8">
        <f>DATE(2012,12,31)-1411</f>
        <v>39863</v>
      </c>
      <c r="B7866" s="8">
        <f>DATE(2012,12,31)-1411</f>
        <v>39863</v>
      </c>
      <c r="C7866" s="9" t="s">
        <v>2404</v>
      </c>
      <c r="D7866">
        <v>10021453328</v>
      </c>
      <c r="E7866" t="s">
        <v>47</v>
      </c>
      <c r="F7866" t="s">
        <v>55</v>
      </c>
      <c r="G7866" t="s">
        <v>56</v>
      </c>
      <c r="H7866" t="s">
        <v>2604</v>
      </c>
      <c r="I7866" t="s">
        <v>2605</v>
      </c>
      <c r="J7866" t="s">
        <v>1225</v>
      </c>
      <c r="K7866" s="3">
        <v>100131994707</v>
      </c>
      <c r="L7866" s="10">
        <v>39863</v>
      </c>
      <c r="M7866">
        <v>158.62</v>
      </c>
      <c r="N7866" s="11">
        <v>37</v>
      </c>
      <c r="O7866" s="12">
        <v>4.28</v>
      </c>
      <c r="P7866" s="12">
        <v>5.17</v>
      </c>
      <c r="Q7866" s="13">
        <v>-104.57</v>
      </c>
      <c r="R7866" s="36" t="s">
        <v>581</v>
      </c>
      <c r="S7866" s="7">
        <f t="shared" si="686"/>
        <v>0</v>
      </c>
      <c r="T7866" s="15" t="str">
        <f>VLOOKUP(R7866,产品分类!$C$2:$D$1278,2,0)</f>
        <v>办公用品</v>
      </c>
    </row>
    <row r="7867" spans="1:20">
      <c r="A7867" s="8">
        <f>DATE(2012,12,31)-406</f>
        <v>40868</v>
      </c>
      <c r="B7867" s="8">
        <f>DATE(2012,12,31)-406</f>
        <v>40868</v>
      </c>
      <c r="C7867" s="9" t="s">
        <v>1947</v>
      </c>
      <c r="D7867">
        <v>10021695720</v>
      </c>
      <c r="E7867" t="s">
        <v>47</v>
      </c>
      <c r="F7867" t="s">
        <v>171</v>
      </c>
      <c r="G7867" t="s">
        <v>172</v>
      </c>
      <c r="H7867" t="s">
        <v>2486</v>
      </c>
      <c r="I7867" t="s">
        <v>2310</v>
      </c>
      <c r="J7867" t="s">
        <v>1225</v>
      </c>
      <c r="K7867" s="3">
        <v>100732440395</v>
      </c>
      <c r="L7867" s="10">
        <v>40869</v>
      </c>
      <c r="M7867">
        <v>176.58</v>
      </c>
      <c r="N7867" s="11">
        <v>6</v>
      </c>
      <c r="O7867" s="12">
        <v>30.56</v>
      </c>
      <c r="P7867" s="12">
        <v>2.99</v>
      </c>
      <c r="Q7867" s="13">
        <v>28.339</v>
      </c>
      <c r="R7867" s="36" t="s">
        <v>1213</v>
      </c>
      <c r="S7867" s="7">
        <f t="shared" si="686"/>
        <v>1</v>
      </c>
      <c r="T7867" s="15" t="str">
        <f>VLOOKUP(R7867,产品分类!$C$2:$D$1278,2,0)</f>
        <v>办公用品</v>
      </c>
    </row>
    <row r="7868" spans="1:20">
      <c r="A7868" s="8">
        <f>DATE(2012,12,31)-406</f>
        <v>40868</v>
      </c>
      <c r="B7868" s="8">
        <f>DATE(2012,12,31)-406</f>
        <v>40868</v>
      </c>
      <c r="C7868" s="9" t="s">
        <v>1196</v>
      </c>
      <c r="D7868">
        <v>10021255578</v>
      </c>
      <c r="E7868" t="s">
        <v>47</v>
      </c>
      <c r="F7868" t="s">
        <v>127</v>
      </c>
      <c r="G7868" t="s">
        <v>128</v>
      </c>
      <c r="H7868" t="s">
        <v>2608</v>
      </c>
      <c r="I7868" t="s">
        <v>2609</v>
      </c>
      <c r="J7868" t="s">
        <v>271</v>
      </c>
      <c r="K7868" s="3">
        <v>100424308184</v>
      </c>
      <c r="L7868" s="10">
        <v>40869</v>
      </c>
      <c r="M7868">
        <v>1121.84</v>
      </c>
      <c r="N7868" s="11">
        <v>15</v>
      </c>
      <c r="O7868" s="12">
        <v>73.98</v>
      </c>
      <c r="P7868" s="12">
        <v>12.14</v>
      </c>
      <c r="Q7868" s="13">
        <v>-173.66</v>
      </c>
      <c r="R7868" s="36" t="s">
        <v>1770</v>
      </c>
      <c r="S7868" s="7">
        <f t="shared" si="686"/>
        <v>1</v>
      </c>
      <c r="T7868" s="15" t="str">
        <f>VLOOKUP(R7868,产品分类!$C$2:$D$1278,2,0)</f>
        <v>数码电子</v>
      </c>
    </row>
    <row r="7869" spans="1:20">
      <c r="A7869" s="8">
        <f>DATE(2012,12,31)-1313</f>
        <v>39961</v>
      </c>
      <c r="B7869" s="8">
        <f>DATE(2012,12,31)-1313</f>
        <v>39961</v>
      </c>
      <c r="C7869" s="9" t="s">
        <v>1196</v>
      </c>
      <c r="D7869">
        <v>10021386703</v>
      </c>
      <c r="E7869" t="s">
        <v>47</v>
      </c>
      <c r="F7869" t="s">
        <v>97</v>
      </c>
      <c r="G7869" t="s">
        <v>98</v>
      </c>
      <c r="H7869" t="s">
        <v>99</v>
      </c>
      <c r="I7869" t="s">
        <v>98</v>
      </c>
      <c r="J7869" t="s">
        <v>271</v>
      </c>
      <c r="K7869" s="3">
        <v>100112950968</v>
      </c>
      <c r="L7869" s="10">
        <v>39962</v>
      </c>
      <c r="M7869">
        <v>73.62</v>
      </c>
      <c r="N7869" s="11">
        <v>11</v>
      </c>
      <c r="O7869" s="12">
        <v>5.98</v>
      </c>
      <c r="P7869" s="12">
        <v>5.35</v>
      </c>
      <c r="Q7869" s="13">
        <v>-23.5</v>
      </c>
      <c r="R7869" s="36" t="s">
        <v>843</v>
      </c>
      <c r="S7869" s="7">
        <f t="shared" si="686"/>
        <v>1</v>
      </c>
      <c r="T7869" s="15" t="str">
        <f>VLOOKUP(R7869,产品分类!$C$2:$D$1278,2,0)</f>
        <v>办公用品</v>
      </c>
    </row>
    <row r="7870" spans="1:20">
      <c r="A7870" s="8">
        <f>DATE(2012,12,31)-324</f>
        <v>40950</v>
      </c>
      <c r="B7870" s="8">
        <f>DATE(2012,12,31)-324</f>
        <v>40950</v>
      </c>
      <c r="C7870" s="9" t="s">
        <v>2623</v>
      </c>
      <c r="D7870">
        <v>10021547950</v>
      </c>
      <c r="E7870" t="s">
        <v>47</v>
      </c>
      <c r="F7870" t="s">
        <v>132</v>
      </c>
      <c r="G7870" t="s">
        <v>133</v>
      </c>
      <c r="H7870" t="s">
        <v>134</v>
      </c>
      <c r="I7870" t="s">
        <v>133</v>
      </c>
      <c r="J7870" t="s">
        <v>271</v>
      </c>
      <c r="K7870" s="3">
        <v>100432127744</v>
      </c>
      <c r="L7870" s="10">
        <v>40957</v>
      </c>
      <c r="M7870">
        <v>110</v>
      </c>
      <c r="N7870" s="11">
        <v>3</v>
      </c>
      <c r="O7870" s="12">
        <v>30.98</v>
      </c>
      <c r="P7870" s="12">
        <v>11.63</v>
      </c>
      <c r="Q7870" s="13">
        <v>-24.426</v>
      </c>
      <c r="R7870" s="36" t="s">
        <v>2321</v>
      </c>
      <c r="S7870" s="7">
        <f t="shared" si="686"/>
        <v>7</v>
      </c>
      <c r="T7870" s="15" t="str">
        <f>VLOOKUP(R7870,产品分类!$C$2:$D$1278,2,0)</f>
        <v>数码电子</v>
      </c>
    </row>
    <row r="7871" spans="1:20">
      <c r="A7871" s="8">
        <f>DATE(2012,12,31)-324</f>
        <v>40950</v>
      </c>
      <c r="B7871" s="8">
        <f>DATE(2012,12,31)-324</f>
        <v>40950</v>
      </c>
      <c r="C7871" s="9" t="s">
        <v>2623</v>
      </c>
      <c r="D7871">
        <v>10021348852</v>
      </c>
      <c r="E7871" t="s">
        <v>47</v>
      </c>
      <c r="F7871" t="s">
        <v>97</v>
      </c>
      <c r="G7871" t="s">
        <v>98</v>
      </c>
      <c r="H7871" t="s">
        <v>99</v>
      </c>
      <c r="I7871" t="s">
        <v>98</v>
      </c>
      <c r="J7871" t="s">
        <v>271</v>
      </c>
      <c r="K7871" s="3">
        <v>100431629063</v>
      </c>
      <c r="L7871" s="10">
        <v>40957</v>
      </c>
      <c r="M7871">
        <v>186.89</v>
      </c>
      <c r="N7871" s="11">
        <v>35</v>
      </c>
      <c r="O7871" s="12">
        <v>4.98</v>
      </c>
      <c r="P7871" s="12">
        <v>7.54</v>
      </c>
      <c r="Q7871" s="13">
        <v>-153.2</v>
      </c>
      <c r="R7871" s="36" t="s">
        <v>1755</v>
      </c>
      <c r="S7871" s="7">
        <f t="shared" si="686"/>
        <v>7</v>
      </c>
      <c r="T7871" s="15" t="str">
        <f>VLOOKUP(R7871,产品分类!$C$2:$D$1278,2,0)</f>
        <v>办公用品</v>
      </c>
    </row>
    <row r="7872" spans="1:20">
      <c r="A7872" s="8">
        <f>DATE(2012,12,31)-584</f>
        <v>40690</v>
      </c>
      <c r="B7872" s="8">
        <f>DATE(2012,12,31)-584</f>
        <v>40690</v>
      </c>
      <c r="C7872" s="9" t="s">
        <v>2623</v>
      </c>
      <c r="D7872">
        <v>10021590566</v>
      </c>
      <c r="E7872" t="s">
        <v>47</v>
      </c>
      <c r="F7872" t="s">
        <v>97</v>
      </c>
      <c r="G7872" t="s">
        <v>98</v>
      </c>
      <c r="H7872" t="s">
        <v>99</v>
      </c>
      <c r="I7872" t="s">
        <v>98</v>
      </c>
      <c r="J7872" t="s">
        <v>271</v>
      </c>
      <c r="K7872" s="3">
        <v>100131516266</v>
      </c>
      <c r="L7872" s="10">
        <v>40692</v>
      </c>
      <c r="M7872">
        <v>979.52</v>
      </c>
      <c r="N7872" s="11">
        <v>17</v>
      </c>
      <c r="O7872" s="12">
        <v>58.14</v>
      </c>
      <c r="P7872" s="12">
        <v>36.61</v>
      </c>
      <c r="Q7872" s="13">
        <v>-362.04</v>
      </c>
      <c r="R7872" s="36" t="s">
        <v>1704</v>
      </c>
      <c r="S7872" s="7">
        <f t="shared" si="686"/>
        <v>2</v>
      </c>
      <c r="T7872" s="15" t="str">
        <f>VLOOKUP(R7872,产品分类!$C$2:$D$1278,2,0)</f>
        <v>家具产品</v>
      </c>
    </row>
    <row r="7873" spans="1:20">
      <c r="A7873" s="8">
        <f>DATE(2012,12,31)-584</f>
        <v>40690</v>
      </c>
      <c r="B7873" s="8">
        <f>DATE(2012,12,31)-584</f>
        <v>40690</v>
      </c>
      <c r="C7873" s="9" t="s">
        <v>1983</v>
      </c>
      <c r="D7873">
        <v>10021430957</v>
      </c>
      <c r="E7873" t="s">
        <v>47</v>
      </c>
      <c r="F7873" t="s">
        <v>132</v>
      </c>
      <c r="G7873" t="s">
        <v>133</v>
      </c>
      <c r="H7873" t="s">
        <v>134</v>
      </c>
      <c r="I7873" t="s">
        <v>133</v>
      </c>
      <c r="J7873" t="s">
        <v>271</v>
      </c>
      <c r="K7873" s="3">
        <v>100931967861</v>
      </c>
      <c r="L7873" s="10">
        <v>40691</v>
      </c>
      <c r="M7873">
        <v>126.62</v>
      </c>
      <c r="N7873" s="11">
        <v>18</v>
      </c>
      <c r="O7873" s="12">
        <v>6.3</v>
      </c>
      <c r="P7873" s="12">
        <v>0.5</v>
      </c>
      <c r="Q7873" s="13">
        <v>60.79</v>
      </c>
      <c r="R7873" s="36" t="s">
        <v>2017</v>
      </c>
      <c r="S7873" s="7">
        <f t="shared" si="686"/>
        <v>1</v>
      </c>
      <c r="T7873" s="15" t="str">
        <f>VLOOKUP(R7873,产品分类!$C$2:$D$1278,2,0)</f>
        <v>家具产品</v>
      </c>
    </row>
    <row r="7874" spans="1:20">
      <c r="A7874" s="8">
        <f>DATE(2012,12,31)-1246</f>
        <v>40028</v>
      </c>
      <c r="B7874" s="8">
        <f>DATE(2012,12,31)-1246</f>
        <v>40028</v>
      </c>
      <c r="C7874" s="9" t="s">
        <v>1983</v>
      </c>
      <c r="D7874">
        <v>10021334399</v>
      </c>
      <c r="E7874" t="s">
        <v>47</v>
      </c>
      <c r="F7874" t="s">
        <v>132</v>
      </c>
      <c r="G7874" t="s">
        <v>133</v>
      </c>
      <c r="H7874" t="s">
        <v>134</v>
      </c>
      <c r="I7874" t="s">
        <v>133</v>
      </c>
      <c r="J7874" t="s">
        <v>271</v>
      </c>
      <c r="K7874" s="3">
        <v>100411266284</v>
      </c>
      <c r="L7874" s="10">
        <v>40029</v>
      </c>
      <c r="M7874">
        <v>27.89</v>
      </c>
      <c r="N7874" s="11">
        <v>6</v>
      </c>
      <c r="O7874" s="12">
        <v>3.98</v>
      </c>
      <c r="P7874" s="12">
        <v>5.26</v>
      </c>
      <c r="Q7874" s="13">
        <v>-23.805</v>
      </c>
      <c r="R7874" s="36" t="s">
        <v>1673</v>
      </c>
      <c r="S7874" s="7">
        <f t="shared" si="686"/>
        <v>1</v>
      </c>
      <c r="T7874" s="15" t="str">
        <f>VLOOKUP(R7874,产品分类!$C$2:$D$1278,2,0)</f>
        <v>家具产品</v>
      </c>
    </row>
    <row r="7875" spans="1:20">
      <c r="A7875" s="8">
        <f>DATE(2012,12,31)-1246</f>
        <v>40028</v>
      </c>
      <c r="B7875" s="8">
        <f>DATE(2012,12,31)-1246</f>
        <v>40028</v>
      </c>
      <c r="C7875" s="9" t="s">
        <v>497</v>
      </c>
      <c r="D7875">
        <v>10021446568</v>
      </c>
      <c r="E7875" t="s">
        <v>47</v>
      </c>
      <c r="F7875" t="s">
        <v>97</v>
      </c>
      <c r="G7875" t="s">
        <v>98</v>
      </c>
      <c r="H7875" t="s">
        <v>99</v>
      </c>
      <c r="I7875" t="s">
        <v>98</v>
      </c>
      <c r="J7875" t="s">
        <v>271</v>
      </c>
      <c r="K7875" s="3">
        <v>100419869953</v>
      </c>
      <c r="L7875" s="10">
        <v>40030</v>
      </c>
      <c r="M7875">
        <v>2560.9395</v>
      </c>
      <c r="N7875" s="11">
        <v>24</v>
      </c>
      <c r="O7875" s="12">
        <v>125.99</v>
      </c>
      <c r="P7875" s="12">
        <v>2.5</v>
      </c>
      <c r="Q7875" s="13">
        <v>457.794</v>
      </c>
      <c r="R7875" s="36" t="s">
        <v>1053</v>
      </c>
      <c r="S7875" s="7">
        <f t="shared" ref="S7875:S7938" si="691">+L7875-B7875</f>
        <v>2</v>
      </c>
      <c r="T7875" s="15" t="str">
        <f>VLOOKUP(R7875,产品分类!$C$2:$D$1278,2,0)</f>
        <v>家具产品</v>
      </c>
    </row>
    <row r="7876" spans="1:20">
      <c r="A7876" s="8">
        <f>DATE(2012,12,31)-117</f>
        <v>41157</v>
      </c>
      <c r="B7876" s="8">
        <f>DATE(2012,12,31)-117</f>
        <v>41157</v>
      </c>
      <c r="C7876" s="9" t="s">
        <v>191</v>
      </c>
      <c r="D7876">
        <v>10021757167</v>
      </c>
      <c r="E7876" t="s">
        <v>47</v>
      </c>
      <c r="F7876" t="s">
        <v>102</v>
      </c>
      <c r="G7876" t="s">
        <v>103</v>
      </c>
      <c r="H7876" t="s">
        <v>2617</v>
      </c>
      <c r="I7876" t="s">
        <v>2618</v>
      </c>
      <c r="J7876" t="s">
        <v>271</v>
      </c>
      <c r="K7876" s="3">
        <v>100833046662</v>
      </c>
      <c r="L7876" s="10">
        <v>41159</v>
      </c>
      <c r="M7876">
        <v>1339.024</v>
      </c>
      <c r="N7876" s="11">
        <v>7</v>
      </c>
      <c r="O7876" s="12">
        <v>218.75</v>
      </c>
      <c r="P7876" s="12">
        <v>69.64</v>
      </c>
      <c r="Q7876" s="13">
        <v>-211.51</v>
      </c>
      <c r="R7876" s="36" t="s">
        <v>1219</v>
      </c>
      <c r="S7876" s="7">
        <f t="shared" si="691"/>
        <v>2</v>
      </c>
      <c r="T7876" s="15" t="str">
        <f>VLOOKUP(R7876,产品分类!$C$2:$D$1278,2,0)</f>
        <v>数码电子</v>
      </c>
    </row>
    <row r="7877" spans="1:20">
      <c r="A7877" s="8">
        <f t="shared" ref="A7877:B7879" si="692">DATE(2012,12,31)-633</f>
        <v>40641</v>
      </c>
      <c r="B7877" s="8">
        <f t="shared" si="692"/>
        <v>40641</v>
      </c>
      <c r="C7877" s="9" t="s">
        <v>191</v>
      </c>
      <c r="D7877">
        <v>10021266305</v>
      </c>
      <c r="E7877" t="s">
        <v>47</v>
      </c>
      <c r="F7877" t="s">
        <v>137</v>
      </c>
      <c r="G7877" t="s">
        <v>138</v>
      </c>
      <c r="H7877" t="s">
        <v>2504</v>
      </c>
      <c r="I7877" t="s">
        <v>2505</v>
      </c>
      <c r="J7877" t="s">
        <v>271</v>
      </c>
      <c r="K7877" s="3">
        <v>100131770516</v>
      </c>
      <c r="L7877" s="10">
        <v>40643</v>
      </c>
      <c r="M7877">
        <v>823.78</v>
      </c>
      <c r="N7877" s="11">
        <v>37</v>
      </c>
      <c r="O7877" s="12">
        <v>22.23</v>
      </c>
      <c r="P7877" s="12">
        <v>5.08</v>
      </c>
      <c r="Q7877" s="13">
        <v>343.05</v>
      </c>
      <c r="R7877" s="36" t="s">
        <v>569</v>
      </c>
      <c r="S7877" s="7">
        <f t="shared" si="691"/>
        <v>2</v>
      </c>
      <c r="T7877" s="15" t="str">
        <f>VLOOKUP(R7877,产品分类!$C$2:$D$1278,2,0)</f>
        <v>家具产品</v>
      </c>
    </row>
    <row r="7878" spans="1:20">
      <c r="A7878" s="8">
        <f t="shared" si="692"/>
        <v>40641</v>
      </c>
      <c r="B7878" s="8">
        <f t="shared" si="692"/>
        <v>40641</v>
      </c>
      <c r="C7878" s="9" t="s">
        <v>2203</v>
      </c>
      <c r="D7878">
        <v>10021423134</v>
      </c>
      <c r="E7878" t="s">
        <v>47</v>
      </c>
      <c r="F7878" t="s">
        <v>102</v>
      </c>
      <c r="G7878" t="s">
        <v>103</v>
      </c>
      <c r="H7878" t="s">
        <v>2617</v>
      </c>
      <c r="I7878" t="s">
        <v>2618</v>
      </c>
      <c r="J7878" t="s">
        <v>271</v>
      </c>
      <c r="K7878" s="3">
        <v>100427699683</v>
      </c>
      <c r="L7878" s="10">
        <v>40642</v>
      </c>
      <c r="M7878">
        <v>469.8375</v>
      </c>
      <c r="N7878" s="11">
        <v>8</v>
      </c>
      <c r="O7878" s="12">
        <v>65.99</v>
      </c>
      <c r="P7878" s="12">
        <v>8.99</v>
      </c>
      <c r="Q7878" s="13">
        <v>-159.236</v>
      </c>
      <c r="R7878" s="36" t="s">
        <v>620</v>
      </c>
      <c r="S7878" s="7">
        <f t="shared" si="691"/>
        <v>1</v>
      </c>
      <c r="T7878" s="15" t="str">
        <f>VLOOKUP(R7878,产品分类!$C$2:$D$1278,2,0)</f>
        <v>数码电子</v>
      </c>
    </row>
    <row r="7879" spans="1:20">
      <c r="A7879" s="8">
        <f t="shared" si="692"/>
        <v>40641</v>
      </c>
      <c r="B7879" s="8">
        <f t="shared" si="692"/>
        <v>40641</v>
      </c>
      <c r="C7879" s="9" t="s">
        <v>2203</v>
      </c>
      <c r="D7879">
        <v>10021418301</v>
      </c>
      <c r="E7879" t="s">
        <v>47</v>
      </c>
      <c r="F7879" t="s">
        <v>137</v>
      </c>
      <c r="G7879" t="s">
        <v>138</v>
      </c>
      <c r="H7879" t="s">
        <v>2504</v>
      </c>
      <c r="I7879" t="s">
        <v>2505</v>
      </c>
      <c r="J7879" t="s">
        <v>271</v>
      </c>
      <c r="K7879" s="3">
        <v>100420954073</v>
      </c>
      <c r="L7879" s="10">
        <v>40644</v>
      </c>
      <c r="M7879">
        <v>647.77</v>
      </c>
      <c r="N7879" s="11">
        <v>33</v>
      </c>
      <c r="O7879" s="12">
        <v>19.98</v>
      </c>
      <c r="P7879" s="12">
        <v>5.77</v>
      </c>
      <c r="Q7879" s="13">
        <v>166.85</v>
      </c>
      <c r="R7879" s="36" t="s">
        <v>1499</v>
      </c>
      <c r="S7879" s="7">
        <f t="shared" si="691"/>
        <v>3</v>
      </c>
      <c r="T7879" s="15" t="str">
        <f>VLOOKUP(R7879,产品分类!$C$2:$D$1278,2,0)</f>
        <v>办公用品</v>
      </c>
    </row>
    <row r="7880" spans="1:20">
      <c r="A7880" s="8">
        <f>DATE(2012,12,31)-425</f>
        <v>40849</v>
      </c>
      <c r="B7880" s="8">
        <f>DATE(2012,12,31)-425</f>
        <v>40849</v>
      </c>
      <c r="C7880" s="9" t="s">
        <v>2203</v>
      </c>
      <c r="D7880">
        <v>10021342512</v>
      </c>
      <c r="E7880" t="s">
        <v>47</v>
      </c>
      <c r="F7880" t="s">
        <v>527</v>
      </c>
      <c r="G7880" t="s">
        <v>528</v>
      </c>
      <c r="H7880" t="s">
        <v>2624</v>
      </c>
      <c r="I7880" t="s">
        <v>2625</v>
      </c>
      <c r="J7880" t="s">
        <v>271</v>
      </c>
      <c r="K7880" s="3">
        <v>100828134642</v>
      </c>
      <c r="L7880" s="10">
        <v>40850</v>
      </c>
      <c r="M7880">
        <v>7497.08</v>
      </c>
      <c r="N7880" s="11">
        <v>30</v>
      </c>
      <c r="O7880" s="12">
        <v>296.18</v>
      </c>
      <c r="P7880" s="12">
        <v>54.12</v>
      </c>
      <c r="Q7880" s="13">
        <v>698.67</v>
      </c>
      <c r="R7880" s="36" t="s">
        <v>912</v>
      </c>
      <c r="S7880" s="7">
        <f t="shared" si="691"/>
        <v>1</v>
      </c>
      <c r="T7880" s="15" t="str">
        <f>VLOOKUP(R7880,产品分类!$C$2:$D$1278,2,0)</f>
        <v>办公用品</v>
      </c>
    </row>
    <row r="7881" spans="1:20">
      <c r="A7881" s="8">
        <f>DATE(2012,12,31)-425</f>
        <v>40849</v>
      </c>
      <c r="B7881" s="8">
        <f>DATE(2012,12,31)-425</f>
        <v>40849</v>
      </c>
      <c r="C7881" s="9" t="s">
        <v>1238</v>
      </c>
      <c r="D7881">
        <v>10021577859</v>
      </c>
      <c r="E7881" t="s">
        <v>47</v>
      </c>
      <c r="F7881" t="s">
        <v>171</v>
      </c>
      <c r="G7881" t="s">
        <v>172</v>
      </c>
      <c r="H7881" t="s">
        <v>2486</v>
      </c>
      <c r="I7881" t="s">
        <v>2310</v>
      </c>
      <c r="J7881" t="s">
        <v>271</v>
      </c>
      <c r="K7881" s="3">
        <v>100916898251</v>
      </c>
      <c r="L7881" s="10">
        <v>40851</v>
      </c>
      <c r="M7881">
        <v>1134.2</v>
      </c>
      <c r="N7881" s="11">
        <v>19</v>
      </c>
      <c r="O7881" s="12">
        <v>58.14</v>
      </c>
      <c r="P7881" s="12">
        <v>36.61</v>
      </c>
      <c r="Q7881" s="13">
        <v>-351.51</v>
      </c>
      <c r="R7881" s="36" t="s">
        <v>2342</v>
      </c>
      <c r="S7881" s="7">
        <f t="shared" si="691"/>
        <v>2</v>
      </c>
      <c r="T7881" s="15" t="str">
        <f>VLOOKUP(R7881,产品分类!$C$2:$D$1278,2,0)</f>
        <v>家具产品</v>
      </c>
    </row>
    <row r="7882" spans="1:20">
      <c r="A7882" s="8">
        <f t="shared" ref="A7882:B7884" si="693">DATE(2012,12,31)-505</f>
        <v>40769</v>
      </c>
      <c r="B7882" s="8">
        <f t="shared" si="693"/>
        <v>40769</v>
      </c>
      <c r="C7882" s="9" t="s">
        <v>1487</v>
      </c>
      <c r="D7882">
        <v>10021462575</v>
      </c>
      <c r="E7882" t="s">
        <v>47</v>
      </c>
      <c r="F7882" t="s">
        <v>171</v>
      </c>
      <c r="G7882" t="s">
        <v>172</v>
      </c>
      <c r="H7882" t="s">
        <v>2486</v>
      </c>
      <c r="I7882" t="s">
        <v>2310</v>
      </c>
      <c r="J7882" t="s">
        <v>271</v>
      </c>
      <c r="K7882" s="3">
        <v>100921715591</v>
      </c>
      <c r="L7882" s="10">
        <v>40769</v>
      </c>
      <c r="M7882">
        <v>73.05</v>
      </c>
      <c r="N7882" s="11">
        <v>9</v>
      </c>
      <c r="O7882" s="12">
        <v>8.34</v>
      </c>
      <c r="P7882" s="12">
        <v>4.82</v>
      </c>
      <c r="Q7882" s="13">
        <v>-17.03</v>
      </c>
      <c r="R7882" s="36" t="s">
        <v>337</v>
      </c>
      <c r="S7882" s="7">
        <f t="shared" si="691"/>
        <v>0</v>
      </c>
      <c r="T7882" s="15" t="str">
        <f>VLOOKUP(R7882,产品分类!$C$2:$D$1278,2,0)</f>
        <v>数码电子</v>
      </c>
    </row>
    <row r="7883" spans="1:20">
      <c r="A7883" s="16">
        <f t="shared" si="693"/>
        <v>40769</v>
      </c>
      <c r="B7883" s="16">
        <f t="shared" si="693"/>
        <v>40769</v>
      </c>
      <c r="C7883" s="9" t="s">
        <v>1487</v>
      </c>
      <c r="D7883">
        <v>10021369518</v>
      </c>
      <c r="E7883" t="s">
        <v>47</v>
      </c>
      <c r="F7883" t="s">
        <v>171</v>
      </c>
      <c r="G7883" t="s">
        <v>172</v>
      </c>
      <c r="H7883" t="s">
        <v>2486</v>
      </c>
      <c r="I7883" t="s">
        <v>2310</v>
      </c>
      <c r="J7883" t="s">
        <v>271</v>
      </c>
      <c r="K7883" s="3">
        <v>100316523139</v>
      </c>
      <c r="L7883" s="10">
        <v>40771</v>
      </c>
      <c r="M7883">
        <v>950.3</v>
      </c>
      <c r="N7883" s="17">
        <v>44</v>
      </c>
      <c r="O7883" s="5">
        <v>20.98</v>
      </c>
      <c r="P7883" s="5">
        <v>53.03</v>
      </c>
      <c r="Q7883" s="6">
        <v>-2103.05</v>
      </c>
      <c r="R7883" s="37" t="s">
        <v>456</v>
      </c>
      <c r="S7883" s="7">
        <f t="shared" si="691"/>
        <v>2</v>
      </c>
      <c r="T7883" s="15" t="str">
        <f>VLOOKUP(R7883,产品分类!$C$2:$D$1278,2,0)</f>
        <v>办公用品</v>
      </c>
    </row>
    <row r="7884" spans="1:20">
      <c r="A7884" s="8">
        <f t="shared" si="693"/>
        <v>40769</v>
      </c>
      <c r="B7884" s="8">
        <f t="shared" si="693"/>
        <v>40769</v>
      </c>
      <c r="C7884" s="9" t="s">
        <v>1849</v>
      </c>
      <c r="D7884">
        <v>10021574373</v>
      </c>
      <c r="E7884" t="s">
        <v>47</v>
      </c>
      <c r="F7884" t="s">
        <v>171</v>
      </c>
      <c r="G7884" t="s">
        <v>172</v>
      </c>
      <c r="H7884" t="s">
        <v>2486</v>
      </c>
      <c r="I7884" t="s">
        <v>2310</v>
      </c>
      <c r="J7884" t="s">
        <v>271</v>
      </c>
      <c r="K7884" s="3">
        <v>10032414289</v>
      </c>
      <c r="L7884" s="10">
        <v>40771</v>
      </c>
      <c r="M7884">
        <v>8122.53</v>
      </c>
      <c r="N7884" s="11">
        <v>29</v>
      </c>
      <c r="O7884" s="12">
        <v>286.85</v>
      </c>
      <c r="P7884" s="12">
        <v>61.76</v>
      </c>
      <c r="Q7884" s="13">
        <v>-693.230395</v>
      </c>
      <c r="R7884" s="36" t="s">
        <v>749</v>
      </c>
      <c r="S7884" s="7">
        <f t="shared" si="691"/>
        <v>2</v>
      </c>
      <c r="T7884" s="15" t="str">
        <f>VLOOKUP(R7884,产品分类!$C$2:$D$1278,2,0)</f>
        <v>办公用品</v>
      </c>
    </row>
    <row r="7885" spans="1:20">
      <c r="A7885" s="8">
        <f>DATE(2012,12,31)-1422</f>
        <v>39852</v>
      </c>
      <c r="B7885" s="8">
        <f>DATE(2012,12,31)-1422</f>
        <v>39852</v>
      </c>
      <c r="C7885" s="9" t="s">
        <v>1849</v>
      </c>
      <c r="D7885">
        <v>10021583510</v>
      </c>
      <c r="E7885" t="s">
        <v>47</v>
      </c>
      <c r="F7885" t="s">
        <v>171</v>
      </c>
      <c r="G7885" t="s">
        <v>172</v>
      </c>
      <c r="H7885" t="s">
        <v>2486</v>
      </c>
      <c r="I7885" t="s">
        <v>2310</v>
      </c>
      <c r="J7885" t="s">
        <v>271</v>
      </c>
      <c r="K7885" s="3">
        <v>100926706171</v>
      </c>
      <c r="L7885" s="10">
        <v>39855</v>
      </c>
      <c r="M7885">
        <v>2026.01</v>
      </c>
      <c r="N7885" s="11">
        <v>20</v>
      </c>
      <c r="O7885" s="12">
        <v>105.98</v>
      </c>
      <c r="P7885" s="12">
        <v>13.99</v>
      </c>
      <c r="Q7885" s="13">
        <v>580.43</v>
      </c>
      <c r="R7885" s="36" t="s">
        <v>215</v>
      </c>
      <c r="S7885" s="7">
        <f t="shared" si="691"/>
        <v>3</v>
      </c>
      <c r="T7885" s="15" t="str">
        <f>VLOOKUP(R7885,产品分类!$C$2:$D$1278,2,0)</f>
        <v>数码电子</v>
      </c>
    </row>
    <row r="7886" spans="1:20">
      <c r="A7886" s="8">
        <f t="shared" ref="A7886:B7888" si="694">DATE(2012,12,31)-1298</f>
        <v>39976</v>
      </c>
      <c r="B7886" s="8">
        <f t="shared" si="694"/>
        <v>39976</v>
      </c>
      <c r="C7886" s="9" t="s">
        <v>536</v>
      </c>
      <c r="D7886">
        <v>10021338677</v>
      </c>
      <c r="E7886" t="s">
        <v>47</v>
      </c>
      <c r="F7886" t="s">
        <v>171</v>
      </c>
      <c r="G7886" t="s">
        <v>172</v>
      </c>
      <c r="H7886" t="s">
        <v>2486</v>
      </c>
      <c r="I7886" t="s">
        <v>2310</v>
      </c>
      <c r="J7886" t="s">
        <v>271</v>
      </c>
      <c r="K7886" s="3">
        <v>100924434391</v>
      </c>
      <c r="L7886" s="10">
        <v>39980</v>
      </c>
      <c r="M7886">
        <v>2612.89</v>
      </c>
      <c r="N7886" s="11">
        <v>25</v>
      </c>
      <c r="O7886" s="12">
        <v>105.29</v>
      </c>
      <c r="P7886" s="12">
        <v>10.12</v>
      </c>
      <c r="Q7886" s="13">
        <v>490.99</v>
      </c>
      <c r="R7886" s="36" t="s">
        <v>732</v>
      </c>
      <c r="S7886" s="7">
        <f t="shared" si="691"/>
        <v>4</v>
      </c>
      <c r="T7886" s="15" t="str">
        <f>VLOOKUP(R7886,产品分类!$C$2:$D$1278,2,0)</f>
        <v>家具产品</v>
      </c>
    </row>
    <row r="7887" spans="1:20">
      <c r="A7887" s="8">
        <f t="shared" si="694"/>
        <v>39976</v>
      </c>
      <c r="B7887" s="8">
        <f t="shared" si="694"/>
        <v>39976</v>
      </c>
      <c r="C7887" s="9" t="s">
        <v>1092</v>
      </c>
      <c r="D7887">
        <v>10021591855</v>
      </c>
      <c r="E7887" t="s">
        <v>47</v>
      </c>
      <c r="F7887" t="s">
        <v>171</v>
      </c>
      <c r="G7887" t="s">
        <v>172</v>
      </c>
      <c r="H7887" t="s">
        <v>2486</v>
      </c>
      <c r="I7887" t="s">
        <v>2310</v>
      </c>
      <c r="J7887" t="s">
        <v>271</v>
      </c>
      <c r="K7887" s="3">
        <v>100732069235</v>
      </c>
      <c r="L7887" s="10">
        <v>39978</v>
      </c>
      <c r="M7887">
        <v>1146.992</v>
      </c>
      <c r="N7887" s="11">
        <v>47</v>
      </c>
      <c r="O7887" s="12">
        <v>31.76</v>
      </c>
      <c r="P7887" s="12">
        <v>45.51</v>
      </c>
      <c r="Q7887" s="13">
        <v>-1643.74</v>
      </c>
      <c r="R7887" s="36" t="s">
        <v>2246</v>
      </c>
      <c r="S7887" s="7">
        <f t="shared" si="691"/>
        <v>2</v>
      </c>
      <c r="T7887" s="15" t="str">
        <f>VLOOKUP(R7887,产品分类!$C$2:$D$1278,2,0)</f>
        <v>数码电子</v>
      </c>
    </row>
    <row r="7888" spans="1:20">
      <c r="A7888" s="8">
        <f t="shared" si="694"/>
        <v>39976</v>
      </c>
      <c r="B7888" s="8">
        <f t="shared" si="694"/>
        <v>39976</v>
      </c>
      <c r="C7888" s="9" t="s">
        <v>1092</v>
      </c>
      <c r="D7888">
        <v>10021269988</v>
      </c>
      <c r="E7888" t="s">
        <v>47</v>
      </c>
      <c r="F7888" t="s">
        <v>183</v>
      </c>
      <c r="G7888" t="s">
        <v>184</v>
      </c>
      <c r="H7888" t="s">
        <v>2615</v>
      </c>
      <c r="I7888" t="s">
        <v>2616</v>
      </c>
      <c r="J7888" t="s">
        <v>271</v>
      </c>
      <c r="K7888" s="3">
        <v>100932471661</v>
      </c>
      <c r="L7888" s="10">
        <v>39976</v>
      </c>
      <c r="M7888">
        <v>4581.41</v>
      </c>
      <c r="N7888" s="11">
        <v>36</v>
      </c>
      <c r="O7888" s="12">
        <v>130.98</v>
      </c>
      <c r="P7888" s="12">
        <v>54.74</v>
      </c>
      <c r="Q7888" s="13">
        <v>-904.73</v>
      </c>
      <c r="R7888" s="36" t="s">
        <v>1179</v>
      </c>
      <c r="S7888" s="7">
        <f t="shared" si="691"/>
        <v>0</v>
      </c>
      <c r="T7888" s="15" t="str">
        <f>VLOOKUP(R7888,产品分类!$C$2:$D$1278,2,0)</f>
        <v>办公用品</v>
      </c>
    </row>
    <row r="7889" spans="1:20">
      <c r="A7889" s="16">
        <f>DATE(2012,12,31)-1139</f>
        <v>40135</v>
      </c>
      <c r="B7889" s="16">
        <f>DATE(2012,12,31)-1139</f>
        <v>40135</v>
      </c>
      <c r="C7889" s="9" t="s">
        <v>1092</v>
      </c>
      <c r="D7889">
        <v>10021502451</v>
      </c>
      <c r="E7889" t="s">
        <v>47</v>
      </c>
      <c r="F7889" t="s">
        <v>183</v>
      </c>
      <c r="G7889" t="s">
        <v>184</v>
      </c>
      <c r="H7889" t="s">
        <v>2615</v>
      </c>
      <c r="I7889" t="s">
        <v>2616</v>
      </c>
      <c r="J7889" t="s">
        <v>271</v>
      </c>
      <c r="K7889" s="3">
        <v>100428513344</v>
      </c>
      <c r="L7889" s="10">
        <v>40137</v>
      </c>
      <c r="M7889">
        <v>42.23</v>
      </c>
      <c r="N7889" s="17">
        <v>23</v>
      </c>
      <c r="O7889" s="5">
        <v>1.89</v>
      </c>
      <c r="P7889" s="5">
        <v>0.76</v>
      </c>
      <c r="Q7889" s="6">
        <v>-15.11</v>
      </c>
      <c r="R7889" s="37" t="s">
        <v>1772</v>
      </c>
      <c r="S7889" s="7">
        <f t="shared" si="691"/>
        <v>2</v>
      </c>
      <c r="T7889" s="15" t="str">
        <f>VLOOKUP(R7889,产品分类!$C$2:$D$1278,2,0)</f>
        <v>家具产品</v>
      </c>
    </row>
    <row r="7890" spans="1:20">
      <c r="A7890" s="8">
        <f>DATE(2012,12,31)-1030</f>
        <v>40244</v>
      </c>
      <c r="B7890" s="8">
        <f>DATE(2012,12,31)-1030</f>
        <v>40244</v>
      </c>
      <c r="C7890" s="9" t="s">
        <v>1092</v>
      </c>
      <c r="D7890">
        <v>10021332069</v>
      </c>
      <c r="E7890" t="s">
        <v>47</v>
      </c>
      <c r="F7890" t="s">
        <v>177</v>
      </c>
      <c r="G7890" t="s">
        <v>178</v>
      </c>
      <c r="H7890" t="s">
        <v>2611</v>
      </c>
      <c r="I7890" t="s">
        <v>2612</v>
      </c>
      <c r="J7890" t="s">
        <v>271</v>
      </c>
      <c r="K7890" s="3">
        <v>10082353142</v>
      </c>
      <c r="L7890" s="10">
        <v>40244</v>
      </c>
      <c r="M7890">
        <v>857.95</v>
      </c>
      <c r="N7890" s="11">
        <v>20</v>
      </c>
      <c r="O7890" s="12">
        <v>43.22</v>
      </c>
      <c r="P7890" s="12">
        <v>4</v>
      </c>
      <c r="Q7890" s="13">
        <v>51.85</v>
      </c>
      <c r="R7890" s="36" t="s">
        <v>190</v>
      </c>
      <c r="S7890" s="7">
        <f t="shared" si="691"/>
        <v>0</v>
      </c>
      <c r="T7890" s="15" t="str">
        <f>VLOOKUP(R7890,产品分类!$C$2:$D$1278,2,0)</f>
        <v>家具产品</v>
      </c>
    </row>
    <row r="7891" spans="1:20">
      <c r="A7891" s="8">
        <f>DATE(2012,12,31)-1258</f>
        <v>40016</v>
      </c>
      <c r="B7891" s="8">
        <f>DATE(2012,12,31)-1258</f>
        <v>40016</v>
      </c>
      <c r="C7891" s="9" t="s">
        <v>1381</v>
      </c>
      <c r="D7891">
        <v>10021744427</v>
      </c>
      <c r="E7891" t="s">
        <v>47</v>
      </c>
      <c r="F7891" t="s">
        <v>167</v>
      </c>
      <c r="G7891" t="s">
        <v>168</v>
      </c>
      <c r="H7891" t="s">
        <v>169</v>
      </c>
      <c r="I7891" t="s">
        <v>168</v>
      </c>
      <c r="J7891" t="s">
        <v>271</v>
      </c>
      <c r="K7891" s="3">
        <v>100926840461</v>
      </c>
      <c r="L7891" s="10">
        <v>40016</v>
      </c>
      <c r="M7891">
        <v>4008.7275</v>
      </c>
      <c r="N7891" s="11">
        <v>38</v>
      </c>
      <c r="O7891" s="12">
        <v>115.99</v>
      </c>
      <c r="P7891" s="12">
        <v>5.92</v>
      </c>
      <c r="Q7891" s="13">
        <v>1219.338</v>
      </c>
      <c r="R7891" s="36" t="s">
        <v>241</v>
      </c>
      <c r="S7891" s="7">
        <f t="shared" si="691"/>
        <v>0</v>
      </c>
      <c r="T7891" s="15" t="str">
        <f>VLOOKUP(R7891,产品分类!$C$2:$D$1278,2,0)</f>
        <v>数码电子</v>
      </c>
    </row>
    <row r="7892" spans="1:20">
      <c r="A7892" s="8">
        <f>DATE(2012,12,31)-494</f>
        <v>40780</v>
      </c>
      <c r="B7892" s="8">
        <f>DATE(2012,12,31)-494</f>
        <v>40780</v>
      </c>
      <c r="C7892" s="9" t="s">
        <v>1381</v>
      </c>
      <c r="D7892">
        <v>10021619914</v>
      </c>
      <c r="E7892" t="s">
        <v>47</v>
      </c>
      <c r="F7892" t="s">
        <v>177</v>
      </c>
      <c r="G7892" t="s">
        <v>178</v>
      </c>
      <c r="H7892" t="s">
        <v>2611</v>
      </c>
      <c r="I7892" t="s">
        <v>2612</v>
      </c>
      <c r="J7892" t="s">
        <v>271</v>
      </c>
      <c r="K7892" s="3">
        <v>10073123885</v>
      </c>
      <c r="L7892" s="10">
        <v>40781</v>
      </c>
      <c r="M7892">
        <v>29.31</v>
      </c>
      <c r="N7892" s="11">
        <v>2</v>
      </c>
      <c r="O7892" s="12">
        <v>11.48</v>
      </c>
      <c r="P7892" s="12">
        <v>5.43</v>
      </c>
      <c r="Q7892" s="13">
        <v>-12.78</v>
      </c>
      <c r="R7892" s="36" t="s">
        <v>1223</v>
      </c>
      <c r="S7892" s="7">
        <f t="shared" si="691"/>
        <v>1</v>
      </c>
      <c r="T7892" s="15" t="str">
        <f>VLOOKUP(R7892,产品分类!$C$2:$D$1278,2,0)</f>
        <v>办公用品</v>
      </c>
    </row>
    <row r="7893" spans="1:20">
      <c r="A7893" s="8">
        <f>DATE(2012,12,31)-494</f>
        <v>40780</v>
      </c>
      <c r="B7893" s="8">
        <f>DATE(2012,12,31)-494</f>
        <v>40780</v>
      </c>
      <c r="C7893" s="9" t="s">
        <v>780</v>
      </c>
      <c r="D7893">
        <v>10021748959</v>
      </c>
      <c r="E7893" t="s">
        <v>47</v>
      </c>
      <c r="F7893" t="s">
        <v>177</v>
      </c>
      <c r="G7893" t="s">
        <v>178</v>
      </c>
      <c r="H7893" t="s">
        <v>2611</v>
      </c>
      <c r="I7893" t="s">
        <v>2612</v>
      </c>
      <c r="J7893" t="s">
        <v>271</v>
      </c>
      <c r="K7893" s="3">
        <v>100430326303</v>
      </c>
      <c r="L7893" s="10">
        <v>40781</v>
      </c>
      <c r="M7893">
        <v>80.26</v>
      </c>
      <c r="N7893" s="11">
        <v>11</v>
      </c>
      <c r="O7893" s="12">
        <v>6.68</v>
      </c>
      <c r="P7893" s="12">
        <v>5.66</v>
      </c>
      <c r="Q7893" s="13">
        <v>-22.55</v>
      </c>
      <c r="R7893" s="36" t="s">
        <v>2188</v>
      </c>
      <c r="S7893" s="7">
        <f t="shared" si="691"/>
        <v>1</v>
      </c>
      <c r="T7893" s="15" t="str">
        <f>VLOOKUP(R7893,产品分类!$C$2:$D$1278,2,0)</f>
        <v>办公用品</v>
      </c>
    </row>
    <row r="7894" spans="1:20">
      <c r="A7894" s="8">
        <f>DATE(2012,12,31)-33</f>
        <v>41241</v>
      </c>
      <c r="B7894" s="8">
        <f>DATE(2012,12,31)-33</f>
        <v>41241</v>
      </c>
      <c r="C7894" s="9" t="s">
        <v>940</v>
      </c>
      <c r="D7894">
        <v>10021694368</v>
      </c>
      <c r="E7894" t="s">
        <v>47</v>
      </c>
      <c r="F7894" t="s">
        <v>342</v>
      </c>
      <c r="G7894" t="s">
        <v>343</v>
      </c>
      <c r="H7894" t="s">
        <v>2582</v>
      </c>
      <c r="I7894" t="s">
        <v>2583</v>
      </c>
      <c r="J7894" t="s">
        <v>271</v>
      </c>
      <c r="K7894" s="3">
        <v>100131073646</v>
      </c>
      <c r="L7894" s="10">
        <v>41243</v>
      </c>
      <c r="M7894">
        <v>82.09</v>
      </c>
      <c r="N7894" s="11">
        <v>36</v>
      </c>
      <c r="O7894" s="12">
        <v>2.21</v>
      </c>
      <c r="P7894" s="12">
        <v>1</v>
      </c>
      <c r="Q7894" s="13">
        <v>11.44</v>
      </c>
      <c r="R7894" s="36" t="s">
        <v>769</v>
      </c>
      <c r="S7894" s="7">
        <f t="shared" si="691"/>
        <v>2</v>
      </c>
      <c r="T7894" s="15" t="str">
        <f>VLOOKUP(R7894,产品分类!$C$2:$D$1278,2,0)</f>
        <v>办公用品</v>
      </c>
    </row>
    <row r="7895" spans="1:20">
      <c r="A7895" s="8">
        <f>DATE(2012,12,31)-360</f>
        <v>40914</v>
      </c>
      <c r="B7895" s="8">
        <f>DATE(2012,12,31)-360</f>
        <v>40914</v>
      </c>
      <c r="C7895" s="9" t="s">
        <v>1301</v>
      </c>
      <c r="D7895">
        <v>10021740492</v>
      </c>
      <c r="E7895" t="s">
        <v>47</v>
      </c>
      <c r="F7895" t="s">
        <v>253</v>
      </c>
      <c r="G7895" t="s">
        <v>254</v>
      </c>
      <c r="H7895" t="s">
        <v>2613</v>
      </c>
      <c r="I7895" t="s">
        <v>2614</v>
      </c>
      <c r="J7895" t="s">
        <v>271</v>
      </c>
      <c r="K7895" s="3">
        <v>100320070029</v>
      </c>
      <c r="L7895" s="10">
        <v>40914</v>
      </c>
      <c r="M7895">
        <v>1483.49</v>
      </c>
      <c r="N7895" s="11">
        <v>46</v>
      </c>
      <c r="O7895" s="12">
        <v>30.98</v>
      </c>
      <c r="P7895" s="12">
        <v>17.08</v>
      </c>
      <c r="Q7895" s="13">
        <v>65.82</v>
      </c>
      <c r="R7895" s="36" t="s">
        <v>1993</v>
      </c>
      <c r="S7895" s="7">
        <f t="shared" si="691"/>
        <v>0</v>
      </c>
      <c r="T7895" s="15" t="str">
        <f>VLOOKUP(R7895,产品分类!$C$2:$D$1278,2,0)</f>
        <v>家具产品</v>
      </c>
    </row>
    <row r="7896" spans="1:20">
      <c r="A7896" s="8">
        <f>DATE(2012,12,31)-360</f>
        <v>40914</v>
      </c>
      <c r="B7896" s="8">
        <f>DATE(2012,12,31)-360</f>
        <v>40914</v>
      </c>
      <c r="C7896" s="9" t="s">
        <v>1846</v>
      </c>
      <c r="D7896">
        <v>10021738967</v>
      </c>
      <c r="E7896" t="s">
        <v>47</v>
      </c>
      <c r="F7896" t="s">
        <v>61</v>
      </c>
      <c r="G7896" t="s">
        <v>62</v>
      </c>
      <c r="H7896" t="s">
        <v>2596</v>
      </c>
      <c r="I7896" t="s">
        <v>2597</v>
      </c>
      <c r="J7896" t="s">
        <v>271</v>
      </c>
      <c r="K7896" s="3">
        <v>10048581594</v>
      </c>
      <c r="L7896" s="10">
        <v>40916</v>
      </c>
      <c r="M7896">
        <v>14729.36</v>
      </c>
      <c r="N7896" s="11">
        <v>42</v>
      </c>
      <c r="O7896" s="12">
        <v>348.21</v>
      </c>
      <c r="P7896" s="12">
        <v>40.19</v>
      </c>
      <c r="Q7896" s="13">
        <v>3277.57</v>
      </c>
      <c r="R7896" s="36" t="s">
        <v>1457</v>
      </c>
      <c r="S7896" s="7">
        <f t="shared" si="691"/>
        <v>2</v>
      </c>
      <c r="T7896" s="15" t="str">
        <f>VLOOKUP(R7896,产品分类!$C$2:$D$1278,2,0)</f>
        <v>办公用品</v>
      </c>
    </row>
    <row r="7897" spans="1:20">
      <c r="A7897" s="8">
        <f>DATE(2012,12,31)-957</f>
        <v>40317</v>
      </c>
      <c r="B7897" s="8">
        <f>DATE(2012,12,31)-957</f>
        <v>40317</v>
      </c>
      <c r="C7897" s="9" t="s">
        <v>1846</v>
      </c>
      <c r="D7897">
        <v>10021740073</v>
      </c>
      <c r="E7897" t="s">
        <v>47</v>
      </c>
      <c r="F7897" t="s">
        <v>55</v>
      </c>
      <c r="G7897" t="s">
        <v>56</v>
      </c>
      <c r="H7897" t="s">
        <v>2604</v>
      </c>
      <c r="I7897" t="s">
        <v>2605</v>
      </c>
      <c r="J7897" t="s">
        <v>271</v>
      </c>
      <c r="K7897" s="3">
        <v>100717890915</v>
      </c>
      <c r="L7897" s="10">
        <v>40318</v>
      </c>
      <c r="M7897">
        <v>4257.276</v>
      </c>
      <c r="N7897" s="11">
        <v>41</v>
      </c>
      <c r="O7897" s="12">
        <v>125.99</v>
      </c>
      <c r="P7897" s="12">
        <v>2.5</v>
      </c>
      <c r="Q7897" s="13">
        <v>1059.084</v>
      </c>
      <c r="R7897" s="36" t="s">
        <v>600</v>
      </c>
      <c r="S7897" s="7">
        <f t="shared" si="691"/>
        <v>1</v>
      </c>
      <c r="T7897" s="15" t="str">
        <f>VLOOKUP(R7897,产品分类!$C$2:$D$1278,2,0)</f>
        <v>数码电子</v>
      </c>
    </row>
    <row r="7898" spans="1:20">
      <c r="A7898" s="8">
        <f>DATE(2012,12,31)-516</f>
        <v>40758</v>
      </c>
      <c r="B7898" s="8">
        <f>DATE(2012,12,31)-516</f>
        <v>40758</v>
      </c>
      <c r="C7898" s="9" t="s">
        <v>291</v>
      </c>
      <c r="D7898">
        <v>10021690074</v>
      </c>
      <c r="E7898" t="s">
        <v>47</v>
      </c>
      <c r="F7898" t="s">
        <v>177</v>
      </c>
      <c r="G7898" t="s">
        <v>178</v>
      </c>
      <c r="H7898" t="s">
        <v>2626</v>
      </c>
      <c r="I7898" t="s">
        <v>2627</v>
      </c>
      <c r="J7898" t="s">
        <v>271</v>
      </c>
      <c r="K7898" s="3">
        <v>100124435868</v>
      </c>
      <c r="L7898" s="10">
        <v>40759</v>
      </c>
      <c r="M7898">
        <v>417.53</v>
      </c>
      <c r="N7898" s="11">
        <v>41</v>
      </c>
      <c r="O7898" s="12">
        <v>9.98</v>
      </c>
      <c r="P7898" s="12">
        <v>12.52</v>
      </c>
      <c r="Q7898" s="13">
        <v>-309.06</v>
      </c>
      <c r="R7898" s="36" t="s">
        <v>978</v>
      </c>
      <c r="S7898" s="7">
        <f t="shared" si="691"/>
        <v>1</v>
      </c>
      <c r="T7898" s="15" t="str">
        <f>VLOOKUP(R7898,产品分类!$C$2:$D$1278,2,0)</f>
        <v>家具产品</v>
      </c>
    </row>
    <row r="7899" spans="1:20">
      <c r="A7899" s="16">
        <f t="shared" ref="A7899:B7901" si="695">DATE(2012,12,31)-233</f>
        <v>41041</v>
      </c>
      <c r="B7899" s="16">
        <f t="shared" si="695"/>
        <v>41041</v>
      </c>
      <c r="C7899" s="9" t="s">
        <v>2623</v>
      </c>
      <c r="D7899">
        <v>10021629117</v>
      </c>
      <c r="E7899" t="s">
        <v>47</v>
      </c>
      <c r="F7899" t="s">
        <v>342</v>
      </c>
      <c r="G7899" t="s">
        <v>343</v>
      </c>
      <c r="H7899" t="s">
        <v>2582</v>
      </c>
      <c r="I7899" t="s">
        <v>2583</v>
      </c>
      <c r="J7899" t="s">
        <v>271</v>
      </c>
      <c r="K7899" s="3">
        <v>100930884241</v>
      </c>
      <c r="L7899" s="10">
        <v>41042</v>
      </c>
      <c r="M7899">
        <v>1132.32</v>
      </c>
      <c r="N7899" s="17">
        <v>34</v>
      </c>
      <c r="O7899" s="5">
        <v>36.55</v>
      </c>
      <c r="P7899" s="5">
        <v>13.89</v>
      </c>
      <c r="Q7899" s="6">
        <v>77.45</v>
      </c>
      <c r="R7899" s="37" t="s">
        <v>1498</v>
      </c>
      <c r="S7899" s="7">
        <f t="shared" si="691"/>
        <v>1</v>
      </c>
      <c r="T7899" s="15" t="str">
        <f>VLOOKUP(R7899,产品分类!$C$2:$D$1278,2,0)</f>
        <v>家具产品</v>
      </c>
    </row>
    <row r="7900" spans="1:20">
      <c r="A7900" s="8">
        <f t="shared" si="695"/>
        <v>41041</v>
      </c>
      <c r="B7900" s="8">
        <f t="shared" si="695"/>
        <v>41041</v>
      </c>
      <c r="C7900" s="9" t="s">
        <v>2623</v>
      </c>
      <c r="D7900">
        <v>10021460218</v>
      </c>
      <c r="E7900" t="s">
        <v>47</v>
      </c>
      <c r="F7900" t="s">
        <v>61</v>
      </c>
      <c r="G7900" t="s">
        <v>62</v>
      </c>
      <c r="H7900" t="s">
        <v>2596</v>
      </c>
      <c r="I7900" t="s">
        <v>2597</v>
      </c>
      <c r="J7900" t="s">
        <v>271</v>
      </c>
      <c r="K7900" s="3">
        <v>10019653458</v>
      </c>
      <c r="L7900" s="10">
        <v>41043</v>
      </c>
      <c r="M7900">
        <v>593.64</v>
      </c>
      <c r="N7900" s="11">
        <v>8</v>
      </c>
      <c r="O7900" s="12">
        <v>85.29</v>
      </c>
      <c r="P7900" s="12">
        <v>60</v>
      </c>
      <c r="Q7900" s="13">
        <v>65.24685</v>
      </c>
      <c r="R7900" s="36" t="s">
        <v>2261</v>
      </c>
      <c r="S7900" s="7">
        <f t="shared" si="691"/>
        <v>2</v>
      </c>
      <c r="T7900" s="15" t="str">
        <f>VLOOKUP(R7900,产品分类!$C$2:$D$1278,2,0)</f>
        <v>办公用品</v>
      </c>
    </row>
    <row r="7901" spans="1:20">
      <c r="A7901" s="8">
        <f t="shared" si="695"/>
        <v>41041</v>
      </c>
      <c r="B7901" s="8">
        <f t="shared" si="695"/>
        <v>41041</v>
      </c>
      <c r="C7901" s="9" t="s">
        <v>673</v>
      </c>
      <c r="D7901">
        <v>10021623244</v>
      </c>
      <c r="E7901" t="s">
        <v>47</v>
      </c>
      <c r="F7901" t="s">
        <v>61</v>
      </c>
      <c r="G7901" t="s">
        <v>62</v>
      </c>
      <c r="H7901" t="s">
        <v>2628</v>
      </c>
      <c r="I7901" t="s">
        <v>2629</v>
      </c>
      <c r="J7901" t="s">
        <v>271</v>
      </c>
      <c r="K7901" s="3">
        <v>100421402524</v>
      </c>
      <c r="L7901" s="10">
        <v>41043</v>
      </c>
      <c r="M7901">
        <v>2438.3695</v>
      </c>
      <c r="N7901" s="11">
        <v>45</v>
      </c>
      <c r="O7901" s="12">
        <v>65.99</v>
      </c>
      <c r="P7901" s="12">
        <v>8.99</v>
      </c>
      <c r="Q7901" s="13">
        <v>317.196</v>
      </c>
      <c r="R7901" s="36" t="s">
        <v>1368</v>
      </c>
      <c r="S7901" s="7">
        <f t="shared" si="691"/>
        <v>2</v>
      </c>
      <c r="T7901" s="15" t="str">
        <f>VLOOKUP(R7901,产品分类!$C$2:$D$1278,2,0)</f>
        <v>数码电子</v>
      </c>
    </row>
    <row r="7902" spans="1:20">
      <c r="A7902" s="8">
        <f>DATE(2012,12,31)-67</f>
        <v>41207</v>
      </c>
      <c r="B7902" s="8">
        <f>DATE(2012,12,31)-67</f>
        <v>41207</v>
      </c>
      <c r="C7902" s="9" t="s">
        <v>673</v>
      </c>
      <c r="D7902">
        <v>10021451826</v>
      </c>
      <c r="E7902" t="s">
        <v>47</v>
      </c>
      <c r="F7902" t="s">
        <v>61</v>
      </c>
      <c r="G7902" t="s">
        <v>62</v>
      </c>
      <c r="H7902" t="s">
        <v>2628</v>
      </c>
      <c r="I7902" t="s">
        <v>2629</v>
      </c>
      <c r="J7902" t="s">
        <v>271</v>
      </c>
      <c r="K7902" s="3">
        <v>100927760891</v>
      </c>
      <c r="L7902" s="10">
        <v>41208</v>
      </c>
      <c r="M7902">
        <v>206.47</v>
      </c>
      <c r="N7902" s="11">
        <v>39</v>
      </c>
      <c r="O7902" s="12">
        <v>5.28</v>
      </c>
      <c r="P7902" s="12">
        <v>5.66</v>
      </c>
      <c r="Q7902" s="13">
        <v>-107.2</v>
      </c>
      <c r="R7902" s="36" t="s">
        <v>961</v>
      </c>
      <c r="S7902" s="7">
        <f t="shared" si="691"/>
        <v>1</v>
      </c>
      <c r="T7902" s="15" t="str">
        <f>VLOOKUP(R7902,产品分类!$C$2:$D$1278,2,0)</f>
        <v>办公用品</v>
      </c>
    </row>
    <row r="7903" spans="1:20">
      <c r="A7903" s="8">
        <f>DATE(2012,12,31)-1360</f>
        <v>39914</v>
      </c>
      <c r="B7903" s="8">
        <f>DATE(2012,12,31)-1360</f>
        <v>39914</v>
      </c>
      <c r="C7903" s="9" t="s">
        <v>391</v>
      </c>
      <c r="D7903">
        <v>10021694945</v>
      </c>
      <c r="E7903" t="s">
        <v>47</v>
      </c>
      <c r="F7903" t="s">
        <v>61</v>
      </c>
      <c r="G7903" t="s">
        <v>62</v>
      </c>
      <c r="H7903" t="s">
        <v>2628</v>
      </c>
      <c r="I7903" t="s">
        <v>2629</v>
      </c>
      <c r="J7903" t="s">
        <v>271</v>
      </c>
      <c r="K7903" s="3">
        <v>100931500101</v>
      </c>
      <c r="L7903" s="10">
        <v>39915</v>
      </c>
      <c r="M7903">
        <v>430.55</v>
      </c>
      <c r="N7903" s="11">
        <v>35</v>
      </c>
      <c r="O7903" s="12">
        <v>12.22</v>
      </c>
      <c r="P7903" s="12">
        <v>2.85</v>
      </c>
      <c r="Q7903" s="13">
        <v>120.01</v>
      </c>
      <c r="R7903" s="36" t="s">
        <v>479</v>
      </c>
      <c r="S7903" s="7">
        <f t="shared" si="691"/>
        <v>1</v>
      </c>
      <c r="T7903" s="15" t="str">
        <f>VLOOKUP(R7903,产品分类!$C$2:$D$1278,2,0)</f>
        <v>办公用品</v>
      </c>
    </row>
    <row r="7904" spans="1:20">
      <c r="A7904" s="8">
        <f>DATE(2012,12,31)-1147</f>
        <v>40127</v>
      </c>
      <c r="B7904" s="8">
        <f>DATE(2012,12,31)-1147</f>
        <v>40127</v>
      </c>
      <c r="C7904" s="9" t="s">
        <v>391</v>
      </c>
      <c r="D7904">
        <v>10021575536</v>
      </c>
      <c r="E7904" t="s">
        <v>47</v>
      </c>
      <c r="F7904" t="s">
        <v>55</v>
      </c>
      <c r="G7904" t="s">
        <v>56</v>
      </c>
      <c r="H7904" t="s">
        <v>2604</v>
      </c>
      <c r="I7904" t="s">
        <v>2605</v>
      </c>
      <c r="J7904" t="s">
        <v>271</v>
      </c>
      <c r="K7904" s="3">
        <v>100710001305</v>
      </c>
      <c r="L7904" s="10">
        <v>40128</v>
      </c>
      <c r="M7904">
        <v>754.92</v>
      </c>
      <c r="N7904" s="11">
        <v>7</v>
      </c>
      <c r="O7904" s="12">
        <v>99.99</v>
      </c>
      <c r="P7904" s="12">
        <v>19.99</v>
      </c>
      <c r="Q7904" s="13">
        <v>-129.5691</v>
      </c>
      <c r="R7904" s="36" t="s">
        <v>1411</v>
      </c>
      <c r="S7904" s="7">
        <f t="shared" si="691"/>
        <v>1</v>
      </c>
      <c r="T7904" s="15" t="str">
        <f>VLOOKUP(R7904,产品分类!$C$2:$D$1278,2,0)</f>
        <v>办公用品</v>
      </c>
    </row>
    <row r="7905" spans="1:20">
      <c r="A7905" s="8">
        <f>DATE(2012,12,31)-29</f>
        <v>41245</v>
      </c>
      <c r="B7905" s="8">
        <f>DATE(2012,12,31)-29</f>
        <v>41245</v>
      </c>
      <c r="C7905" s="9" t="s">
        <v>1455</v>
      </c>
      <c r="D7905">
        <v>10021431838</v>
      </c>
      <c r="E7905" t="s">
        <v>47</v>
      </c>
      <c r="F7905" t="s">
        <v>61</v>
      </c>
      <c r="G7905" t="s">
        <v>62</v>
      </c>
      <c r="H7905" t="s">
        <v>2628</v>
      </c>
      <c r="I7905" t="s">
        <v>2629</v>
      </c>
      <c r="J7905" t="s">
        <v>271</v>
      </c>
      <c r="K7905" s="3">
        <v>100432263563</v>
      </c>
      <c r="L7905" s="10">
        <v>41245</v>
      </c>
      <c r="M7905">
        <v>10006.28</v>
      </c>
      <c r="N7905" s="11">
        <v>36</v>
      </c>
      <c r="O7905" s="12">
        <v>286.85</v>
      </c>
      <c r="P7905" s="12">
        <v>61.76</v>
      </c>
      <c r="Q7905" s="13">
        <v>-760.977</v>
      </c>
      <c r="R7905" s="36" t="s">
        <v>456</v>
      </c>
      <c r="S7905" s="7">
        <f t="shared" si="691"/>
        <v>0</v>
      </c>
      <c r="T7905" s="15" t="str">
        <f>VLOOKUP(R7905,产品分类!$C$2:$D$1278,2,0)</f>
        <v>办公用品</v>
      </c>
    </row>
    <row r="7906" spans="1:20">
      <c r="A7906" s="8">
        <f>DATE(2012,12,31)-29</f>
        <v>41245</v>
      </c>
      <c r="B7906" s="8">
        <f>DATE(2012,12,31)-29</f>
        <v>41245</v>
      </c>
      <c r="C7906" s="9" t="s">
        <v>1821</v>
      </c>
      <c r="D7906">
        <v>10021386483</v>
      </c>
      <c r="E7906" t="s">
        <v>47</v>
      </c>
      <c r="F7906" t="s">
        <v>61</v>
      </c>
      <c r="G7906" t="s">
        <v>62</v>
      </c>
      <c r="H7906" t="s">
        <v>2628</v>
      </c>
      <c r="I7906" t="s">
        <v>2629</v>
      </c>
      <c r="J7906" t="s">
        <v>271</v>
      </c>
      <c r="K7906" s="3">
        <v>100410288993</v>
      </c>
      <c r="L7906" s="10">
        <v>41248</v>
      </c>
      <c r="M7906">
        <v>407.17</v>
      </c>
      <c r="N7906" s="11">
        <v>36</v>
      </c>
      <c r="O7906" s="12">
        <v>11.58</v>
      </c>
      <c r="P7906" s="12">
        <v>6.97</v>
      </c>
      <c r="Q7906" s="13">
        <v>-12.82</v>
      </c>
      <c r="R7906" s="36" t="s">
        <v>1193</v>
      </c>
      <c r="S7906" s="7">
        <f t="shared" si="691"/>
        <v>3</v>
      </c>
      <c r="T7906" s="15" t="str">
        <f>VLOOKUP(R7906,产品分类!$C$2:$D$1278,2,0)</f>
        <v>办公用品</v>
      </c>
    </row>
    <row r="7907" spans="1:20">
      <c r="A7907" s="8">
        <f t="shared" ref="A7907:B7910" si="696">DATE(2012,12,31)-965</f>
        <v>40309</v>
      </c>
      <c r="B7907" s="8">
        <f t="shared" si="696"/>
        <v>40309</v>
      </c>
      <c r="C7907" s="9" t="s">
        <v>1821</v>
      </c>
      <c r="D7907">
        <v>10021661692</v>
      </c>
      <c r="E7907" t="s">
        <v>47</v>
      </c>
      <c r="F7907" t="s">
        <v>61</v>
      </c>
      <c r="G7907" t="s">
        <v>62</v>
      </c>
      <c r="H7907" t="s">
        <v>2628</v>
      </c>
      <c r="I7907" t="s">
        <v>2629</v>
      </c>
      <c r="J7907" t="s">
        <v>271</v>
      </c>
      <c r="K7907" s="3">
        <v>100919502581</v>
      </c>
      <c r="L7907" s="10">
        <v>40310</v>
      </c>
      <c r="M7907">
        <v>479.84</v>
      </c>
      <c r="N7907" s="11">
        <v>34</v>
      </c>
      <c r="O7907" s="12">
        <v>13.43</v>
      </c>
      <c r="P7907" s="12">
        <v>5.5</v>
      </c>
      <c r="Q7907" s="13">
        <v>5.71</v>
      </c>
      <c r="R7907" s="36" t="s">
        <v>335</v>
      </c>
      <c r="S7907" s="7">
        <f t="shared" si="691"/>
        <v>1</v>
      </c>
      <c r="T7907" s="15" t="str">
        <f>VLOOKUP(R7907,产品分类!$C$2:$D$1278,2,0)</f>
        <v>办公用品</v>
      </c>
    </row>
    <row r="7908" spans="1:20">
      <c r="A7908" s="8">
        <f t="shared" si="696"/>
        <v>40309</v>
      </c>
      <c r="B7908" s="8">
        <f t="shared" si="696"/>
        <v>40309</v>
      </c>
      <c r="C7908" s="9" t="s">
        <v>1821</v>
      </c>
      <c r="D7908">
        <v>10021508704</v>
      </c>
      <c r="E7908" t="s">
        <v>47</v>
      </c>
      <c r="F7908" t="s">
        <v>83</v>
      </c>
      <c r="G7908" t="s">
        <v>84</v>
      </c>
      <c r="H7908" t="s">
        <v>2577</v>
      </c>
      <c r="I7908" t="s">
        <v>2578</v>
      </c>
      <c r="J7908" t="s">
        <v>271</v>
      </c>
      <c r="K7908" s="3">
        <v>100832308662</v>
      </c>
      <c r="L7908" s="10">
        <v>40310</v>
      </c>
      <c r="M7908">
        <v>833.9265</v>
      </c>
      <c r="N7908" s="11">
        <v>16</v>
      </c>
      <c r="O7908" s="12">
        <v>65.99</v>
      </c>
      <c r="P7908" s="12">
        <v>3.99</v>
      </c>
      <c r="Q7908" s="13">
        <v>-39.215</v>
      </c>
      <c r="R7908" s="36" t="s">
        <v>1619</v>
      </c>
      <c r="S7908" s="7">
        <f t="shared" si="691"/>
        <v>1</v>
      </c>
      <c r="T7908" s="15" t="str">
        <f>VLOOKUP(R7908,产品分类!$C$2:$D$1278,2,0)</f>
        <v>数码电子</v>
      </c>
    </row>
    <row r="7909" spans="1:20">
      <c r="A7909" s="8">
        <f t="shared" si="696"/>
        <v>40309</v>
      </c>
      <c r="B7909" s="8">
        <f t="shared" si="696"/>
        <v>40309</v>
      </c>
      <c r="C7909" s="9" t="s">
        <v>686</v>
      </c>
      <c r="D7909">
        <v>10021258488</v>
      </c>
      <c r="E7909" t="s">
        <v>47</v>
      </c>
      <c r="F7909" t="s">
        <v>61</v>
      </c>
      <c r="G7909" t="s">
        <v>62</v>
      </c>
      <c r="H7909" t="s">
        <v>2628</v>
      </c>
      <c r="I7909" t="s">
        <v>2629</v>
      </c>
      <c r="J7909" t="s">
        <v>271</v>
      </c>
      <c r="K7909" s="3">
        <v>100326990969</v>
      </c>
      <c r="L7909" s="10">
        <v>40311</v>
      </c>
      <c r="M7909">
        <v>182.64</v>
      </c>
      <c r="N7909" s="11">
        <v>6</v>
      </c>
      <c r="O7909" s="12">
        <v>30.98</v>
      </c>
      <c r="P7909" s="12">
        <v>6.5</v>
      </c>
      <c r="Q7909" s="13">
        <v>-99.24</v>
      </c>
      <c r="R7909" s="36" t="s">
        <v>372</v>
      </c>
      <c r="S7909" s="7">
        <f t="shared" si="691"/>
        <v>2</v>
      </c>
      <c r="T7909" s="15" t="str">
        <f>VLOOKUP(R7909,产品分类!$C$2:$D$1278,2,0)</f>
        <v>办公用品</v>
      </c>
    </row>
    <row r="7910" spans="1:20">
      <c r="A7910" s="8">
        <f t="shared" si="696"/>
        <v>40309</v>
      </c>
      <c r="B7910" s="8">
        <f t="shared" si="696"/>
        <v>40309</v>
      </c>
      <c r="C7910" s="9" t="s">
        <v>686</v>
      </c>
      <c r="D7910">
        <v>10021608868</v>
      </c>
      <c r="E7910" t="s">
        <v>47</v>
      </c>
      <c r="F7910" t="s">
        <v>55</v>
      </c>
      <c r="G7910" t="s">
        <v>56</v>
      </c>
      <c r="H7910" t="s">
        <v>2604</v>
      </c>
      <c r="I7910" t="s">
        <v>2605</v>
      </c>
      <c r="J7910" t="s">
        <v>271</v>
      </c>
      <c r="K7910" s="3">
        <v>100426940153</v>
      </c>
      <c r="L7910" s="10">
        <v>40311</v>
      </c>
      <c r="M7910">
        <v>736.17</v>
      </c>
      <c r="N7910" s="11">
        <v>21</v>
      </c>
      <c r="O7910" s="12">
        <v>35.41</v>
      </c>
      <c r="P7910" s="12">
        <v>1.99</v>
      </c>
      <c r="Q7910" s="13">
        <v>232.99</v>
      </c>
      <c r="R7910" s="36" t="s">
        <v>1368</v>
      </c>
      <c r="S7910" s="7">
        <f t="shared" si="691"/>
        <v>2</v>
      </c>
      <c r="T7910" s="15" t="str">
        <f>VLOOKUP(R7910,产品分类!$C$2:$D$1278,2,0)</f>
        <v>数码电子</v>
      </c>
    </row>
    <row r="7911" spans="1:20">
      <c r="A7911" s="8">
        <f>DATE(2012,12,31)-694</f>
        <v>40580</v>
      </c>
      <c r="B7911" s="8">
        <f>DATE(2012,12,31)-694</f>
        <v>40580</v>
      </c>
      <c r="C7911" s="9" t="s">
        <v>1794</v>
      </c>
      <c r="D7911">
        <v>10021421629</v>
      </c>
      <c r="E7911" t="s">
        <v>47</v>
      </c>
      <c r="F7911" t="s">
        <v>61</v>
      </c>
      <c r="G7911" t="s">
        <v>62</v>
      </c>
      <c r="H7911" t="s">
        <v>2628</v>
      </c>
      <c r="I7911" t="s">
        <v>2629</v>
      </c>
      <c r="J7911" t="s">
        <v>271</v>
      </c>
      <c r="K7911" s="3">
        <v>100426027283</v>
      </c>
      <c r="L7911" s="10">
        <v>40585</v>
      </c>
      <c r="M7911">
        <v>1279.45</v>
      </c>
      <c r="N7911" s="11">
        <v>25</v>
      </c>
      <c r="O7911" s="12">
        <v>48.04</v>
      </c>
      <c r="P7911" s="12">
        <v>7.23</v>
      </c>
      <c r="Q7911" s="13">
        <v>558.25</v>
      </c>
      <c r="R7911" s="36" t="s">
        <v>548</v>
      </c>
      <c r="S7911" s="7">
        <f t="shared" si="691"/>
        <v>5</v>
      </c>
      <c r="T7911" s="15" t="str">
        <f>VLOOKUP(R7911,产品分类!$C$2:$D$1278,2,0)</f>
        <v>办公用品</v>
      </c>
    </row>
    <row r="7912" spans="1:20">
      <c r="A7912" s="8">
        <f t="shared" ref="A7912:B7914" si="697">DATE(2012,12,31)-76</f>
        <v>41198</v>
      </c>
      <c r="B7912" s="8">
        <f t="shared" si="697"/>
        <v>41198</v>
      </c>
      <c r="C7912" s="9" t="s">
        <v>1794</v>
      </c>
      <c r="D7912">
        <v>10021605531</v>
      </c>
      <c r="E7912" t="s">
        <v>47</v>
      </c>
      <c r="F7912" t="s">
        <v>61</v>
      </c>
      <c r="G7912" t="s">
        <v>62</v>
      </c>
      <c r="H7912" t="s">
        <v>2628</v>
      </c>
      <c r="I7912" t="s">
        <v>2629</v>
      </c>
      <c r="J7912" t="s">
        <v>271</v>
      </c>
      <c r="K7912" s="3">
        <v>10049089194</v>
      </c>
      <c r="L7912" s="10">
        <v>41200</v>
      </c>
      <c r="M7912">
        <v>34.29</v>
      </c>
      <c r="N7912" s="11">
        <v>6</v>
      </c>
      <c r="O7912" s="12">
        <v>5.28</v>
      </c>
      <c r="P7912" s="12">
        <v>2.99</v>
      </c>
      <c r="Q7912" s="13">
        <v>-6.8195</v>
      </c>
      <c r="R7912" s="36" t="s">
        <v>195</v>
      </c>
      <c r="S7912" s="7">
        <f t="shared" si="691"/>
        <v>2</v>
      </c>
      <c r="T7912" s="15" t="str">
        <f>VLOOKUP(R7912,产品分类!$C$2:$D$1278,2,0)</f>
        <v>家具产品</v>
      </c>
    </row>
    <row r="7913" spans="1:20">
      <c r="A7913" s="8">
        <f t="shared" si="697"/>
        <v>41198</v>
      </c>
      <c r="B7913" s="8">
        <f t="shared" si="697"/>
        <v>41198</v>
      </c>
      <c r="C7913" s="9" t="s">
        <v>1794</v>
      </c>
      <c r="D7913">
        <v>10021521771</v>
      </c>
      <c r="E7913" t="s">
        <v>47</v>
      </c>
      <c r="F7913" t="s">
        <v>61</v>
      </c>
      <c r="G7913" t="s">
        <v>62</v>
      </c>
      <c r="H7913" t="s">
        <v>2628</v>
      </c>
      <c r="I7913" t="s">
        <v>2629</v>
      </c>
      <c r="J7913" t="s">
        <v>271</v>
      </c>
      <c r="K7913" s="3">
        <v>10095163781</v>
      </c>
      <c r="L7913" s="10">
        <v>41202</v>
      </c>
      <c r="M7913">
        <v>23516.31</v>
      </c>
      <c r="N7913" s="11">
        <v>29</v>
      </c>
      <c r="O7913" s="12">
        <v>832.81</v>
      </c>
      <c r="P7913" s="12">
        <v>24.49</v>
      </c>
      <c r="Q7913" s="13">
        <v>1094.74</v>
      </c>
      <c r="R7913" s="36" t="s">
        <v>1252</v>
      </c>
      <c r="S7913" s="7">
        <f t="shared" si="691"/>
        <v>4</v>
      </c>
      <c r="T7913" s="15" t="str">
        <f>VLOOKUP(R7913,产品分类!$C$2:$D$1278,2,0)</f>
        <v>办公用品</v>
      </c>
    </row>
    <row r="7914" spans="1:20">
      <c r="A7914" s="8">
        <f t="shared" si="697"/>
        <v>41198</v>
      </c>
      <c r="B7914" s="8">
        <f t="shared" si="697"/>
        <v>41198</v>
      </c>
      <c r="C7914" s="9" t="s">
        <v>651</v>
      </c>
      <c r="D7914">
        <v>10021739900</v>
      </c>
      <c r="E7914" t="s">
        <v>47</v>
      </c>
      <c r="F7914" t="s">
        <v>61</v>
      </c>
      <c r="G7914" t="s">
        <v>62</v>
      </c>
      <c r="H7914" t="s">
        <v>2628</v>
      </c>
      <c r="I7914" t="s">
        <v>2629</v>
      </c>
      <c r="J7914" t="s">
        <v>271</v>
      </c>
      <c r="K7914" s="3">
        <v>100710212725</v>
      </c>
      <c r="L7914" s="10">
        <v>41205</v>
      </c>
      <c r="M7914">
        <v>662.21</v>
      </c>
      <c r="N7914" s="11">
        <v>33</v>
      </c>
      <c r="O7914" s="12">
        <v>18.84</v>
      </c>
      <c r="P7914" s="12">
        <v>3.62</v>
      </c>
      <c r="Q7914" s="13">
        <v>256.57</v>
      </c>
      <c r="R7914" s="36" t="s">
        <v>1205</v>
      </c>
      <c r="S7914" s="7">
        <f t="shared" si="691"/>
        <v>7</v>
      </c>
      <c r="T7914" s="15" t="str">
        <f>VLOOKUP(R7914,产品分类!$C$2:$D$1278,2,0)</f>
        <v>办公用品</v>
      </c>
    </row>
    <row r="7915" spans="1:20">
      <c r="A7915" s="8">
        <f>DATE(2012,12,31)-558</f>
        <v>40716</v>
      </c>
      <c r="B7915" s="8">
        <f>DATE(2012,12,31)-558</f>
        <v>40716</v>
      </c>
      <c r="C7915" s="9" t="s">
        <v>2052</v>
      </c>
      <c r="D7915">
        <v>10021261363</v>
      </c>
      <c r="E7915" t="s">
        <v>47</v>
      </c>
      <c r="F7915" t="s">
        <v>61</v>
      </c>
      <c r="G7915" t="s">
        <v>62</v>
      </c>
      <c r="H7915" t="s">
        <v>2628</v>
      </c>
      <c r="I7915" t="s">
        <v>2629</v>
      </c>
      <c r="J7915" t="s">
        <v>271</v>
      </c>
      <c r="K7915" s="3">
        <v>100829423442</v>
      </c>
      <c r="L7915" s="10">
        <v>40719</v>
      </c>
      <c r="M7915">
        <v>524.25</v>
      </c>
      <c r="N7915" s="11">
        <v>23</v>
      </c>
      <c r="O7915" s="12">
        <v>22.23</v>
      </c>
      <c r="P7915" s="12">
        <v>8.99</v>
      </c>
      <c r="Q7915" s="13">
        <v>152.31</v>
      </c>
      <c r="R7915" s="36" t="s">
        <v>461</v>
      </c>
      <c r="S7915" s="7">
        <f t="shared" si="691"/>
        <v>3</v>
      </c>
      <c r="T7915" s="15" t="str">
        <f>VLOOKUP(R7915,产品分类!$C$2:$D$1278,2,0)</f>
        <v>数码电子</v>
      </c>
    </row>
    <row r="7916" spans="1:20">
      <c r="A7916" s="8">
        <f>DATE(2012,12,31)-523</f>
        <v>40751</v>
      </c>
      <c r="B7916" s="8">
        <f>DATE(2012,12,31)-523</f>
        <v>40751</v>
      </c>
      <c r="C7916" s="9" t="s">
        <v>2052</v>
      </c>
      <c r="D7916">
        <v>10021255539</v>
      </c>
      <c r="E7916" t="s">
        <v>47</v>
      </c>
      <c r="F7916" t="s">
        <v>61</v>
      </c>
      <c r="G7916" t="s">
        <v>62</v>
      </c>
      <c r="H7916" t="s">
        <v>2628</v>
      </c>
      <c r="I7916" t="s">
        <v>2629</v>
      </c>
      <c r="J7916" t="s">
        <v>271</v>
      </c>
      <c r="K7916" s="3">
        <v>100924292371</v>
      </c>
      <c r="L7916" s="10">
        <v>40753</v>
      </c>
      <c r="M7916">
        <v>111.39</v>
      </c>
      <c r="N7916" s="11">
        <v>37</v>
      </c>
      <c r="O7916" s="12">
        <v>2.88</v>
      </c>
      <c r="P7916" s="12">
        <v>0.7</v>
      </c>
      <c r="Q7916" s="13">
        <v>20.06</v>
      </c>
      <c r="R7916" s="36" t="s">
        <v>576</v>
      </c>
      <c r="S7916" s="7">
        <f t="shared" si="691"/>
        <v>2</v>
      </c>
      <c r="T7916" s="15" t="str">
        <f>VLOOKUP(R7916,产品分类!$C$2:$D$1278,2,0)</f>
        <v>办公用品</v>
      </c>
    </row>
    <row r="7917" spans="1:20">
      <c r="A7917" s="8">
        <f>DATE(2012,12,31)-523</f>
        <v>40751</v>
      </c>
      <c r="B7917" s="8">
        <f>DATE(2012,12,31)-523</f>
        <v>40751</v>
      </c>
      <c r="C7917" s="9" t="s">
        <v>2052</v>
      </c>
      <c r="D7917">
        <v>10021462039</v>
      </c>
      <c r="E7917" t="s">
        <v>47</v>
      </c>
      <c r="F7917" t="s">
        <v>83</v>
      </c>
      <c r="G7917" t="s">
        <v>84</v>
      </c>
      <c r="H7917" t="s">
        <v>2577</v>
      </c>
      <c r="I7917" t="s">
        <v>2578</v>
      </c>
      <c r="J7917" t="s">
        <v>271</v>
      </c>
      <c r="K7917" s="3">
        <v>100918834501</v>
      </c>
      <c r="L7917" s="10">
        <v>40752</v>
      </c>
      <c r="M7917">
        <v>1207.02</v>
      </c>
      <c r="N7917" s="11">
        <v>13</v>
      </c>
      <c r="O7917" s="12">
        <v>90.97</v>
      </c>
      <c r="P7917" s="12">
        <v>14</v>
      </c>
      <c r="Q7917" s="13">
        <v>235.4</v>
      </c>
      <c r="R7917" s="36" t="s">
        <v>142</v>
      </c>
      <c r="S7917" s="7">
        <f t="shared" si="691"/>
        <v>1</v>
      </c>
      <c r="T7917" s="15" t="str">
        <f>VLOOKUP(R7917,产品分类!$C$2:$D$1278,2,0)</f>
        <v>数码电子</v>
      </c>
    </row>
    <row r="7918" spans="1:20">
      <c r="A7918" s="8">
        <f>DATE(2012,12,31)-763</f>
        <v>40511</v>
      </c>
      <c r="B7918" s="8">
        <f>DATE(2012,12,31)-763</f>
        <v>40511</v>
      </c>
      <c r="C7918" s="9" t="s">
        <v>515</v>
      </c>
      <c r="D7918">
        <v>10021256460</v>
      </c>
      <c r="E7918" t="s">
        <v>47</v>
      </c>
      <c r="F7918" t="s">
        <v>61</v>
      </c>
      <c r="G7918" t="s">
        <v>62</v>
      </c>
      <c r="H7918" t="s">
        <v>2628</v>
      </c>
      <c r="I7918" t="s">
        <v>2629</v>
      </c>
      <c r="J7918" t="s">
        <v>271</v>
      </c>
      <c r="K7918" s="3">
        <v>100925110731</v>
      </c>
      <c r="L7918" s="10">
        <v>40513</v>
      </c>
      <c r="M7918">
        <v>455.59</v>
      </c>
      <c r="N7918" s="11">
        <v>11</v>
      </c>
      <c r="O7918" s="12">
        <v>37.93</v>
      </c>
      <c r="P7918" s="12">
        <v>13.99</v>
      </c>
      <c r="Q7918" s="13">
        <v>98.02</v>
      </c>
      <c r="R7918" s="36" t="s">
        <v>1477</v>
      </c>
      <c r="S7918" s="7">
        <f t="shared" si="691"/>
        <v>2</v>
      </c>
      <c r="T7918" s="15" t="str">
        <f>VLOOKUP(R7918,产品分类!$C$2:$D$1278,2,0)</f>
        <v>办公用品</v>
      </c>
    </row>
    <row r="7919" spans="1:20">
      <c r="A7919" s="8">
        <f>DATE(2012,12,31)-216</f>
        <v>41058</v>
      </c>
      <c r="B7919" s="8">
        <f>DATE(2012,12,31)-216</f>
        <v>41058</v>
      </c>
      <c r="C7919" s="9" t="s">
        <v>149</v>
      </c>
      <c r="D7919">
        <v>10021427334</v>
      </c>
      <c r="E7919" t="s">
        <v>47</v>
      </c>
      <c r="F7919" t="s">
        <v>61</v>
      </c>
      <c r="G7919" t="s">
        <v>62</v>
      </c>
      <c r="H7919" t="s">
        <v>2628</v>
      </c>
      <c r="I7919" t="s">
        <v>2629</v>
      </c>
      <c r="J7919" t="s">
        <v>271</v>
      </c>
      <c r="K7919" s="3">
        <v>100730630585</v>
      </c>
      <c r="L7919" s="10">
        <v>41059</v>
      </c>
      <c r="M7919">
        <v>78.2</v>
      </c>
      <c r="N7919" s="11">
        <v>50</v>
      </c>
      <c r="O7919" s="12">
        <v>1.68</v>
      </c>
      <c r="P7919" s="12">
        <v>1</v>
      </c>
      <c r="Q7919" s="13">
        <v>-4.56</v>
      </c>
      <c r="R7919" s="36" t="s">
        <v>1525</v>
      </c>
      <c r="S7919" s="7">
        <f t="shared" si="691"/>
        <v>1</v>
      </c>
      <c r="T7919" s="15" t="str">
        <f>VLOOKUP(R7919,产品分类!$C$2:$D$1278,2,0)</f>
        <v>数码电子</v>
      </c>
    </row>
    <row r="7920" spans="1:20">
      <c r="A7920" s="8">
        <f>DATE(2012,12,31)-1117</f>
        <v>40157</v>
      </c>
      <c r="B7920" s="8">
        <f>DATE(2012,12,31)-1117</f>
        <v>40157</v>
      </c>
      <c r="C7920" s="9" t="s">
        <v>1439</v>
      </c>
      <c r="D7920">
        <v>10021386376</v>
      </c>
      <c r="E7920" t="s">
        <v>47</v>
      </c>
      <c r="F7920" t="s">
        <v>61</v>
      </c>
      <c r="G7920" t="s">
        <v>62</v>
      </c>
      <c r="H7920" t="s">
        <v>2628</v>
      </c>
      <c r="I7920" t="s">
        <v>2629</v>
      </c>
      <c r="J7920" t="s">
        <v>271</v>
      </c>
      <c r="K7920" s="3">
        <v>10089414732</v>
      </c>
      <c r="L7920" s="10">
        <v>40157</v>
      </c>
      <c r="M7920">
        <v>258.19</v>
      </c>
      <c r="N7920" s="11">
        <v>42</v>
      </c>
      <c r="O7920" s="12">
        <v>6.48</v>
      </c>
      <c r="P7920" s="12">
        <v>5.9</v>
      </c>
      <c r="Q7920" s="13">
        <v>-103.27</v>
      </c>
      <c r="R7920" s="36" t="s">
        <v>1104</v>
      </c>
      <c r="S7920" s="7">
        <f t="shared" si="691"/>
        <v>0</v>
      </c>
      <c r="T7920" s="15" t="str">
        <f>VLOOKUP(R7920,产品分类!$C$2:$D$1278,2,0)</f>
        <v>办公用品</v>
      </c>
    </row>
    <row r="7921" spans="1:20">
      <c r="A7921" s="16">
        <f>DATE(2012,12,31)-645</f>
        <v>40629</v>
      </c>
      <c r="B7921" s="16">
        <f>DATE(2012,12,31)-645</f>
        <v>40629</v>
      </c>
      <c r="C7921" s="9" t="s">
        <v>377</v>
      </c>
      <c r="D7921">
        <v>10021281416</v>
      </c>
      <c r="E7921" t="s">
        <v>47</v>
      </c>
      <c r="F7921" t="s">
        <v>61</v>
      </c>
      <c r="G7921" t="s">
        <v>62</v>
      </c>
      <c r="H7921" t="s">
        <v>2628</v>
      </c>
      <c r="I7921" t="s">
        <v>2629</v>
      </c>
      <c r="J7921" t="s">
        <v>271</v>
      </c>
      <c r="K7921" s="3">
        <v>100921978581</v>
      </c>
      <c r="L7921" s="10">
        <v>40631</v>
      </c>
      <c r="M7921">
        <v>136.45</v>
      </c>
      <c r="N7921" s="17">
        <v>41</v>
      </c>
      <c r="O7921" s="5">
        <v>3.36</v>
      </c>
      <c r="P7921" s="5">
        <v>6.27</v>
      </c>
      <c r="Q7921" s="6">
        <v>-202.078</v>
      </c>
      <c r="R7921" s="37" t="s">
        <v>1177</v>
      </c>
      <c r="S7921" s="7">
        <f t="shared" si="691"/>
        <v>2</v>
      </c>
      <c r="T7921" s="15" t="str">
        <f>VLOOKUP(R7921,产品分类!$C$2:$D$1278,2,0)</f>
        <v>办公用品</v>
      </c>
    </row>
    <row r="7922" spans="1:20">
      <c r="A7922" s="8">
        <f>DATE(2012,12,31)-645</f>
        <v>40629</v>
      </c>
      <c r="B7922" s="8">
        <f>DATE(2012,12,31)-645</f>
        <v>40629</v>
      </c>
      <c r="C7922" s="9" t="s">
        <v>377</v>
      </c>
      <c r="D7922">
        <v>10021294194</v>
      </c>
      <c r="E7922" t="s">
        <v>47</v>
      </c>
      <c r="F7922" t="s">
        <v>61</v>
      </c>
      <c r="G7922" t="s">
        <v>62</v>
      </c>
      <c r="H7922" t="s">
        <v>2628</v>
      </c>
      <c r="I7922" t="s">
        <v>2629</v>
      </c>
      <c r="J7922" t="s">
        <v>271</v>
      </c>
      <c r="K7922" s="3">
        <v>100811301392</v>
      </c>
      <c r="L7922" s="10">
        <v>40630</v>
      </c>
      <c r="M7922">
        <v>121.81</v>
      </c>
      <c r="N7922" s="11">
        <v>24</v>
      </c>
      <c r="O7922" s="12">
        <v>4.98</v>
      </c>
      <c r="P7922" s="12">
        <v>4.86</v>
      </c>
      <c r="Q7922" s="13">
        <v>-50.21</v>
      </c>
      <c r="R7922" s="36" t="s">
        <v>662</v>
      </c>
      <c r="S7922" s="7">
        <f t="shared" si="691"/>
        <v>1</v>
      </c>
      <c r="T7922" s="15" t="str">
        <f>VLOOKUP(R7922,产品分类!$C$2:$D$1278,2,0)</f>
        <v>数码电子</v>
      </c>
    </row>
    <row r="7923" spans="1:20">
      <c r="A7923" s="8">
        <f>DATE(2012,12,31)-209</f>
        <v>41065</v>
      </c>
      <c r="B7923" s="8">
        <f>DATE(2012,12,31)-209</f>
        <v>41065</v>
      </c>
      <c r="C7923" s="9" t="s">
        <v>450</v>
      </c>
      <c r="D7923">
        <v>10021456333</v>
      </c>
      <c r="E7923" t="s">
        <v>47</v>
      </c>
      <c r="F7923" t="s">
        <v>72</v>
      </c>
      <c r="G7923" t="s">
        <v>73</v>
      </c>
      <c r="H7923" t="s">
        <v>2606</v>
      </c>
      <c r="I7923" t="s">
        <v>2607</v>
      </c>
      <c r="J7923" t="s">
        <v>271</v>
      </c>
      <c r="K7923" s="3">
        <v>100832612952</v>
      </c>
      <c r="L7923" s="10">
        <v>41066</v>
      </c>
      <c r="M7923">
        <v>14753.08</v>
      </c>
      <c r="N7923" s="11">
        <v>38</v>
      </c>
      <c r="O7923" s="12">
        <v>370.98</v>
      </c>
      <c r="P7923" s="12">
        <v>99</v>
      </c>
      <c r="Q7923" s="13">
        <v>1085.91</v>
      </c>
      <c r="R7923" s="36" t="s">
        <v>226</v>
      </c>
      <c r="S7923" s="7">
        <f t="shared" si="691"/>
        <v>1</v>
      </c>
      <c r="T7923" s="15" t="str">
        <f>VLOOKUP(R7923,产品分类!$C$2:$D$1278,2,0)</f>
        <v>家具产品</v>
      </c>
    </row>
    <row r="7924" spans="1:20">
      <c r="A7924" s="8">
        <f>DATE(2012,12,31)-1350</f>
        <v>39924</v>
      </c>
      <c r="B7924" s="8">
        <f>DATE(2012,12,31)-1350</f>
        <v>39924</v>
      </c>
      <c r="C7924" s="9" t="s">
        <v>311</v>
      </c>
      <c r="D7924">
        <v>10021570316</v>
      </c>
      <c r="E7924" t="s">
        <v>47</v>
      </c>
      <c r="F7924" t="s">
        <v>91</v>
      </c>
      <c r="G7924" t="s">
        <v>92</v>
      </c>
      <c r="H7924" t="s">
        <v>2621</v>
      </c>
      <c r="I7924" t="s">
        <v>2622</v>
      </c>
      <c r="J7924" t="s">
        <v>271</v>
      </c>
      <c r="K7924" s="3">
        <v>100432886003</v>
      </c>
      <c r="L7924" s="10">
        <v>39926</v>
      </c>
      <c r="M7924">
        <v>47.04</v>
      </c>
      <c r="N7924" s="11">
        <v>1</v>
      </c>
      <c r="O7924" s="12">
        <v>42.98</v>
      </c>
      <c r="P7924" s="12">
        <v>4.62</v>
      </c>
      <c r="Q7924" s="13">
        <v>-24.63</v>
      </c>
      <c r="R7924" s="36" t="s">
        <v>1977</v>
      </c>
      <c r="S7924" s="7">
        <f t="shared" si="691"/>
        <v>2</v>
      </c>
      <c r="T7924" s="15" t="str">
        <f>VLOOKUP(R7924,产品分类!$C$2:$D$1278,2,0)</f>
        <v>数码电子</v>
      </c>
    </row>
    <row r="7925" spans="1:20">
      <c r="A7925" s="8">
        <f>DATE(2012,12,31)-610</f>
        <v>40664</v>
      </c>
      <c r="B7925" s="8">
        <f>DATE(2012,12,31)-610</f>
        <v>40664</v>
      </c>
      <c r="C7925" s="9" t="s">
        <v>311</v>
      </c>
      <c r="D7925">
        <v>10021421356</v>
      </c>
      <c r="E7925" t="s">
        <v>47</v>
      </c>
      <c r="F7925" t="s">
        <v>304</v>
      </c>
      <c r="G7925" t="s">
        <v>305</v>
      </c>
      <c r="H7925" t="s">
        <v>2527</v>
      </c>
      <c r="I7925" t="s">
        <v>2528</v>
      </c>
      <c r="J7925" t="s">
        <v>271</v>
      </c>
      <c r="K7925" s="3">
        <v>100925783311</v>
      </c>
      <c r="L7925" s="10">
        <v>40666</v>
      </c>
      <c r="M7925">
        <v>1900.47</v>
      </c>
      <c r="N7925" s="11">
        <v>22</v>
      </c>
      <c r="O7925" s="12">
        <v>80.97</v>
      </c>
      <c r="P7925" s="12">
        <v>30.06</v>
      </c>
      <c r="Q7925" s="13">
        <v>202.73</v>
      </c>
      <c r="R7925" s="36" t="s">
        <v>1195</v>
      </c>
      <c r="S7925" s="7">
        <f t="shared" si="691"/>
        <v>2</v>
      </c>
      <c r="T7925" s="15" t="str">
        <f>VLOOKUP(R7925,产品分类!$C$2:$D$1278,2,0)</f>
        <v>办公用品</v>
      </c>
    </row>
    <row r="7926" spans="1:20">
      <c r="A7926" s="8">
        <f>DATE(2012,12,31)-610</f>
        <v>40664</v>
      </c>
      <c r="B7926" s="8">
        <f>DATE(2012,12,31)-610</f>
        <v>40664</v>
      </c>
      <c r="C7926" s="9" t="s">
        <v>1987</v>
      </c>
      <c r="D7926">
        <v>10021538134</v>
      </c>
      <c r="E7926" t="s">
        <v>47</v>
      </c>
      <c r="F7926" t="s">
        <v>72</v>
      </c>
      <c r="G7926" t="s">
        <v>73</v>
      </c>
      <c r="H7926" t="s">
        <v>2606</v>
      </c>
      <c r="I7926" t="s">
        <v>2607</v>
      </c>
      <c r="J7926" t="s">
        <v>271</v>
      </c>
      <c r="K7926" s="3">
        <v>100325408669</v>
      </c>
      <c r="L7926" s="10">
        <v>40665</v>
      </c>
      <c r="M7926">
        <v>205.52</v>
      </c>
      <c r="N7926" s="11">
        <v>33</v>
      </c>
      <c r="O7926" s="12">
        <v>6.48</v>
      </c>
      <c r="P7926" s="12">
        <v>7.03</v>
      </c>
      <c r="Q7926" s="13">
        <v>-118.55</v>
      </c>
      <c r="R7926" s="36" t="s">
        <v>1411</v>
      </c>
      <c r="S7926" s="7">
        <f t="shared" si="691"/>
        <v>1</v>
      </c>
      <c r="T7926" s="15" t="str">
        <f>VLOOKUP(R7926,产品分类!$C$2:$D$1278,2,0)</f>
        <v>办公用品</v>
      </c>
    </row>
    <row r="7927" spans="1:20">
      <c r="A7927" s="8">
        <f>DATE(2012,12,31)-1045</f>
        <v>40229</v>
      </c>
      <c r="B7927" s="8">
        <f>DATE(2012,12,31)-1045</f>
        <v>40229</v>
      </c>
      <c r="C7927" s="9" t="s">
        <v>250</v>
      </c>
      <c r="D7927">
        <v>10021436241</v>
      </c>
      <c r="E7927" t="s">
        <v>47</v>
      </c>
      <c r="F7927" t="s">
        <v>78</v>
      </c>
      <c r="G7927" t="s">
        <v>79</v>
      </c>
      <c r="H7927" t="s">
        <v>80</v>
      </c>
      <c r="I7927" t="s">
        <v>81</v>
      </c>
      <c r="J7927" t="s">
        <v>271</v>
      </c>
      <c r="K7927" s="3">
        <v>100724123765</v>
      </c>
      <c r="L7927" s="10">
        <v>40229</v>
      </c>
      <c r="M7927">
        <v>10.94</v>
      </c>
      <c r="N7927" s="11">
        <v>1</v>
      </c>
      <c r="O7927" s="12">
        <v>9.11</v>
      </c>
      <c r="P7927" s="12">
        <v>2.25</v>
      </c>
      <c r="Q7927" s="13">
        <v>-5.16</v>
      </c>
      <c r="R7927" s="36" t="s">
        <v>2129</v>
      </c>
      <c r="S7927" s="7">
        <f t="shared" si="691"/>
        <v>0</v>
      </c>
      <c r="T7927" s="15" t="str">
        <f>VLOOKUP(R7927,产品分类!$C$2:$D$1278,2,0)</f>
        <v>家具产品</v>
      </c>
    </row>
    <row r="7928" spans="1:20">
      <c r="A7928" s="8">
        <f>DATE(2012,12,31)-748</f>
        <v>40526</v>
      </c>
      <c r="B7928" s="8">
        <f>DATE(2012,12,31)-748</f>
        <v>40526</v>
      </c>
      <c r="C7928" s="9" t="s">
        <v>1968</v>
      </c>
      <c r="D7928">
        <v>10021401029</v>
      </c>
      <c r="E7928" t="s">
        <v>47</v>
      </c>
      <c r="F7928" t="s">
        <v>78</v>
      </c>
      <c r="G7928" t="s">
        <v>79</v>
      </c>
      <c r="H7928" t="s">
        <v>80</v>
      </c>
      <c r="I7928" t="s">
        <v>81</v>
      </c>
      <c r="J7928" t="s">
        <v>271</v>
      </c>
      <c r="K7928" s="3">
        <v>100811811882</v>
      </c>
      <c r="L7928" s="10">
        <v>40530</v>
      </c>
      <c r="M7928">
        <v>965.46</v>
      </c>
      <c r="N7928" s="11">
        <v>10</v>
      </c>
      <c r="O7928" s="12">
        <v>90.98</v>
      </c>
      <c r="P7928" s="12">
        <v>30</v>
      </c>
      <c r="Q7928" s="13">
        <v>-71.48</v>
      </c>
      <c r="R7928" s="36" t="s">
        <v>159</v>
      </c>
      <c r="S7928" s="7">
        <f t="shared" si="691"/>
        <v>4</v>
      </c>
      <c r="T7928" s="15" t="str">
        <f>VLOOKUP(R7928,产品分类!$C$2:$D$1278,2,0)</f>
        <v>数码电子</v>
      </c>
    </row>
    <row r="7929" spans="1:20">
      <c r="A7929" s="8">
        <f>DATE(2012,12,31)-521</f>
        <v>40753</v>
      </c>
      <c r="B7929" s="8">
        <f>DATE(2012,12,31)-521</f>
        <v>40753</v>
      </c>
      <c r="C7929" s="9" t="s">
        <v>1968</v>
      </c>
      <c r="D7929">
        <v>10021780742</v>
      </c>
      <c r="E7929" t="s">
        <v>47</v>
      </c>
      <c r="F7929" t="s">
        <v>230</v>
      </c>
      <c r="G7929" t="s">
        <v>231</v>
      </c>
      <c r="H7929" t="s">
        <v>2602</v>
      </c>
      <c r="I7929" t="s">
        <v>2603</v>
      </c>
      <c r="J7929" t="s">
        <v>271</v>
      </c>
      <c r="K7929" s="3">
        <v>100428357843</v>
      </c>
      <c r="L7929" s="10">
        <v>40754</v>
      </c>
      <c r="M7929">
        <v>4326.27</v>
      </c>
      <c r="N7929" s="11">
        <v>44</v>
      </c>
      <c r="O7929" s="12">
        <v>100.98</v>
      </c>
      <c r="P7929" s="12">
        <v>7.18</v>
      </c>
      <c r="Q7929" s="13">
        <v>1728.2</v>
      </c>
      <c r="R7929" s="36" t="s">
        <v>2576</v>
      </c>
      <c r="S7929" s="7">
        <f t="shared" si="691"/>
        <v>1</v>
      </c>
      <c r="T7929" s="15" t="str">
        <f>VLOOKUP(R7929,产品分类!$C$2:$D$1278,2,0)</f>
        <v>家具产品</v>
      </c>
    </row>
    <row r="7930" spans="1:20">
      <c r="A7930" s="8">
        <f>DATE(2012,12,31)-394</f>
        <v>40880</v>
      </c>
      <c r="B7930" s="8">
        <f>DATE(2012,12,31)-394</f>
        <v>40880</v>
      </c>
      <c r="C7930" s="9" t="s">
        <v>1968</v>
      </c>
      <c r="D7930">
        <v>10021562244</v>
      </c>
      <c r="E7930" t="s">
        <v>47</v>
      </c>
      <c r="F7930" t="s">
        <v>122</v>
      </c>
      <c r="G7930" t="s">
        <v>123</v>
      </c>
      <c r="H7930" t="s">
        <v>2458</v>
      </c>
      <c r="I7930" t="s">
        <v>2459</v>
      </c>
      <c r="J7930" t="s">
        <v>271</v>
      </c>
      <c r="K7930" s="3">
        <v>100133129228</v>
      </c>
      <c r="L7930" s="10">
        <v>40887</v>
      </c>
      <c r="M7930">
        <v>1947.4265</v>
      </c>
      <c r="N7930" s="11">
        <v>34</v>
      </c>
      <c r="O7930" s="12">
        <v>65.99</v>
      </c>
      <c r="P7930" s="12">
        <v>5.92</v>
      </c>
      <c r="Q7930" s="13">
        <v>473.265</v>
      </c>
      <c r="R7930" s="36" t="s">
        <v>2164</v>
      </c>
      <c r="S7930" s="7">
        <f t="shared" si="691"/>
        <v>7</v>
      </c>
      <c r="T7930" s="15" t="str">
        <f>VLOOKUP(R7930,产品分类!$C$2:$D$1278,2,0)</f>
        <v>办公用品</v>
      </c>
    </row>
    <row r="7931" spans="1:20">
      <c r="A7931" s="8">
        <f>DATE(2012,12,31)-892</f>
        <v>40382</v>
      </c>
      <c r="B7931" s="8">
        <f>DATE(2012,12,31)-892</f>
        <v>40382</v>
      </c>
      <c r="C7931" s="9" t="s">
        <v>1749</v>
      </c>
      <c r="D7931">
        <v>10021616451</v>
      </c>
      <c r="E7931" t="s">
        <v>47</v>
      </c>
      <c r="F7931" t="s">
        <v>91</v>
      </c>
      <c r="G7931" t="s">
        <v>92</v>
      </c>
      <c r="H7931" t="s">
        <v>2621</v>
      </c>
      <c r="I7931" t="s">
        <v>2622</v>
      </c>
      <c r="J7931" t="s">
        <v>271</v>
      </c>
      <c r="K7931" s="3">
        <v>10096336921</v>
      </c>
      <c r="L7931" s="10">
        <v>40384</v>
      </c>
      <c r="M7931">
        <v>842.19</v>
      </c>
      <c r="N7931" s="11">
        <v>10</v>
      </c>
      <c r="O7931" s="12">
        <v>80.98</v>
      </c>
      <c r="P7931" s="12">
        <v>4.5</v>
      </c>
      <c r="Q7931" s="13">
        <v>157.45</v>
      </c>
      <c r="R7931" s="36" t="s">
        <v>2318</v>
      </c>
      <c r="S7931" s="7">
        <f t="shared" si="691"/>
        <v>2</v>
      </c>
      <c r="T7931" s="15" t="str">
        <f>VLOOKUP(R7931,产品分类!$C$2:$D$1278,2,0)</f>
        <v>家具产品</v>
      </c>
    </row>
    <row r="7932" spans="1:20">
      <c r="A7932" s="8">
        <f>DATE(2012,12,31)-401</f>
        <v>40873</v>
      </c>
      <c r="B7932" s="8">
        <f>DATE(2012,12,31)-401</f>
        <v>40873</v>
      </c>
      <c r="C7932" s="9" t="s">
        <v>861</v>
      </c>
      <c r="D7932">
        <v>10021327501</v>
      </c>
      <c r="E7932" t="s">
        <v>47</v>
      </c>
      <c r="F7932" t="s">
        <v>122</v>
      </c>
      <c r="G7932" t="s">
        <v>123</v>
      </c>
      <c r="H7932" t="s">
        <v>2458</v>
      </c>
      <c r="I7932" t="s">
        <v>2459</v>
      </c>
      <c r="J7932" t="s">
        <v>271</v>
      </c>
      <c r="K7932" s="3">
        <v>100131286497</v>
      </c>
      <c r="L7932" s="10">
        <v>40875</v>
      </c>
      <c r="M7932">
        <v>54.32</v>
      </c>
      <c r="N7932" s="11">
        <v>16</v>
      </c>
      <c r="O7932" s="12">
        <v>3.41</v>
      </c>
      <c r="P7932" s="12">
        <v>0.7</v>
      </c>
      <c r="Q7932" s="13">
        <v>16.11</v>
      </c>
      <c r="R7932" s="36" t="s">
        <v>1125</v>
      </c>
      <c r="S7932" s="7">
        <f t="shared" si="691"/>
        <v>2</v>
      </c>
      <c r="T7932" s="15" t="str">
        <f>VLOOKUP(R7932,产品分类!$C$2:$D$1278,2,0)</f>
        <v>家具产品</v>
      </c>
    </row>
    <row r="7933" spans="1:20">
      <c r="A7933" s="8">
        <f>DATE(2012,12,31)-1207</f>
        <v>40067</v>
      </c>
      <c r="B7933" s="8">
        <f>DATE(2012,12,31)-1207</f>
        <v>40067</v>
      </c>
      <c r="C7933" s="9" t="s">
        <v>2341</v>
      </c>
      <c r="D7933">
        <v>10021435491</v>
      </c>
      <c r="E7933" t="s">
        <v>47</v>
      </c>
      <c r="F7933" t="s">
        <v>91</v>
      </c>
      <c r="G7933" t="s">
        <v>92</v>
      </c>
      <c r="H7933" t="s">
        <v>2621</v>
      </c>
      <c r="I7933" t="s">
        <v>2622</v>
      </c>
      <c r="J7933" t="s">
        <v>271</v>
      </c>
      <c r="K7933" s="3">
        <v>100431323233</v>
      </c>
      <c r="L7933" s="10">
        <v>40069</v>
      </c>
      <c r="M7933">
        <v>100.68</v>
      </c>
      <c r="N7933" s="11">
        <v>36</v>
      </c>
      <c r="O7933" s="12">
        <v>2.6</v>
      </c>
      <c r="P7933" s="12">
        <v>2.4</v>
      </c>
      <c r="Q7933" s="13">
        <v>-45.21</v>
      </c>
      <c r="R7933" s="36" t="s">
        <v>1379</v>
      </c>
      <c r="S7933" s="7">
        <f t="shared" si="691"/>
        <v>2</v>
      </c>
      <c r="T7933" s="15" t="str">
        <f>VLOOKUP(R7933,产品分类!$C$2:$D$1278,2,0)</f>
        <v>家具产品</v>
      </c>
    </row>
    <row r="7934" spans="1:20">
      <c r="A7934" s="8">
        <f>DATE(2012,12,31)-462</f>
        <v>40812</v>
      </c>
      <c r="B7934" s="8">
        <f>DATE(2012,12,31)-462</f>
        <v>40812</v>
      </c>
      <c r="C7934" s="9" t="s">
        <v>1112</v>
      </c>
      <c r="D7934">
        <v>10021727327</v>
      </c>
      <c r="E7934" t="s">
        <v>47</v>
      </c>
      <c r="F7934" t="s">
        <v>91</v>
      </c>
      <c r="G7934" t="s">
        <v>92</v>
      </c>
      <c r="H7934" t="s">
        <v>2621</v>
      </c>
      <c r="I7934" t="s">
        <v>2622</v>
      </c>
      <c r="J7934" t="s">
        <v>271</v>
      </c>
      <c r="K7934" s="3">
        <v>10073890965</v>
      </c>
      <c r="L7934" s="10">
        <v>40814</v>
      </c>
      <c r="M7934">
        <v>205.88</v>
      </c>
      <c r="N7934" s="11">
        <v>22</v>
      </c>
      <c r="O7934" s="12">
        <v>9.78</v>
      </c>
      <c r="P7934" s="12">
        <v>1.99</v>
      </c>
      <c r="Q7934" s="13">
        <v>20.68</v>
      </c>
      <c r="R7934" s="36" t="s">
        <v>1252</v>
      </c>
      <c r="S7934" s="7">
        <f t="shared" si="691"/>
        <v>2</v>
      </c>
      <c r="T7934" s="15" t="str">
        <f>VLOOKUP(R7934,产品分类!$C$2:$D$1278,2,0)</f>
        <v>办公用品</v>
      </c>
    </row>
    <row r="7935" spans="1:20">
      <c r="A7935" s="8">
        <f>DATE(2012,12,31)-136</f>
        <v>41138</v>
      </c>
      <c r="B7935" s="8">
        <f>DATE(2012,12,31)-136</f>
        <v>41138</v>
      </c>
      <c r="C7935" s="9" t="s">
        <v>1112</v>
      </c>
      <c r="D7935">
        <v>10021489082</v>
      </c>
      <c r="E7935" t="s">
        <v>47</v>
      </c>
      <c r="F7935" t="s">
        <v>83</v>
      </c>
      <c r="G7935" t="s">
        <v>84</v>
      </c>
      <c r="H7935" t="s">
        <v>2577</v>
      </c>
      <c r="I7935" t="s">
        <v>2578</v>
      </c>
      <c r="J7935" t="s">
        <v>271</v>
      </c>
      <c r="K7935" s="3">
        <v>100115533157</v>
      </c>
      <c r="L7935" s="10">
        <v>41138</v>
      </c>
      <c r="M7935">
        <v>987.54</v>
      </c>
      <c r="N7935" s="11">
        <v>10</v>
      </c>
      <c r="O7935" s="12">
        <v>101.41</v>
      </c>
      <c r="P7935" s="12">
        <v>35</v>
      </c>
      <c r="Q7935" s="13">
        <v>-396.84</v>
      </c>
      <c r="R7935" s="36" t="s">
        <v>1022</v>
      </c>
      <c r="S7935" s="7">
        <f t="shared" si="691"/>
        <v>0</v>
      </c>
      <c r="T7935" s="15" t="str">
        <f>VLOOKUP(R7935,产品分类!$C$2:$D$1278,2,0)</f>
        <v>办公用品</v>
      </c>
    </row>
    <row r="7936" spans="1:20">
      <c r="A7936" s="8">
        <f>DATE(2012,12,31)-136</f>
        <v>41138</v>
      </c>
      <c r="B7936" s="8">
        <f>DATE(2012,12,31)-136</f>
        <v>41138</v>
      </c>
      <c r="C7936" s="9" t="s">
        <v>1795</v>
      </c>
      <c r="D7936">
        <v>10021393967</v>
      </c>
      <c r="E7936" t="s">
        <v>47</v>
      </c>
      <c r="F7936" t="s">
        <v>122</v>
      </c>
      <c r="G7936" t="s">
        <v>123</v>
      </c>
      <c r="H7936" t="s">
        <v>2458</v>
      </c>
      <c r="I7936" t="s">
        <v>2459</v>
      </c>
      <c r="J7936" t="s">
        <v>271</v>
      </c>
      <c r="K7936" s="3">
        <v>100913400651</v>
      </c>
      <c r="L7936" s="10">
        <v>41145</v>
      </c>
      <c r="M7936">
        <v>228.31</v>
      </c>
      <c r="N7936" s="11">
        <v>47</v>
      </c>
      <c r="O7936" s="12">
        <v>4.71</v>
      </c>
      <c r="P7936" s="12">
        <v>0.7</v>
      </c>
      <c r="Q7936" s="13">
        <v>8.89</v>
      </c>
      <c r="R7936" s="36" t="s">
        <v>1162</v>
      </c>
      <c r="S7936" s="7">
        <f t="shared" si="691"/>
        <v>7</v>
      </c>
      <c r="T7936" s="15" t="str">
        <f>VLOOKUP(R7936,产品分类!$C$2:$D$1278,2,0)</f>
        <v>办公用品</v>
      </c>
    </row>
    <row r="7937" spans="1:20">
      <c r="A7937" s="8">
        <f>DATE(2012,12,31)-1062</f>
        <v>40212</v>
      </c>
      <c r="B7937" s="8">
        <f>DATE(2012,12,31)-1062</f>
        <v>40212</v>
      </c>
      <c r="C7937" s="9" t="s">
        <v>1795</v>
      </c>
      <c r="D7937">
        <v>10021372917</v>
      </c>
      <c r="E7937" t="s">
        <v>47</v>
      </c>
      <c r="F7937" t="s">
        <v>132</v>
      </c>
      <c r="G7937" t="s">
        <v>133</v>
      </c>
      <c r="H7937" t="s">
        <v>134</v>
      </c>
      <c r="I7937" t="s">
        <v>133</v>
      </c>
      <c r="J7937" t="s">
        <v>271</v>
      </c>
      <c r="K7937" s="3">
        <v>100931182221</v>
      </c>
      <c r="L7937" s="10">
        <v>40214</v>
      </c>
      <c r="M7937">
        <v>232.4155</v>
      </c>
      <c r="N7937" s="11">
        <v>34</v>
      </c>
      <c r="O7937" s="12">
        <v>7.99</v>
      </c>
      <c r="P7937" s="12">
        <v>5.03</v>
      </c>
      <c r="Q7937" s="13">
        <v>-110.594</v>
      </c>
      <c r="R7937" s="36" t="s">
        <v>727</v>
      </c>
      <c r="S7937" s="7">
        <f t="shared" si="691"/>
        <v>2</v>
      </c>
      <c r="T7937" s="15" t="str">
        <f>VLOOKUP(R7937,产品分类!$C$2:$D$1278,2,0)</f>
        <v>家具产品</v>
      </c>
    </row>
    <row r="7938" spans="1:20">
      <c r="A7938" s="8">
        <f>DATE(2012,12,31)-1243</f>
        <v>40031</v>
      </c>
      <c r="B7938" s="8">
        <f>DATE(2012,12,31)-1243</f>
        <v>40031</v>
      </c>
      <c r="C7938" s="9" t="s">
        <v>1795</v>
      </c>
      <c r="D7938">
        <v>10021701450</v>
      </c>
      <c r="E7938" t="s">
        <v>47</v>
      </c>
      <c r="F7938" t="s">
        <v>102</v>
      </c>
      <c r="G7938" t="s">
        <v>103</v>
      </c>
      <c r="H7938" t="s">
        <v>2617</v>
      </c>
      <c r="I7938" t="s">
        <v>2618</v>
      </c>
      <c r="J7938" t="s">
        <v>271</v>
      </c>
      <c r="K7938" s="3">
        <v>100832267622</v>
      </c>
      <c r="L7938" s="10">
        <v>40033</v>
      </c>
      <c r="M7938">
        <v>2784.8295</v>
      </c>
      <c r="N7938" s="11">
        <v>48</v>
      </c>
      <c r="O7938" s="12">
        <v>65.99</v>
      </c>
      <c r="P7938" s="12">
        <v>4.2</v>
      </c>
      <c r="Q7938" s="13">
        <v>788.292</v>
      </c>
      <c r="R7938" s="36" t="s">
        <v>744</v>
      </c>
      <c r="S7938" s="7">
        <f t="shared" si="691"/>
        <v>2</v>
      </c>
      <c r="T7938" s="15" t="str">
        <f>VLOOKUP(R7938,产品分类!$C$2:$D$1278,2,0)</f>
        <v>家具产品</v>
      </c>
    </row>
    <row r="7939" spans="1:20">
      <c r="A7939" s="8">
        <f>DATE(2012,12,31)-304</f>
        <v>40970</v>
      </c>
      <c r="B7939" s="8">
        <f>DATE(2012,12,31)-304</f>
        <v>40970</v>
      </c>
      <c r="C7939" s="9" t="s">
        <v>1795</v>
      </c>
      <c r="D7939">
        <v>10021374919</v>
      </c>
      <c r="E7939" t="s">
        <v>47</v>
      </c>
      <c r="F7939" t="s">
        <v>102</v>
      </c>
      <c r="G7939" t="s">
        <v>103</v>
      </c>
      <c r="H7939" t="s">
        <v>2617</v>
      </c>
      <c r="I7939" t="s">
        <v>2618</v>
      </c>
      <c r="J7939" t="s">
        <v>271</v>
      </c>
      <c r="K7939" s="3">
        <v>100713184625</v>
      </c>
      <c r="L7939" s="10">
        <v>40977</v>
      </c>
      <c r="M7939">
        <v>1383.9</v>
      </c>
      <c r="N7939" s="11">
        <v>17</v>
      </c>
      <c r="O7939" s="12">
        <v>83.1</v>
      </c>
      <c r="P7939" s="12">
        <v>6.13</v>
      </c>
      <c r="Q7939" s="13">
        <v>311.58</v>
      </c>
      <c r="R7939" s="36" t="s">
        <v>1051</v>
      </c>
      <c r="S7939" s="7">
        <f t="shared" ref="S7939:S8002" si="698">+L7939-B7939</f>
        <v>7</v>
      </c>
      <c r="T7939" s="15" t="str">
        <f>VLOOKUP(R7939,产品分类!$C$2:$D$1278,2,0)</f>
        <v>家具产品</v>
      </c>
    </row>
    <row r="7940" spans="1:20">
      <c r="A7940" s="16">
        <f>DATE(2012,12,31)-988</f>
        <v>40286</v>
      </c>
      <c r="B7940" s="16">
        <f>DATE(2012,12,31)-988</f>
        <v>40286</v>
      </c>
      <c r="C7940" s="9" t="s">
        <v>1992</v>
      </c>
      <c r="D7940">
        <v>10021291870</v>
      </c>
      <c r="E7940" t="s">
        <v>47</v>
      </c>
      <c r="F7940" t="s">
        <v>171</v>
      </c>
      <c r="G7940" t="s">
        <v>172</v>
      </c>
      <c r="H7940" t="s">
        <v>2486</v>
      </c>
      <c r="I7940" t="s">
        <v>2310</v>
      </c>
      <c r="J7940" t="s">
        <v>271</v>
      </c>
      <c r="K7940" s="3">
        <v>100132339866</v>
      </c>
      <c r="L7940" s="10">
        <v>40286</v>
      </c>
      <c r="M7940">
        <v>315.42</v>
      </c>
      <c r="N7940" s="17">
        <v>10</v>
      </c>
      <c r="O7940" s="5">
        <v>30.98</v>
      </c>
      <c r="P7940" s="5">
        <v>17.08</v>
      </c>
      <c r="Q7940" s="6">
        <v>-41.26</v>
      </c>
      <c r="R7940" s="37" t="s">
        <v>936</v>
      </c>
      <c r="S7940" s="7">
        <f t="shared" si="698"/>
        <v>0</v>
      </c>
      <c r="T7940" s="15" t="str">
        <f>VLOOKUP(R7940,产品分类!$C$2:$D$1278,2,0)</f>
        <v>办公用品</v>
      </c>
    </row>
    <row r="7941" spans="1:20">
      <c r="A7941" s="8">
        <f>DATE(2012,12,31)-1173</f>
        <v>40101</v>
      </c>
      <c r="B7941" s="8">
        <f>DATE(2012,12,31)-1173</f>
        <v>40101</v>
      </c>
      <c r="C7941" s="9" t="s">
        <v>728</v>
      </c>
      <c r="D7941">
        <v>10021393302</v>
      </c>
      <c r="E7941" t="s">
        <v>47</v>
      </c>
      <c r="F7941" t="s">
        <v>171</v>
      </c>
      <c r="G7941" t="s">
        <v>172</v>
      </c>
      <c r="H7941" t="s">
        <v>2486</v>
      </c>
      <c r="I7941" t="s">
        <v>2310</v>
      </c>
      <c r="J7941" t="s">
        <v>271</v>
      </c>
      <c r="K7941" s="3">
        <v>100132534148</v>
      </c>
      <c r="L7941" s="10">
        <v>40103</v>
      </c>
      <c r="M7941">
        <v>157.57</v>
      </c>
      <c r="N7941" s="11">
        <v>27</v>
      </c>
      <c r="O7941" s="12">
        <v>5.74</v>
      </c>
      <c r="P7941" s="12">
        <v>5.01</v>
      </c>
      <c r="Q7941" s="13">
        <v>-57.063</v>
      </c>
      <c r="R7941" s="36" t="s">
        <v>385</v>
      </c>
      <c r="S7941" s="7">
        <f t="shared" si="698"/>
        <v>2</v>
      </c>
      <c r="T7941" s="15" t="str">
        <f>VLOOKUP(R7941,产品分类!$C$2:$D$1278,2,0)</f>
        <v>数码电子</v>
      </c>
    </row>
    <row r="7942" spans="1:20">
      <c r="A7942" s="16">
        <f>DATE(2012,12,31)-188</f>
        <v>41086</v>
      </c>
      <c r="B7942" s="16">
        <f>DATE(2012,12,31)-188</f>
        <v>41086</v>
      </c>
      <c r="C7942" s="9" t="s">
        <v>728</v>
      </c>
      <c r="D7942">
        <v>10021328817</v>
      </c>
      <c r="E7942" t="s">
        <v>47</v>
      </c>
      <c r="F7942" t="s">
        <v>171</v>
      </c>
      <c r="G7942" t="s">
        <v>172</v>
      </c>
      <c r="H7942" t="s">
        <v>2486</v>
      </c>
      <c r="I7942" t="s">
        <v>2310</v>
      </c>
      <c r="J7942" t="s">
        <v>271</v>
      </c>
      <c r="K7942" s="3">
        <v>10099892381</v>
      </c>
      <c r="L7942" s="10">
        <v>41088</v>
      </c>
      <c r="M7942">
        <v>71.1</v>
      </c>
      <c r="N7942" s="17">
        <v>8</v>
      </c>
      <c r="O7942" s="5">
        <v>8.69</v>
      </c>
      <c r="P7942" s="5">
        <v>2.99</v>
      </c>
      <c r="Q7942" s="6">
        <v>2.2865</v>
      </c>
      <c r="R7942" s="37" t="s">
        <v>2565</v>
      </c>
      <c r="S7942" s="7">
        <f t="shared" si="698"/>
        <v>2</v>
      </c>
      <c r="T7942" s="15" t="str">
        <f>VLOOKUP(R7942,产品分类!$C$2:$D$1278,2,0)</f>
        <v>家具产品</v>
      </c>
    </row>
    <row r="7943" spans="1:20">
      <c r="A7943" s="8">
        <f>DATE(2012,12,31)-664</f>
        <v>40610</v>
      </c>
      <c r="B7943" s="8">
        <f>DATE(2012,12,31)-664</f>
        <v>40610</v>
      </c>
      <c r="C7943" s="9" t="s">
        <v>1088</v>
      </c>
      <c r="D7943">
        <v>10021385484</v>
      </c>
      <c r="E7943" t="s">
        <v>47</v>
      </c>
      <c r="F7943" t="s">
        <v>183</v>
      </c>
      <c r="G7943" t="s">
        <v>184</v>
      </c>
      <c r="H7943" t="s">
        <v>2615</v>
      </c>
      <c r="I7943" t="s">
        <v>2616</v>
      </c>
      <c r="J7943" t="s">
        <v>271</v>
      </c>
      <c r="K7943" s="3">
        <v>100115749716</v>
      </c>
      <c r="L7943" s="10">
        <v>40611</v>
      </c>
      <c r="M7943">
        <v>74.25</v>
      </c>
      <c r="N7943" s="11">
        <v>17</v>
      </c>
      <c r="O7943" s="12">
        <v>3.98</v>
      </c>
      <c r="P7943" s="12">
        <v>5.26</v>
      </c>
      <c r="Q7943" s="13">
        <v>-56.166</v>
      </c>
      <c r="R7943" s="36" t="s">
        <v>1723</v>
      </c>
      <c r="S7943" s="7">
        <f t="shared" si="698"/>
        <v>1</v>
      </c>
      <c r="T7943" s="15" t="str">
        <f>VLOOKUP(R7943,产品分类!$C$2:$D$1278,2,0)</f>
        <v>办公用品</v>
      </c>
    </row>
    <row r="7944" spans="1:20">
      <c r="A7944" s="8">
        <f>DATE(2012,12,31)-664</f>
        <v>40610</v>
      </c>
      <c r="B7944" s="8">
        <f>DATE(2012,12,31)-664</f>
        <v>40610</v>
      </c>
      <c r="C7944" s="9" t="s">
        <v>1181</v>
      </c>
      <c r="D7944">
        <v>10021598313</v>
      </c>
      <c r="E7944" t="s">
        <v>47</v>
      </c>
      <c r="F7944" t="s">
        <v>177</v>
      </c>
      <c r="G7944" t="s">
        <v>178</v>
      </c>
      <c r="H7944" t="s">
        <v>2626</v>
      </c>
      <c r="I7944" t="s">
        <v>2627</v>
      </c>
      <c r="J7944" t="s">
        <v>271</v>
      </c>
      <c r="K7944" s="3">
        <v>10072227025</v>
      </c>
      <c r="L7944" s="10">
        <v>40611</v>
      </c>
      <c r="M7944">
        <v>23.23</v>
      </c>
      <c r="N7944" s="11">
        <v>4</v>
      </c>
      <c r="O7944" s="12">
        <v>4.28</v>
      </c>
      <c r="P7944" s="12">
        <v>6.72</v>
      </c>
      <c r="Q7944" s="13">
        <v>-19.06</v>
      </c>
      <c r="R7944" s="36" t="s">
        <v>798</v>
      </c>
      <c r="S7944" s="7">
        <f t="shared" si="698"/>
        <v>1</v>
      </c>
      <c r="T7944" s="15" t="str">
        <f>VLOOKUP(R7944,产品分类!$C$2:$D$1278,2,0)</f>
        <v>数码电子</v>
      </c>
    </row>
    <row r="7945" spans="1:20">
      <c r="A7945" s="8">
        <f>DATE(2012,12,31)-53</f>
        <v>41221</v>
      </c>
      <c r="B7945" s="8">
        <f>DATE(2012,12,31)-53</f>
        <v>41221</v>
      </c>
      <c r="C7945" s="9" t="s">
        <v>1054</v>
      </c>
      <c r="D7945">
        <v>10021516733</v>
      </c>
      <c r="E7945" t="s">
        <v>47</v>
      </c>
      <c r="F7945" t="s">
        <v>342</v>
      </c>
      <c r="G7945" t="s">
        <v>343</v>
      </c>
      <c r="H7945" t="s">
        <v>2582</v>
      </c>
      <c r="I7945" t="s">
        <v>2583</v>
      </c>
      <c r="J7945" t="s">
        <v>271</v>
      </c>
      <c r="K7945" s="3">
        <v>100131183798</v>
      </c>
      <c r="L7945" s="10">
        <v>41228</v>
      </c>
      <c r="M7945">
        <v>2185.61</v>
      </c>
      <c r="N7945" s="11">
        <v>29</v>
      </c>
      <c r="O7945" s="12">
        <v>70.89</v>
      </c>
      <c r="P7945" s="12">
        <v>89.3</v>
      </c>
      <c r="Q7945" s="13">
        <v>-2897.2515</v>
      </c>
      <c r="R7945" s="36" t="s">
        <v>514</v>
      </c>
      <c r="S7945" s="7">
        <f t="shared" si="698"/>
        <v>7</v>
      </c>
      <c r="T7945" s="15" t="str">
        <f>VLOOKUP(R7945,产品分类!$C$2:$D$1278,2,0)</f>
        <v>办公用品</v>
      </c>
    </row>
    <row r="7946" spans="1:20">
      <c r="A7946" s="8">
        <f>DATE(2012,12,31)-236</f>
        <v>41038</v>
      </c>
      <c r="B7946" s="8">
        <f>DATE(2012,12,31)-236</f>
        <v>41038</v>
      </c>
      <c r="C7946" s="9" t="s">
        <v>1054</v>
      </c>
      <c r="D7946">
        <v>10021515804</v>
      </c>
      <c r="E7946" t="s">
        <v>47</v>
      </c>
      <c r="F7946" t="s">
        <v>342</v>
      </c>
      <c r="G7946" t="s">
        <v>343</v>
      </c>
      <c r="H7946" t="s">
        <v>2582</v>
      </c>
      <c r="I7946" t="s">
        <v>2583</v>
      </c>
      <c r="J7946" t="s">
        <v>271</v>
      </c>
      <c r="K7946" s="3">
        <v>100324079549</v>
      </c>
      <c r="L7946" s="10">
        <v>41038</v>
      </c>
      <c r="M7946">
        <v>205.43</v>
      </c>
      <c r="N7946" s="11">
        <v>28</v>
      </c>
      <c r="O7946" s="12">
        <v>6.54</v>
      </c>
      <c r="P7946" s="12">
        <v>5.27</v>
      </c>
      <c r="Q7946" s="13">
        <v>-24.2995</v>
      </c>
      <c r="R7946" s="36" t="s">
        <v>886</v>
      </c>
      <c r="S7946" s="7">
        <f t="shared" si="698"/>
        <v>0</v>
      </c>
      <c r="T7946" s="15" t="str">
        <f>VLOOKUP(R7946,产品分类!$C$2:$D$1278,2,0)</f>
        <v>办公用品</v>
      </c>
    </row>
    <row r="7947" spans="1:20">
      <c r="A7947" s="8">
        <f>DATE(2012,12,31)-236</f>
        <v>41038</v>
      </c>
      <c r="B7947" s="8">
        <f>DATE(2012,12,31)-236</f>
        <v>41038</v>
      </c>
      <c r="C7947" s="9" t="s">
        <v>1721</v>
      </c>
      <c r="D7947">
        <v>10021308571</v>
      </c>
      <c r="E7947" t="s">
        <v>47</v>
      </c>
      <c r="F7947" t="s">
        <v>342</v>
      </c>
      <c r="G7947" t="s">
        <v>343</v>
      </c>
      <c r="H7947" t="s">
        <v>2582</v>
      </c>
      <c r="I7947" t="s">
        <v>2583</v>
      </c>
      <c r="J7947" t="s">
        <v>271</v>
      </c>
      <c r="K7947" s="3">
        <v>100132605266</v>
      </c>
      <c r="L7947" s="10">
        <v>41039</v>
      </c>
      <c r="M7947">
        <v>979.06</v>
      </c>
      <c r="N7947" s="11">
        <v>27</v>
      </c>
      <c r="O7947" s="12">
        <v>35.77</v>
      </c>
      <c r="P7947" s="12">
        <v>9.02</v>
      </c>
      <c r="Q7947" s="13">
        <v>-131.9</v>
      </c>
      <c r="R7947" s="36" t="s">
        <v>1305</v>
      </c>
      <c r="S7947" s="7">
        <f t="shared" si="698"/>
        <v>1</v>
      </c>
      <c r="T7947" s="15" t="str">
        <f>VLOOKUP(R7947,产品分类!$C$2:$D$1278,2,0)</f>
        <v>家具产品</v>
      </c>
    </row>
    <row r="7948" spans="1:20">
      <c r="A7948" s="8">
        <f>DATE(2012,12,31)-579</f>
        <v>40695</v>
      </c>
      <c r="B7948" s="8">
        <f>DATE(2012,12,31)-579</f>
        <v>40695</v>
      </c>
      <c r="C7948" s="9" t="s">
        <v>423</v>
      </c>
      <c r="D7948">
        <v>10021435943</v>
      </c>
      <c r="E7948" t="s">
        <v>47</v>
      </c>
      <c r="F7948" t="s">
        <v>61</v>
      </c>
      <c r="G7948" t="s">
        <v>62</v>
      </c>
      <c r="H7948" t="s">
        <v>2628</v>
      </c>
      <c r="I7948" t="s">
        <v>2629</v>
      </c>
      <c r="J7948" t="s">
        <v>271</v>
      </c>
      <c r="K7948" s="3">
        <v>100122182096</v>
      </c>
      <c r="L7948" s="10">
        <v>40697</v>
      </c>
      <c r="M7948">
        <v>212.12</v>
      </c>
      <c r="N7948" s="11">
        <v>50</v>
      </c>
      <c r="O7948" s="12">
        <v>3.98</v>
      </c>
      <c r="P7948" s="12">
        <v>5.26</v>
      </c>
      <c r="Q7948" s="13">
        <v>-154.629</v>
      </c>
      <c r="R7948" s="36" t="s">
        <v>1873</v>
      </c>
      <c r="S7948" s="7">
        <f t="shared" si="698"/>
        <v>2</v>
      </c>
      <c r="T7948" s="15" t="str">
        <f>VLOOKUP(R7948,产品分类!$C$2:$D$1278,2,0)</f>
        <v>数码电子</v>
      </c>
    </row>
    <row r="7949" spans="1:20">
      <c r="A7949" s="16">
        <f>DATE(2012,12,31)-579</f>
        <v>40695</v>
      </c>
      <c r="B7949" s="16">
        <f>DATE(2012,12,31)-579</f>
        <v>40695</v>
      </c>
      <c r="C7949" s="9" t="s">
        <v>275</v>
      </c>
      <c r="D7949">
        <v>10021570989</v>
      </c>
      <c r="E7949" t="s">
        <v>47</v>
      </c>
      <c r="F7949" t="s">
        <v>61</v>
      </c>
      <c r="G7949" t="s">
        <v>62</v>
      </c>
      <c r="H7949" t="s">
        <v>2628</v>
      </c>
      <c r="I7949" t="s">
        <v>2629</v>
      </c>
      <c r="J7949" t="s">
        <v>271</v>
      </c>
      <c r="K7949" s="3">
        <v>10012017307</v>
      </c>
      <c r="L7949" s="10">
        <v>40697</v>
      </c>
      <c r="M7949">
        <v>2455.54</v>
      </c>
      <c r="N7949" s="17">
        <v>25</v>
      </c>
      <c r="O7949" s="5">
        <v>98.31</v>
      </c>
      <c r="P7949" s="5">
        <v>0.49</v>
      </c>
      <c r="Q7949" s="6">
        <v>1361.88</v>
      </c>
      <c r="R7949" s="37" t="s">
        <v>284</v>
      </c>
      <c r="S7949" s="7">
        <f t="shared" si="698"/>
        <v>2</v>
      </c>
      <c r="T7949" s="15" t="str">
        <f>VLOOKUP(R7949,产品分类!$C$2:$D$1278,2,0)</f>
        <v>家具产品</v>
      </c>
    </row>
    <row r="7950" spans="1:20">
      <c r="A7950" s="16">
        <f t="shared" ref="A7950:B7952" si="699">DATE(2012,12,31)-1127</f>
        <v>40147</v>
      </c>
      <c r="B7950" s="16">
        <f t="shared" si="699"/>
        <v>40147</v>
      </c>
      <c r="C7950" s="9" t="s">
        <v>1122</v>
      </c>
      <c r="D7950">
        <v>10021316638</v>
      </c>
      <c r="E7950" t="s">
        <v>47</v>
      </c>
      <c r="F7950" t="s">
        <v>61</v>
      </c>
      <c r="G7950" t="s">
        <v>62</v>
      </c>
      <c r="H7950" t="s">
        <v>2628</v>
      </c>
      <c r="I7950" t="s">
        <v>2629</v>
      </c>
      <c r="J7950" t="s">
        <v>271</v>
      </c>
      <c r="K7950" s="3">
        <v>100420633484</v>
      </c>
      <c r="L7950" s="10">
        <v>40154</v>
      </c>
      <c r="M7950">
        <v>470.79</v>
      </c>
      <c r="N7950" s="17">
        <v>21</v>
      </c>
      <c r="O7950" s="5">
        <v>22.38</v>
      </c>
      <c r="P7950" s="5">
        <v>15.1</v>
      </c>
      <c r="Q7950" s="6">
        <v>-80.109</v>
      </c>
      <c r="R7950" s="37" t="s">
        <v>690</v>
      </c>
      <c r="S7950" s="7">
        <f t="shared" si="698"/>
        <v>7</v>
      </c>
      <c r="T7950" s="15" t="str">
        <f>VLOOKUP(R7950,产品分类!$C$2:$D$1278,2,0)</f>
        <v>办公用品</v>
      </c>
    </row>
    <row r="7951" spans="1:20">
      <c r="A7951" s="8">
        <f t="shared" si="699"/>
        <v>40147</v>
      </c>
      <c r="B7951" s="8">
        <f t="shared" si="699"/>
        <v>40147</v>
      </c>
      <c r="C7951" s="9" t="s">
        <v>1122</v>
      </c>
      <c r="D7951">
        <v>10021636873</v>
      </c>
      <c r="E7951" t="s">
        <v>47</v>
      </c>
      <c r="F7951" t="s">
        <v>61</v>
      </c>
      <c r="G7951" t="s">
        <v>62</v>
      </c>
      <c r="H7951" t="s">
        <v>2628</v>
      </c>
      <c r="I7951" t="s">
        <v>2629</v>
      </c>
      <c r="J7951" t="s">
        <v>271</v>
      </c>
      <c r="K7951" s="3">
        <v>100714888605</v>
      </c>
      <c r="L7951" s="10">
        <v>40147</v>
      </c>
      <c r="M7951">
        <v>36.56</v>
      </c>
      <c r="N7951" s="11">
        <v>6</v>
      </c>
      <c r="O7951" s="12">
        <v>6.3</v>
      </c>
      <c r="P7951" s="12">
        <v>0.5</v>
      </c>
      <c r="Q7951" s="13">
        <v>6.22</v>
      </c>
      <c r="R7951" s="36" t="s">
        <v>251</v>
      </c>
      <c r="S7951" s="7">
        <f t="shared" si="698"/>
        <v>0</v>
      </c>
      <c r="T7951" s="15" t="str">
        <f>VLOOKUP(R7951,产品分类!$C$2:$D$1278,2,0)</f>
        <v>办公用品</v>
      </c>
    </row>
    <row r="7952" spans="1:20">
      <c r="A7952" s="8">
        <f t="shared" si="699"/>
        <v>40147</v>
      </c>
      <c r="B7952" s="8">
        <f t="shared" si="699"/>
        <v>40147</v>
      </c>
      <c r="C7952" s="9" t="s">
        <v>1558</v>
      </c>
      <c r="D7952">
        <v>10021570765</v>
      </c>
      <c r="E7952" t="s">
        <v>47</v>
      </c>
      <c r="F7952" t="s">
        <v>152</v>
      </c>
      <c r="G7952" t="s">
        <v>153</v>
      </c>
      <c r="H7952" t="s">
        <v>154</v>
      </c>
      <c r="I7952" t="s">
        <v>155</v>
      </c>
      <c r="J7952" t="s">
        <v>271</v>
      </c>
      <c r="K7952" s="3">
        <v>10076896795</v>
      </c>
      <c r="L7952" s="10">
        <v>40149</v>
      </c>
      <c r="M7952">
        <v>55.17</v>
      </c>
      <c r="N7952" s="11">
        <v>3</v>
      </c>
      <c r="O7952" s="12">
        <v>17.78</v>
      </c>
      <c r="P7952" s="12">
        <v>5.03</v>
      </c>
      <c r="Q7952" s="13">
        <v>46.84</v>
      </c>
      <c r="R7952" s="36" t="s">
        <v>566</v>
      </c>
      <c r="S7952" s="7">
        <f t="shared" si="698"/>
        <v>2</v>
      </c>
      <c r="T7952" s="15" t="str">
        <f>VLOOKUP(R7952,产品分类!$C$2:$D$1278,2,0)</f>
        <v>办公用品</v>
      </c>
    </row>
    <row r="7953" spans="1:20">
      <c r="A7953" s="8">
        <f>DATE(2012,12,31)-578</f>
        <v>40696</v>
      </c>
      <c r="B7953" s="8">
        <f>DATE(2012,12,31)-578</f>
        <v>40696</v>
      </c>
      <c r="C7953" s="9" t="s">
        <v>991</v>
      </c>
      <c r="D7953">
        <v>10021643573</v>
      </c>
      <c r="E7953" t="s">
        <v>47</v>
      </c>
      <c r="F7953" t="s">
        <v>91</v>
      </c>
      <c r="G7953" t="s">
        <v>92</v>
      </c>
      <c r="H7953" t="s">
        <v>2621</v>
      </c>
      <c r="I7953" t="s">
        <v>2622</v>
      </c>
      <c r="J7953" t="s">
        <v>271</v>
      </c>
      <c r="K7953" s="3">
        <v>10082318312</v>
      </c>
      <c r="L7953" s="10">
        <v>40696</v>
      </c>
      <c r="M7953">
        <v>173.78</v>
      </c>
      <c r="N7953" s="11">
        <v>26</v>
      </c>
      <c r="O7953" s="12">
        <v>6.48</v>
      </c>
      <c r="P7953" s="12">
        <v>7.49</v>
      </c>
      <c r="Q7953" s="13">
        <v>-96.26</v>
      </c>
      <c r="R7953" s="36" t="s">
        <v>1763</v>
      </c>
      <c r="S7953" s="7">
        <f t="shared" si="698"/>
        <v>0</v>
      </c>
      <c r="T7953" s="15" t="str">
        <f>VLOOKUP(R7953,产品分类!$C$2:$D$1278,2,0)</f>
        <v>数码电子</v>
      </c>
    </row>
    <row r="7954" spans="1:20">
      <c r="A7954" s="8">
        <f>DATE(2012,12,31)-578</f>
        <v>40696</v>
      </c>
      <c r="B7954" s="8">
        <f>DATE(2012,12,31)-578</f>
        <v>40696</v>
      </c>
      <c r="C7954" s="9" t="s">
        <v>1598</v>
      </c>
      <c r="D7954">
        <v>10021635888</v>
      </c>
      <c r="E7954" t="s">
        <v>47</v>
      </c>
      <c r="F7954" t="s">
        <v>91</v>
      </c>
      <c r="G7954" t="s">
        <v>92</v>
      </c>
      <c r="H7954" t="s">
        <v>2621</v>
      </c>
      <c r="I7954" t="s">
        <v>2622</v>
      </c>
      <c r="J7954" t="s">
        <v>271</v>
      </c>
      <c r="K7954" s="3">
        <v>10033205839</v>
      </c>
      <c r="L7954" s="10">
        <v>40698</v>
      </c>
      <c r="M7954">
        <v>41.18</v>
      </c>
      <c r="N7954" s="11">
        <v>22</v>
      </c>
      <c r="O7954" s="12">
        <v>1.88</v>
      </c>
      <c r="P7954" s="12">
        <v>0.79</v>
      </c>
      <c r="Q7954" s="13">
        <v>-0.64</v>
      </c>
      <c r="R7954" s="36" t="s">
        <v>1629</v>
      </c>
      <c r="S7954" s="7">
        <f t="shared" si="698"/>
        <v>2</v>
      </c>
      <c r="T7954" s="15" t="str">
        <f>VLOOKUP(R7954,产品分类!$C$2:$D$1278,2,0)</f>
        <v>办公用品</v>
      </c>
    </row>
    <row r="7955" spans="1:20">
      <c r="A7955" s="8">
        <f>DATE(2012,12,31)-427</f>
        <v>40847</v>
      </c>
      <c r="B7955" s="8">
        <f>DATE(2012,12,31)-427</f>
        <v>40847</v>
      </c>
      <c r="C7955" s="9" t="s">
        <v>1598</v>
      </c>
      <c r="D7955">
        <v>10021409923</v>
      </c>
      <c r="E7955" t="s">
        <v>47</v>
      </c>
      <c r="F7955" t="s">
        <v>61</v>
      </c>
      <c r="G7955" t="s">
        <v>62</v>
      </c>
      <c r="H7955" t="s">
        <v>2628</v>
      </c>
      <c r="I7955" t="s">
        <v>2629</v>
      </c>
      <c r="J7955" t="s">
        <v>271</v>
      </c>
      <c r="K7955" s="3">
        <v>10014161026</v>
      </c>
      <c r="L7955" s="10">
        <v>40848</v>
      </c>
      <c r="M7955">
        <v>14.85</v>
      </c>
      <c r="N7955" s="11">
        <v>6</v>
      </c>
      <c r="O7955" s="12">
        <v>1.68</v>
      </c>
      <c r="P7955" s="12">
        <v>1.02</v>
      </c>
      <c r="Q7955" s="13">
        <v>-2.79</v>
      </c>
      <c r="R7955" s="36" t="s">
        <v>1421</v>
      </c>
      <c r="S7955" s="7">
        <f t="shared" si="698"/>
        <v>1</v>
      </c>
      <c r="T7955" s="15" t="str">
        <f>VLOOKUP(R7955,产品分类!$C$2:$D$1278,2,0)</f>
        <v>办公用品</v>
      </c>
    </row>
    <row r="7956" spans="1:20">
      <c r="A7956" s="8">
        <f>DATE(2012,12,31)-975</f>
        <v>40299</v>
      </c>
      <c r="B7956" s="8">
        <f>DATE(2012,12,31)-975</f>
        <v>40299</v>
      </c>
      <c r="C7956" s="9" t="s">
        <v>1448</v>
      </c>
      <c r="D7956">
        <v>10021677991</v>
      </c>
      <c r="E7956" t="s">
        <v>47</v>
      </c>
      <c r="F7956" t="s">
        <v>97</v>
      </c>
      <c r="G7956" t="s">
        <v>98</v>
      </c>
      <c r="H7956" t="s">
        <v>99</v>
      </c>
      <c r="I7956" t="s">
        <v>98</v>
      </c>
      <c r="J7956" t="s">
        <v>271</v>
      </c>
      <c r="K7956" s="3">
        <v>100432923434</v>
      </c>
      <c r="L7956" s="10">
        <v>40300</v>
      </c>
      <c r="M7956">
        <v>2820.6995</v>
      </c>
      <c r="N7956" s="11">
        <v>29</v>
      </c>
      <c r="O7956" s="12">
        <v>110.99</v>
      </c>
      <c r="P7956" s="12">
        <v>8.99</v>
      </c>
      <c r="Q7956" s="13">
        <v>601.335</v>
      </c>
      <c r="R7956" s="36" t="s">
        <v>82</v>
      </c>
      <c r="S7956" s="7">
        <f t="shared" si="698"/>
        <v>1</v>
      </c>
      <c r="T7956" s="15" t="str">
        <f>VLOOKUP(R7956,产品分类!$C$2:$D$1278,2,0)</f>
        <v>数码电子</v>
      </c>
    </row>
    <row r="7957" spans="1:20">
      <c r="A7957" s="8">
        <f>DATE(2012,12,31)-243</f>
        <v>41031</v>
      </c>
      <c r="B7957" s="8">
        <f>DATE(2012,12,31)-243</f>
        <v>41031</v>
      </c>
      <c r="C7957" s="9" t="s">
        <v>853</v>
      </c>
      <c r="D7957">
        <v>10021268012</v>
      </c>
      <c r="E7957" t="s">
        <v>47</v>
      </c>
      <c r="F7957" t="s">
        <v>152</v>
      </c>
      <c r="G7957" t="s">
        <v>153</v>
      </c>
      <c r="H7957" t="s">
        <v>154</v>
      </c>
      <c r="I7957" t="s">
        <v>155</v>
      </c>
      <c r="J7957" t="s">
        <v>271</v>
      </c>
      <c r="K7957" s="3">
        <v>100732127915</v>
      </c>
      <c r="L7957" s="10">
        <v>41038</v>
      </c>
      <c r="M7957">
        <v>18.97</v>
      </c>
      <c r="N7957" s="11">
        <v>3</v>
      </c>
      <c r="O7957" s="12">
        <v>5.34</v>
      </c>
      <c r="P7957" s="12">
        <v>2.99</v>
      </c>
      <c r="Q7957" s="13">
        <v>-7.7855</v>
      </c>
      <c r="R7957" s="36" t="s">
        <v>658</v>
      </c>
      <c r="S7957" s="7">
        <f t="shared" si="698"/>
        <v>7</v>
      </c>
      <c r="T7957" s="15" t="str">
        <f>VLOOKUP(R7957,产品分类!$C$2:$D$1278,2,0)</f>
        <v>办公用品</v>
      </c>
    </row>
    <row r="7958" spans="1:20">
      <c r="A7958" s="8">
        <f>DATE(2012,12,31)-243</f>
        <v>41031</v>
      </c>
      <c r="B7958" s="8">
        <f>DATE(2012,12,31)-243</f>
        <v>41031</v>
      </c>
      <c r="C7958" s="9" t="s">
        <v>121</v>
      </c>
      <c r="D7958">
        <v>10021737567</v>
      </c>
      <c r="E7958" t="s">
        <v>47</v>
      </c>
      <c r="F7958" t="s">
        <v>66</v>
      </c>
      <c r="G7958" t="s">
        <v>67</v>
      </c>
      <c r="H7958" t="s">
        <v>2584</v>
      </c>
      <c r="I7958" t="s">
        <v>2585</v>
      </c>
      <c r="J7958" t="s">
        <v>271</v>
      </c>
      <c r="K7958" s="3">
        <v>100110512867</v>
      </c>
      <c r="L7958" s="10">
        <v>41038</v>
      </c>
      <c r="M7958">
        <v>744.64</v>
      </c>
      <c r="N7958" s="11">
        <v>47</v>
      </c>
      <c r="O7958" s="12">
        <v>15.42</v>
      </c>
      <c r="P7958" s="12">
        <v>5.41</v>
      </c>
      <c r="Q7958" s="13">
        <v>31.93</v>
      </c>
      <c r="R7958" s="36" t="s">
        <v>1779</v>
      </c>
      <c r="S7958" s="7">
        <f t="shared" si="698"/>
        <v>7</v>
      </c>
      <c r="T7958" s="15" t="str">
        <f>VLOOKUP(R7958,产品分类!$C$2:$D$1278,2,0)</f>
        <v>家具产品</v>
      </c>
    </row>
    <row r="7959" spans="1:20">
      <c r="A7959" s="8">
        <f>DATE(2012,12,31)-649</f>
        <v>40625</v>
      </c>
      <c r="B7959" s="8">
        <f>DATE(2012,12,31)-649</f>
        <v>40625</v>
      </c>
      <c r="C7959" s="9" t="s">
        <v>1846</v>
      </c>
      <c r="D7959">
        <v>10021737135</v>
      </c>
      <c r="E7959" t="s">
        <v>47</v>
      </c>
      <c r="F7959" t="s">
        <v>48</v>
      </c>
      <c r="G7959" t="s">
        <v>49</v>
      </c>
      <c r="H7959" t="s">
        <v>2599</v>
      </c>
      <c r="I7959" t="s">
        <v>2600</v>
      </c>
      <c r="J7959" t="s">
        <v>271</v>
      </c>
      <c r="K7959" s="3">
        <v>10076101615</v>
      </c>
      <c r="L7959" s="10">
        <v>40628</v>
      </c>
      <c r="M7959">
        <v>254.93</v>
      </c>
      <c r="N7959" s="11">
        <v>37</v>
      </c>
      <c r="O7959" s="12">
        <v>6.81</v>
      </c>
      <c r="P7959" s="12">
        <v>5.48</v>
      </c>
      <c r="Q7959" s="13">
        <v>-62.882</v>
      </c>
      <c r="R7959" s="36" t="s">
        <v>1189</v>
      </c>
      <c r="S7959" s="7">
        <f t="shared" si="698"/>
        <v>3</v>
      </c>
      <c r="T7959" s="15" t="str">
        <f>VLOOKUP(R7959,产品分类!$C$2:$D$1278,2,0)</f>
        <v>家具产品</v>
      </c>
    </row>
    <row r="7960" spans="1:20">
      <c r="A7960" s="8">
        <f>DATE(2012,12,31)-411</f>
        <v>40863</v>
      </c>
      <c r="B7960" s="8">
        <f>DATE(2012,12,31)-411</f>
        <v>40863</v>
      </c>
      <c r="C7960" s="9" t="s">
        <v>1247</v>
      </c>
      <c r="D7960">
        <v>10021499155</v>
      </c>
      <c r="E7960" t="s">
        <v>47</v>
      </c>
      <c r="F7960" t="s">
        <v>152</v>
      </c>
      <c r="G7960" t="s">
        <v>153</v>
      </c>
      <c r="H7960" t="s">
        <v>154</v>
      </c>
      <c r="I7960" t="s">
        <v>155</v>
      </c>
      <c r="J7960" t="s">
        <v>271</v>
      </c>
      <c r="K7960" s="3">
        <v>100424223313</v>
      </c>
      <c r="L7960" s="10">
        <v>40865</v>
      </c>
      <c r="M7960">
        <v>199.24</v>
      </c>
      <c r="N7960" s="11">
        <v>42</v>
      </c>
      <c r="O7960" s="12">
        <v>4.98</v>
      </c>
      <c r="P7960" s="12">
        <v>4.72</v>
      </c>
      <c r="Q7960" s="13">
        <v>-84.26</v>
      </c>
      <c r="R7960" s="36" t="s">
        <v>324</v>
      </c>
      <c r="S7960" s="7">
        <f t="shared" si="698"/>
        <v>2</v>
      </c>
      <c r="T7960" s="15" t="str">
        <f>VLOOKUP(R7960,产品分类!$C$2:$D$1278,2,0)</f>
        <v>办公用品</v>
      </c>
    </row>
    <row r="7961" spans="1:20">
      <c r="A7961" s="8">
        <f>DATE(2012,12,31)-411</f>
        <v>40863</v>
      </c>
      <c r="B7961" s="8">
        <f>DATE(2012,12,31)-411</f>
        <v>40863</v>
      </c>
      <c r="C7961" s="9" t="s">
        <v>2158</v>
      </c>
      <c r="D7961">
        <v>10021257511</v>
      </c>
      <c r="E7961" t="s">
        <v>47</v>
      </c>
      <c r="F7961" t="s">
        <v>48</v>
      </c>
      <c r="G7961" t="s">
        <v>49</v>
      </c>
      <c r="H7961" t="s">
        <v>2599</v>
      </c>
      <c r="I7961" t="s">
        <v>2600</v>
      </c>
      <c r="J7961" t="s">
        <v>271</v>
      </c>
      <c r="K7961" s="3">
        <v>100926363721</v>
      </c>
      <c r="L7961" s="10">
        <v>40865</v>
      </c>
      <c r="M7961">
        <v>504.6705</v>
      </c>
      <c r="N7961" s="11">
        <v>3</v>
      </c>
      <c r="O7961" s="12">
        <v>195.99</v>
      </c>
      <c r="P7961" s="12">
        <v>4.2</v>
      </c>
      <c r="Q7961" s="13">
        <v>-800.888</v>
      </c>
      <c r="R7961" s="36" t="s">
        <v>2630</v>
      </c>
      <c r="S7961" s="7">
        <f t="shared" si="698"/>
        <v>2</v>
      </c>
      <c r="T7961" s="15" t="str">
        <f>VLOOKUP(R7961,产品分类!$C$2:$D$1278,2,0)</f>
        <v>办公用品</v>
      </c>
    </row>
    <row r="7962" spans="1:20">
      <c r="A7962" s="8">
        <f>DATE(2012,12,31)-942</f>
        <v>40332</v>
      </c>
      <c r="B7962" s="8">
        <f>DATE(2012,12,31)-942</f>
        <v>40332</v>
      </c>
      <c r="C7962" s="9" t="s">
        <v>2363</v>
      </c>
      <c r="D7962">
        <v>10021621918</v>
      </c>
      <c r="E7962" t="s">
        <v>47</v>
      </c>
      <c r="F7962" t="s">
        <v>66</v>
      </c>
      <c r="G7962" t="s">
        <v>67</v>
      </c>
      <c r="H7962" t="s">
        <v>2584</v>
      </c>
      <c r="I7962" t="s">
        <v>2585</v>
      </c>
      <c r="J7962" t="s">
        <v>271</v>
      </c>
      <c r="K7962" s="3">
        <v>100812258372</v>
      </c>
      <c r="L7962" s="10">
        <v>40334</v>
      </c>
      <c r="M7962">
        <v>61.02</v>
      </c>
      <c r="N7962" s="11">
        <v>19</v>
      </c>
      <c r="O7962" s="12">
        <v>2.84</v>
      </c>
      <c r="P7962" s="12">
        <v>5.44</v>
      </c>
      <c r="Q7962" s="13">
        <v>-71.0355</v>
      </c>
      <c r="R7962" s="36" t="s">
        <v>1884</v>
      </c>
      <c r="S7962" s="7">
        <f t="shared" si="698"/>
        <v>2</v>
      </c>
      <c r="T7962" s="15" t="str">
        <f>VLOOKUP(R7962,产品分类!$C$2:$D$1278,2,0)</f>
        <v>数码电子</v>
      </c>
    </row>
    <row r="7963" spans="1:20">
      <c r="A7963" s="8">
        <f>DATE(2012,12,31)-942</f>
        <v>40332</v>
      </c>
      <c r="B7963" s="8">
        <f>DATE(2012,12,31)-942</f>
        <v>40332</v>
      </c>
      <c r="C7963" s="9" t="s">
        <v>1633</v>
      </c>
      <c r="D7963">
        <v>10021668791</v>
      </c>
      <c r="E7963" t="s">
        <v>47</v>
      </c>
      <c r="F7963" t="s">
        <v>48</v>
      </c>
      <c r="G7963" t="s">
        <v>49</v>
      </c>
      <c r="H7963" t="s">
        <v>2599</v>
      </c>
      <c r="I7963" t="s">
        <v>2600</v>
      </c>
      <c r="J7963" t="s">
        <v>271</v>
      </c>
      <c r="K7963" s="3">
        <v>100129477957</v>
      </c>
      <c r="L7963" s="10">
        <v>40334</v>
      </c>
      <c r="M7963">
        <v>878.77</v>
      </c>
      <c r="N7963" s="11">
        <v>31</v>
      </c>
      <c r="O7963" s="12">
        <v>28.53</v>
      </c>
      <c r="P7963" s="12">
        <v>1.49</v>
      </c>
      <c r="Q7963" s="13">
        <v>373.524</v>
      </c>
      <c r="R7963" s="36" t="s">
        <v>1567</v>
      </c>
      <c r="S7963" s="7">
        <f t="shared" si="698"/>
        <v>2</v>
      </c>
      <c r="T7963" s="15" t="str">
        <f>VLOOKUP(R7963,产品分类!$C$2:$D$1278,2,0)</f>
        <v>办公用品</v>
      </c>
    </row>
    <row r="7964" spans="1:20">
      <c r="A7964" s="8">
        <f>DATE(2012,12,31)-1049</f>
        <v>40225</v>
      </c>
      <c r="B7964" s="8">
        <f>DATE(2012,12,31)-1049</f>
        <v>40225</v>
      </c>
      <c r="C7964" s="9" t="s">
        <v>1424</v>
      </c>
      <c r="D7964">
        <v>10021498021</v>
      </c>
      <c r="E7964" t="s">
        <v>47</v>
      </c>
      <c r="F7964" t="s">
        <v>152</v>
      </c>
      <c r="G7964" t="s">
        <v>153</v>
      </c>
      <c r="H7964" t="s">
        <v>154</v>
      </c>
      <c r="I7964" t="s">
        <v>155</v>
      </c>
      <c r="J7964" t="s">
        <v>271</v>
      </c>
      <c r="K7964" s="3">
        <v>100821127692</v>
      </c>
      <c r="L7964" s="10">
        <v>40227</v>
      </c>
      <c r="M7964">
        <v>735.54</v>
      </c>
      <c r="N7964" s="11">
        <v>13</v>
      </c>
      <c r="O7964" s="12">
        <v>55.48</v>
      </c>
      <c r="P7964" s="12">
        <v>14.3</v>
      </c>
      <c r="Q7964" s="13">
        <v>171.82</v>
      </c>
      <c r="R7964" s="36" t="s">
        <v>1489</v>
      </c>
      <c r="S7964" s="7">
        <f t="shared" si="698"/>
        <v>2</v>
      </c>
      <c r="T7964" s="15" t="str">
        <f>VLOOKUP(R7964,产品分类!$C$2:$D$1278,2,0)</f>
        <v>数码电子</v>
      </c>
    </row>
    <row r="7965" spans="1:20">
      <c r="A7965" s="8">
        <f>DATE(2012,12,31)-119</f>
        <v>41155</v>
      </c>
      <c r="B7965" s="8">
        <f>DATE(2012,12,31)-119</f>
        <v>41155</v>
      </c>
      <c r="C7965" s="9" t="s">
        <v>1424</v>
      </c>
      <c r="D7965">
        <v>10021415925</v>
      </c>
      <c r="E7965" t="s">
        <v>47</v>
      </c>
      <c r="F7965" t="s">
        <v>66</v>
      </c>
      <c r="G7965" t="s">
        <v>67</v>
      </c>
      <c r="H7965" t="s">
        <v>2584</v>
      </c>
      <c r="I7965" t="s">
        <v>2585</v>
      </c>
      <c r="J7965" t="s">
        <v>271</v>
      </c>
      <c r="K7965" s="3">
        <v>100911443791</v>
      </c>
      <c r="L7965" s="10">
        <v>41155</v>
      </c>
      <c r="M7965">
        <v>22.89</v>
      </c>
      <c r="N7965" s="11">
        <v>6</v>
      </c>
      <c r="O7965" s="12">
        <v>3.8</v>
      </c>
      <c r="P7965" s="12">
        <v>1.49</v>
      </c>
      <c r="Q7965" s="13">
        <v>-2.6565</v>
      </c>
      <c r="R7965" s="36" t="s">
        <v>487</v>
      </c>
      <c r="S7965" s="7">
        <f t="shared" si="698"/>
        <v>0</v>
      </c>
      <c r="T7965" s="15" t="str">
        <f>VLOOKUP(R7965,产品分类!$C$2:$D$1278,2,0)</f>
        <v>家具产品</v>
      </c>
    </row>
    <row r="7966" spans="1:20">
      <c r="A7966" s="8">
        <f>DATE(2012,12,31)-119</f>
        <v>41155</v>
      </c>
      <c r="B7966" s="8">
        <f>DATE(2012,12,31)-119</f>
        <v>41155</v>
      </c>
      <c r="C7966" s="9" t="s">
        <v>2256</v>
      </c>
      <c r="D7966">
        <v>10021495040</v>
      </c>
      <c r="E7966" t="s">
        <v>47</v>
      </c>
      <c r="F7966" t="s">
        <v>152</v>
      </c>
      <c r="G7966" t="s">
        <v>153</v>
      </c>
      <c r="H7966" t="s">
        <v>154</v>
      </c>
      <c r="I7966" t="s">
        <v>155</v>
      </c>
      <c r="J7966" t="s">
        <v>271</v>
      </c>
      <c r="K7966" s="3">
        <v>100713433925</v>
      </c>
      <c r="L7966" s="10">
        <v>41162</v>
      </c>
      <c r="M7966">
        <v>271.85</v>
      </c>
      <c r="N7966" s="11">
        <v>18</v>
      </c>
      <c r="O7966" s="12">
        <v>15.57</v>
      </c>
      <c r="P7966" s="12">
        <v>1.39</v>
      </c>
      <c r="Q7966" s="13">
        <v>109.19</v>
      </c>
      <c r="R7966" s="36" t="s">
        <v>71</v>
      </c>
      <c r="S7966" s="7">
        <f t="shared" si="698"/>
        <v>7</v>
      </c>
      <c r="T7966" s="15" t="str">
        <f>VLOOKUP(R7966,产品分类!$C$2:$D$1278,2,0)</f>
        <v>办公用品</v>
      </c>
    </row>
    <row r="7967" spans="1:20">
      <c r="A7967" s="8">
        <f>DATE(2012,12,31)-1315</f>
        <v>39959</v>
      </c>
      <c r="B7967" s="8">
        <f>DATE(2012,12,31)-1315</f>
        <v>39959</v>
      </c>
      <c r="C7967" s="9" t="s">
        <v>413</v>
      </c>
      <c r="D7967">
        <v>10021658155</v>
      </c>
      <c r="E7967" t="s">
        <v>47</v>
      </c>
      <c r="F7967" t="s">
        <v>208</v>
      </c>
      <c r="G7967" t="s">
        <v>209</v>
      </c>
      <c r="H7967" t="s">
        <v>2300</v>
      </c>
      <c r="I7967" t="s">
        <v>2301</v>
      </c>
      <c r="J7967" t="s">
        <v>271</v>
      </c>
      <c r="K7967" s="3">
        <v>100712951255</v>
      </c>
      <c r="L7967" s="10">
        <v>39961</v>
      </c>
      <c r="M7967">
        <v>106.05</v>
      </c>
      <c r="N7967" s="11">
        <v>9</v>
      </c>
      <c r="O7967" s="12">
        <v>11.33</v>
      </c>
      <c r="P7967" s="12">
        <v>6.12</v>
      </c>
      <c r="Q7967" s="13">
        <v>-14.52</v>
      </c>
      <c r="R7967" s="36" t="s">
        <v>1875</v>
      </c>
      <c r="S7967" s="7">
        <f t="shared" si="698"/>
        <v>2</v>
      </c>
      <c r="T7967" s="15" t="str">
        <f>VLOOKUP(R7967,产品分类!$C$2:$D$1278,2,0)</f>
        <v>家具产品</v>
      </c>
    </row>
    <row r="7968" spans="1:20">
      <c r="A7968" s="8">
        <f>DATE(2012,12,31)-1315</f>
        <v>39959</v>
      </c>
      <c r="B7968" s="8">
        <f>DATE(2012,12,31)-1315</f>
        <v>39959</v>
      </c>
      <c r="C7968" s="9" t="s">
        <v>286</v>
      </c>
      <c r="D7968">
        <v>10021254713</v>
      </c>
      <c r="E7968" t="s">
        <v>47</v>
      </c>
      <c r="F7968" t="s">
        <v>78</v>
      </c>
      <c r="G7968" t="s">
        <v>79</v>
      </c>
      <c r="H7968" t="s">
        <v>80</v>
      </c>
      <c r="I7968" t="s">
        <v>81</v>
      </c>
      <c r="J7968" t="s">
        <v>271</v>
      </c>
      <c r="K7968" s="3">
        <v>100422767123</v>
      </c>
      <c r="L7968" s="10">
        <v>39960</v>
      </c>
      <c r="M7968">
        <v>698.1</v>
      </c>
      <c r="N7968" s="11">
        <v>45</v>
      </c>
      <c r="O7968" s="12">
        <v>15.67</v>
      </c>
      <c r="P7968" s="12">
        <v>1.39</v>
      </c>
      <c r="Q7968" s="13">
        <v>336.25</v>
      </c>
      <c r="R7968" s="36" t="s">
        <v>1148</v>
      </c>
      <c r="S7968" s="7">
        <f t="shared" si="698"/>
        <v>1</v>
      </c>
      <c r="T7968" s="15" t="str">
        <f>VLOOKUP(R7968,产品分类!$C$2:$D$1278,2,0)</f>
        <v>家具产品</v>
      </c>
    </row>
    <row r="7969" spans="1:20">
      <c r="A7969" s="8">
        <f>DATE(2012,12,31)-1293</f>
        <v>39981</v>
      </c>
      <c r="B7969" s="8">
        <f>DATE(2012,12,31)-1293</f>
        <v>39981</v>
      </c>
      <c r="C7969" s="9" t="s">
        <v>151</v>
      </c>
      <c r="D7969">
        <v>10021739864</v>
      </c>
      <c r="E7969" t="s">
        <v>47</v>
      </c>
      <c r="F7969" t="s">
        <v>72</v>
      </c>
      <c r="G7969" t="s">
        <v>73</v>
      </c>
      <c r="H7969" t="s">
        <v>2606</v>
      </c>
      <c r="I7969" t="s">
        <v>2607</v>
      </c>
      <c r="J7969" t="s">
        <v>271</v>
      </c>
      <c r="K7969" s="3">
        <v>10074528885</v>
      </c>
      <c r="L7969" s="10">
        <v>39982</v>
      </c>
      <c r="M7969">
        <v>155.52</v>
      </c>
      <c r="N7969" s="11">
        <v>23</v>
      </c>
      <c r="O7969" s="12">
        <v>6.48</v>
      </c>
      <c r="P7969" s="12">
        <v>9.68</v>
      </c>
      <c r="Q7969" s="13">
        <v>-133.73</v>
      </c>
      <c r="R7969" s="36" t="s">
        <v>1977</v>
      </c>
      <c r="S7969" s="7">
        <f t="shared" si="698"/>
        <v>1</v>
      </c>
      <c r="T7969" s="15" t="str">
        <f>VLOOKUP(R7969,产品分类!$C$2:$D$1278,2,0)</f>
        <v>数码电子</v>
      </c>
    </row>
    <row r="7970" spans="1:20">
      <c r="A7970" s="16">
        <f>DATE(2012,12,31)-1293</f>
        <v>39981</v>
      </c>
      <c r="B7970" s="16">
        <f>DATE(2012,12,31)-1293</f>
        <v>39981</v>
      </c>
      <c r="C7970" s="9" t="s">
        <v>2286</v>
      </c>
      <c r="D7970">
        <v>10021445800</v>
      </c>
      <c r="E7970" t="s">
        <v>47</v>
      </c>
      <c r="F7970" t="s">
        <v>78</v>
      </c>
      <c r="G7970" t="s">
        <v>79</v>
      </c>
      <c r="H7970" t="s">
        <v>80</v>
      </c>
      <c r="I7970" t="s">
        <v>81</v>
      </c>
      <c r="J7970" t="s">
        <v>271</v>
      </c>
      <c r="K7970" s="3">
        <v>100414621024</v>
      </c>
      <c r="L7970" s="10">
        <v>39982</v>
      </c>
      <c r="M7970">
        <v>535.54</v>
      </c>
      <c r="N7970" s="17">
        <v>16</v>
      </c>
      <c r="O7970" s="5">
        <v>33.89</v>
      </c>
      <c r="P7970" s="5">
        <v>5.1</v>
      </c>
      <c r="Q7970" s="6">
        <v>60.82</v>
      </c>
      <c r="R7970" s="37" t="s">
        <v>876</v>
      </c>
      <c r="S7970" s="7">
        <f t="shared" si="698"/>
        <v>1</v>
      </c>
      <c r="T7970" s="15" t="str">
        <f>VLOOKUP(R7970,产品分类!$C$2:$D$1278,2,0)</f>
        <v>办公用品</v>
      </c>
    </row>
    <row r="7971" spans="1:20">
      <c r="A7971" s="16">
        <f>DATE(2012,12,31)-309</f>
        <v>40965</v>
      </c>
      <c r="B7971" s="16">
        <f>DATE(2012,12,31)-309</f>
        <v>40965</v>
      </c>
      <c r="C7971" s="9" t="s">
        <v>1117</v>
      </c>
      <c r="D7971">
        <v>10021755531</v>
      </c>
      <c r="E7971" t="s">
        <v>47</v>
      </c>
      <c r="F7971" t="s">
        <v>72</v>
      </c>
      <c r="G7971" t="s">
        <v>73</v>
      </c>
      <c r="H7971" t="s">
        <v>2606</v>
      </c>
      <c r="I7971" t="s">
        <v>2607</v>
      </c>
      <c r="J7971" t="s">
        <v>271</v>
      </c>
      <c r="K7971" s="3">
        <v>100832971792</v>
      </c>
      <c r="L7971" s="10">
        <v>40968</v>
      </c>
      <c r="M7971">
        <v>203.57</v>
      </c>
      <c r="N7971" s="17">
        <v>18</v>
      </c>
      <c r="O7971" s="5">
        <v>10.98</v>
      </c>
      <c r="P7971" s="5">
        <v>3.99</v>
      </c>
      <c r="Q7971" s="6">
        <v>-4.84</v>
      </c>
      <c r="R7971" s="37" t="s">
        <v>206</v>
      </c>
      <c r="S7971" s="7">
        <f t="shared" si="698"/>
        <v>3</v>
      </c>
      <c r="T7971" s="15" t="str">
        <f>VLOOKUP(R7971,产品分类!$C$2:$D$1278,2,0)</f>
        <v>数码电子</v>
      </c>
    </row>
    <row r="7972" spans="1:20">
      <c r="A7972" s="8">
        <f>DATE(2012,12,31)-1053</f>
        <v>40221</v>
      </c>
      <c r="B7972" s="8">
        <f>DATE(2012,12,31)-1053</f>
        <v>40221</v>
      </c>
      <c r="C7972" s="9" t="s">
        <v>678</v>
      </c>
      <c r="D7972">
        <v>10021298576</v>
      </c>
      <c r="E7972" t="s">
        <v>47</v>
      </c>
      <c r="F7972" t="s">
        <v>78</v>
      </c>
      <c r="G7972" t="s">
        <v>79</v>
      </c>
      <c r="H7972" t="s">
        <v>80</v>
      </c>
      <c r="I7972" t="s">
        <v>81</v>
      </c>
      <c r="J7972" t="s">
        <v>271</v>
      </c>
      <c r="K7972" s="3">
        <v>100826944942</v>
      </c>
      <c r="L7972" s="10">
        <v>40222</v>
      </c>
      <c r="M7972">
        <v>4621.1</v>
      </c>
      <c r="N7972" s="11">
        <v>17</v>
      </c>
      <c r="O7972" s="12">
        <v>280.98</v>
      </c>
      <c r="P7972" s="12">
        <v>57</v>
      </c>
      <c r="Q7972" s="13">
        <v>-635.65</v>
      </c>
      <c r="R7972" s="36" t="s">
        <v>479</v>
      </c>
      <c r="S7972" s="7">
        <f t="shared" si="698"/>
        <v>1</v>
      </c>
      <c r="T7972" s="15" t="str">
        <f>VLOOKUP(R7972,产品分类!$C$2:$D$1278,2,0)</f>
        <v>办公用品</v>
      </c>
    </row>
    <row r="7973" spans="1:20">
      <c r="A7973" s="16">
        <f>DATE(2012,12,31)-1053</f>
        <v>40221</v>
      </c>
      <c r="B7973" s="16">
        <f>DATE(2012,12,31)-1053</f>
        <v>40221</v>
      </c>
      <c r="C7973" s="9" t="s">
        <v>678</v>
      </c>
      <c r="D7973">
        <v>10021348051</v>
      </c>
      <c r="E7973" t="s">
        <v>47</v>
      </c>
      <c r="F7973" t="s">
        <v>72</v>
      </c>
      <c r="G7973" t="s">
        <v>73</v>
      </c>
      <c r="H7973" t="s">
        <v>2606</v>
      </c>
      <c r="I7973" t="s">
        <v>2607</v>
      </c>
      <c r="J7973" t="s">
        <v>271</v>
      </c>
      <c r="K7973" s="3">
        <v>100118361218</v>
      </c>
      <c r="L7973" s="10">
        <v>40221</v>
      </c>
      <c r="M7973">
        <v>460.2</v>
      </c>
      <c r="N7973" s="17">
        <v>42</v>
      </c>
      <c r="O7973" s="5">
        <v>9.99</v>
      </c>
      <c r="P7973" s="5">
        <v>11.59</v>
      </c>
      <c r="Q7973" s="6">
        <v>-214.39</v>
      </c>
      <c r="R7973" s="37" t="s">
        <v>833</v>
      </c>
      <c r="S7973" s="7">
        <f t="shared" si="698"/>
        <v>0</v>
      </c>
      <c r="T7973" s="15" t="str">
        <f>VLOOKUP(R7973,产品分类!$C$2:$D$1278,2,0)</f>
        <v>家具产品</v>
      </c>
    </row>
    <row r="7974" spans="1:20">
      <c r="A7974" s="8">
        <f>DATE(2012,12,31)-588</f>
        <v>40686</v>
      </c>
      <c r="B7974" s="8">
        <f>DATE(2012,12,31)-588</f>
        <v>40686</v>
      </c>
      <c r="C7974" s="9" t="s">
        <v>188</v>
      </c>
      <c r="D7974">
        <v>10021506279</v>
      </c>
      <c r="E7974" t="s">
        <v>47</v>
      </c>
      <c r="F7974" t="s">
        <v>72</v>
      </c>
      <c r="G7974" t="s">
        <v>73</v>
      </c>
      <c r="H7974" t="s">
        <v>2606</v>
      </c>
      <c r="I7974" t="s">
        <v>2607</v>
      </c>
      <c r="J7974" t="s">
        <v>271</v>
      </c>
      <c r="K7974" s="3">
        <v>100831319292</v>
      </c>
      <c r="L7974" s="10">
        <v>40688</v>
      </c>
      <c r="M7974">
        <v>1360.82</v>
      </c>
      <c r="N7974" s="11">
        <v>28</v>
      </c>
      <c r="O7974" s="12">
        <v>49.34</v>
      </c>
      <c r="P7974" s="12">
        <v>10.25</v>
      </c>
      <c r="Q7974" s="13">
        <v>385.03</v>
      </c>
      <c r="R7974" s="36" t="s">
        <v>70</v>
      </c>
      <c r="S7974" s="7">
        <f t="shared" si="698"/>
        <v>2</v>
      </c>
      <c r="T7974" s="15" t="str">
        <f>VLOOKUP(R7974,产品分类!$C$2:$D$1278,2,0)</f>
        <v>数码电子</v>
      </c>
    </row>
    <row r="7975" spans="1:20">
      <c r="A7975" s="8">
        <f>DATE(2012,12,31)-948</f>
        <v>40326</v>
      </c>
      <c r="B7975" s="8">
        <f>DATE(2012,12,31)-948</f>
        <v>40326</v>
      </c>
      <c r="C7975" s="9" t="s">
        <v>714</v>
      </c>
      <c r="D7975">
        <v>10021675188</v>
      </c>
      <c r="E7975" t="s">
        <v>47</v>
      </c>
      <c r="F7975" t="s">
        <v>72</v>
      </c>
      <c r="G7975" t="s">
        <v>73</v>
      </c>
      <c r="H7975" t="s">
        <v>2606</v>
      </c>
      <c r="I7975" t="s">
        <v>2607</v>
      </c>
      <c r="J7975" t="s">
        <v>271</v>
      </c>
      <c r="K7975" s="3">
        <v>100832338632</v>
      </c>
      <c r="L7975" s="10">
        <v>40326</v>
      </c>
      <c r="M7975">
        <v>2052.83</v>
      </c>
      <c r="N7975" s="11">
        <v>48</v>
      </c>
      <c r="O7975" s="12">
        <v>40.99</v>
      </c>
      <c r="P7975" s="12">
        <v>8.97</v>
      </c>
      <c r="Q7975" s="13">
        <v>395.85</v>
      </c>
      <c r="R7975" s="36" t="s">
        <v>196</v>
      </c>
      <c r="S7975" s="7">
        <f t="shared" si="698"/>
        <v>0</v>
      </c>
      <c r="T7975" s="15" t="str">
        <f>VLOOKUP(R7975,产品分类!$C$2:$D$1278,2,0)</f>
        <v>办公用品</v>
      </c>
    </row>
    <row r="7976" spans="1:20">
      <c r="A7976" s="8">
        <f>DATE(2012,12,31)-948</f>
        <v>40326</v>
      </c>
      <c r="B7976" s="8">
        <f>DATE(2012,12,31)-948</f>
        <v>40326</v>
      </c>
      <c r="C7976" s="9" t="s">
        <v>714</v>
      </c>
      <c r="D7976">
        <v>10021371848</v>
      </c>
      <c r="E7976" t="s">
        <v>47</v>
      </c>
      <c r="F7976" t="s">
        <v>72</v>
      </c>
      <c r="G7976" t="s">
        <v>73</v>
      </c>
      <c r="H7976" t="s">
        <v>2606</v>
      </c>
      <c r="I7976" t="s">
        <v>2607</v>
      </c>
      <c r="J7976" t="s">
        <v>271</v>
      </c>
      <c r="K7976" s="3">
        <v>100732312045</v>
      </c>
      <c r="L7976" s="10">
        <v>40327</v>
      </c>
      <c r="M7976">
        <v>620.45</v>
      </c>
      <c r="N7976" s="11">
        <v>36</v>
      </c>
      <c r="O7976" s="12">
        <v>17.48</v>
      </c>
      <c r="P7976" s="12">
        <v>1.99</v>
      </c>
      <c r="Q7976" s="13">
        <v>171.94</v>
      </c>
      <c r="R7976" s="36" t="s">
        <v>1872</v>
      </c>
      <c r="S7976" s="7">
        <f t="shared" si="698"/>
        <v>1</v>
      </c>
      <c r="T7976" s="15" t="str">
        <f>VLOOKUP(R7976,产品分类!$C$2:$D$1278,2,0)</f>
        <v>办公用品</v>
      </c>
    </row>
    <row r="7977" spans="1:20">
      <c r="A7977" s="8">
        <f>DATE(2012,12,31)-886</f>
        <v>40388</v>
      </c>
      <c r="B7977" s="8">
        <f>DATE(2012,12,31)-886</f>
        <v>40388</v>
      </c>
      <c r="C7977" s="9" t="s">
        <v>523</v>
      </c>
      <c r="D7977">
        <v>10021622883</v>
      </c>
      <c r="E7977" t="s">
        <v>47</v>
      </c>
      <c r="F7977" t="s">
        <v>72</v>
      </c>
      <c r="G7977" t="s">
        <v>73</v>
      </c>
      <c r="H7977" t="s">
        <v>2606</v>
      </c>
      <c r="I7977" t="s">
        <v>2607</v>
      </c>
      <c r="J7977" t="s">
        <v>271</v>
      </c>
      <c r="K7977" s="3">
        <v>100319414939</v>
      </c>
      <c r="L7977" s="10">
        <v>40388</v>
      </c>
      <c r="M7977">
        <v>12719.7</v>
      </c>
      <c r="N7977" s="11">
        <v>46</v>
      </c>
      <c r="O7977" s="12">
        <v>280.98</v>
      </c>
      <c r="P7977" s="12">
        <v>57</v>
      </c>
      <c r="Q7977" s="13">
        <v>-545.82</v>
      </c>
      <c r="R7977" s="36" t="s">
        <v>479</v>
      </c>
      <c r="S7977" s="7">
        <f t="shared" si="698"/>
        <v>0</v>
      </c>
      <c r="T7977" s="15" t="str">
        <f>VLOOKUP(R7977,产品分类!$C$2:$D$1278,2,0)</f>
        <v>办公用品</v>
      </c>
    </row>
    <row r="7978" spans="1:20">
      <c r="A7978" s="8">
        <f>DATE(2012,12,31)-886</f>
        <v>40388</v>
      </c>
      <c r="B7978" s="8">
        <f>DATE(2012,12,31)-886</f>
        <v>40388</v>
      </c>
      <c r="C7978" s="9" t="s">
        <v>523</v>
      </c>
      <c r="D7978">
        <v>10021421366</v>
      </c>
      <c r="E7978" t="s">
        <v>47</v>
      </c>
      <c r="F7978" t="s">
        <v>72</v>
      </c>
      <c r="G7978" t="s">
        <v>73</v>
      </c>
      <c r="H7978" t="s">
        <v>2606</v>
      </c>
      <c r="I7978" t="s">
        <v>2607</v>
      </c>
      <c r="J7978" t="s">
        <v>271</v>
      </c>
      <c r="K7978" s="3">
        <v>100425785643</v>
      </c>
      <c r="L7978" s="10">
        <v>40390</v>
      </c>
      <c r="M7978">
        <v>109.78</v>
      </c>
      <c r="N7978" s="11">
        <v>48</v>
      </c>
      <c r="O7978" s="12">
        <v>2.2</v>
      </c>
      <c r="P7978" s="12">
        <v>1.2</v>
      </c>
      <c r="Q7978" s="13">
        <v>4.48</v>
      </c>
      <c r="R7978" s="36" t="s">
        <v>2466</v>
      </c>
      <c r="S7978" s="7">
        <f t="shared" si="698"/>
        <v>2</v>
      </c>
      <c r="T7978" s="15" t="str">
        <f>VLOOKUP(R7978,产品分类!$C$2:$D$1278,2,0)</f>
        <v>数码电子</v>
      </c>
    </row>
    <row r="7979" spans="1:20">
      <c r="A7979" s="8">
        <f>DATE(2012,12,31)-710</f>
        <v>40564</v>
      </c>
      <c r="B7979" s="8">
        <f>DATE(2012,12,31)-710</f>
        <v>40564</v>
      </c>
      <c r="C7979" s="9" t="s">
        <v>2256</v>
      </c>
      <c r="D7979">
        <v>10021510234</v>
      </c>
      <c r="E7979" t="s">
        <v>47</v>
      </c>
      <c r="F7979" t="s">
        <v>72</v>
      </c>
      <c r="G7979" t="s">
        <v>73</v>
      </c>
      <c r="H7979" t="s">
        <v>2606</v>
      </c>
      <c r="I7979" t="s">
        <v>2607</v>
      </c>
      <c r="J7979" t="s">
        <v>271</v>
      </c>
      <c r="K7979" s="3">
        <v>100130602577</v>
      </c>
      <c r="L7979" s="10">
        <v>40566</v>
      </c>
      <c r="M7979">
        <v>422.25</v>
      </c>
      <c r="N7979" s="11">
        <v>35</v>
      </c>
      <c r="O7979" s="12">
        <v>11.66</v>
      </c>
      <c r="P7979" s="12">
        <v>7.95</v>
      </c>
      <c r="Q7979" s="13">
        <v>-116.02</v>
      </c>
      <c r="R7979" s="36" t="s">
        <v>938</v>
      </c>
      <c r="S7979" s="7">
        <f t="shared" si="698"/>
        <v>2</v>
      </c>
      <c r="T7979" s="15" t="str">
        <f>VLOOKUP(R7979,产品分类!$C$2:$D$1278,2,0)</f>
        <v>办公用品</v>
      </c>
    </row>
    <row r="7980" spans="1:20">
      <c r="A7980" s="8">
        <f>DATE(2012,12,31)-1173</f>
        <v>40101</v>
      </c>
      <c r="B7980" s="8">
        <f>DATE(2012,12,31)-1173</f>
        <v>40101</v>
      </c>
      <c r="C7980" s="9" t="s">
        <v>2256</v>
      </c>
      <c r="D7980">
        <v>10021263082</v>
      </c>
      <c r="E7980" t="s">
        <v>47</v>
      </c>
      <c r="F7980" t="s">
        <v>72</v>
      </c>
      <c r="G7980" t="s">
        <v>73</v>
      </c>
      <c r="H7980" t="s">
        <v>2606</v>
      </c>
      <c r="I7980" t="s">
        <v>2607</v>
      </c>
      <c r="J7980" t="s">
        <v>271</v>
      </c>
      <c r="K7980" s="3">
        <v>100330462519</v>
      </c>
      <c r="L7980" s="10">
        <v>40103</v>
      </c>
      <c r="M7980">
        <v>167.5</v>
      </c>
      <c r="N7980" s="11">
        <v>34</v>
      </c>
      <c r="O7980" s="12">
        <v>4.98</v>
      </c>
      <c r="P7980" s="12">
        <v>4.95</v>
      </c>
      <c r="Q7980" s="13">
        <v>-84.4215</v>
      </c>
      <c r="R7980" s="36" t="s">
        <v>961</v>
      </c>
      <c r="S7980" s="7">
        <f t="shared" si="698"/>
        <v>2</v>
      </c>
      <c r="T7980" s="15" t="str">
        <f>VLOOKUP(R7980,产品分类!$C$2:$D$1278,2,0)</f>
        <v>办公用品</v>
      </c>
    </row>
    <row r="7981" spans="1:20">
      <c r="A7981" s="8">
        <f>DATE(2012,12,31)-895</f>
        <v>40379</v>
      </c>
      <c r="B7981" s="8">
        <f>DATE(2012,12,31)-895</f>
        <v>40379</v>
      </c>
      <c r="C7981" s="9" t="s">
        <v>2256</v>
      </c>
      <c r="D7981">
        <v>10021332310</v>
      </c>
      <c r="E7981" t="s">
        <v>47</v>
      </c>
      <c r="F7981" t="s">
        <v>72</v>
      </c>
      <c r="G7981" t="s">
        <v>73</v>
      </c>
      <c r="H7981" t="s">
        <v>2606</v>
      </c>
      <c r="I7981" t="s">
        <v>2607</v>
      </c>
      <c r="J7981" t="s">
        <v>271</v>
      </c>
      <c r="K7981" s="3">
        <v>10015457676</v>
      </c>
      <c r="L7981" s="10">
        <v>40380</v>
      </c>
      <c r="M7981">
        <v>1775.33</v>
      </c>
      <c r="N7981" s="11">
        <v>30</v>
      </c>
      <c r="O7981" s="12">
        <v>60.65</v>
      </c>
      <c r="P7981" s="12">
        <v>12.23</v>
      </c>
      <c r="Q7981" s="13">
        <v>365.25</v>
      </c>
      <c r="R7981" s="36" t="s">
        <v>1190</v>
      </c>
      <c r="S7981" s="7">
        <f t="shared" si="698"/>
        <v>1</v>
      </c>
      <c r="T7981" s="15" t="str">
        <f>VLOOKUP(R7981,产品分类!$C$2:$D$1278,2,0)</f>
        <v>办公用品</v>
      </c>
    </row>
    <row r="7982" spans="1:20">
      <c r="A7982" s="8">
        <f t="shared" ref="A7982:B7986" si="700">DATE(2012,12,31)-1456</f>
        <v>39818</v>
      </c>
      <c r="B7982" s="8">
        <f t="shared" si="700"/>
        <v>39818</v>
      </c>
      <c r="C7982" s="9" t="s">
        <v>1528</v>
      </c>
      <c r="D7982">
        <v>10021752407</v>
      </c>
      <c r="E7982" t="s">
        <v>47</v>
      </c>
      <c r="F7982" t="s">
        <v>78</v>
      </c>
      <c r="G7982" t="s">
        <v>79</v>
      </c>
      <c r="H7982" t="s">
        <v>80</v>
      </c>
      <c r="I7982" t="s">
        <v>81</v>
      </c>
      <c r="J7982" t="s">
        <v>271</v>
      </c>
      <c r="K7982" s="3">
        <v>100732082825</v>
      </c>
      <c r="L7982" s="10">
        <v>39819</v>
      </c>
      <c r="M7982">
        <v>78.08</v>
      </c>
      <c r="N7982" s="11">
        <v>43</v>
      </c>
      <c r="O7982" s="12">
        <v>1.81</v>
      </c>
      <c r="P7982" s="12">
        <v>0.75</v>
      </c>
      <c r="Q7982" s="13">
        <v>1.74</v>
      </c>
      <c r="R7982" s="36" t="s">
        <v>1030</v>
      </c>
      <c r="S7982" s="7">
        <f t="shared" si="698"/>
        <v>1</v>
      </c>
      <c r="T7982" s="15" t="str">
        <f>VLOOKUP(R7982,产品分类!$C$2:$D$1278,2,0)</f>
        <v>办公用品</v>
      </c>
    </row>
    <row r="7983" spans="1:20">
      <c r="A7983" s="8">
        <f t="shared" si="700"/>
        <v>39818</v>
      </c>
      <c r="B7983" s="8">
        <f t="shared" si="700"/>
        <v>39818</v>
      </c>
      <c r="C7983" s="9" t="s">
        <v>1528</v>
      </c>
      <c r="D7983">
        <v>10021504101</v>
      </c>
      <c r="E7983" t="s">
        <v>47</v>
      </c>
      <c r="F7983" t="s">
        <v>72</v>
      </c>
      <c r="G7983" t="s">
        <v>73</v>
      </c>
      <c r="H7983" t="s">
        <v>2606</v>
      </c>
      <c r="I7983" t="s">
        <v>2607</v>
      </c>
      <c r="J7983" t="s">
        <v>271</v>
      </c>
      <c r="K7983" s="3">
        <v>100930039411</v>
      </c>
      <c r="L7983" s="10">
        <v>39820</v>
      </c>
      <c r="M7983">
        <v>653.54</v>
      </c>
      <c r="N7983" s="11">
        <v>29</v>
      </c>
      <c r="O7983" s="12">
        <v>20.98</v>
      </c>
      <c r="P7983" s="12">
        <v>53.03</v>
      </c>
      <c r="Q7983" s="13">
        <v>-1358.9</v>
      </c>
      <c r="R7983" s="36" t="s">
        <v>2473</v>
      </c>
      <c r="S7983" s="7">
        <f t="shared" si="698"/>
        <v>2</v>
      </c>
      <c r="T7983" s="15" t="str">
        <f>VLOOKUP(R7983,产品分类!$C$2:$D$1278,2,0)</f>
        <v>办公用品</v>
      </c>
    </row>
    <row r="7984" spans="1:20">
      <c r="A7984" s="8">
        <f t="shared" si="700"/>
        <v>39818</v>
      </c>
      <c r="B7984" s="8">
        <f t="shared" si="700"/>
        <v>39818</v>
      </c>
      <c r="C7984" s="9" t="s">
        <v>1751</v>
      </c>
      <c r="D7984">
        <v>10021428325</v>
      </c>
      <c r="E7984" t="s">
        <v>47</v>
      </c>
      <c r="F7984" t="s">
        <v>230</v>
      </c>
      <c r="G7984" t="s">
        <v>231</v>
      </c>
      <c r="H7984" t="s">
        <v>2602</v>
      </c>
      <c r="I7984" t="s">
        <v>2603</v>
      </c>
      <c r="J7984" t="s">
        <v>271</v>
      </c>
      <c r="K7984" s="3">
        <v>100131053918</v>
      </c>
      <c r="L7984" s="10">
        <v>39818</v>
      </c>
      <c r="M7984">
        <v>12635.75</v>
      </c>
      <c r="N7984" s="11">
        <v>48</v>
      </c>
      <c r="O7984" s="12">
        <v>279.48</v>
      </c>
      <c r="P7984" s="12">
        <v>35</v>
      </c>
      <c r="Q7984" s="13">
        <v>-335.24</v>
      </c>
      <c r="R7984" s="36" t="s">
        <v>2631</v>
      </c>
      <c r="S7984" s="7">
        <f t="shared" si="698"/>
        <v>0</v>
      </c>
      <c r="T7984" s="15" t="str">
        <f>VLOOKUP(R7984,产品分类!$C$2:$D$1278,2,0)</f>
        <v>办公用品</v>
      </c>
    </row>
    <row r="7985" spans="1:20">
      <c r="A7985" s="8">
        <f t="shared" si="700"/>
        <v>39818</v>
      </c>
      <c r="B7985" s="8">
        <f t="shared" si="700"/>
        <v>39818</v>
      </c>
      <c r="C7985" s="9" t="s">
        <v>1153</v>
      </c>
      <c r="D7985">
        <v>10021710708</v>
      </c>
      <c r="E7985" t="s">
        <v>47</v>
      </c>
      <c r="F7985" t="s">
        <v>230</v>
      </c>
      <c r="G7985" t="s">
        <v>231</v>
      </c>
      <c r="H7985" t="s">
        <v>2602</v>
      </c>
      <c r="I7985" t="s">
        <v>2603</v>
      </c>
      <c r="J7985" t="s">
        <v>271</v>
      </c>
      <c r="K7985" s="3">
        <v>100131584946</v>
      </c>
      <c r="L7985" s="10">
        <v>39819</v>
      </c>
      <c r="M7985">
        <v>240.3</v>
      </c>
      <c r="N7985" s="11">
        <v>49</v>
      </c>
      <c r="O7985" s="12">
        <v>4.91</v>
      </c>
      <c r="P7985" s="12">
        <v>5.68</v>
      </c>
      <c r="Q7985" s="13">
        <v>-139.15575</v>
      </c>
      <c r="R7985" s="36" t="s">
        <v>852</v>
      </c>
      <c r="S7985" s="7">
        <f t="shared" si="698"/>
        <v>1</v>
      </c>
      <c r="T7985" s="15" t="str">
        <f>VLOOKUP(R7985,产品分类!$C$2:$D$1278,2,0)</f>
        <v>家具产品</v>
      </c>
    </row>
    <row r="7986" spans="1:20">
      <c r="A7986" s="8">
        <f t="shared" si="700"/>
        <v>39818</v>
      </c>
      <c r="B7986" s="8">
        <f t="shared" si="700"/>
        <v>39818</v>
      </c>
      <c r="C7986" s="9" t="s">
        <v>1819</v>
      </c>
      <c r="D7986">
        <v>10021593393</v>
      </c>
      <c r="E7986" t="s">
        <v>47</v>
      </c>
      <c r="F7986" t="s">
        <v>230</v>
      </c>
      <c r="G7986" t="s">
        <v>231</v>
      </c>
      <c r="H7986" t="s">
        <v>2602</v>
      </c>
      <c r="I7986" t="s">
        <v>2603</v>
      </c>
      <c r="J7986" t="s">
        <v>271</v>
      </c>
      <c r="K7986" s="3">
        <v>100832418552</v>
      </c>
      <c r="L7986" s="10">
        <v>39818</v>
      </c>
      <c r="M7986">
        <v>2750.107</v>
      </c>
      <c r="N7986" s="11">
        <v>25</v>
      </c>
      <c r="O7986" s="12">
        <v>125.99</v>
      </c>
      <c r="P7986" s="12">
        <v>5.26</v>
      </c>
      <c r="Q7986" s="13">
        <v>667.449</v>
      </c>
      <c r="R7986" s="36" t="s">
        <v>415</v>
      </c>
      <c r="S7986" s="7">
        <f t="shared" si="698"/>
        <v>0</v>
      </c>
      <c r="T7986" s="15" t="str">
        <f>VLOOKUP(R7986,产品分类!$C$2:$D$1278,2,0)</f>
        <v>办公用品</v>
      </c>
    </row>
    <row r="7987" spans="1:20">
      <c r="A7987" s="8">
        <f>DATE(2012,12,31)-335</f>
        <v>40939</v>
      </c>
      <c r="B7987" s="8">
        <f>DATE(2012,12,31)-335</f>
        <v>40939</v>
      </c>
      <c r="C7987" s="9" t="s">
        <v>1819</v>
      </c>
      <c r="D7987">
        <v>10021595166</v>
      </c>
      <c r="E7987" t="s">
        <v>47</v>
      </c>
      <c r="F7987" t="s">
        <v>230</v>
      </c>
      <c r="G7987" t="s">
        <v>231</v>
      </c>
      <c r="H7987" t="s">
        <v>2602</v>
      </c>
      <c r="I7987" t="s">
        <v>2603</v>
      </c>
      <c r="J7987" t="s">
        <v>271</v>
      </c>
      <c r="K7987" s="3">
        <v>100832783322</v>
      </c>
      <c r="L7987" s="10">
        <v>40940</v>
      </c>
      <c r="M7987">
        <v>299.85</v>
      </c>
      <c r="N7987" s="11">
        <v>44</v>
      </c>
      <c r="O7987" s="12">
        <v>6.48</v>
      </c>
      <c r="P7987" s="12">
        <v>10.05</v>
      </c>
      <c r="Q7987" s="13">
        <v>-260.8</v>
      </c>
      <c r="R7987" s="36" t="s">
        <v>768</v>
      </c>
      <c r="S7987" s="7">
        <f t="shared" si="698"/>
        <v>1</v>
      </c>
      <c r="T7987" s="15" t="str">
        <f>VLOOKUP(R7987,产品分类!$C$2:$D$1278,2,0)</f>
        <v>办公用品</v>
      </c>
    </row>
    <row r="7988" spans="1:20">
      <c r="A7988" s="8">
        <f>DATE(2012,12,31)-986</f>
        <v>40288</v>
      </c>
      <c r="B7988" s="8">
        <f>DATE(2012,12,31)-986</f>
        <v>40288</v>
      </c>
      <c r="C7988" s="9" t="s">
        <v>802</v>
      </c>
      <c r="D7988">
        <v>10021756152</v>
      </c>
      <c r="E7988" t="s">
        <v>47</v>
      </c>
      <c r="F7988" t="s">
        <v>230</v>
      </c>
      <c r="G7988" t="s">
        <v>231</v>
      </c>
      <c r="H7988" t="s">
        <v>2602</v>
      </c>
      <c r="I7988" t="s">
        <v>2603</v>
      </c>
      <c r="J7988" t="s">
        <v>271</v>
      </c>
      <c r="K7988" s="3">
        <v>100933001671</v>
      </c>
      <c r="L7988" s="10">
        <v>40288</v>
      </c>
      <c r="M7988">
        <v>561.66</v>
      </c>
      <c r="N7988" s="11">
        <v>26</v>
      </c>
      <c r="O7988" s="12">
        <v>22.38</v>
      </c>
      <c r="P7988" s="12">
        <v>15.1</v>
      </c>
      <c r="Q7988" s="13">
        <v>-111.3315</v>
      </c>
      <c r="R7988" s="36" t="s">
        <v>1617</v>
      </c>
      <c r="S7988" s="7">
        <f t="shared" si="698"/>
        <v>0</v>
      </c>
      <c r="T7988" s="15" t="str">
        <f>VLOOKUP(R7988,产品分类!$C$2:$D$1278,2,0)</f>
        <v>办公用品</v>
      </c>
    </row>
    <row r="7989" spans="1:20">
      <c r="A7989" s="8">
        <f>DATE(2012,12,31)-986</f>
        <v>40288</v>
      </c>
      <c r="B7989" s="8">
        <f>DATE(2012,12,31)-986</f>
        <v>40288</v>
      </c>
      <c r="C7989" s="9" t="s">
        <v>1722</v>
      </c>
      <c r="D7989">
        <v>10021504662</v>
      </c>
      <c r="E7989" t="s">
        <v>47</v>
      </c>
      <c r="F7989" t="s">
        <v>434</v>
      </c>
      <c r="G7989" t="s">
        <v>435</v>
      </c>
      <c r="H7989" t="s">
        <v>436</v>
      </c>
      <c r="I7989" t="s">
        <v>437</v>
      </c>
      <c r="J7989" t="s">
        <v>271</v>
      </c>
      <c r="K7989" s="3">
        <v>100930415601</v>
      </c>
      <c r="L7989" s="10">
        <v>40290</v>
      </c>
      <c r="M7989">
        <v>1851.62</v>
      </c>
      <c r="N7989" s="11">
        <v>19</v>
      </c>
      <c r="O7989" s="12">
        <v>100.98</v>
      </c>
      <c r="P7989" s="12">
        <v>35.84</v>
      </c>
      <c r="Q7989" s="13">
        <v>-220.84</v>
      </c>
      <c r="R7989" s="36" t="s">
        <v>331</v>
      </c>
      <c r="S7989" s="7">
        <f t="shared" si="698"/>
        <v>2</v>
      </c>
      <c r="T7989" s="15" t="str">
        <f>VLOOKUP(R7989,产品分类!$C$2:$D$1278,2,0)</f>
        <v>数码电子</v>
      </c>
    </row>
    <row r="7990" spans="1:20">
      <c r="A7990" s="8">
        <f>DATE(2012,12,31)-430</f>
        <v>40844</v>
      </c>
      <c r="B7990" s="8">
        <f>DATE(2012,12,31)-430</f>
        <v>40844</v>
      </c>
      <c r="C7990" s="9" t="s">
        <v>1722</v>
      </c>
      <c r="D7990">
        <v>10021756935</v>
      </c>
      <c r="E7990" t="s">
        <v>47</v>
      </c>
      <c r="F7990" t="s">
        <v>2517</v>
      </c>
      <c r="G7990" t="s">
        <v>2518</v>
      </c>
      <c r="H7990" t="s">
        <v>2619</v>
      </c>
      <c r="I7990" t="s">
        <v>2620</v>
      </c>
      <c r="J7990" t="s">
        <v>271</v>
      </c>
      <c r="K7990" s="3">
        <v>100130988688</v>
      </c>
      <c r="L7990" s="10">
        <v>40845</v>
      </c>
      <c r="M7990">
        <v>472.12</v>
      </c>
      <c r="N7990" s="11">
        <v>11</v>
      </c>
      <c r="O7990" s="12">
        <v>40.97</v>
      </c>
      <c r="P7990" s="12">
        <v>1.99</v>
      </c>
      <c r="Q7990" s="13">
        <v>56.1</v>
      </c>
      <c r="R7990" s="36" t="s">
        <v>1279</v>
      </c>
      <c r="S7990" s="7">
        <f t="shared" si="698"/>
        <v>1</v>
      </c>
      <c r="T7990" s="15" t="str">
        <f>VLOOKUP(R7990,产品分类!$C$2:$D$1278,2,0)</f>
        <v>家具产品</v>
      </c>
    </row>
    <row r="7991" spans="1:20">
      <c r="A7991" s="8">
        <f>DATE(2012,12,31)-811</f>
        <v>40463</v>
      </c>
      <c r="B7991" s="8">
        <f>DATE(2012,12,31)-811</f>
        <v>40463</v>
      </c>
      <c r="C7991" s="9" t="s">
        <v>823</v>
      </c>
      <c r="D7991">
        <v>10021736110</v>
      </c>
      <c r="E7991" t="s">
        <v>47</v>
      </c>
      <c r="F7991" t="s">
        <v>434</v>
      </c>
      <c r="G7991" t="s">
        <v>435</v>
      </c>
      <c r="H7991" t="s">
        <v>436</v>
      </c>
      <c r="I7991" t="s">
        <v>437</v>
      </c>
      <c r="J7991" t="s">
        <v>271</v>
      </c>
      <c r="K7991" s="3">
        <v>10011966936</v>
      </c>
      <c r="L7991" s="10">
        <v>40467</v>
      </c>
      <c r="M7991">
        <v>846.35</v>
      </c>
      <c r="N7991" s="11">
        <v>22</v>
      </c>
      <c r="O7991" s="12">
        <v>37.94</v>
      </c>
      <c r="P7991" s="12">
        <v>5.08</v>
      </c>
      <c r="Q7991" s="13">
        <v>341.53</v>
      </c>
      <c r="R7991" s="36" t="s">
        <v>679</v>
      </c>
      <c r="S7991" s="7">
        <f t="shared" si="698"/>
        <v>4</v>
      </c>
      <c r="T7991" s="15" t="str">
        <f>VLOOKUP(R7991,产品分类!$C$2:$D$1278,2,0)</f>
        <v>家具产品</v>
      </c>
    </row>
    <row r="7992" spans="1:20">
      <c r="A7992" s="8">
        <f>DATE(2012,12,31)-811</f>
        <v>40463</v>
      </c>
      <c r="B7992" s="8">
        <f>DATE(2012,12,31)-811</f>
        <v>40463</v>
      </c>
      <c r="C7992" s="9" t="s">
        <v>823</v>
      </c>
      <c r="D7992">
        <v>10021746059</v>
      </c>
      <c r="E7992" t="s">
        <v>47</v>
      </c>
      <c r="F7992" t="s">
        <v>2517</v>
      </c>
      <c r="G7992" t="s">
        <v>2518</v>
      </c>
      <c r="H7992" t="s">
        <v>2619</v>
      </c>
      <c r="I7992" t="s">
        <v>2620</v>
      </c>
      <c r="J7992" t="s">
        <v>271</v>
      </c>
      <c r="K7992" s="3">
        <v>100928373511</v>
      </c>
      <c r="L7992" s="10">
        <v>40470</v>
      </c>
      <c r="M7992">
        <v>1976.3945</v>
      </c>
      <c r="N7992" s="11">
        <v>26</v>
      </c>
      <c r="O7992" s="12">
        <v>85.99</v>
      </c>
      <c r="P7992" s="12">
        <v>2.79</v>
      </c>
      <c r="Q7992" s="13">
        <v>473.355</v>
      </c>
      <c r="R7992" s="36" t="s">
        <v>1651</v>
      </c>
      <c r="S7992" s="7">
        <f t="shared" si="698"/>
        <v>7</v>
      </c>
      <c r="T7992" s="15" t="str">
        <f>VLOOKUP(R7992,产品分类!$C$2:$D$1278,2,0)</f>
        <v>数码电子</v>
      </c>
    </row>
    <row r="7993" spans="1:20">
      <c r="A7993" s="8">
        <f>DATE(2012,12,31)-1086</f>
        <v>40188</v>
      </c>
      <c r="B7993" s="8">
        <f>DATE(2012,12,31)-1086</f>
        <v>40188</v>
      </c>
      <c r="C7993" s="9" t="s">
        <v>1276</v>
      </c>
      <c r="D7993">
        <v>10021293703</v>
      </c>
      <c r="E7993" t="s">
        <v>47</v>
      </c>
      <c r="F7993" t="s">
        <v>473</v>
      </c>
      <c r="G7993" t="s">
        <v>474</v>
      </c>
      <c r="H7993" t="s">
        <v>2523</v>
      </c>
      <c r="I7993" t="s">
        <v>2524</v>
      </c>
      <c r="J7993" t="s">
        <v>271</v>
      </c>
      <c r="K7993" s="3">
        <v>10046389743</v>
      </c>
      <c r="L7993" s="10">
        <v>40190</v>
      </c>
      <c r="M7993">
        <v>158.79</v>
      </c>
      <c r="N7993" s="11">
        <v>33</v>
      </c>
      <c r="O7993" s="12">
        <v>4.91</v>
      </c>
      <c r="P7993" s="12">
        <v>0.5</v>
      </c>
      <c r="Q7993" s="13">
        <v>74.14</v>
      </c>
      <c r="R7993" s="36" t="s">
        <v>429</v>
      </c>
      <c r="S7993" s="7">
        <f t="shared" si="698"/>
        <v>2</v>
      </c>
      <c r="T7993" s="15" t="str">
        <f>VLOOKUP(R7993,产品分类!$C$2:$D$1278,2,0)</f>
        <v>办公用品</v>
      </c>
    </row>
    <row r="7994" spans="1:20">
      <c r="A7994" s="8">
        <f>DATE(2012,12,31)-1086</f>
        <v>40188</v>
      </c>
      <c r="B7994" s="8">
        <f>DATE(2012,12,31)-1086</f>
        <v>40188</v>
      </c>
      <c r="C7994" s="9" t="s">
        <v>1502</v>
      </c>
      <c r="D7994">
        <v>10021352719</v>
      </c>
      <c r="E7994" t="s">
        <v>47</v>
      </c>
      <c r="F7994" t="s">
        <v>91</v>
      </c>
      <c r="G7994" t="s">
        <v>92</v>
      </c>
      <c r="H7994" t="s">
        <v>2621</v>
      </c>
      <c r="I7994" t="s">
        <v>2622</v>
      </c>
      <c r="J7994" t="s">
        <v>271</v>
      </c>
      <c r="K7994" s="3">
        <v>100332537019</v>
      </c>
      <c r="L7994" s="10">
        <v>40190</v>
      </c>
      <c r="M7994">
        <v>79.06</v>
      </c>
      <c r="N7994" s="11">
        <v>12</v>
      </c>
      <c r="O7994" s="12">
        <v>6.68</v>
      </c>
      <c r="P7994" s="12">
        <v>6.92</v>
      </c>
      <c r="Q7994" s="13">
        <v>-47</v>
      </c>
      <c r="R7994" s="36" t="s">
        <v>648</v>
      </c>
      <c r="S7994" s="7">
        <f t="shared" si="698"/>
        <v>2</v>
      </c>
      <c r="T7994" s="15" t="str">
        <f>VLOOKUP(R7994,产品分类!$C$2:$D$1278,2,0)</f>
        <v>家具产品</v>
      </c>
    </row>
    <row r="7995" spans="1:20">
      <c r="A7995" s="8">
        <f>DATE(2012,12,31)-829</f>
        <v>40445</v>
      </c>
      <c r="B7995" s="8">
        <f>DATE(2012,12,31)-829</f>
        <v>40445</v>
      </c>
      <c r="C7995" s="9" t="s">
        <v>1502</v>
      </c>
      <c r="D7995">
        <v>10021717886</v>
      </c>
      <c r="E7995" t="s">
        <v>47</v>
      </c>
      <c r="F7995" t="s">
        <v>91</v>
      </c>
      <c r="G7995" t="s">
        <v>92</v>
      </c>
      <c r="H7995" t="s">
        <v>2621</v>
      </c>
      <c r="I7995" t="s">
        <v>2622</v>
      </c>
      <c r="J7995" t="s">
        <v>271</v>
      </c>
      <c r="K7995" s="3">
        <v>10082194842</v>
      </c>
      <c r="L7995" s="10">
        <v>40447</v>
      </c>
      <c r="M7995">
        <v>1060.0605</v>
      </c>
      <c r="N7995" s="11">
        <v>47</v>
      </c>
      <c r="O7995" s="12">
        <v>28.99</v>
      </c>
      <c r="P7995" s="12">
        <v>8.59</v>
      </c>
      <c r="Q7995" s="13">
        <v>-71.027</v>
      </c>
      <c r="R7995" s="36" t="s">
        <v>843</v>
      </c>
      <c r="S7995" s="7">
        <f t="shared" si="698"/>
        <v>2</v>
      </c>
      <c r="T7995" s="15" t="str">
        <f>VLOOKUP(R7995,产品分类!$C$2:$D$1278,2,0)</f>
        <v>办公用品</v>
      </c>
    </row>
    <row r="7996" spans="1:20">
      <c r="A7996" s="8">
        <f>DATE(2012,12,31)-586</f>
        <v>40688</v>
      </c>
      <c r="B7996" s="8">
        <f>DATE(2012,12,31)-586</f>
        <v>40688</v>
      </c>
      <c r="C7996" s="9" t="s">
        <v>375</v>
      </c>
      <c r="D7996">
        <v>10021293588</v>
      </c>
      <c r="E7996" t="s">
        <v>47</v>
      </c>
      <c r="F7996" t="s">
        <v>122</v>
      </c>
      <c r="G7996" t="s">
        <v>123</v>
      </c>
      <c r="H7996" t="s">
        <v>2458</v>
      </c>
      <c r="I7996" t="s">
        <v>2459</v>
      </c>
      <c r="J7996" t="s">
        <v>271</v>
      </c>
      <c r="K7996" s="3">
        <v>100110083477</v>
      </c>
      <c r="L7996" s="10">
        <v>40689</v>
      </c>
      <c r="M7996">
        <v>140.63</v>
      </c>
      <c r="N7996" s="11">
        <v>33</v>
      </c>
      <c r="O7996" s="12">
        <v>4.28</v>
      </c>
      <c r="P7996" s="12">
        <v>5.68</v>
      </c>
      <c r="Q7996" s="13">
        <v>-111.87</v>
      </c>
      <c r="R7996" s="36" t="s">
        <v>1093</v>
      </c>
      <c r="S7996" s="7">
        <f t="shared" si="698"/>
        <v>1</v>
      </c>
      <c r="T7996" s="15" t="str">
        <f>VLOOKUP(R7996,产品分类!$C$2:$D$1278,2,0)</f>
        <v>家具产品</v>
      </c>
    </row>
    <row r="7997" spans="1:20">
      <c r="A7997" s="8">
        <f>DATE(2012,12,31)-586</f>
        <v>40688</v>
      </c>
      <c r="B7997" s="8">
        <f>DATE(2012,12,31)-586</f>
        <v>40688</v>
      </c>
      <c r="C7997" s="9" t="s">
        <v>375</v>
      </c>
      <c r="D7997">
        <v>10021754708</v>
      </c>
      <c r="E7997" t="s">
        <v>47</v>
      </c>
      <c r="F7997" t="s">
        <v>91</v>
      </c>
      <c r="G7997" t="s">
        <v>92</v>
      </c>
      <c r="H7997" t="s">
        <v>2621</v>
      </c>
      <c r="I7997" t="s">
        <v>2622</v>
      </c>
      <c r="J7997" t="s">
        <v>271</v>
      </c>
      <c r="K7997" s="3">
        <v>100132636578</v>
      </c>
      <c r="L7997" s="10">
        <v>40689</v>
      </c>
      <c r="M7997">
        <v>4872.6675</v>
      </c>
      <c r="N7997" s="11">
        <v>50</v>
      </c>
      <c r="O7997" s="12">
        <v>125.99</v>
      </c>
      <c r="P7997" s="12">
        <v>8.8</v>
      </c>
      <c r="Q7997" s="13">
        <v>851.31</v>
      </c>
      <c r="R7997" s="36" t="s">
        <v>1012</v>
      </c>
      <c r="S7997" s="7">
        <f t="shared" si="698"/>
        <v>1</v>
      </c>
      <c r="T7997" s="15" t="str">
        <f>VLOOKUP(R7997,产品分类!$C$2:$D$1278,2,0)</f>
        <v>家具产品</v>
      </c>
    </row>
    <row r="7998" spans="1:20">
      <c r="A7998" s="8">
        <f>DATE(2012,12,31)-561</f>
        <v>40713</v>
      </c>
      <c r="B7998" s="8">
        <f>DATE(2012,12,31)-561</f>
        <v>40713</v>
      </c>
      <c r="C7998" s="9" t="s">
        <v>245</v>
      </c>
      <c r="D7998">
        <v>10021338301</v>
      </c>
      <c r="E7998" t="s">
        <v>47</v>
      </c>
      <c r="F7998" t="s">
        <v>55</v>
      </c>
      <c r="G7998" t="s">
        <v>56</v>
      </c>
      <c r="H7998" t="s">
        <v>2604</v>
      </c>
      <c r="I7998" t="s">
        <v>2605</v>
      </c>
      <c r="J7998" t="s">
        <v>271</v>
      </c>
      <c r="K7998" s="3">
        <v>100923836801</v>
      </c>
      <c r="L7998" s="10">
        <v>40715</v>
      </c>
      <c r="M7998">
        <v>442.72</v>
      </c>
      <c r="N7998" s="11">
        <v>44</v>
      </c>
      <c r="O7998" s="12">
        <v>10.52</v>
      </c>
      <c r="P7998" s="12">
        <v>7.94</v>
      </c>
      <c r="Q7998" s="13">
        <v>-168.38</v>
      </c>
      <c r="R7998" s="36" t="s">
        <v>1905</v>
      </c>
      <c r="S7998" s="7">
        <f t="shared" si="698"/>
        <v>2</v>
      </c>
      <c r="T7998" s="15" t="str">
        <f>VLOOKUP(R7998,产品分类!$C$2:$D$1278,2,0)</f>
        <v>数码电子</v>
      </c>
    </row>
    <row r="7999" spans="1:20">
      <c r="A7999" s="8">
        <f>DATE(2012,12,31)-561</f>
        <v>40713</v>
      </c>
      <c r="B7999" s="8">
        <f>DATE(2012,12,31)-561</f>
        <v>40713</v>
      </c>
      <c r="C7999" s="9" t="s">
        <v>245</v>
      </c>
      <c r="D7999">
        <v>10021420141</v>
      </c>
      <c r="E7999" t="s">
        <v>47</v>
      </c>
      <c r="F7999" t="s">
        <v>122</v>
      </c>
      <c r="G7999" t="s">
        <v>123</v>
      </c>
      <c r="H7999" t="s">
        <v>2458</v>
      </c>
      <c r="I7999" t="s">
        <v>2459</v>
      </c>
      <c r="J7999" t="s">
        <v>271</v>
      </c>
      <c r="K7999" s="3">
        <v>100124634506</v>
      </c>
      <c r="L7999" s="10">
        <v>40713</v>
      </c>
      <c r="M7999">
        <v>326.893</v>
      </c>
      <c r="N7999" s="11">
        <v>6</v>
      </c>
      <c r="O7999" s="12">
        <v>65.99</v>
      </c>
      <c r="P7999" s="12">
        <v>5.31</v>
      </c>
      <c r="Q7999" s="13">
        <v>-223.212</v>
      </c>
      <c r="R7999" s="36" t="s">
        <v>2048</v>
      </c>
      <c r="S7999" s="7">
        <f t="shared" si="698"/>
        <v>0</v>
      </c>
      <c r="T7999" s="15" t="str">
        <f>VLOOKUP(R7999,产品分类!$C$2:$D$1278,2,0)</f>
        <v>数码电子</v>
      </c>
    </row>
    <row r="8000" spans="1:20">
      <c r="A8000" s="8">
        <f>DATE(2012,12,31)-1099</f>
        <v>40175</v>
      </c>
      <c r="B8000" s="8">
        <f>DATE(2012,12,31)-1099</f>
        <v>40175</v>
      </c>
      <c r="C8000" s="9" t="s">
        <v>1378</v>
      </c>
      <c r="D8000">
        <v>10021594775</v>
      </c>
      <c r="E8000" t="s">
        <v>47</v>
      </c>
      <c r="F8000" t="s">
        <v>122</v>
      </c>
      <c r="G8000" t="s">
        <v>123</v>
      </c>
      <c r="H8000" t="s">
        <v>2458</v>
      </c>
      <c r="I8000" t="s">
        <v>2459</v>
      </c>
      <c r="J8000" t="s">
        <v>271</v>
      </c>
      <c r="K8000" s="3">
        <v>100932768491</v>
      </c>
      <c r="L8000" s="10">
        <v>40176</v>
      </c>
      <c r="M8000">
        <v>266.27</v>
      </c>
      <c r="N8000" s="11">
        <v>9</v>
      </c>
      <c r="O8000" s="12">
        <v>29.89</v>
      </c>
      <c r="P8000" s="12">
        <v>1.99</v>
      </c>
      <c r="Q8000" s="13">
        <v>-5.7</v>
      </c>
      <c r="R8000" s="36" t="s">
        <v>1382</v>
      </c>
      <c r="S8000" s="7">
        <f t="shared" si="698"/>
        <v>1</v>
      </c>
      <c r="T8000" s="15" t="str">
        <f>VLOOKUP(R8000,产品分类!$C$2:$D$1278,2,0)</f>
        <v>办公用品</v>
      </c>
    </row>
    <row r="8001" spans="1:20">
      <c r="A8001" s="8">
        <f>DATE(2012,12,31)-1099</f>
        <v>40175</v>
      </c>
      <c r="B8001" s="8">
        <f>DATE(2012,12,31)-1099</f>
        <v>40175</v>
      </c>
      <c r="C8001" s="9" t="s">
        <v>1666</v>
      </c>
      <c r="D8001">
        <v>10021330995</v>
      </c>
      <c r="E8001" t="s">
        <v>47</v>
      </c>
      <c r="F8001" t="s">
        <v>91</v>
      </c>
      <c r="G8001" t="s">
        <v>92</v>
      </c>
      <c r="H8001" t="s">
        <v>2621</v>
      </c>
      <c r="I8001" t="s">
        <v>2622</v>
      </c>
      <c r="J8001" t="s">
        <v>271</v>
      </c>
      <c r="K8001" s="3">
        <v>1007229575</v>
      </c>
      <c r="L8001" s="10">
        <v>40175</v>
      </c>
      <c r="M8001">
        <v>38.44</v>
      </c>
      <c r="N8001" s="11">
        <v>10</v>
      </c>
      <c r="O8001" s="12">
        <v>3.28</v>
      </c>
      <c r="P8001" s="12">
        <v>3.97</v>
      </c>
      <c r="Q8001" s="13">
        <v>-26.19</v>
      </c>
      <c r="R8001" s="36" t="s">
        <v>1283</v>
      </c>
      <c r="S8001" s="7">
        <f t="shared" si="698"/>
        <v>0</v>
      </c>
      <c r="T8001" s="15" t="str">
        <f>VLOOKUP(R8001,产品分类!$C$2:$D$1278,2,0)</f>
        <v>办公用品</v>
      </c>
    </row>
    <row r="8002" spans="1:20">
      <c r="A8002" s="8">
        <f>DATE(2012,12,31)-438</f>
        <v>40836</v>
      </c>
      <c r="B8002" s="8">
        <f>DATE(2012,12,31)-438</f>
        <v>40836</v>
      </c>
      <c r="C8002" s="9" t="s">
        <v>1666</v>
      </c>
      <c r="D8002">
        <v>10021656364</v>
      </c>
      <c r="E8002" t="s">
        <v>47</v>
      </c>
      <c r="F8002" t="s">
        <v>122</v>
      </c>
      <c r="G8002" t="s">
        <v>123</v>
      </c>
      <c r="H8002" t="s">
        <v>2458</v>
      </c>
      <c r="I8002" t="s">
        <v>2459</v>
      </c>
      <c r="J8002" t="s">
        <v>271</v>
      </c>
      <c r="K8002" s="3">
        <v>1009745131</v>
      </c>
      <c r="L8002" s="10">
        <v>40840</v>
      </c>
      <c r="M8002">
        <v>545.88</v>
      </c>
      <c r="N8002" s="11">
        <v>3</v>
      </c>
      <c r="O8002" s="12">
        <v>212.6</v>
      </c>
      <c r="P8002" s="12">
        <v>52.2</v>
      </c>
      <c r="Q8002" s="13">
        <v>-95.04</v>
      </c>
      <c r="R8002" s="36" t="s">
        <v>1467</v>
      </c>
      <c r="S8002" s="7">
        <f t="shared" si="698"/>
        <v>4</v>
      </c>
      <c r="T8002" s="15" t="str">
        <f>VLOOKUP(R8002,产品分类!$C$2:$D$1278,2,0)</f>
        <v>数码电子</v>
      </c>
    </row>
    <row r="8003" spans="1:20">
      <c r="A8003" s="8">
        <f>DATE(2012,12,31)-1242</f>
        <v>40032</v>
      </c>
      <c r="B8003" s="8">
        <f>DATE(2012,12,31)-1242</f>
        <v>40032</v>
      </c>
      <c r="C8003" s="9" t="s">
        <v>1669</v>
      </c>
      <c r="D8003">
        <v>10021576392</v>
      </c>
      <c r="E8003" t="s">
        <v>47</v>
      </c>
      <c r="F8003" t="s">
        <v>122</v>
      </c>
      <c r="G8003" t="s">
        <v>123</v>
      </c>
      <c r="H8003" t="s">
        <v>2458</v>
      </c>
      <c r="I8003" t="s">
        <v>2459</v>
      </c>
      <c r="J8003" t="s">
        <v>271</v>
      </c>
      <c r="K8003" s="3">
        <v>100910691671</v>
      </c>
      <c r="L8003" s="10">
        <v>40033</v>
      </c>
      <c r="M8003">
        <v>515.23</v>
      </c>
      <c r="N8003" s="11">
        <v>13</v>
      </c>
      <c r="O8003" s="12">
        <v>41.94</v>
      </c>
      <c r="P8003" s="12">
        <v>2.99</v>
      </c>
      <c r="Q8003" s="13">
        <v>171.4025</v>
      </c>
      <c r="R8003" s="36" t="s">
        <v>1349</v>
      </c>
      <c r="S8003" s="7">
        <f t="shared" ref="S8003:S8066" si="701">+L8003-B8003</f>
        <v>1</v>
      </c>
      <c r="T8003" s="15" t="str">
        <f>VLOOKUP(R8003,产品分类!$C$2:$D$1278,2,0)</f>
        <v>数码电子</v>
      </c>
    </row>
    <row r="8004" spans="1:20">
      <c r="A8004" s="8">
        <f>DATE(2012,12,31)-1242</f>
        <v>40032</v>
      </c>
      <c r="B8004" s="8">
        <f>DATE(2012,12,31)-1242</f>
        <v>40032</v>
      </c>
      <c r="C8004" s="9" t="s">
        <v>520</v>
      </c>
      <c r="D8004">
        <v>10021580659</v>
      </c>
      <c r="E8004" t="s">
        <v>47</v>
      </c>
      <c r="F8004" t="s">
        <v>122</v>
      </c>
      <c r="G8004" t="s">
        <v>123</v>
      </c>
      <c r="H8004" t="s">
        <v>2458</v>
      </c>
      <c r="I8004" t="s">
        <v>2459</v>
      </c>
      <c r="J8004" t="s">
        <v>271</v>
      </c>
      <c r="K8004" s="3">
        <v>100323165779</v>
      </c>
      <c r="L8004" s="10">
        <v>40032</v>
      </c>
      <c r="M8004">
        <v>41.65</v>
      </c>
      <c r="N8004" s="11">
        <v>22</v>
      </c>
      <c r="O8004" s="12">
        <v>1.98</v>
      </c>
      <c r="P8004" s="12">
        <v>0.7</v>
      </c>
      <c r="Q8004" s="13">
        <v>-13.86</v>
      </c>
      <c r="R8004" s="36" t="s">
        <v>2598</v>
      </c>
      <c r="S8004" s="7">
        <f t="shared" si="701"/>
        <v>0</v>
      </c>
      <c r="T8004" s="15" t="str">
        <f>VLOOKUP(R8004,产品分类!$C$2:$D$1278,2,0)</f>
        <v>家具产品</v>
      </c>
    </row>
    <row r="8005" spans="1:20">
      <c r="A8005" s="8">
        <f>DATE(2012,12,31)-1379</f>
        <v>39895</v>
      </c>
      <c r="B8005" s="8">
        <f>DATE(2012,12,31)-1379</f>
        <v>39895</v>
      </c>
      <c r="C8005" s="9" t="s">
        <v>520</v>
      </c>
      <c r="D8005">
        <v>10021335913</v>
      </c>
      <c r="E8005" t="s">
        <v>47</v>
      </c>
      <c r="F8005" t="s">
        <v>91</v>
      </c>
      <c r="G8005" t="s">
        <v>92</v>
      </c>
      <c r="H8005" t="s">
        <v>2621</v>
      </c>
      <c r="I8005" t="s">
        <v>2622</v>
      </c>
      <c r="J8005" t="s">
        <v>271</v>
      </c>
      <c r="K8005" s="3">
        <v>100817524272</v>
      </c>
      <c r="L8005" s="10">
        <v>39897</v>
      </c>
      <c r="M8005">
        <v>106.04</v>
      </c>
      <c r="N8005" s="11">
        <v>25</v>
      </c>
      <c r="O8005" s="12">
        <v>4.55</v>
      </c>
      <c r="P8005" s="12">
        <v>1.49</v>
      </c>
      <c r="Q8005" s="13">
        <v>16.898</v>
      </c>
      <c r="R8005" s="36" t="s">
        <v>2117</v>
      </c>
      <c r="S8005" s="7">
        <f t="shared" si="701"/>
        <v>2</v>
      </c>
      <c r="T8005" s="15" t="str">
        <f>VLOOKUP(R8005,产品分类!$C$2:$D$1278,2,0)</f>
        <v>数码电子</v>
      </c>
    </row>
    <row r="8006" spans="1:20">
      <c r="A8006" s="8">
        <f>DATE(2012,12,31)-1379</f>
        <v>39895</v>
      </c>
      <c r="B8006" s="8">
        <f>DATE(2012,12,31)-1379</f>
        <v>39895</v>
      </c>
      <c r="C8006" s="9" t="s">
        <v>54</v>
      </c>
      <c r="D8006">
        <v>10021748196</v>
      </c>
      <c r="E8006" t="s">
        <v>47</v>
      </c>
      <c r="F8006" t="s">
        <v>122</v>
      </c>
      <c r="G8006" t="s">
        <v>123</v>
      </c>
      <c r="H8006" t="s">
        <v>2458</v>
      </c>
      <c r="I8006" t="s">
        <v>2459</v>
      </c>
      <c r="J8006" t="s">
        <v>271</v>
      </c>
      <c r="K8006" s="3">
        <v>100429935084</v>
      </c>
      <c r="L8006" s="10">
        <v>39897</v>
      </c>
      <c r="M8006">
        <v>452.93</v>
      </c>
      <c r="N8006" s="11">
        <v>45</v>
      </c>
      <c r="O8006" s="12">
        <v>9.78</v>
      </c>
      <c r="P8006" s="12">
        <v>5.76</v>
      </c>
      <c r="Q8006" s="13">
        <v>20.14</v>
      </c>
      <c r="R8006" s="36" t="s">
        <v>1283</v>
      </c>
      <c r="S8006" s="7">
        <f t="shared" si="701"/>
        <v>2</v>
      </c>
      <c r="T8006" s="15" t="str">
        <f>VLOOKUP(R8006,产品分类!$C$2:$D$1278,2,0)</f>
        <v>办公用品</v>
      </c>
    </row>
    <row r="8007" spans="1:20">
      <c r="A8007" s="8">
        <f>DATE(2012,12,31)-1137</f>
        <v>40137</v>
      </c>
      <c r="B8007" s="8">
        <f>DATE(2012,12,31)-1137</f>
        <v>40137</v>
      </c>
      <c r="C8007" s="9" t="s">
        <v>54</v>
      </c>
      <c r="D8007">
        <v>10021704991</v>
      </c>
      <c r="E8007" t="s">
        <v>47</v>
      </c>
      <c r="F8007" t="s">
        <v>91</v>
      </c>
      <c r="G8007" t="s">
        <v>92</v>
      </c>
      <c r="H8007" t="s">
        <v>2621</v>
      </c>
      <c r="I8007" t="s">
        <v>2622</v>
      </c>
      <c r="J8007" t="s">
        <v>271</v>
      </c>
      <c r="K8007" s="3">
        <v>100122915326</v>
      </c>
      <c r="L8007" s="10">
        <v>40138</v>
      </c>
      <c r="M8007">
        <v>90.88</v>
      </c>
      <c r="N8007" s="11">
        <v>1</v>
      </c>
      <c r="O8007" s="12">
        <v>100.98</v>
      </c>
      <c r="P8007" s="12">
        <v>7.18</v>
      </c>
      <c r="Q8007" s="13">
        <v>-259.63</v>
      </c>
      <c r="R8007" s="36" t="s">
        <v>2632</v>
      </c>
      <c r="S8007" s="7">
        <f t="shared" si="701"/>
        <v>1</v>
      </c>
      <c r="T8007" s="15" t="str">
        <f>VLOOKUP(R8007,产品分类!$C$2:$D$1278,2,0)</f>
        <v>办公用品</v>
      </c>
    </row>
    <row r="8008" spans="1:20">
      <c r="A8008" s="8">
        <f>DATE(2012,12,31)-1137</f>
        <v>40137</v>
      </c>
      <c r="B8008" s="8">
        <f>DATE(2012,12,31)-1137</f>
        <v>40137</v>
      </c>
      <c r="C8008" s="9" t="s">
        <v>815</v>
      </c>
      <c r="D8008">
        <v>10021671705</v>
      </c>
      <c r="E8008" t="s">
        <v>47</v>
      </c>
      <c r="F8008" t="s">
        <v>91</v>
      </c>
      <c r="G8008" t="s">
        <v>92</v>
      </c>
      <c r="H8008" t="s">
        <v>2621</v>
      </c>
      <c r="I8008" t="s">
        <v>2622</v>
      </c>
      <c r="J8008" t="s">
        <v>271</v>
      </c>
      <c r="K8008" s="3">
        <v>100430997183</v>
      </c>
      <c r="L8008" s="10">
        <v>40138</v>
      </c>
      <c r="M8008">
        <v>6236.4755</v>
      </c>
      <c r="N8008" s="11">
        <v>34</v>
      </c>
      <c r="O8008" s="12">
        <v>205.99</v>
      </c>
      <c r="P8008" s="12">
        <v>3</v>
      </c>
      <c r="Q8008" s="13">
        <v>1928.664</v>
      </c>
      <c r="R8008" s="36" t="s">
        <v>1583</v>
      </c>
      <c r="S8008" s="7">
        <f t="shared" si="701"/>
        <v>1</v>
      </c>
      <c r="T8008" s="15" t="str">
        <f>VLOOKUP(R8008,产品分类!$C$2:$D$1278,2,0)</f>
        <v>办公用品</v>
      </c>
    </row>
    <row r="8009" spans="1:20">
      <c r="A8009" s="8">
        <f>DATE(2012,12,31)-1267</f>
        <v>40007</v>
      </c>
      <c r="B8009" s="8">
        <f>DATE(2012,12,31)-1267</f>
        <v>40007</v>
      </c>
      <c r="C8009" s="9" t="s">
        <v>1266</v>
      </c>
      <c r="D8009">
        <v>10021254689</v>
      </c>
      <c r="E8009" t="s">
        <v>47</v>
      </c>
      <c r="F8009" t="s">
        <v>55</v>
      </c>
      <c r="G8009" t="s">
        <v>56</v>
      </c>
      <c r="H8009" t="s">
        <v>2633</v>
      </c>
      <c r="I8009" t="s">
        <v>2634</v>
      </c>
      <c r="J8009" t="s">
        <v>271</v>
      </c>
      <c r="K8009" s="3">
        <v>100722634085</v>
      </c>
      <c r="L8009" s="10">
        <v>40007</v>
      </c>
      <c r="M8009">
        <v>223.499</v>
      </c>
      <c r="N8009" s="11">
        <v>34</v>
      </c>
      <c r="O8009" s="12">
        <v>7.99</v>
      </c>
      <c r="P8009" s="12">
        <v>5.03</v>
      </c>
      <c r="Q8009" s="13">
        <v>-122.133</v>
      </c>
      <c r="R8009" s="36" t="s">
        <v>1656</v>
      </c>
      <c r="S8009" s="7">
        <f t="shared" si="701"/>
        <v>0</v>
      </c>
      <c r="T8009" s="15" t="str">
        <f>VLOOKUP(R8009,产品分类!$C$2:$D$1278,2,0)</f>
        <v>家具产品</v>
      </c>
    </row>
    <row r="8010" spans="1:20">
      <c r="A8010" s="8">
        <f>DATE(2012,12,31)-1378</f>
        <v>39896</v>
      </c>
      <c r="B8010" s="8">
        <f>DATE(2012,12,31)-1378</f>
        <v>39896</v>
      </c>
      <c r="C8010" s="9" t="s">
        <v>366</v>
      </c>
      <c r="D8010">
        <v>10021252434</v>
      </c>
      <c r="E8010" t="s">
        <v>47</v>
      </c>
      <c r="F8010" t="s">
        <v>91</v>
      </c>
      <c r="G8010" t="s">
        <v>92</v>
      </c>
      <c r="H8010" t="s">
        <v>2621</v>
      </c>
      <c r="I8010" t="s">
        <v>2622</v>
      </c>
      <c r="J8010" t="s">
        <v>271</v>
      </c>
      <c r="K8010" s="3">
        <v>100811651402</v>
      </c>
      <c r="L8010" s="10">
        <v>39897</v>
      </c>
      <c r="M8010">
        <v>101.52</v>
      </c>
      <c r="N8010" s="11">
        <v>6</v>
      </c>
      <c r="O8010" s="12">
        <v>15.42</v>
      </c>
      <c r="P8010" s="12">
        <v>5.41</v>
      </c>
      <c r="Q8010" s="13">
        <v>-16.37</v>
      </c>
      <c r="R8010" s="36" t="s">
        <v>1387</v>
      </c>
      <c r="S8010" s="7">
        <f t="shared" si="701"/>
        <v>1</v>
      </c>
      <c r="T8010" s="15" t="str">
        <f>VLOOKUP(R8010,产品分类!$C$2:$D$1278,2,0)</f>
        <v>家具产品</v>
      </c>
    </row>
    <row r="8011" spans="1:20">
      <c r="A8011" s="8">
        <f>DATE(2012,12,31)-892</f>
        <v>40382</v>
      </c>
      <c r="B8011" s="8">
        <f>DATE(2012,12,31)-892</f>
        <v>40382</v>
      </c>
      <c r="C8011" s="9" t="s">
        <v>1348</v>
      </c>
      <c r="D8011">
        <v>10021521605</v>
      </c>
      <c r="E8011" t="s">
        <v>47</v>
      </c>
      <c r="F8011" t="s">
        <v>122</v>
      </c>
      <c r="G8011" t="s">
        <v>123</v>
      </c>
      <c r="H8011" t="s">
        <v>2458</v>
      </c>
      <c r="I8011" t="s">
        <v>2459</v>
      </c>
      <c r="J8011" t="s">
        <v>271</v>
      </c>
      <c r="K8011" s="3">
        <v>10013746497</v>
      </c>
      <c r="L8011" s="10">
        <v>40389</v>
      </c>
      <c r="M8011">
        <v>1171.232</v>
      </c>
      <c r="N8011" s="11">
        <v>12</v>
      </c>
      <c r="O8011" s="12">
        <v>115.99</v>
      </c>
      <c r="P8011" s="12">
        <v>2.5</v>
      </c>
      <c r="Q8011" s="13">
        <v>-43.252</v>
      </c>
      <c r="R8011" s="36" t="s">
        <v>2185</v>
      </c>
      <c r="S8011" s="7">
        <f t="shared" si="701"/>
        <v>7</v>
      </c>
      <c r="T8011" s="15" t="str">
        <f>VLOOKUP(R8011,产品分类!$C$2:$D$1278,2,0)</f>
        <v>办公用品</v>
      </c>
    </row>
    <row r="8012" spans="1:20">
      <c r="A8012" s="8">
        <f>DATE(2012,12,31)-597</f>
        <v>40677</v>
      </c>
      <c r="B8012" s="8">
        <f>DATE(2012,12,31)-597</f>
        <v>40677</v>
      </c>
      <c r="C8012" s="9" t="s">
        <v>1348</v>
      </c>
      <c r="D8012">
        <v>10021610069</v>
      </c>
      <c r="E8012" t="s">
        <v>47</v>
      </c>
      <c r="F8012" t="s">
        <v>91</v>
      </c>
      <c r="G8012" t="s">
        <v>92</v>
      </c>
      <c r="H8012" t="s">
        <v>2621</v>
      </c>
      <c r="I8012" t="s">
        <v>2622</v>
      </c>
      <c r="J8012" t="s">
        <v>271</v>
      </c>
      <c r="K8012" s="3">
        <v>10046989954</v>
      </c>
      <c r="L8012" s="10">
        <v>40678</v>
      </c>
      <c r="M8012">
        <v>178.92</v>
      </c>
      <c r="N8012" s="11">
        <v>24</v>
      </c>
      <c r="O8012" s="12">
        <v>7.68</v>
      </c>
      <c r="P8012" s="12">
        <v>6.16</v>
      </c>
      <c r="Q8012" s="13">
        <v>-56.1085</v>
      </c>
      <c r="R8012" s="36" t="s">
        <v>1545</v>
      </c>
      <c r="S8012" s="7">
        <f t="shared" si="701"/>
        <v>1</v>
      </c>
      <c r="T8012" s="15" t="str">
        <f>VLOOKUP(R8012,产品分类!$C$2:$D$1278,2,0)</f>
        <v>办公用品</v>
      </c>
    </row>
    <row r="8013" spans="1:20">
      <c r="A8013" s="8">
        <f>DATE(2012,12,31)-546</f>
        <v>40728</v>
      </c>
      <c r="B8013" s="8">
        <f>DATE(2012,12,31)-546</f>
        <v>40728</v>
      </c>
      <c r="C8013" s="9" t="s">
        <v>1348</v>
      </c>
      <c r="D8013">
        <v>10021444013</v>
      </c>
      <c r="E8013" t="s">
        <v>47</v>
      </c>
      <c r="F8013" t="s">
        <v>55</v>
      </c>
      <c r="G8013" t="s">
        <v>56</v>
      </c>
      <c r="H8013" t="s">
        <v>2633</v>
      </c>
      <c r="I8013" t="s">
        <v>2634</v>
      </c>
      <c r="J8013" t="s">
        <v>271</v>
      </c>
      <c r="K8013" s="3">
        <v>10094135601</v>
      </c>
      <c r="L8013" s="10">
        <v>40728</v>
      </c>
      <c r="M8013">
        <v>315.88</v>
      </c>
      <c r="N8013" s="11">
        <v>39</v>
      </c>
      <c r="O8013" s="12">
        <v>8.46</v>
      </c>
      <c r="P8013" s="12">
        <v>3.62</v>
      </c>
      <c r="Q8013" s="13">
        <v>-60.4</v>
      </c>
      <c r="R8013" s="36" t="s">
        <v>2017</v>
      </c>
      <c r="S8013" s="7">
        <f t="shared" si="701"/>
        <v>0</v>
      </c>
      <c r="T8013" s="15" t="str">
        <f>VLOOKUP(R8013,产品分类!$C$2:$D$1278,2,0)</f>
        <v>家具产品</v>
      </c>
    </row>
    <row r="8014" spans="1:20">
      <c r="A8014" s="8">
        <f>DATE(2012,12,31)-546</f>
        <v>40728</v>
      </c>
      <c r="B8014" s="8">
        <f>DATE(2012,12,31)-546</f>
        <v>40728</v>
      </c>
      <c r="C8014" s="9" t="s">
        <v>1348</v>
      </c>
      <c r="D8014">
        <v>10021593326</v>
      </c>
      <c r="E8014" t="s">
        <v>47</v>
      </c>
      <c r="F8014" t="s">
        <v>91</v>
      </c>
      <c r="G8014" t="s">
        <v>92</v>
      </c>
      <c r="H8014" t="s">
        <v>2621</v>
      </c>
      <c r="I8014" t="s">
        <v>2622</v>
      </c>
      <c r="J8014" t="s">
        <v>271</v>
      </c>
      <c r="K8014" s="3">
        <v>100132415177</v>
      </c>
      <c r="L8014" s="10">
        <v>40731</v>
      </c>
      <c r="M8014">
        <v>258.11</v>
      </c>
      <c r="N8014" s="11">
        <v>8</v>
      </c>
      <c r="O8014" s="12">
        <v>30.98</v>
      </c>
      <c r="P8014" s="12">
        <v>6.5</v>
      </c>
      <c r="Q8014" s="13">
        <v>-113.6</v>
      </c>
      <c r="R8014" s="36" t="s">
        <v>986</v>
      </c>
      <c r="S8014" s="7">
        <f t="shared" si="701"/>
        <v>3</v>
      </c>
      <c r="T8014" s="15" t="str">
        <f>VLOOKUP(R8014,产品分类!$C$2:$D$1278,2,0)</f>
        <v>办公用品</v>
      </c>
    </row>
    <row r="8015" spans="1:20">
      <c r="A8015" s="16">
        <f t="shared" ref="A8015:B8018" si="702">DATE(2012,12,31)-819</f>
        <v>40455</v>
      </c>
      <c r="B8015" s="16">
        <f t="shared" si="702"/>
        <v>40455</v>
      </c>
      <c r="C8015" s="9" t="s">
        <v>1348</v>
      </c>
      <c r="D8015">
        <v>10021261815</v>
      </c>
      <c r="E8015" t="s">
        <v>47</v>
      </c>
      <c r="F8015" t="s">
        <v>91</v>
      </c>
      <c r="G8015" t="s">
        <v>92</v>
      </c>
      <c r="H8015" t="s">
        <v>2621</v>
      </c>
      <c r="I8015" t="s">
        <v>2622</v>
      </c>
      <c r="J8015" t="s">
        <v>271</v>
      </c>
      <c r="K8015" s="3">
        <v>100429729434</v>
      </c>
      <c r="L8015" s="10">
        <v>40462</v>
      </c>
      <c r="M8015">
        <v>167.07</v>
      </c>
      <c r="N8015" s="17">
        <v>32</v>
      </c>
      <c r="O8015" s="5">
        <v>4.91</v>
      </c>
      <c r="P8015" s="5">
        <v>5.68</v>
      </c>
      <c r="Q8015" s="6">
        <v>-93.2305</v>
      </c>
      <c r="R8015" s="37" t="s">
        <v>1754</v>
      </c>
      <c r="S8015" s="7">
        <f t="shared" si="701"/>
        <v>7</v>
      </c>
      <c r="T8015" s="15" t="str">
        <f>VLOOKUP(R8015,产品分类!$C$2:$D$1278,2,0)</f>
        <v>数码电子</v>
      </c>
    </row>
    <row r="8016" spans="1:20">
      <c r="A8016" s="16">
        <f t="shared" si="702"/>
        <v>40455</v>
      </c>
      <c r="B8016" s="16">
        <f t="shared" si="702"/>
        <v>40455</v>
      </c>
      <c r="C8016" s="9" t="s">
        <v>1381</v>
      </c>
      <c r="D8016">
        <v>10021429846</v>
      </c>
      <c r="E8016" t="s">
        <v>47</v>
      </c>
      <c r="F8016" t="s">
        <v>55</v>
      </c>
      <c r="G8016" t="s">
        <v>56</v>
      </c>
      <c r="H8016" t="s">
        <v>2633</v>
      </c>
      <c r="I8016" t="s">
        <v>2634</v>
      </c>
      <c r="J8016" t="s">
        <v>271</v>
      </c>
      <c r="K8016" s="3">
        <v>100431679284</v>
      </c>
      <c r="L8016" s="10">
        <v>40455</v>
      </c>
      <c r="M8016">
        <v>554.88</v>
      </c>
      <c r="N8016" s="17">
        <v>34</v>
      </c>
      <c r="O8016" s="5">
        <v>15.99</v>
      </c>
      <c r="P8016" s="5">
        <v>13.18</v>
      </c>
      <c r="Q8016" s="6">
        <v>-145.3255</v>
      </c>
      <c r="R8016" s="37" t="s">
        <v>215</v>
      </c>
      <c r="S8016" s="7">
        <f t="shared" si="701"/>
        <v>0</v>
      </c>
      <c r="T8016" s="15" t="str">
        <f>VLOOKUP(R8016,产品分类!$C$2:$D$1278,2,0)</f>
        <v>数码电子</v>
      </c>
    </row>
    <row r="8017" spans="1:20">
      <c r="A8017" s="16">
        <f t="shared" si="702"/>
        <v>40455</v>
      </c>
      <c r="B8017" s="16">
        <f t="shared" si="702"/>
        <v>40455</v>
      </c>
      <c r="C8017" s="9" t="s">
        <v>1818</v>
      </c>
      <c r="D8017">
        <v>10021268442</v>
      </c>
      <c r="E8017" t="s">
        <v>47</v>
      </c>
      <c r="F8017" t="s">
        <v>127</v>
      </c>
      <c r="G8017" t="s">
        <v>128</v>
      </c>
      <c r="H8017" t="s">
        <v>2608</v>
      </c>
      <c r="I8017" t="s">
        <v>2609</v>
      </c>
      <c r="J8017" t="s">
        <v>271</v>
      </c>
      <c r="K8017" s="3">
        <v>100132397556</v>
      </c>
      <c r="L8017" s="10">
        <v>40455</v>
      </c>
      <c r="M8017">
        <v>309.65</v>
      </c>
      <c r="N8017" s="17">
        <v>48</v>
      </c>
      <c r="O8017" s="5">
        <v>6.54</v>
      </c>
      <c r="P8017" s="5">
        <v>5.27</v>
      </c>
      <c r="Q8017" s="6">
        <v>-79.81</v>
      </c>
      <c r="R8017" s="37" t="s">
        <v>938</v>
      </c>
      <c r="S8017" s="7">
        <f t="shared" si="701"/>
        <v>0</v>
      </c>
      <c r="T8017" s="15" t="str">
        <f>VLOOKUP(R8017,产品分类!$C$2:$D$1278,2,0)</f>
        <v>办公用品</v>
      </c>
    </row>
    <row r="8018" spans="1:20">
      <c r="A8018" s="16">
        <f t="shared" si="702"/>
        <v>40455</v>
      </c>
      <c r="B8018" s="16">
        <f t="shared" si="702"/>
        <v>40455</v>
      </c>
      <c r="C8018" s="9" t="s">
        <v>1818</v>
      </c>
      <c r="D8018">
        <v>10021768848</v>
      </c>
      <c r="E8018" t="s">
        <v>47</v>
      </c>
      <c r="F8018" t="s">
        <v>171</v>
      </c>
      <c r="G8018" t="s">
        <v>172</v>
      </c>
      <c r="H8018" t="s">
        <v>2486</v>
      </c>
      <c r="I8018" t="s">
        <v>2310</v>
      </c>
      <c r="J8018" t="s">
        <v>271</v>
      </c>
      <c r="K8018" s="3">
        <v>100717238135</v>
      </c>
      <c r="L8018" s="10">
        <v>40457</v>
      </c>
      <c r="M8018">
        <v>152.37</v>
      </c>
      <c r="N8018" s="17">
        <v>24</v>
      </c>
      <c r="O8018" s="5">
        <v>6.48</v>
      </c>
      <c r="P8018" s="5">
        <v>6.6</v>
      </c>
      <c r="Q8018" s="6">
        <v>-76.53</v>
      </c>
      <c r="R8018" s="37" t="s">
        <v>471</v>
      </c>
      <c r="S8018" s="7">
        <f t="shared" si="701"/>
        <v>2</v>
      </c>
      <c r="T8018" s="15" t="str">
        <f>VLOOKUP(R8018,产品分类!$C$2:$D$1278,2,0)</f>
        <v>办公用品</v>
      </c>
    </row>
    <row r="8019" spans="1:20">
      <c r="A8019" s="16">
        <f>DATE(2012,12,31)-1386</f>
        <v>39888</v>
      </c>
      <c r="B8019" s="16">
        <f>DATE(2012,12,31)-1386</f>
        <v>39888</v>
      </c>
      <c r="C8019" s="9" t="s">
        <v>1118</v>
      </c>
      <c r="D8019">
        <v>10021338606</v>
      </c>
      <c r="E8019" t="s">
        <v>47</v>
      </c>
      <c r="F8019" t="s">
        <v>61</v>
      </c>
      <c r="G8019" t="s">
        <v>62</v>
      </c>
      <c r="H8019" t="s">
        <v>2628</v>
      </c>
      <c r="I8019" t="s">
        <v>2629</v>
      </c>
      <c r="J8019" t="s">
        <v>271</v>
      </c>
      <c r="K8019" s="3">
        <v>100424131324</v>
      </c>
      <c r="L8019" s="10">
        <v>39889</v>
      </c>
      <c r="M8019">
        <v>1351.43</v>
      </c>
      <c r="N8019" s="17">
        <v>20</v>
      </c>
      <c r="O8019" s="5">
        <v>68.81</v>
      </c>
      <c r="P8019" s="5">
        <v>60</v>
      </c>
      <c r="Q8019" s="6">
        <v>-550.43</v>
      </c>
      <c r="R8019" s="37" t="s">
        <v>729</v>
      </c>
      <c r="S8019" s="7">
        <f t="shared" si="701"/>
        <v>1</v>
      </c>
      <c r="T8019" s="15" t="str">
        <f>VLOOKUP(R8019,产品分类!$C$2:$D$1278,2,0)</f>
        <v>办公用品</v>
      </c>
    </row>
    <row r="8020" spans="1:20">
      <c r="A8020" s="8">
        <f>DATE(2012,12,31)-1386</f>
        <v>39888</v>
      </c>
      <c r="B8020" s="8">
        <f>DATE(2012,12,31)-1386</f>
        <v>39888</v>
      </c>
      <c r="C8020" s="9" t="s">
        <v>1399</v>
      </c>
      <c r="D8020">
        <v>10021333618</v>
      </c>
      <c r="E8020" t="s">
        <v>47</v>
      </c>
      <c r="F8020" t="s">
        <v>61</v>
      </c>
      <c r="G8020" t="s">
        <v>62</v>
      </c>
      <c r="H8020" t="s">
        <v>2628</v>
      </c>
      <c r="I8020" t="s">
        <v>2629</v>
      </c>
      <c r="J8020" t="s">
        <v>271</v>
      </c>
      <c r="K8020" s="3">
        <v>100713709235</v>
      </c>
      <c r="L8020" s="10">
        <v>39890</v>
      </c>
      <c r="M8020">
        <v>357.91</v>
      </c>
      <c r="N8020" s="11">
        <v>17</v>
      </c>
      <c r="O8020" s="12">
        <v>21.38</v>
      </c>
      <c r="P8020" s="12">
        <v>8.99</v>
      </c>
      <c r="Q8020" s="13">
        <v>-52.12</v>
      </c>
      <c r="R8020" s="36" t="s">
        <v>947</v>
      </c>
      <c r="S8020" s="7">
        <f t="shared" si="701"/>
        <v>2</v>
      </c>
      <c r="T8020" s="15" t="str">
        <f>VLOOKUP(R8020,产品分类!$C$2:$D$1278,2,0)</f>
        <v>办公用品</v>
      </c>
    </row>
    <row r="8021" spans="1:20">
      <c r="A8021" s="8">
        <f>DATE(2012,12,31)-827</f>
        <v>40447</v>
      </c>
      <c r="B8021" s="8">
        <f>DATE(2012,12,31)-827</f>
        <v>40447</v>
      </c>
      <c r="C8021" s="9" t="s">
        <v>1399</v>
      </c>
      <c r="D8021">
        <v>10021318833</v>
      </c>
      <c r="E8021" t="s">
        <v>47</v>
      </c>
      <c r="F8021" t="s">
        <v>97</v>
      </c>
      <c r="G8021" t="s">
        <v>98</v>
      </c>
      <c r="H8021" t="s">
        <v>99</v>
      </c>
      <c r="I8021" t="s">
        <v>98</v>
      </c>
      <c r="J8021" t="s">
        <v>271</v>
      </c>
      <c r="K8021" s="3">
        <v>10097794851</v>
      </c>
      <c r="L8021" s="10">
        <v>40449</v>
      </c>
      <c r="M8021">
        <v>745.48</v>
      </c>
      <c r="N8021" s="11">
        <v>50</v>
      </c>
      <c r="O8021" s="12">
        <v>14.56</v>
      </c>
      <c r="P8021" s="12">
        <v>3.5</v>
      </c>
      <c r="Q8021" s="13">
        <v>119.12</v>
      </c>
      <c r="R8021" s="36" t="s">
        <v>1471</v>
      </c>
      <c r="S8021" s="7">
        <f t="shared" si="701"/>
        <v>2</v>
      </c>
      <c r="T8021" s="15" t="str">
        <f>VLOOKUP(R8021,产品分类!$C$2:$D$1278,2,0)</f>
        <v>数码电子</v>
      </c>
    </row>
    <row r="8022" spans="1:20">
      <c r="A8022" s="8">
        <f>DATE(2012,12,31)-827</f>
        <v>40447</v>
      </c>
      <c r="B8022" s="8">
        <f>DATE(2012,12,31)-827</f>
        <v>40447</v>
      </c>
      <c r="C8022" s="9" t="s">
        <v>667</v>
      </c>
      <c r="D8022">
        <v>10021585991</v>
      </c>
      <c r="E8022" t="s">
        <v>47</v>
      </c>
      <c r="F8022" t="s">
        <v>132</v>
      </c>
      <c r="G8022" t="s">
        <v>133</v>
      </c>
      <c r="H8022" t="s">
        <v>134</v>
      </c>
      <c r="I8022" t="s">
        <v>133</v>
      </c>
      <c r="J8022" t="s">
        <v>271</v>
      </c>
      <c r="K8022" s="3">
        <v>100128667308</v>
      </c>
      <c r="L8022" s="10">
        <v>40448</v>
      </c>
      <c r="M8022">
        <v>3086.5115</v>
      </c>
      <c r="N8022" s="11">
        <v>45</v>
      </c>
      <c r="O8022" s="12">
        <v>85.99</v>
      </c>
      <c r="P8022" s="12">
        <v>2.5</v>
      </c>
      <c r="Q8022" s="13">
        <v>1560.96</v>
      </c>
      <c r="R8022" s="36" t="s">
        <v>827</v>
      </c>
      <c r="S8022" s="7">
        <f t="shared" si="701"/>
        <v>1</v>
      </c>
      <c r="T8022" s="15" t="str">
        <f>VLOOKUP(R8022,产品分类!$C$2:$D$1278,2,0)</f>
        <v>家具产品</v>
      </c>
    </row>
    <row r="8023" spans="1:20">
      <c r="A8023" s="8">
        <f>DATE(2012,12,31)-820</f>
        <v>40454</v>
      </c>
      <c r="B8023" s="8">
        <f>DATE(2012,12,31)-820</f>
        <v>40454</v>
      </c>
      <c r="C8023" s="9" t="s">
        <v>667</v>
      </c>
      <c r="D8023">
        <v>10021443837</v>
      </c>
      <c r="E8023" t="s">
        <v>47</v>
      </c>
      <c r="F8023" t="s">
        <v>97</v>
      </c>
      <c r="G8023" t="s">
        <v>98</v>
      </c>
      <c r="H8023" t="s">
        <v>99</v>
      </c>
      <c r="I8023" t="s">
        <v>98</v>
      </c>
      <c r="J8023" t="s">
        <v>271</v>
      </c>
      <c r="K8023" s="3">
        <v>10042696214</v>
      </c>
      <c r="L8023" s="10">
        <v>40455</v>
      </c>
      <c r="M8023">
        <v>63.53</v>
      </c>
      <c r="N8023" s="11">
        <v>36</v>
      </c>
      <c r="O8023" s="12">
        <v>1.88</v>
      </c>
      <c r="P8023" s="12">
        <v>0.79</v>
      </c>
      <c r="Q8023" s="13">
        <v>-2.51</v>
      </c>
      <c r="R8023" s="36" t="s">
        <v>922</v>
      </c>
      <c r="S8023" s="7">
        <f t="shared" si="701"/>
        <v>1</v>
      </c>
      <c r="T8023" s="15" t="str">
        <f>VLOOKUP(R8023,产品分类!$C$2:$D$1278,2,0)</f>
        <v>家具产品</v>
      </c>
    </row>
    <row r="8024" spans="1:20">
      <c r="A8024" s="8">
        <f>DATE(2012,12,31)-657</f>
        <v>40617</v>
      </c>
      <c r="B8024" s="8">
        <f>DATE(2012,12,31)-657</f>
        <v>40617</v>
      </c>
      <c r="C8024" s="9" t="s">
        <v>425</v>
      </c>
      <c r="D8024">
        <v>10021504165</v>
      </c>
      <c r="E8024" t="s">
        <v>47</v>
      </c>
      <c r="F8024" t="s">
        <v>102</v>
      </c>
      <c r="G8024" t="s">
        <v>103</v>
      </c>
      <c r="H8024" t="s">
        <v>2617</v>
      </c>
      <c r="I8024" t="s">
        <v>2618</v>
      </c>
      <c r="J8024" t="s">
        <v>271</v>
      </c>
      <c r="K8024" s="3">
        <v>10011395976</v>
      </c>
      <c r="L8024" s="10">
        <v>40618</v>
      </c>
      <c r="M8024">
        <v>132.12</v>
      </c>
      <c r="N8024" s="11">
        <v>37</v>
      </c>
      <c r="O8024" s="12">
        <v>3.75</v>
      </c>
      <c r="P8024" s="12">
        <v>0.5</v>
      </c>
      <c r="Q8024" s="13">
        <v>54.78</v>
      </c>
      <c r="R8024" s="36" t="s">
        <v>1695</v>
      </c>
      <c r="S8024" s="7">
        <f t="shared" si="701"/>
        <v>1</v>
      </c>
      <c r="T8024" s="15" t="str">
        <f>VLOOKUP(R8024,产品分类!$C$2:$D$1278,2,0)</f>
        <v>办公用品</v>
      </c>
    </row>
    <row r="8025" spans="1:20">
      <c r="A8025" s="16">
        <f>DATE(2012,12,31)-1245</f>
        <v>40029</v>
      </c>
      <c r="B8025" s="16">
        <f>DATE(2012,12,31)-1245</f>
        <v>40029</v>
      </c>
      <c r="C8025" s="9" t="s">
        <v>1491</v>
      </c>
      <c r="D8025">
        <v>10021775334</v>
      </c>
      <c r="E8025" t="s">
        <v>47</v>
      </c>
      <c r="F8025" t="s">
        <v>208</v>
      </c>
      <c r="G8025" t="s">
        <v>209</v>
      </c>
      <c r="H8025" t="s">
        <v>2635</v>
      </c>
      <c r="I8025" t="s">
        <v>2636</v>
      </c>
      <c r="J8025" t="s">
        <v>271</v>
      </c>
      <c r="K8025" s="3">
        <v>100426204024</v>
      </c>
      <c r="L8025" s="10">
        <v>40032</v>
      </c>
      <c r="M8025">
        <v>357.48</v>
      </c>
      <c r="N8025" s="17">
        <v>44</v>
      </c>
      <c r="O8025" s="5">
        <v>7.64</v>
      </c>
      <c r="P8025" s="5">
        <v>1.39</v>
      </c>
      <c r="Q8025" s="6">
        <v>160.02</v>
      </c>
      <c r="R8025" s="37" t="s">
        <v>1614</v>
      </c>
      <c r="S8025" s="7">
        <f t="shared" si="701"/>
        <v>3</v>
      </c>
      <c r="T8025" s="15" t="str">
        <f>VLOOKUP(R8025,产品分类!$C$2:$D$1278,2,0)</f>
        <v>数码电子</v>
      </c>
    </row>
    <row r="8026" spans="1:20">
      <c r="A8026" s="8">
        <f>DATE(2012,12,31)-1417</f>
        <v>39857</v>
      </c>
      <c r="B8026" s="8">
        <f>DATE(2012,12,31)-1417</f>
        <v>39857</v>
      </c>
      <c r="C8026" s="9" t="s">
        <v>1491</v>
      </c>
      <c r="D8026">
        <v>10021338345</v>
      </c>
      <c r="E8026" t="s">
        <v>47</v>
      </c>
      <c r="F8026" t="s">
        <v>137</v>
      </c>
      <c r="G8026" t="s">
        <v>138</v>
      </c>
      <c r="H8026" t="s">
        <v>2504</v>
      </c>
      <c r="I8026" t="s">
        <v>2505</v>
      </c>
      <c r="J8026" t="s">
        <v>1225</v>
      </c>
      <c r="K8026" s="3">
        <v>100423860263</v>
      </c>
      <c r="L8026" s="10">
        <v>39857</v>
      </c>
      <c r="M8026">
        <v>332.55</v>
      </c>
      <c r="N8026" s="11">
        <v>48</v>
      </c>
      <c r="O8026" s="12">
        <v>7.28</v>
      </c>
      <c r="P8026" s="12">
        <v>5.47</v>
      </c>
      <c r="Q8026" s="13">
        <v>-66.87</v>
      </c>
      <c r="R8026" s="36" t="s">
        <v>570</v>
      </c>
      <c r="S8026" s="7">
        <f t="shared" si="701"/>
        <v>0</v>
      </c>
      <c r="T8026" s="15" t="str">
        <f>VLOOKUP(R8026,产品分类!$C$2:$D$1278,2,0)</f>
        <v>办公用品</v>
      </c>
    </row>
    <row r="8027" spans="1:20">
      <c r="A8027" s="8">
        <f>DATE(2012,12,31)-1284</f>
        <v>39990</v>
      </c>
      <c r="B8027" s="8">
        <f>DATE(2012,12,31)-1284</f>
        <v>39990</v>
      </c>
      <c r="C8027" s="9" t="s">
        <v>388</v>
      </c>
      <c r="D8027">
        <v>10021669917</v>
      </c>
      <c r="E8027" t="s">
        <v>47</v>
      </c>
      <c r="F8027" t="s">
        <v>208</v>
      </c>
      <c r="G8027" t="s">
        <v>209</v>
      </c>
      <c r="H8027" t="s">
        <v>2635</v>
      </c>
      <c r="I8027" t="s">
        <v>2636</v>
      </c>
      <c r="J8027" t="s">
        <v>1225</v>
      </c>
      <c r="K8027" s="3">
        <v>100130146457</v>
      </c>
      <c r="L8027" s="10">
        <v>39993</v>
      </c>
      <c r="M8027">
        <v>155.45</v>
      </c>
      <c r="N8027" s="11">
        <v>10</v>
      </c>
      <c r="O8027" s="12">
        <v>15.01</v>
      </c>
      <c r="P8027" s="12">
        <v>8.4</v>
      </c>
      <c r="Q8027" s="13">
        <v>-19.6765</v>
      </c>
      <c r="R8027" s="36" t="s">
        <v>2076</v>
      </c>
      <c r="S8027" s="7">
        <f t="shared" si="701"/>
        <v>3</v>
      </c>
      <c r="T8027" s="15" t="str">
        <f>VLOOKUP(R8027,产品分类!$C$2:$D$1278,2,0)</f>
        <v>家具产品</v>
      </c>
    </row>
    <row r="8028" spans="1:20">
      <c r="A8028" s="16">
        <f>DATE(2012,12,31)-1409</f>
        <v>39865</v>
      </c>
      <c r="B8028" s="16">
        <f>DATE(2012,12,31)-1409</f>
        <v>39865</v>
      </c>
      <c r="C8028" s="9" t="s">
        <v>388</v>
      </c>
      <c r="D8028">
        <v>10021249073</v>
      </c>
      <c r="E8028" t="s">
        <v>47</v>
      </c>
      <c r="F8028" t="s">
        <v>137</v>
      </c>
      <c r="G8028" t="s">
        <v>138</v>
      </c>
      <c r="H8028" t="s">
        <v>2504</v>
      </c>
      <c r="I8028" t="s">
        <v>2505</v>
      </c>
      <c r="J8028" t="s">
        <v>1225</v>
      </c>
      <c r="K8028" s="3">
        <v>10019138108</v>
      </c>
      <c r="L8028" s="10">
        <v>39865</v>
      </c>
      <c r="M8028">
        <v>199.39</v>
      </c>
      <c r="N8028" s="17">
        <v>39</v>
      </c>
      <c r="O8028" s="5">
        <v>4.91</v>
      </c>
      <c r="P8028" s="5">
        <v>0.5</v>
      </c>
      <c r="Q8028" s="6">
        <v>101.13</v>
      </c>
      <c r="R8028" s="37" t="s">
        <v>1452</v>
      </c>
      <c r="S8028" s="7">
        <f t="shared" si="701"/>
        <v>0</v>
      </c>
      <c r="T8028" s="15" t="str">
        <f>VLOOKUP(R8028,产品分类!$C$2:$D$1278,2,0)</f>
        <v>办公用品</v>
      </c>
    </row>
    <row r="8029" spans="1:20">
      <c r="A8029" s="8">
        <f>DATE(2012,12,31)-1409</f>
        <v>39865</v>
      </c>
      <c r="B8029" s="8">
        <f>DATE(2012,12,31)-1409</f>
        <v>39865</v>
      </c>
      <c r="C8029" s="9" t="s">
        <v>336</v>
      </c>
      <c r="D8029">
        <v>10021347982</v>
      </c>
      <c r="E8029" t="s">
        <v>47</v>
      </c>
      <c r="F8029" t="s">
        <v>102</v>
      </c>
      <c r="G8029" t="s">
        <v>103</v>
      </c>
      <c r="H8029" t="s">
        <v>2617</v>
      </c>
      <c r="I8029" t="s">
        <v>2618</v>
      </c>
      <c r="J8029" t="s">
        <v>1225</v>
      </c>
      <c r="K8029" s="3">
        <v>100431335393</v>
      </c>
      <c r="L8029" s="10">
        <v>39870</v>
      </c>
      <c r="M8029">
        <v>2770.35</v>
      </c>
      <c r="N8029" s="11">
        <v>11</v>
      </c>
      <c r="O8029" s="12">
        <v>259.71</v>
      </c>
      <c r="P8029" s="12">
        <v>66.67</v>
      </c>
      <c r="Q8029" s="13">
        <v>-202.581</v>
      </c>
      <c r="R8029" s="36" t="s">
        <v>866</v>
      </c>
      <c r="S8029" s="7">
        <f t="shared" si="701"/>
        <v>5</v>
      </c>
      <c r="T8029" s="15" t="str">
        <f>VLOOKUP(R8029,产品分类!$C$2:$D$1278,2,0)</f>
        <v>办公用品</v>
      </c>
    </row>
    <row r="8030" spans="1:20">
      <c r="A8030" s="8">
        <f>DATE(2012,12,31)-387</f>
        <v>40887</v>
      </c>
      <c r="B8030" s="8">
        <f>DATE(2012,12,31)-387</f>
        <v>40887</v>
      </c>
      <c r="C8030" s="9" t="s">
        <v>336</v>
      </c>
      <c r="D8030">
        <v>10021334196</v>
      </c>
      <c r="E8030" t="s">
        <v>47</v>
      </c>
      <c r="F8030" t="s">
        <v>171</v>
      </c>
      <c r="G8030" t="s">
        <v>172</v>
      </c>
      <c r="H8030" t="s">
        <v>2486</v>
      </c>
      <c r="I8030" t="s">
        <v>2310</v>
      </c>
      <c r="J8030" t="s">
        <v>1225</v>
      </c>
      <c r="K8030" s="3">
        <v>10047592863</v>
      </c>
      <c r="L8030" s="10">
        <v>40887</v>
      </c>
      <c r="M8030">
        <v>48.05</v>
      </c>
      <c r="N8030" s="11">
        <v>6</v>
      </c>
      <c r="O8030" s="12">
        <v>6.68</v>
      </c>
      <c r="P8030" s="12">
        <v>5.2</v>
      </c>
      <c r="Q8030" s="13">
        <v>-11.34</v>
      </c>
      <c r="R8030" s="36" t="s">
        <v>1396</v>
      </c>
      <c r="S8030" s="7">
        <f t="shared" si="701"/>
        <v>0</v>
      </c>
      <c r="T8030" s="15" t="str">
        <f>VLOOKUP(R8030,产品分类!$C$2:$D$1278,2,0)</f>
        <v>家具产品</v>
      </c>
    </row>
    <row r="8031" spans="1:20">
      <c r="A8031" s="8">
        <f>DATE(2012,12,31)-1182</f>
        <v>40092</v>
      </c>
      <c r="B8031" s="8">
        <f>DATE(2012,12,31)-1182</f>
        <v>40092</v>
      </c>
      <c r="C8031" s="9" t="s">
        <v>1976</v>
      </c>
      <c r="D8031">
        <v>10021574399</v>
      </c>
      <c r="E8031" t="s">
        <v>47</v>
      </c>
      <c r="F8031" t="s">
        <v>527</v>
      </c>
      <c r="G8031" t="s">
        <v>528</v>
      </c>
      <c r="H8031" t="s">
        <v>2624</v>
      </c>
      <c r="I8031" t="s">
        <v>2625</v>
      </c>
      <c r="J8031" t="s">
        <v>1225</v>
      </c>
      <c r="K8031" s="3">
        <v>10042573733</v>
      </c>
      <c r="L8031" s="10">
        <v>40093</v>
      </c>
      <c r="M8031">
        <v>98.46</v>
      </c>
      <c r="N8031" s="11">
        <v>32</v>
      </c>
      <c r="O8031" s="12">
        <v>2.89</v>
      </c>
      <c r="P8031" s="12">
        <v>0.5</v>
      </c>
      <c r="Q8031" s="13">
        <v>41.54</v>
      </c>
      <c r="R8031" s="36" t="s">
        <v>652</v>
      </c>
      <c r="S8031" s="7">
        <f t="shared" si="701"/>
        <v>1</v>
      </c>
      <c r="T8031" s="15" t="str">
        <f>VLOOKUP(R8031,产品分类!$C$2:$D$1278,2,0)</f>
        <v>办公用品</v>
      </c>
    </row>
    <row r="8032" spans="1:20">
      <c r="A8032" s="8">
        <f>DATE(2012,12,31)-1182</f>
        <v>40092</v>
      </c>
      <c r="B8032" s="8">
        <f>DATE(2012,12,31)-1182</f>
        <v>40092</v>
      </c>
      <c r="C8032" s="9" t="s">
        <v>1947</v>
      </c>
      <c r="D8032">
        <v>10021591563</v>
      </c>
      <c r="E8032" t="s">
        <v>47</v>
      </c>
      <c r="F8032" t="s">
        <v>171</v>
      </c>
      <c r="G8032" t="s">
        <v>172</v>
      </c>
      <c r="H8032" t="s">
        <v>2486</v>
      </c>
      <c r="I8032" t="s">
        <v>2310</v>
      </c>
      <c r="J8032" t="s">
        <v>52</v>
      </c>
      <c r="K8032" s="3">
        <v>100131811178</v>
      </c>
      <c r="L8032" s="10">
        <v>40094</v>
      </c>
      <c r="M8032">
        <v>569.636</v>
      </c>
      <c r="N8032" s="11">
        <v>11</v>
      </c>
      <c r="O8032" s="12">
        <v>55.99</v>
      </c>
      <c r="P8032" s="12">
        <v>5</v>
      </c>
      <c r="Q8032" s="13">
        <v>-173.25</v>
      </c>
      <c r="R8032" s="36" t="s">
        <v>1548</v>
      </c>
      <c r="S8032" s="7">
        <f t="shared" si="701"/>
        <v>2</v>
      </c>
      <c r="T8032" s="15" t="str">
        <f>VLOOKUP(R8032,产品分类!$C$2:$D$1278,2,0)</f>
        <v>办公用品</v>
      </c>
    </row>
    <row r="8033" spans="1:20">
      <c r="A8033" s="8">
        <f t="shared" ref="A8033:B8035" si="703">DATE(2012,12,31)-104</f>
        <v>41170</v>
      </c>
      <c r="B8033" s="8">
        <f t="shared" si="703"/>
        <v>41170</v>
      </c>
      <c r="C8033" s="9" t="s">
        <v>1947</v>
      </c>
      <c r="D8033">
        <v>10021577407</v>
      </c>
      <c r="E8033" t="s">
        <v>47</v>
      </c>
      <c r="F8033" t="s">
        <v>171</v>
      </c>
      <c r="G8033" t="s">
        <v>172</v>
      </c>
      <c r="H8033" t="s">
        <v>2486</v>
      </c>
      <c r="I8033" t="s">
        <v>2310</v>
      </c>
      <c r="J8033" t="s">
        <v>52</v>
      </c>
      <c r="K8033" s="3">
        <v>100110932898</v>
      </c>
      <c r="L8033" s="10">
        <v>41171</v>
      </c>
      <c r="M8033">
        <v>76.38</v>
      </c>
      <c r="N8033" s="11">
        <v>13</v>
      </c>
      <c r="O8033" s="12">
        <v>4.82</v>
      </c>
      <c r="P8033" s="12">
        <v>5.24</v>
      </c>
      <c r="Q8033" s="13">
        <v>-29.693</v>
      </c>
      <c r="R8033" s="36" t="s">
        <v>1320</v>
      </c>
      <c r="S8033" s="7">
        <f t="shared" si="701"/>
        <v>1</v>
      </c>
      <c r="T8033" s="15" t="str">
        <f>VLOOKUP(R8033,产品分类!$C$2:$D$1278,2,0)</f>
        <v>办公用品</v>
      </c>
    </row>
    <row r="8034" spans="1:20">
      <c r="A8034" s="8">
        <f t="shared" si="703"/>
        <v>41170</v>
      </c>
      <c r="B8034" s="8">
        <f t="shared" si="703"/>
        <v>41170</v>
      </c>
      <c r="C8034" s="9" t="s">
        <v>1753</v>
      </c>
      <c r="D8034">
        <v>10021622692</v>
      </c>
      <c r="E8034" t="s">
        <v>47</v>
      </c>
      <c r="F8034" t="s">
        <v>171</v>
      </c>
      <c r="G8034" t="s">
        <v>172</v>
      </c>
      <c r="H8034" t="s">
        <v>2486</v>
      </c>
      <c r="I8034" t="s">
        <v>2310</v>
      </c>
      <c r="J8034" t="s">
        <v>52</v>
      </c>
      <c r="K8034" s="3">
        <v>100717981275</v>
      </c>
      <c r="L8034" s="10">
        <v>41171</v>
      </c>
      <c r="M8034">
        <v>2948.63</v>
      </c>
      <c r="N8034" s="11">
        <v>29</v>
      </c>
      <c r="O8034" s="12">
        <v>100.97</v>
      </c>
      <c r="P8034" s="12">
        <v>7.18</v>
      </c>
      <c r="Q8034" s="13">
        <v>888.62</v>
      </c>
      <c r="R8034" s="36" t="s">
        <v>1668</v>
      </c>
      <c r="S8034" s="7">
        <f t="shared" si="701"/>
        <v>1</v>
      </c>
      <c r="T8034" s="15" t="str">
        <f>VLOOKUP(R8034,产品分类!$C$2:$D$1278,2,0)</f>
        <v>办公用品</v>
      </c>
    </row>
    <row r="8035" spans="1:20">
      <c r="A8035" s="16">
        <f t="shared" si="703"/>
        <v>41170</v>
      </c>
      <c r="B8035" s="16">
        <f t="shared" si="703"/>
        <v>41170</v>
      </c>
      <c r="C8035" s="9" t="s">
        <v>1753</v>
      </c>
      <c r="D8035">
        <v>10021415993</v>
      </c>
      <c r="E8035" t="s">
        <v>47</v>
      </c>
      <c r="F8035" t="s">
        <v>171</v>
      </c>
      <c r="G8035" t="s">
        <v>172</v>
      </c>
      <c r="H8035" t="s">
        <v>2486</v>
      </c>
      <c r="I8035" t="s">
        <v>2310</v>
      </c>
      <c r="J8035" t="s">
        <v>52</v>
      </c>
      <c r="K8035" s="3">
        <v>100713101545</v>
      </c>
      <c r="L8035" s="10">
        <v>41170</v>
      </c>
      <c r="M8035">
        <v>18.33</v>
      </c>
      <c r="N8035" s="17">
        <v>4</v>
      </c>
      <c r="O8035" s="5">
        <v>3.98</v>
      </c>
      <c r="P8035" s="5">
        <v>2.97</v>
      </c>
      <c r="Q8035" s="6">
        <v>-7.08</v>
      </c>
      <c r="R8035" s="37" t="s">
        <v>962</v>
      </c>
      <c r="S8035" s="7">
        <f t="shared" si="701"/>
        <v>0</v>
      </c>
      <c r="T8035" s="15" t="str">
        <f>VLOOKUP(R8035,产品分类!$C$2:$D$1278,2,0)</f>
        <v>家具产品</v>
      </c>
    </row>
    <row r="8036" spans="1:20">
      <c r="A8036" s="8">
        <f>DATE(2012,12,31)-1045</f>
        <v>40229</v>
      </c>
      <c r="B8036" s="8">
        <f>DATE(2012,12,31)-1045</f>
        <v>40229</v>
      </c>
      <c r="C8036" s="9" t="s">
        <v>1071</v>
      </c>
      <c r="D8036">
        <v>10021506629</v>
      </c>
      <c r="E8036" t="s">
        <v>47</v>
      </c>
      <c r="F8036" t="s">
        <v>171</v>
      </c>
      <c r="G8036" t="s">
        <v>172</v>
      </c>
      <c r="H8036" t="s">
        <v>2486</v>
      </c>
      <c r="I8036" t="s">
        <v>2310</v>
      </c>
      <c r="J8036" t="s">
        <v>52</v>
      </c>
      <c r="K8036" s="3">
        <v>100431475253</v>
      </c>
      <c r="L8036" s="10">
        <v>40231</v>
      </c>
      <c r="M8036">
        <v>1370.49</v>
      </c>
      <c r="N8036" s="11">
        <v>40</v>
      </c>
      <c r="O8036" s="12">
        <v>33.98</v>
      </c>
      <c r="P8036" s="12">
        <v>19.99</v>
      </c>
      <c r="Q8036" s="13">
        <v>-244.63</v>
      </c>
      <c r="R8036" s="36" t="s">
        <v>1779</v>
      </c>
      <c r="S8036" s="7">
        <f t="shared" si="701"/>
        <v>2</v>
      </c>
      <c r="T8036" s="15" t="str">
        <f>VLOOKUP(R8036,产品分类!$C$2:$D$1278,2,0)</f>
        <v>家具产品</v>
      </c>
    </row>
    <row r="8037" spans="1:20">
      <c r="A8037" s="8">
        <f>DATE(2012,12,31)-1227</f>
        <v>40047</v>
      </c>
      <c r="B8037" s="8">
        <f>DATE(2012,12,31)-1227</f>
        <v>40047</v>
      </c>
      <c r="C8037" s="9" t="s">
        <v>1071</v>
      </c>
      <c r="D8037">
        <v>10021494218</v>
      </c>
      <c r="E8037" t="s">
        <v>47</v>
      </c>
      <c r="F8037" t="s">
        <v>171</v>
      </c>
      <c r="G8037" t="s">
        <v>172</v>
      </c>
      <c r="H8037" t="s">
        <v>2486</v>
      </c>
      <c r="I8037" t="s">
        <v>2310</v>
      </c>
      <c r="J8037" t="s">
        <v>52</v>
      </c>
      <c r="K8037" s="3">
        <v>10041831313</v>
      </c>
      <c r="L8037" s="10">
        <v>40049</v>
      </c>
      <c r="M8037">
        <v>1256.29</v>
      </c>
      <c r="N8037" s="11">
        <v>23</v>
      </c>
      <c r="O8037" s="12">
        <v>55.48</v>
      </c>
      <c r="P8037" s="12">
        <v>6.79</v>
      </c>
      <c r="Q8037" s="13">
        <v>517.03</v>
      </c>
      <c r="R8037" s="36" t="s">
        <v>2039</v>
      </c>
      <c r="S8037" s="7">
        <f t="shared" si="701"/>
        <v>2</v>
      </c>
      <c r="T8037" s="15" t="str">
        <f>VLOOKUP(R8037,产品分类!$C$2:$D$1278,2,0)</f>
        <v>办公用品</v>
      </c>
    </row>
    <row r="8038" spans="1:20">
      <c r="A8038" s="16">
        <f>DATE(2012,12,31)-928</f>
        <v>40346</v>
      </c>
      <c r="B8038" s="16">
        <f>DATE(2012,12,31)-928</f>
        <v>40346</v>
      </c>
      <c r="C8038" s="9" t="s">
        <v>1092</v>
      </c>
      <c r="D8038">
        <v>10021575096</v>
      </c>
      <c r="E8038" t="s">
        <v>47</v>
      </c>
      <c r="F8038" t="s">
        <v>171</v>
      </c>
      <c r="G8038" t="s">
        <v>172</v>
      </c>
      <c r="H8038" t="s">
        <v>2486</v>
      </c>
      <c r="I8038" t="s">
        <v>2310</v>
      </c>
      <c r="J8038" t="s">
        <v>52</v>
      </c>
      <c r="K8038" s="3">
        <v>10013453546</v>
      </c>
      <c r="L8038" s="10">
        <v>40348</v>
      </c>
      <c r="M8038">
        <v>592.54</v>
      </c>
      <c r="N8038" s="17">
        <v>38</v>
      </c>
      <c r="O8038" s="5">
        <v>15.67</v>
      </c>
      <c r="P8038" s="5">
        <v>1.39</v>
      </c>
      <c r="Q8038" s="6">
        <v>282.11</v>
      </c>
      <c r="R8038" s="37" t="s">
        <v>71</v>
      </c>
      <c r="S8038" s="7">
        <f t="shared" si="701"/>
        <v>2</v>
      </c>
      <c r="T8038" s="15" t="str">
        <f>VLOOKUP(R8038,产品分类!$C$2:$D$1278,2,0)</f>
        <v>办公用品</v>
      </c>
    </row>
    <row r="8039" spans="1:20">
      <c r="A8039" s="8">
        <f>DATE(2012,12,31)-94</f>
        <v>41180</v>
      </c>
      <c r="B8039" s="8">
        <f>DATE(2012,12,31)-94</f>
        <v>41180</v>
      </c>
      <c r="C8039" s="9" t="s">
        <v>300</v>
      </c>
      <c r="D8039">
        <v>10021334528</v>
      </c>
      <c r="E8039" t="s">
        <v>47</v>
      </c>
      <c r="F8039" t="s">
        <v>171</v>
      </c>
      <c r="G8039" t="s">
        <v>172</v>
      </c>
      <c r="H8039" t="s">
        <v>2486</v>
      </c>
      <c r="I8039" t="s">
        <v>2310</v>
      </c>
      <c r="J8039" t="s">
        <v>52</v>
      </c>
      <c r="K8039" s="3">
        <v>100114899838</v>
      </c>
      <c r="L8039" s="10">
        <v>41182</v>
      </c>
      <c r="M8039">
        <v>1823.04</v>
      </c>
      <c r="N8039" s="11">
        <v>27</v>
      </c>
      <c r="O8039" s="12">
        <v>70.98</v>
      </c>
      <c r="P8039" s="12">
        <v>26.74</v>
      </c>
      <c r="Q8039" s="13">
        <v>-190.78</v>
      </c>
      <c r="R8039" s="36" t="s">
        <v>768</v>
      </c>
      <c r="S8039" s="7">
        <f t="shared" si="701"/>
        <v>2</v>
      </c>
      <c r="T8039" s="15" t="str">
        <f>VLOOKUP(R8039,产品分类!$C$2:$D$1278,2,0)</f>
        <v>办公用品</v>
      </c>
    </row>
    <row r="8040" spans="1:20">
      <c r="A8040" s="8">
        <f>DATE(2012,12,31)-94</f>
        <v>41180</v>
      </c>
      <c r="B8040" s="8">
        <f>DATE(2012,12,31)-94</f>
        <v>41180</v>
      </c>
      <c r="C8040" s="9" t="s">
        <v>2024</v>
      </c>
      <c r="D8040">
        <v>10021342044</v>
      </c>
      <c r="E8040" t="s">
        <v>47</v>
      </c>
      <c r="F8040" t="s">
        <v>171</v>
      </c>
      <c r="G8040" t="s">
        <v>172</v>
      </c>
      <c r="H8040" t="s">
        <v>2486</v>
      </c>
      <c r="I8040" t="s">
        <v>2310</v>
      </c>
      <c r="J8040" t="s">
        <v>52</v>
      </c>
      <c r="K8040" s="3">
        <v>100111884837</v>
      </c>
      <c r="L8040" s="10">
        <v>41182</v>
      </c>
      <c r="M8040">
        <v>675.23</v>
      </c>
      <c r="N8040" s="11">
        <v>15</v>
      </c>
      <c r="O8040" s="12">
        <v>48.04</v>
      </c>
      <c r="P8040" s="12">
        <v>7.23</v>
      </c>
      <c r="Q8040" s="13">
        <v>204.08</v>
      </c>
      <c r="R8040" s="36" t="s">
        <v>2127</v>
      </c>
      <c r="S8040" s="7">
        <f t="shared" si="701"/>
        <v>2</v>
      </c>
      <c r="T8040" s="15" t="str">
        <f>VLOOKUP(R8040,产品分类!$C$2:$D$1278,2,0)</f>
        <v>家具产品</v>
      </c>
    </row>
    <row r="8041" spans="1:20">
      <c r="A8041" s="8">
        <f>DATE(2012,12,31)-538</f>
        <v>40736</v>
      </c>
      <c r="B8041" s="8">
        <f>DATE(2012,12,31)-538</f>
        <v>40736</v>
      </c>
      <c r="C8041" s="9" t="s">
        <v>1462</v>
      </c>
      <c r="D8041">
        <v>10021501057</v>
      </c>
      <c r="E8041" t="s">
        <v>47</v>
      </c>
      <c r="F8041" t="s">
        <v>177</v>
      </c>
      <c r="G8041" t="s">
        <v>178</v>
      </c>
      <c r="H8041" t="s">
        <v>2626</v>
      </c>
      <c r="I8041" t="s">
        <v>2627</v>
      </c>
      <c r="J8041" t="s">
        <v>52</v>
      </c>
      <c r="K8041" s="3">
        <v>100126917537</v>
      </c>
      <c r="L8041" s="10">
        <v>40738</v>
      </c>
      <c r="M8041">
        <v>139.08</v>
      </c>
      <c r="N8041" s="11">
        <v>30</v>
      </c>
      <c r="O8041" s="12">
        <v>4.98</v>
      </c>
      <c r="P8041" s="12">
        <v>4.62</v>
      </c>
      <c r="Q8041" s="13">
        <v>-120.04</v>
      </c>
      <c r="R8041" s="36" t="s">
        <v>1262</v>
      </c>
      <c r="S8041" s="7">
        <f t="shared" si="701"/>
        <v>2</v>
      </c>
      <c r="T8041" s="15" t="str">
        <f>VLOOKUP(R8041,产品分类!$C$2:$D$1278,2,0)</f>
        <v>办公用品</v>
      </c>
    </row>
    <row r="8042" spans="1:20">
      <c r="A8042" s="8">
        <f>DATE(2012,12,31)-538</f>
        <v>40736</v>
      </c>
      <c r="B8042" s="8">
        <f>DATE(2012,12,31)-538</f>
        <v>40736</v>
      </c>
      <c r="C8042" s="9" t="s">
        <v>653</v>
      </c>
      <c r="D8042">
        <v>10021260735</v>
      </c>
      <c r="E8042" t="s">
        <v>47</v>
      </c>
      <c r="F8042" t="s">
        <v>177</v>
      </c>
      <c r="G8042" t="s">
        <v>178</v>
      </c>
      <c r="H8042" t="s">
        <v>2626</v>
      </c>
      <c r="I8042" t="s">
        <v>2627</v>
      </c>
      <c r="J8042" t="s">
        <v>52</v>
      </c>
      <c r="K8042" s="3">
        <v>100729029215</v>
      </c>
      <c r="L8042" s="10">
        <v>40737</v>
      </c>
      <c r="M8042">
        <v>75.28</v>
      </c>
      <c r="N8042" s="11">
        <v>9</v>
      </c>
      <c r="O8042" s="12">
        <v>7.64</v>
      </c>
      <c r="P8042" s="12">
        <v>5.83</v>
      </c>
      <c r="Q8042" s="13">
        <v>-17.22</v>
      </c>
      <c r="R8042" s="36" t="s">
        <v>412</v>
      </c>
      <c r="S8042" s="7">
        <f t="shared" si="701"/>
        <v>1</v>
      </c>
      <c r="T8042" s="15" t="str">
        <f>VLOOKUP(R8042,产品分类!$C$2:$D$1278,2,0)</f>
        <v>数码电子</v>
      </c>
    </row>
    <row r="8043" spans="1:20">
      <c r="A8043" s="8">
        <f>DATE(2012,12,31)-161</f>
        <v>41113</v>
      </c>
      <c r="B8043" s="8">
        <f>DATE(2012,12,31)-161</f>
        <v>41113</v>
      </c>
      <c r="C8043" s="9" t="s">
        <v>653</v>
      </c>
      <c r="D8043">
        <v>10021543125</v>
      </c>
      <c r="E8043" t="s">
        <v>47</v>
      </c>
      <c r="F8043" t="s">
        <v>342</v>
      </c>
      <c r="G8043" t="s">
        <v>343</v>
      </c>
      <c r="H8043" t="s">
        <v>2637</v>
      </c>
      <c r="I8043" t="s">
        <v>2638</v>
      </c>
      <c r="J8043" t="s">
        <v>52</v>
      </c>
      <c r="K8043" s="3">
        <v>100919260561</v>
      </c>
      <c r="L8043" s="10">
        <v>41114</v>
      </c>
      <c r="M8043">
        <v>466.36</v>
      </c>
      <c r="N8043" s="11">
        <v>20</v>
      </c>
      <c r="O8043" s="12">
        <v>23.99</v>
      </c>
      <c r="P8043" s="12">
        <v>15.68</v>
      </c>
      <c r="Q8043" s="13">
        <v>-192.7</v>
      </c>
      <c r="R8043" s="36" t="s">
        <v>1418</v>
      </c>
      <c r="S8043" s="7">
        <f t="shared" si="701"/>
        <v>1</v>
      </c>
      <c r="T8043" s="15" t="str">
        <f>VLOOKUP(R8043,产品分类!$C$2:$D$1278,2,0)</f>
        <v>家具产品</v>
      </c>
    </row>
    <row r="8044" spans="1:20">
      <c r="A8044" s="8">
        <f t="shared" ref="A8044:B8046" si="704">DATE(2012,12,31)-50</f>
        <v>41224</v>
      </c>
      <c r="B8044" s="8">
        <f t="shared" si="704"/>
        <v>41224</v>
      </c>
      <c r="C8044" s="9" t="s">
        <v>250</v>
      </c>
      <c r="D8044">
        <v>10021255362</v>
      </c>
      <c r="E8044" t="s">
        <v>47</v>
      </c>
      <c r="F8044" t="s">
        <v>177</v>
      </c>
      <c r="G8044" t="s">
        <v>178</v>
      </c>
      <c r="H8044" t="s">
        <v>2626</v>
      </c>
      <c r="I8044" t="s">
        <v>2627</v>
      </c>
      <c r="J8044" t="s">
        <v>52</v>
      </c>
      <c r="K8044" s="3">
        <v>100123801466</v>
      </c>
      <c r="L8044" s="10">
        <v>41226</v>
      </c>
      <c r="M8044">
        <v>1882.12</v>
      </c>
      <c r="N8044" s="11">
        <v>32</v>
      </c>
      <c r="O8044" s="12">
        <v>59.78</v>
      </c>
      <c r="P8044" s="12">
        <v>10.29</v>
      </c>
      <c r="Q8044" s="13">
        <v>584.1455</v>
      </c>
      <c r="R8044" s="36" t="s">
        <v>1350</v>
      </c>
      <c r="S8044" s="7">
        <f t="shared" si="701"/>
        <v>2</v>
      </c>
      <c r="T8044" s="15" t="str">
        <f>VLOOKUP(R8044,产品分类!$C$2:$D$1278,2,0)</f>
        <v>办公用品</v>
      </c>
    </row>
    <row r="8045" spans="1:20">
      <c r="A8045" s="8">
        <f t="shared" si="704"/>
        <v>41224</v>
      </c>
      <c r="B8045" s="8">
        <f t="shared" si="704"/>
        <v>41224</v>
      </c>
      <c r="C8045" s="9" t="s">
        <v>250</v>
      </c>
      <c r="D8045">
        <v>10021250851</v>
      </c>
      <c r="E8045" t="s">
        <v>47</v>
      </c>
      <c r="F8045" t="s">
        <v>183</v>
      </c>
      <c r="G8045" t="s">
        <v>184</v>
      </c>
      <c r="H8045" t="s">
        <v>2615</v>
      </c>
      <c r="I8045" t="s">
        <v>2616</v>
      </c>
      <c r="J8045" t="s">
        <v>52</v>
      </c>
      <c r="K8045" s="3">
        <v>100116104468</v>
      </c>
      <c r="L8045" s="10">
        <v>41226</v>
      </c>
      <c r="M8045">
        <v>186.94</v>
      </c>
      <c r="N8045" s="11">
        <v>44</v>
      </c>
      <c r="O8045" s="12">
        <v>4.13</v>
      </c>
      <c r="P8045" s="12">
        <v>0.5</v>
      </c>
      <c r="Q8045" s="13">
        <v>85.81</v>
      </c>
      <c r="R8045" s="36" t="s">
        <v>511</v>
      </c>
      <c r="S8045" s="7">
        <f t="shared" si="701"/>
        <v>2</v>
      </c>
      <c r="T8045" s="15" t="str">
        <f>VLOOKUP(R8045,产品分类!$C$2:$D$1278,2,0)</f>
        <v>数码电子</v>
      </c>
    </row>
    <row r="8046" spans="1:20">
      <c r="A8046" s="8">
        <f t="shared" si="704"/>
        <v>41224</v>
      </c>
      <c r="B8046" s="8">
        <f t="shared" si="704"/>
        <v>41224</v>
      </c>
      <c r="C8046" s="9" t="s">
        <v>250</v>
      </c>
      <c r="D8046">
        <v>10021717981</v>
      </c>
      <c r="E8046" t="s">
        <v>47</v>
      </c>
      <c r="F8046" t="s">
        <v>342</v>
      </c>
      <c r="G8046" t="s">
        <v>343</v>
      </c>
      <c r="H8046" t="s">
        <v>2637</v>
      </c>
      <c r="I8046" t="s">
        <v>2638</v>
      </c>
      <c r="J8046" t="s">
        <v>52</v>
      </c>
      <c r="K8046" s="3">
        <v>10043831113</v>
      </c>
      <c r="L8046" s="10">
        <v>41226</v>
      </c>
      <c r="M8046">
        <v>407.2</v>
      </c>
      <c r="N8046" s="11">
        <v>12</v>
      </c>
      <c r="O8046" s="12">
        <v>30.98</v>
      </c>
      <c r="P8046" s="12">
        <v>17.08</v>
      </c>
      <c r="Q8046" s="13">
        <v>-8.42</v>
      </c>
      <c r="R8046" s="36" t="s">
        <v>196</v>
      </c>
      <c r="S8046" s="7">
        <f t="shared" si="701"/>
        <v>2</v>
      </c>
      <c r="T8046" s="15" t="str">
        <f>VLOOKUP(R8046,产品分类!$C$2:$D$1278,2,0)</f>
        <v>办公用品</v>
      </c>
    </row>
    <row r="8047" spans="1:20">
      <c r="A8047" s="8">
        <f>DATE(2012,12,31)-228</f>
        <v>41046</v>
      </c>
      <c r="B8047" s="8">
        <f>DATE(2012,12,31)-228</f>
        <v>41046</v>
      </c>
      <c r="C8047" s="9" t="s">
        <v>250</v>
      </c>
      <c r="D8047">
        <v>10021662181</v>
      </c>
      <c r="E8047" t="s">
        <v>47</v>
      </c>
      <c r="F8047" t="s">
        <v>183</v>
      </c>
      <c r="G8047" t="s">
        <v>184</v>
      </c>
      <c r="H8047" t="s">
        <v>2615</v>
      </c>
      <c r="I8047" t="s">
        <v>2616</v>
      </c>
      <c r="J8047" t="s">
        <v>52</v>
      </c>
      <c r="K8047" s="3">
        <v>100921469711</v>
      </c>
      <c r="L8047" s="10">
        <v>41055</v>
      </c>
      <c r="M8047">
        <v>130.36</v>
      </c>
      <c r="N8047" s="11">
        <v>43</v>
      </c>
      <c r="O8047" s="12">
        <v>2.88</v>
      </c>
      <c r="P8047" s="12">
        <v>0.5</v>
      </c>
      <c r="Q8047" s="13">
        <v>58.52</v>
      </c>
      <c r="R8047" s="36" t="s">
        <v>784</v>
      </c>
      <c r="S8047" s="7">
        <f t="shared" si="701"/>
        <v>9</v>
      </c>
      <c r="T8047" s="15" t="str">
        <f>VLOOKUP(R8047,产品分类!$C$2:$D$1278,2,0)</f>
        <v>数码电子</v>
      </c>
    </row>
    <row r="8048" spans="1:20">
      <c r="A8048" s="8">
        <f>DATE(2012,12,31)-1093</f>
        <v>40181</v>
      </c>
      <c r="B8048" s="8">
        <f>DATE(2012,12,31)-1093</f>
        <v>40181</v>
      </c>
      <c r="C8048" s="9" t="s">
        <v>1050</v>
      </c>
      <c r="D8048">
        <v>10021342921</v>
      </c>
      <c r="E8048" t="s">
        <v>47</v>
      </c>
      <c r="F8048" t="s">
        <v>183</v>
      </c>
      <c r="G8048" t="s">
        <v>184</v>
      </c>
      <c r="H8048" t="s">
        <v>2615</v>
      </c>
      <c r="I8048" t="s">
        <v>2616</v>
      </c>
      <c r="J8048" t="s">
        <v>52</v>
      </c>
      <c r="K8048" s="3">
        <v>100328596299</v>
      </c>
      <c r="L8048" s="10">
        <v>40182</v>
      </c>
      <c r="M8048">
        <v>294.48</v>
      </c>
      <c r="N8048" s="11">
        <v>37</v>
      </c>
      <c r="O8048" s="12">
        <v>8.46</v>
      </c>
      <c r="P8048" s="12">
        <v>3.62</v>
      </c>
      <c r="Q8048" s="13">
        <v>-64.24</v>
      </c>
      <c r="R8048" s="36" t="s">
        <v>390</v>
      </c>
      <c r="S8048" s="7">
        <f t="shared" si="701"/>
        <v>1</v>
      </c>
      <c r="T8048" s="15" t="str">
        <f>VLOOKUP(R8048,产品分类!$C$2:$D$1278,2,0)</f>
        <v>办公用品</v>
      </c>
    </row>
    <row r="8049" spans="1:20">
      <c r="A8049" s="8">
        <f>DATE(2012,12,31)-694</f>
        <v>40580</v>
      </c>
      <c r="B8049" s="8">
        <f>DATE(2012,12,31)-694</f>
        <v>40580</v>
      </c>
      <c r="C8049" s="9" t="s">
        <v>1050</v>
      </c>
      <c r="D8049">
        <v>10021426453</v>
      </c>
      <c r="E8049" t="s">
        <v>47</v>
      </c>
      <c r="F8049" t="s">
        <v>167</v>
      </c>
      <c r="G8049" t="s">
        <v>168</v>
      </c>
      <c r="H8049" t="s">
        <v>169</v>
      </c>
      <c r="I8049" t="s">
        <v>168</v>
      </c>
      <c r="J8049" t="s">
        <v>52</v>
      </c>
      <c r="K8049" s="3">
        <v>10013576018</v>
      </c>
      <c r="L8049" s="10">
        <v>40581</v>
      </c>
      <c r="M8049">
        <v>351.12</v>
      </c>
      <c r="N8049" s="11">
        <v>12</v>
      </c>
      <c r="O8049" s="12">
        <v>30.93</v>
      </c>
      <c r="P8049" s="12">
        <v>3.92</v>
      </c>
      <c r="Q8049" s="13">
        <v>202.63</v>
      </c>
      <c r="R8049" s="36" t="s">
        <v>993</v>
      </c>
      <c r="S8049" s="7">
        <f t="shared" si="701"/>
        <v>1</v>
      </c>
      <c r="T8049" s="15" t="str">
        <f>VLOOKUP(R8049,产品分类!$C$2:$D$1278,2,0)</f>
        <v>数码电子</v>
      </c>
    </row>
    <row r="8050" spans="1:20">
      <c r="A8050" s="8">
        <f t="shared" ref="A8050:B8052" si="705">DATE(2012,12,31)-253</f>
        <v>41021</v>
      </c>
      <c r="B8050" s="8">
        <f t="shared" si="705"/>
        <v>41021</v>
      </c>
      <c r="C8050" s="9" t="s">
        <v>421</v>
      </c>
      <c r="D8050">
        <v>10021665221</v>
      </c>
      <c r="E8050" t="s">
        <v>47</v>
      </c>
      <c r="F8050" t="s">
        <v>61</v>
      </c>
      <c r="G8050" t="s">
        <v>62</v>
      </c>
      <c r="H8050" t="s">
        <v>2628</v>
      </c>
      <c r="I8050" t="s">
        <v>2629</v>
      </c>
      <c r="J8050" t="s">
        <v>52</v>
      </c>
      <c r="K8050" s="3">
        <v>100426129424</v>
      </c>
      <c r="L8050" s="10">
        <v>41026</v>
      </c>
      <c r="M8050">
        <v>5740.624</v>
      </c>
      <c r="N8050" s="11">
        <v>35</v>
      </c>
      <c r="O8050" s="12">
        <v>217.85</v>
      </c>
      <c r="P8050" s="12">
        <v>29.1</v>
      </c>
      <c r="Q8050" s="13">
        <v>-526.478095</v>
      </c>
      <c r="R8050" s="36" t="s">
        <v>1017</v>
      </c>
      <c r="S8050" s="7">
        <f t="shared" si="701"/>
        <v>5</v>
      </c>
      <c r="T8050" s="15" t="str">
        <f>VLOOKUP(R8050,产品分类!$C$2:$D$1278,2,0)</f>
        <v>家具产品</v>
      </c>
    </row>
    <row r="8051" spans="1:20">
      <c r="A8051" s="8">
        <f t="shared" si="705"/>
        <v>41021</v>
      </c>
      <c r="B8051" s="8">
        <f t="shared" si="705"/>
        <v>41021</v>
      </c>
      <c r="C8051" s="9" t="s">
        <v>421</v>
      </c>
      <c r="D8051">
        <v>10021671767</v>
      </c>
      <c r="E8051" t="s">
        <v>47</v>
      </c>
      <c r="F8051" t="s">
        <v>61</v>
      </c>
      <c r="G8051" t="s">
        <v>62</v>
      </c>
      <c r="H8051" t="s">
        <v>2628</v>
      </c>
      <c r="I8051" t="s">
        <v>2629</v>
      </c>
      <c r="J8051" t="s">
        <v>52</v>
      </c>
      <c r="K8051" s="3">
        <v>100331010069</v>
      </c>
      <c r="L8051" s="10">
        <v>41023</v>
      </c>
      <c r="M8051">
        <v>570.43</v>
      </c>
      <c r="N8051" s="11">
        <v>49</v>
      </c>
      <c r="O8051" s="12">
        <v>11.48</v>
      </c>
      <c r="P8051" s="12">
        <v>5.43</v>
      </c>
      <c r="Q8051" s="13">
        <v>78.89</v>
      </c>
      <c r="R8051" s="36" t="s">
        <v>2214</v>
      </c>
      <c r="S8051" s="7">
        <f t="shared" si="701"/>
        <v>2</v>
      </c>
      <c r="T8051" s="15" t="str">
        <f>VLOOKUP(R8051,产品分类!$C$2:$D$1278,2,0)</f>
        <v>办公用品</v>
      </c>
    </row>
    <row r="8052" spans="1:20">
      <c r="A8052" s="16">
        <f t="shared" si="705"/>
        <v>41021</v>
      </c>
      <c r="B8052" s="16">
        <f t="shared" si="705"/>
        <v>41021</v>
      </c>
      <c r="C8052" s="9" t="s">
        <v>2346</v>
      </c>
      <c r="D8052">
        <v>10021751550</v>
      </c>
      <c r="E8052" t="s">
        <v>47</v>
      </c>
      <c r="F8052" t="s">
        <v>61</v>
      </c>
      <c r="G8052" t="s">
        <v>62</v>
      </c>
      <c r="H8052" t="s">
        <v>2628</v>
      </c>
      <c r="I8052" t="s">
        <v>2629</v>
      </c>
      <c r="J8052" t="s">
        <v>52</v>
      </c>
      <c r="K8052" s="3">
        <v>100331892629</v>
      </c>
      <c r="L8052" s="10">
        <v>41023</v>
      </c>
      <c r="M8052">
        <v>100.08</v>
      </c>
      <c r="N8052" s="17">
        <v>49</v>
      </c>
      <c r="O8052" s="5">
        <v>2.08</v>
      </c>
      <c r="P8052" s="5">
        <v>2.56</v>
      </c>
      <c r="Q8052" s="6">
        <v>-85.58</v>
      </c>
      <c r="R8052" s="37" t="s">
        <v>2473</v>
      </c>
      <c r="S8052" s="7">
        <f t="shared" si="701"/>
        <v>2</v>
      </c>
      <c r="T8052" s="15" t="str">
        <f>VLOOKUP(R8052,产品分类!$C$2:$D$1278,2,0)</f>
        <v>办公用品</v>
      </c>
    </row>
    <row r="8053" spans="1:20">
      <c r="A8053" s="8">
        <f>DATE(2012,12,31)-894</f>
        <v>40380</v>
      </c>
      <c r="B8053" s="8">
        <f>DATE(2012,12,31)-894</f>
        <v>40380</v>
      </c>
      <c r="C8053" s="9" t="s">
        <v>2045</v>
      </c>
      <c r="D8053">
        <v>10021429103</v>
      </c>
      <c r="E8053" t="s">
        <v>47</v>
      </c>
      <c r="F8053" t="s">
        <v>342</v>
      </c>
      <c r="G8053" t="s">
        <v>343</v>
      </c>
      <c r="H8053" t="s">
        <v>2637</v>
      </c>
      <c r="I8053" t="s">
        <v>2638</v>
      </c>
      <c r="J8053" t="s">
        <v>52</v>
      </c>
      <c r="K8053" s="3">
        <v>100131376668</v>
      </c>
      <c r="L8053" s="10">
        <v>40380</v>
      </c>
      <c r="M8053">
        <v>2239.52</v>
      </c>
      <c r="N8053" s="11">
        <v>24</v>
      </c>
      <c r="O8053" s="12">
        <v>95.46</v>
      </c>
      <c r="P8053" s="12">
        <v>18.13</v>
      </c>
      <c r="Q8053" s="13">
        <v>330.5</v>
      </c>
      <c r="R8053" s="36" t="s">
        <v>1759</v>
      </c>
      <c r="S8053" s="7">
        <f t="shared" si="701"/>
        <v>0</v>
      </c>
      <c r="T8053" s="15" t="str">
        <f>VLOOKUP(R8053,产品分类!$C$2:$D$1278,2,0)</f>
        <v>家具产品</v>
      </c>
    </row>
    <row r="8054" spans="1:20">
      <c r="A8054" s="16">
        <f>DATE(2012,12,31)-1319</f>
        <v>39955</v>
      </c>
      <c r="B8054" s="16">
        <f>DATE(2012,12,31)-1319</f>
        <v>39955</v>
      </c>
      <c r="C8054" s="9" t="s">
        <v>643</v>
      </c>
      <c r="D8054">
        <v>10021738649</v>
      </c>
      <c r="E8054" t="s">
        <v>47</v>
      </c>
      <c r="F8054" t="s">
        <v>177</v>
      </c>
      <c r="G8054" t="s">
        <v>178</v>
      </c>
      <c r="H8054" t="s">
        <v>2626</v>
      </c>
      <c r="I8054" t="s">
        <v>2627</v>
      </c>
      <c r="J8054" t="s">
        <v>52</v>
      </c>
      <c r="K8054" s="3">
        <v>100414175174</v>
      </c>
      <c r="L8054" s="10">
        <v>39958</v>
      </c>
      <c r="M8054">
        <v>1206.15</v>
      </c>
      <c r="N8054" s="17">
        <v>45</v>
      </c>
      <c r="O8054" s="5">
        <v>25.98</v>
      </c>
      <c r="P8054" s="5">
        <v>4.08</v>
      </c>
      <c r="Q8054" s="6">
        <v>304.2</v>
      </c>
      <c r="R8054" s="37" t="s">
        <v>1814</v>
      </c>
      <c r="S8054" s="7">
        <f t="shared" si="701"/>
        <v>3</v>
      </c>
      <c r="T8054" s="15" t="str">
        <f>VLOOKUP(R8054,产品分类!$C$2:$D$1278,2,0)</f>
        <v>办公用品</v>
      </c>
    </row>
    <row r="8055" spans="1:20">
      <c r="A8055" s="8">
        <f>DATE(2012,12,31)-1319</f>
        <v>39955</v>
      </c>
      <c r="B8055" s="8">
        <f>DATE(2012,12,31)-1319</f>
        <v>39955</v>
      </c>
      <c r="C8055" s="9" t="s">
        <v>341</v>
      </c>
      <c r="D8055">
        <v>10021299648</v>
      </c>
      <c r="E8055" t="s">
        <v>47</v>
      </c>
      <c r="F8055" t="s">
        <v>61</v>
      </c>
      <c r="G8055" t="s">
        <v>62</v>
      </c>
      <c r="H8055" t="s">
        <v>2628</v>
      </c>
      <c r="I8055" t="s">
        <v>2629</v>
      </c>
      <c r="J8055" t="s">
        <v>52</v>
      </c>
      <c r="K8055" s="3">
        <v>10035938799</v>
      </c>
      <c r="L8055" s="10">
        <v>39955</v>
      </c>
      <c r="M8055">
        <v>941.99</v>
      </c>
      <c r="N8055" s="11">
        <v>44</v>
      </c>
      <c r="O8055" s="12">
        <v>20.98</v>
      </c>
      <c r="P8055" s="12">
        <v>53.03</v>
      </c>
      <c r="Q8055" s="13">
        <v>-2111.36</v>
      </c>
      <c r="R8055" s="36" t="s">
        <v>1697</v>
      </c>
      <c r="S8055" s="7">
        <f t="shared" si="701"/>
        <v>0</v>
      </c>
      <c r="T8055" s="15" t="str">
        <f>VLOOKUP(R8055,产品分类!$C$2:$D$1278,2,0)</f>
        <v>办公用品</v>
      </c>
    </row>
    <row r="8056" spans="1:20">
      <c r="A8056" s="8">
        <f>DATE(2012,12,31)-876</f>
        <v>40398</v>
      </c>
      <c r="B8056" s="8">
        <f>DATE(2012,12,31)-876</f>
        <v>40398</v>
      </c>
      <c r="C8056" s="9" t="s">
        <v>877</v>
      </c>
      <c r="D8056">
        <v>10021319003</v>
      </c>
      <c r="E8056" t="s">
        <v>47</v>
      </c>
      <c r="F8056" t="s">
        <v>61</v>
      </c>
      <c r="G8056" t="s">
        <v>62</v>
      </c>
      <c r="H8056" t="s">
        <v>2628</v>
      </c>
      <c r="I8056" t="s">
        <v>2629</v>
      </c>
      <c r="J8056" t="s">
        <v>52</v>
      </c>
      <c r="K8056" s="3">
        <v>10098043051</v>
      </c>
      <c r="L8056" s="10">
        <v>40399</v>
      </c>
      <c r="M8056">
        <v>1803.12</v>
      </c>
      <c r="N8056" s="11">
        <v>41</v>
      </c>
      <c r="O8056" s="12">
        <v>40.98</v>
      </c>
      <c r="P8056" s="12">
        <v>5.33</v>
      </c>
      <c r="Q8056" s="13">
        <v>544.93</v>
      </c>
      <c r="R8056" s="36" t="s">
        <v>1374</v>
      </c>
      <c r="S8056" s="7">
        <f t="shared" si="701"/>
        <v>1</v>
      </c>
      <c r="T8056" s="15" t="str">
        <f>VLOOKUP(R8056,产品分类!$C$2:$D$1278,2,0)</f>
        <v>办公用品</v>
      </c>
    </row>
    <row r="8057" spans="1:20">
      <c r="A8057" s="8">
        <f>DATE(2012,12,31)-54</f>
        <v>41220</v>
      </c>
      <c r="B8057" s="8">
        <f>DATE(2012,12,31)-54</f>
        <v>41220</v>
      </c>
      <c r="C8057" s="9" t="s">
        <v>352</v>
      </c>
      <c r="D8057">
        <v>10021614056</v>
      </c>
      <c r="E8057" t="s">
        <v>47</v>
      </c>
      <c r="F8057" t="s">
        <v>61</v>
      </c>
      <c r="G8057" t="s">
        <v>62</v>
      </c>
      <c r="H8057" t="s">
        <v>2628</v>
      </c>
      <c r="I8057" t="s">
        <v>2629</v>
      </c>
      <c r="J8057" t="s">
        <v>52</v>
      </c>
      <c r="K8057" s="3">
        <v>10099962851</v>
      </c>
      <c r="L8057" s="10">
        <v>41221</v>
      </c>
      <c r="M8057">
        <v>22.78</v>
      </c>
      <c r="N8057" s="11">
        <v>6</v>
      </c>
      <c r="O8057" s="12">
        <v>3.75</v>
      </c>
      <c r="P8057" s="12">
        <v>0.5</v>
      </c>
      <c r="Q8057" s="13">
        <v>3.96</v>
      </c>
      <c r="R8057" s="36" t="s">
        <v>427</v>
      </c>
      <c r="S8057" s="7">
        <f t="shared" si="701"/>
        <v>1</v>
      </c>
      <c r="T8057" s="15" t="str">
        <f>VLOOKUP(R8057,产品分类!$C$2:$D$1278,2,0)</f>
        <v>数码电子</v>
      </c>
    </row>
    <row r="8058" spans="1:20">
      <c r="A8058" s="8">
        <f>DATE(2012,12,31)-360</f>
        <v>40914</v>
      </c>
      <c r="B8058" s="8">
        <f>DATE(2012,12,31)-360</f>
        <v>40914</v>
      </c>
      <c r="C8058" s="9" t="s">
        <v>352</v>
      </c>
      <c r="D8058">
        <v>10021665131</v>
      </c>
      <c r="E8058" t="s">
        <v>47</v>
      </c>
      <c r="F8058" t="s">
        <v>61</v>
      </c>
      <c r="G8058" t="s">
        <v>62</v>
      </c>
      <c r="H8058" t="s">
        <v>2628</v>
      </c>
      <c r="I8058" t="s">
        <v>2629</v>
      </c>
      <c r="J8058" t="s">
        <v>52</v>
      </c>
      <c r="K8058" s="3">
        <v>100726081265</v>
      </c>
      <c r="L8058" s="10">
        <v>40915</v>
      </c>
      <c r="M8058">
        <v>86</v>
      </c>
      <c r="N8058" s="11">
        <v>10</v>
      </c>
      <c r="O8058" s="12">
        <v>7.77</v>
      </c>
      <c r="P8058" s="12">
        <v>9.23</v>
      </c>
      <c r="Q8058" s="13">
        <v>-66.91</v>
      </c>
      <c r="R8058" s="36" t="s">
        <v>1360</v>
      </c>
      <c r="S8058" s="7">
        <f t="shared" si="701"/>
        <v>1</v>
      </c>
      <c r="T8058" s="15" t="str">
        <f>VLOOKUP(R8058,产品分类!$C$2:$D$1278,2,0)</f>
        <v>办公用品</v>
      </c>
    </row>
    <row r="8059" spans="1:20">
      <c r="A8059" s="16">
        <f>DATE(2012,12,31)-360</f>
        <v>40914</v>
      </c>
      <c r="B8059" s="16">
        <f>DATE(2012,12,31)-360</f>
        <v>40914</v>
      </c>
      <c r="C8059" s="9" t="s">
        <v>808</v>
      </c>
      <c r="D8059">
        <v>10021589610</v>
      </c>
      <c r="E8059" t="s">
        <v>47</v>
      </c>
      <c r="F8059" t="s">
        <v>253</v>
      </c>
      <c r="G8059" t="s">
        <v>254</v>
      </c>
      <c r="H8059" t="s">
        <v>2613</v>
      </c>
      <c r="I8059" t="s">
        <v>2614</v>
      </c>
      <c r="J8059" t="s">
        <v>52</v>
      </c>
      <c r="K8059" s="3">
        <v>100931188361</v>
      </c>
      <c r="L8059" s="10">
        <v>40916</v>
      </c>
      <c r="M8059">
        <v>4805.36</v>
      </c>
      <c r="N8059" s="17">
        <v>13</v>
      </c>
      <c r="O8059" s="5">
        <v>363.25</v>
      </c>
      <c r="P8059" s="5">
        <v>19.99</v>
      </c>
      <c r="Q8059" s="6">
        <v>1127.31</v>
      </c>
      <c r="R8059" s="37" t="s">
        <v>1377</v>
      </c>
      <c r="S8059" s="7">
        <f t="shared" si="701"/>
        <v>2</v>
      </c>
      <c r="T8059" s="15" t="str">
        <f>VLOOKUP(R8059,产品分类!$C$2:$D$1278,2,0)</f>
        <v>办公用品</v>
      </c>
    </row>
    <row r="8060" spans="1:20">
      <c r="A8060" s="8">
        <f t="shared" ref="A8060:B8062" si="706">DATE(2012,12,31)-51</f>
        <v>41223</v>
      </c>
      <c r="B8060" s="8">
        <f t="shared" si="706"/>
        <v>41223</v>
      </c>
      <c r="C8060" s="9" t="s">
        <v>1910</v>
      </c>
      <c r="D8060">
        <v>10021422338</v>
      </c>
      <c r="E8060" t="s">
        <v>47</v>
      </c>
      <c r="F8060" t="s">
        <v>83</v>
      </c>
      <c r="G8060" t="s">
        <v>84</v>
      </c>
      <c r="H8060" t="s">
        <v>2577</v>
      </c>
      <c r="I8060" t="s">
        <v>2578</v>
      </c>
      <c r="J8060" t="s">
        <v>52</v>
      </c>
      <c r="K8060" s="3">
        <v>100326910679</v>
      </c>
      <c r="L8060" s="10">
        <v>41228</v>
      </c>
      <c r="M8060">
        <v>1857.88</v>
      </c>
      <c r="N8060" s="11">
        <v>47</v>
      </c>
      <c r="O8060" s="12">
        <v>40.98</v>
      </c>
      <c r="P8060" s="12">
        <v>1.99</v>
      </c>
      <c r="Q8060" s="13">
        <v>752.96</v>
      </c>
      <c r="R8060" s="36" t="s">
        <v>118</v>
      </c>
      <c r="S8060" s="7">
        <f t="shared" si="701"/>
        <v>5</v>
      </c>
      <c r="T8060" s="15" t="str">
        <f>VLOOKUP(R8060,产品分类!$C$2:$D$1278,2,0)</f>
        <v>办公用品</v>
      </c>
    </row>
    <row r="8061" spans="1:20">
      <c r="A8061" s="16">
        <f t="shared" si="706"/>
        <v>41223</v>
      </c>
      <c r="B8061" s="16">
        <f t="shared" si="706"/>
        <v>41223</v>
      </c>
      <c r="C8061" s="9" t="s">
        <v>1910</v>
      </c>
      <c r="D8061">
        <v>10021530497</v>
      </c>
      <c r="E8061" t="s">
        <v>47</v>
      </c>
      <c r="F8061" t="s">
        <v>61</v>
      </c>
      <c r="G8061" t="s">
        <v>62</v>
      </c>
      <c r="H8061" t="s">
        <v>2628</v>
      </c>
      <c r="I8061" t="s">
        <v>2629</v>
      </c>
      <c r="J8061" t="s">
        <v>52</v>
      </c>
      <c r="K8061" s="3">
        <v>100728287445</v>
      </c>
      <c r="L8061" s="10">
        <v>41227</v>
      </c>
      <c r="M8061">
        <v>2160.83</v>
      </c>
      <c r="N8061" s="17">
        <v>36</v>
      </c>
      <c r="O8061" s="5">
        <v>60.98</v>
      </c>
      <c r="P8061" s="5">
        <v>19.99</v>
      </c>
      <c r="Q8061" s="6">
        <v>485.02</v>
      </c>
      <c r="R8061" s="37" t="s">
        <v>1020</v>
      </c>
      <c r="S8061" s="7">
        <f t="shared" si="701"/>
        <v>4</v>
      </c>
      <c r="T8061" s="15" t="str">
        <f>VLOOKUP(R8061,产品分类!$C$2:$D$1278,2,0)</f>
        <v>办公用品</v>
      </c>
    </row>
    <row r="8062" spans="1:20">
      <c r="A8062" s="8">
        <f t="shared" si="706"/>
        <v>41223</v>
      </c>
      <c r="B8062" s="8">
        <f t="shared" si="706"/>
        <v>41223</v>
      </c>
      <c r="C8062" s="9" t="s">
        <v>864</v>
      </c>
      <c r="D8062">
        <v>10021469390</v>
      </c>
      <c r="E8062" t="s">
        <v>47</v>
      </c>
      <c r="F8062" t="s">
        <v>61</v>
      </c>
      <c r="G8062" t="s">
        <v>62</v>
      </c>
      <c r="H8062" t="s">
        <v>2628</v>
      </c>
      <c r="I8062" t="s">
        <v>2629</v>
      </c>
      <c r="J8062" t="s">
        <v>52</v>
      </c>
      <c r="K8062" s="3">
        <v>100332028249</v>
      </c>
      <c r="L8062" s="10">
        <v>41225</v>
      </c>
      <c r="M8062">
        <v>43.94</v>
      </c>
      <c r="N8062" s="11">
        <v>20</v>
      </c>
      <c r="O8062" s="12">
        <v>2.08</v>
      </c>
      <c r="P8062" s="12">
        <v>5.33</v>
      </c>
      <c r="Q8062" s="13">
        <v>-72.23</v>
      </c>
      <c r="R8062" s="36" t="s">
        <v>1375</v>
      </c>
      <c r="S8062" s="7">
        <f t="shared" si="701"/>
        <v>2</v>
      </c>
      <c r="T8062" s="15" t="str">
        <f>VLOOKUP(R8062,产品分类!$C$2:$D$1278,2,0)</f>
        <v>办公用品</v>
      </c>
    </row>
    <row r="8063" spans="1:20">
      <c r="A8063" s="8">
        <f>DATE(2012,12,31)-415</f>
        <v>40859</v>
      </c>
      <c r="B8063" s="8">
        <f>DATE(2012,12,31)-415</f>
        <v>40859</v>
      </c>
      <c r="C8063" s="9" t="s">
        <v>864</v>
      </c>
      <c r="D8063">
        <v>10021335434</v>
      </c>
      <c r="E8063" t="s">
        <v>47</v>
      </c>
      <c r="F8063" t="s">
        <v>253</v>
      </c>
      <c r="G8063" t="s">
        <v>254</v>
      </c>
      <c r="H8063" t="s">
        <v>2613</v>
      </c>
      <c r="I8063" t="s">
        <v>2614</v>
      </c>
      <c r="J8063" t="s">
        <v>52</v>
      </c>
      <c r="K8063" s="3">
        <v>100112062757</v>
      </c>
      <c r="L8063" s="10">
        <v>40859</v>
      </c>
      <c r="M8063">
        <v>1806.43</v>
      </c>
      <c r="N8063" s="11">
        <v>38</v>
      </c>
      <c r="O8063" s="12">
        <v>47.98</v>
      </c>
      <c r="P8063" s="12">
        <v>3.61</v>
      </c>
      <c r="Q8063" s="13">
        <v>134.85</v>
      </c>
      <c r="R8063" s="36" t="s">
        <v>2187</v>
      </c>
      <c r="S8063" s="7">
        <f t="shared" si="701"/>
        <v>0</v>
      </c>
      <c r="T8063" s="15" t="str">
        <f>VLOOKUP(R8063,产品分类!$C$2:$D$1278,2,0)</f>
        <v>家具产品</v>
      </c>
    </row>
    <row r="8064" spans="1:20">
      <c r="A8064" s="8">
        <f>DATE(2012,12,31)-1202</f>
        <v>40072</v>
      </c>
      <c r="B8064" s="8">
        <f>DATE(2012,12,31)-1202</f>
        <v>40072</v>
      </c>
      <c r="C8064" s="9" t="s">
        <v>864</v>
      </c>
      <c r="D8064">
        <v>10021742340</v>
      </c>
      <c r="E8064" t="s">
        <v>47</v>
      </c>
      <c r="F8064" t="s">
        <v>61</v>
      </c>
      <c r="G8064" t="s">
        <v>62</v>
      </c>
      <c r="H8064" t="s">
        <v>2628</v>
      </c>
      <c r="I8064" t="s">
        <v>2629</v>
      </c>
      <c r="J8064" t="s">
        <v>52</v>
      </c>
      <c r="K8064" s="3">
        <v>100924612231</v>
      </c>
      <c r="L8064" s="10">
        <v>40074</v>
      </c>
      <c r="M8064">
        <v>110.14</v>
      </c>
      <c r="N8064" s="11">
        <v>26</v>
      </c>
      <c r="O8064" s="12">
        <v>4.24</v>
      </c>
      <c r="P8064" s="12">
        <v>5.41</v>
      </c>
      <c r="Q8064" s="13">
        <v>-89.217</v>
      </c>
      <c r="R8064" s="36" t="s">
        <v>1098</v>
      </c>
      <c r="S8064" s="7">
        <f t="shared" si="701"/>
        <v>2</v>
      </c>
      <c r="T8064" s="15" t="str">
        <f>VLOOKUP(R8064,产品分类!$C$2:$D$1278,2,0)</f>
        <v>办公用品</v>
      </c>
    </row>
    <row r="8065" spans="1:20">
      <c r="A8065" s="8">
        <f>DATE(2012,12,31)-1202</f>
        <v>40072</v>
      </c>
      <c r="B8065" s="8">
        <f>DATE(2012,12,31)-1202</f>
        <v>40072</v>
      </c>
      <c r="C8065" s="9" t="s">
        <v>835</v>
      </c>
      <c r="D8065">
        <v>10021433336</v>
      </c>
      <c r="E8065" t="s">
        <v>47</v>
      </c>
      <c r="F8065" t="s">
        <v>61</v>
      </c>
      <c r="G8065" t="s">
        <v>62</v>
      </c>
      <c r="H8065" t="s">
        <v>2628</v>
      </c>
      <c r="I8065" t="s">
        <v>2629</v>
      </c>
      <c r="J8065" t="s">
        <v>52</v>
      </c>
      <c r="K8065" s="3">
        <v>100132611458</v>
      </c>
      <c r="L8065" s="10">
        <v>40074</v>
      </c>
      <c r="M8065">
        <v>453.89</v>
      </c>
      <c r="N8065" s="11">
        <v>27</v>
      </c>
      <c r="O8065" s="12">
        <v>16.98</v>
      </c>
      <c r="P8065" s="12">
        <v>12.39</v>
      </c>
      <c r="Q8065" s="13">
        <v>-75.06</v>
      </c>
      <c r="R8065" s="36" t="s">
        <v>1302</v>
      </c>
      <c r="S8065" s="7">
        <f t="shared" si="701"/>
        <v>2</v>
      </c>
      <c r="T8065" s="15" t="str">
        <f>VLOOKUP(R8065,产品分类!$C$2:$D$1278,2,0)</f>
        <v>数码电子</v>
      </c>
    </row>
    <row r="8066" spans="1:20">
      <c r="A8066" s="8">
        <f>DATE(2012,12,31)-538</f>
        <v>40736</v>
      </c>
      <c r="B8066" s="8">
        <f>DATE(2012,12,31)-538</f>
        <v>40736</v>
      </c>
      <c r="C8066" s="9" t="s">
        <v>536</v>
      </c>
      <c r="D8066">
        <v>10021447333</v>
      </c>
      <c r="E8066" t="s">
        <v>47</v>
      </c>
      <c r="F8066" t="s">
        <v>61</v>
      </c>
      <c r="G8066" t="s">
        <v>62</v>
      </c>
      <c r="H8066" t="s">
        <v>2628</v>
      </c>
      <c r="I8066" t="s">
        <v>2629</v>
      </c>
      <c r="J8066" t="s">
        <v>52</v>
      </c>
      <c r="K8066" s="3">
        <v>100923419101</v>
      </c>
      <c r="L8066" s="10">
        <v>40738</v>
      </c>
      <c r="M8066">
        <v>275.11</v>
      </c>
      <c r="N8066" s="11">
        <v>38</v>
      </c>
      <c r="O8066" s="12">
        <v>7.59</v>
      </c>
      <c r="P8066" s="12">
        <v>4</v>
      </c>
      <c r="Q8066" s="13">
        <v>17.15</v>
      </c>
      <c r="R8066" s="36" t="s">
        <v>1562</v>
      </c>
      <c r="S8066" s="7">
        <f t="shared" si="701"/>
        <v>2</v>
      </c>
      <c r="T8066" s="15" t="str">
        <f>VLOOKUP(R8066,产品分类!$C$2:$D$1278,2,0)</f>
        <v>办公用品</v>
      </c>
    </row>
    <row r="8067" spans="1:20">
      <c r="A8067" s="8">
        <f>DATE(2012,12,31)-538</f>
        <v>40736</v>
      </c>
      <c r="B8067" s="8">
        <f>DATE(2012,12,31)-538</f>
        <v>40736</v>
      </c>
      <c r="C8067" s="9" t="s">
        <v>413</v>
      </c>
      <c r="D8067">
        <v>10021578067</v>
      </c>
      <c r="E8067" t="s">
        <v>47</v>
      </c>
      <c r="F8067" t="s">
        <v>61</v>
      </c>
      <c r="G8067" t="s">
        <v>62</v>
      </c>
      <c r="H8067" t="s">
        <v>2628</v>
      </c>
      <c r="I8067" t="s">
        <v>2629</v>
      </c>
      <c r="J8067" t="s">
        <v>52</v>
      </c>
      <c r="K8067" s="3">
        <v>10017315897</v>
      </c>
      <c r="L8067" s="10">
        <v>40738</v>
      </c>
      <c r="M8067">
        <v>102.34</v>
      </c>
      <c r="N8067" s="11">
        <v>34</v>
      </c>
      <c r="O8067" s="12">
        <v>2.98</v>
      </c>
      <c r="P8067" s="12">
        <v>2.03</v>
      </c>
      <c r="Q8067" s="13">
        <v>-30.39</v>
      </c>
      <c r="R8067" s="36" t="s">
        <v>1012</v>
      </c>
      <c r="S8067" s="7">
        <f t="shared" ref="S8067:S8130" si="707">+L8067-B8067</f>
        <v>2</v>
      </c>
      <c r="T8067" s="15" t="str">
        <f>VLOOKUP(R8067,产品分类!$C$2:$D$1278,2,0)</f>
        <v>家具产品</v>
      </c>
    </row>
    <row r="8068" spans="1:20">
      <c r="A8068" s="8">
        <f>DATE(2012,12,31)-976</f>
        <v>40298</v>
      </c>
      <c r="B8068" s="8">
        <f>DATE(2012,12,31)-976</f>
        <v>40298</v>
      </c>
      <c r="C8068" s="9" t="s">
        <v>2275</v>
      </c>
      <c r="D8068">
        <v>10021352349</v>
      </c>
      <c r="E8068" t="s">
        <v>47</v>
      </c>
      <c r="F8068" t="s">
        <v>61</v>
      </c>
      <c r="G8068" t="s">
        <v>62</v>
      </c>
      <c r="H8068" t="s">
        <v>2628</v>
      </c>
      <c r="I8068" t="s">
        <v>2629</v>
      </c>
      <c r="J8068" t="s">
        <v>52</v>
      </c>
      <c r="K8068" s="3">
        <v>100732521025</v>
      </c>
      <c r="L8068" s="10">
        <v>40301</v>
      </c>
      <c r="M8068">
        <v>517.98</v>
      </c>
      <c r="N8068" s="11">
        <v>17</v>
      </c>
      <c r="O8068" s="12">
        <v>30.53</v>
      </c>
      <c r="P8068" s="12">
        <v>19.99</v>
      </c>
      <c r="Q8068" s="13">
        <v>-85.32</v>
      </c>
      <c r="R8068" s="36" t="s">
        <v>1300</v>
      </c>
      <c r="S8068" s="7">
        <f t="shared" si="707"/>
        <v>3</v>
      </c>
      <c r="T8068" s="15" t="str">
        <f>VLOOKUP(R8068,产品分类!$C$2:$D$1278,2,0)</f>
        <v>家具产品</v>
      </c>
    </row>
    <row r="8069" spans="1:20">
      <c r="A8069" s="8">
        <f>DATE(2012,12,31)-264</f>
        <v>41010</v>
      </c>
      <c r="B8069" s="8">
        <f>DATE(2012,12,31)-264</f>
        <v>41010</v>
      </c>
      <c r="C8069" s="9" t="s">
        <v>2275</v>
      </c>
      <c r="D8069">
        <v>10021258095</v>
      </c>
      <c r="E8069" t="s">
        <v>47</v>
      </c>
      <c r="F8069" t="s">
        <v>83</v>
      </c>
      <c r="G8069" t="s">
        <v>84</v>
      </c>
      <c r="H8069" t="s">
        <v>2577</v>
      </c>
      <c r="I8069" t="s">
        <v>2578</v>
      </c>
      <c r="J8069" t="s">
        <v>52</v>
      </c>
      <c r="K8069" s="3">
        <v>100426957353</v>
      </c>
      <c r="L8069" s="10">
        <v>41012</v>
      </c>
      <c r="M8069">
        <v>3373.7095</v>
      </c>
      <c r="N8069" s="11">
        <v>34</v>
      </c>
      <c r="O8069" s="12">
        <v>110.99</v>
      </c>
      <c r="P8069" s="12">
        <v>8.99</v>
      </c>
      <c r="Q8069" s="13">
        <v>861.723</v>
      </c>
      <c r="R8069" s="36" t="s">
        <v>936</v>
      </c>
      <c r="S8069" s="7">
        <f t="shared" si="707"/>
        <v>2</v>
      </c>
      <c r="T8069" s="15" t="str">
        <f>VLOOKUP(R8069,产品分类!$C$2:$D$1278,2,0)</f>
        <v>办公用品</v>
      </c>
    </row>
    <row r="8070" spans="1:20">
      <c r="A8070" s="8">
        <f>DATE(2012,12,31)-1254</f>
        <v>40020</v>
      </c>
      <c r="B8070" s="8">
        <f>DATE(2012,12,31)-1254</f>
        <v>40020</v>
      </c>
      <c r="C8070" s="9" t="s">
        <v>108</v>
      </c>
      <c r="D8070">
        <v>10021368562</v>
      </c>
      <c r="E8070" t="s">
        <v>47</v>
      </c>
      <c r="F8070" t="s">
        <v>61</v>
      </c>
      <c r="G8070" t="s">
        <v>62</v>
      </c>
      <c r="H8070" t="s">
        <v>2628</v>
      </c>
      <c r="I8070" t="s">
        <v>2629</v>
      </c>
      <c r="J8070" t="s">
        <v>52</v>
      </c>
      <c r="K8070" s="3">
        <v>100123836116</v>
      </c>
      <c r="L8070" s="10">
        <v>40022</v>
      </c>
      <c r="M8070">
        <v>88.84</v>
      </c>
      <c r="N8070" s="11">
        <v>16</v>
      </c>
      <c r="O8070" s="12">
        <v>4.98</v>
      </c>
      <c r="P8070" s="12">
        <v>6.07</v>
      </c>
      <c r="Q8070" s="13">
        <v>-46.92</v>
      </c>
      <c r="R8070" s="36" t="s">
        <v>146</v>
      </c>
      <c r="S8070" s="7">
        <f t="shared" si="707"/>
        <v>2</v>
      </c>
      <c r="T8070" s="15" t="str">
        <f>VLOOKUP(R8070,产品分类!$C$2:$D$1278,2,0)</f>
        <v>办公用品</v>
      </c>
    </row>
    <row r="8071" spans="1:20">
      <c r="A8071" s="8">
        <f>DATE(2012,12,31)-107</f>
        <v>41167</v>
      </c>
      <c r="B8071" s="8">
        <f>DATE(2012,12,31)-107</f>
        <v>41167</v>
      </c>
      <c r="C8071" s="9" t="s">
        <v>108</v>
      </c>
      <c r="D8071">
        <v>10021251220</v>
      </c>
      <c r="E8071" t="s">
        <v>47</v>
      </c>
      <c r="F8071" t="s">
        <v>61</v>
      </c>
      <c r="G8071" t="s">
        <v>62</v>
      </c>
      <c r="H8071" t="s">
        <v>2628</v>
      </c>
      <c r="I8071" t="s">
        <v>2629</v>
      </c>
      <c r="J8071" t="s">
        <v>52</v>
      </c>
      <c r="K8071" s="3">
        <v>10096694591</v>
      </c>
      <c r="L8071" s="10">
        <v>41168</v>
      </c>
      <c r="M8071">
        <v>3050.81</v>
      </c>
      <c r="N8071" s="11">
        <v>20</v>
      </c>
      <c r="O8071" s="12">
        <v>140.98</v>
      </c>
      <c r="P8071" s="12">
        <v>36.09</v>
      </c>
      <c r="Q8071" s="13">
        <v>-124.04</v>
      </c>
      <c r="R8071" s="36" t="s">
        <v>202</v>
      </c>
      <c r="S8071" s="7">
        <f t="shared" si="707"/>
        <v>1</v>
      </c>
      <c r="T8071" s="15" t="str">
        <f>VLOOKUP(R8071,产品分类!$C$2:$D$1278,2,0)</f>
        <v>办公用品</v>
      </c>
    </row>
    <row r="8072" spans="1:20">
      <c r="A8072" s="8">
        <f>DATE(2012,12,31)-488</f>
        <v>40786</v>
      </c>
      <c r="B8072" s="8">
        <f>DATE(2012,12,31)-488</f>
        <v>40786</v>
      </c>
      <c r="C8072" s="9" t="s">
        <v>1390</v>
      </c>
      <c r="D8072">
        <v>10021250181</v>
      </c>
      <c r="E8072" t="s">
        <v>47</v>
      </c>
      <c r="F8072" t="s">
        <v>61</v>
      </c>
      <c r="G8072" t="s">
        <v>62</v>
      </c>
      <c r="H8072" t="s">
        <v>2628</v>
      </c>
      <c r="I8072" t="s">
        <v>2629</v>
      </c>
      <c r="J8072" t="s">
        <v>52</v>
      </c>
      <c r="K8072" s="3">
        <v>10035720899</v>
      </c>
      <c r="L8072" s="10">
        <v>40788</v>
      </c>
      <c r="M8072">
        <v>12343.07</v>
      </c>
      <c r="N8072" s="11">
        <v>25</v>
      </c>
      <c r="O8072" s="12">
        <v>500.97</v>
      </c>
      <c r="P8072" s="12">
        <v>69.3</v>
      </c>
      <c r="Q8072" s="13">
        <v>3972.72</v>
      </c>
      <c r="R8072" s="36" t="s">
        <v>2100</v>
      </c>
      <c r="S8072" s="7">
        <f t="shared" si="707"/>
        <v>2</v>
      </c>
      <c r="T8072" s="15" t="str">
        <f>VLOOKUP(R8072,产品分类!$C$2:$D$1278,2,0)</f>
        <v>家具产品</v>
      </c>
    </row>
    <row r="8073" spans="1:20">
      <c r="A8073" s="8">
        <f>DATE(2012,12,31)-1278</f>
        <v>39996</v>
      </c>
      <c r="B8073" s="8">
        <f>DATE(2012,12,31)-1278</f>
        <v>39996</v>
      </c>
      <c r="C8073" s="9" t="s">
        <v>653</v>
      </c>
      <c r="D8073">
        <v>10021389150</v>
      </c>
      <c r="E8073" t="s">
        <v>47</v>
      </c>
      <c r="F8073" t="s">
        <v>61</v>
      </c>
      <c r="G8073" t="s">
        <v>62</v>
      </c>
      <c r="H8073" t="s">
        <v>2628</v>
      </c>
      <c r="I8073" t="s">
        <v>2629</v>
      </c>
      <c r="J8073" t="s">
        <v>52</v>
      </c>
      <c r="K8073" s="3">
        <v>100431328733</v>
      </c>
      <c r="L8073" s="10">
        <v>39998</v>
      </c>
      <c r="M8073">
        <v>2453.3</v>
      </c>
      <c r="N8073" s="11">
        <v>24</v>
      </c>
      <c r="O8073" s="12">
        <v>100.98</v>
      </c>
      <c r="P8073" s="12">
        <v>35.84</v>
      </c>
      <c r="Q8073" s="13">
        <v>-111.4</v>
      </c>
      <c r="R8073" s="36" t="s">
        <v>1405</v>
      </c>
      <c r="S8073" s="7">
        <f t="shared" si="707"/>
        <v>2</v>
      </c>
      <c r="T8073" s="15" t="str">
        <f>VLOOKUP(R8073,产品分类!$C$2:$D$1278,2,0)</f>
        <v>办公用品</v>
      </c>
    </row>
    <row r="8074" spans="1:20">
      <c r="A8074" s="8">
        <f>DATE(2012,12,31)-1278</f>
        <v>39996</v>
      </c>
      <c r="B8074" s="8">
        <f>DATE(2012,12,31)-1278</f>
        <v>39996</v>
      </c>
      <c r="C8074" s="9" t="s">
        <v>653</v>
      </c>
      <c r="D8074">
        <v>10021451864</v>
      </c>
      <c r="E8074" t="s">
        <v>47</v>
      </c>
      <c r="F8074" t="s">
        <v>83</v>
      </c>
      <c r="G8074" t="s">
        <v>84</v>
      </c>
      <c r="H8074" t="s">
        <v>2577</v>
      </c>
      <c r="I8074" t="s">
        <v>2578</v>
      </c>
      <c r="J8074" t="s">
        <v>52</v>
      </c>
      <c r="K8074" s="3">
        <v>100429751114</v>
      </c>
      <c r="L8074" s="10">
        <v>39997</v>
      </c>
      <c r="M8074">
        <v>147.02</v>
      </c>
      <c r="N8074" s="11">
        <v>29</v>
      </c>
      <c r="O8074" s="12">
        <v>4.98</v>
      </c>
      <c r="P8074" s="12">
        <v>5.49</v>
      </c>
      <c r="Q8074" s="13">
        <v>-77.03</v>
      </c>
      <c r="R8074" s="36" t="s">
        <v>691</v>
      </c>
      <c r="S8074" s="7">
        <f t="shared" si="707"/>
        <v>1</v>
      </c>
      <c r="T8074" s="15" t="str">
        <f>VLOOKUP(R8074,产品分类!$C$2:$D$1278,2,0)</f>
        <v>办公用品</v>
      </c>
    </row>
    <row r="8075" spans="1:20">
      <c r="A8075" s="8">
        <f>DATE(2012,12,31)-1418</f>
        <v>39856</v>
      </c>
      <c r="B8075" s="8">
        <f>DATE(2012,12,31)-1418</f>
        <v>39856</v>
      </c>
      <c r="C8075" s="9" t="s">
        <v>653</v>
      </c>
      <c r="D8075">
        <v>10021495145</v>
      </c>
      <c r="E8075" t="s">
        <v>47</v>
      </c>
      <c r="F8075" t="s">
        <v>61</v>
      </c>
      <c r="G8075" t="s">
        <v>62</v>
      </c>
      <c r="H8075" t="s">
        <v>2628</v>
      </c>
      <c r="I8075" t="s">
        <v>2629</v>
      </c>
      <c r="J8075" t="s">
        <v>52</v>
      </c>
      <c r="K8075" s="3">
        <v>100914059101</v>
      </c>
      <c r="L8075" s="10">
        <v>39857</v>
      </c>
      <c r="M8075">
        <v>127.45</v>
      </c>
      <c r="N8075" s="11">
        <v>17</v>
      </c>
      <c r="O8075" s="12">
        <v>7.1</v>
      </c>
      <c r="P8075" s="12">
        <v>6.05</v>
      </c>
      <c r="Q8075" s="13">
        <v>-42.1705</v>
      </c>
      <c r="R8075" s="36" t="s">
        <v>1977</v>
      </c>
      <c r="S8075" s="7">
        <f t="shared" si="707"/>
        <v>1</v>
      </c>
      <c r="T8075" s="15" t="str">
        <f>VLOOKUP(R8075,产品分类!$C$2:$D$1278,2,0)</f>
        <v>数码电子</v>
      </c>
    </row>
    <row r="8076" spans="1:20">
      <c r="A8076" s="16">
        <f>DATE(2012,12,31)-1418</f>
        <v>39856</v>
      </c>
      <c r="B8076" s="16">
        <f>DATE(2012,12,31)-1418</f>
        <v>39856</v>
      </c>
      <c r="C8076" s="9" t="s">
        <v>2292</v>
      </c>
      <c r="D8076">
        <v>10021332148</v>
      </c>
      <c r="E8076" t="s">
        <v>47</v>
      </c>
      <c r="F8076" t="s">
        <v>61</v>
      </c>
      <c r="G8076" t="s">
        <v>62</v>
      </c>
      <c r="H8076" t="s">
        <v>2628</v>
      </c>
      <c r="I8076" t="s">
        <v>2629</v>
      </c>
      <c r="J8076" t="s">
        <v>52</v>
      </c>
      <c r="K8076" s="3">
        <v>10013705186</v>
      </c>
      <c r="L8076" s="10">
        <v>39857</v>
      </c>
      <c r="M8076">
        <v>92.18</v>
      </c>
      <c r="N8076" s="17">
        <v>31</v>
      </c>
      <c r="O8076" s="5">
        <v>2.78</v>
      </c>
      <c r="P8076" s="5">
        <v>0.97</v>
      </c>
      <c r="Q8076" s="6">
        <v>5.7</v>
      </c>
      <c r="R8076" s="37" t="s">
        <v>2370</v>
      </c>
      <c r="S8076" s="7">
        <f t="shared" si="707"/>
        <v>1</v>
      </c>
      <c r="T8076" s="15" t="str">
        <f>VLOOKUP(R8076,产品分类!$C$2:$D$1278,2,0)</f>
        <v>办公用品</v>
      </c>
    </row>
    <row r="8077" spans="1:20">
      <c r="A8077" s="8">
        <f>DATE(2012,12,31)-975</f>
        <v>40299</v>
      </c>
      <c r="B8077" s="8">
        <f>DATE(2012,12,31)-975</f>
        <v>40299</v>
      </c>
      <c r="C8077" s="9" t="s">
        <v>1348</v>
      </c>
      <c r="D8077">
        <v>10021389392</v>
      </c>
      <c r="E8077" t="s">
        <v>47</v>
      </c>
      <c r="F8077" t="s">
        <v>253</v>
      </c>
      <c r="G8077" t="s">
        <v>254</v>
      </c>
      <c r="H8077" t="s">
        <v>2613</v>
      </c>
      <c r="I8077" t="s">
        <v>2614</v>
      </c>
      <c r="J8077" t="s">
        <v>52</v>
      </c>
      <c r="K8077" s="3">
        <v>100431905534</v>
      </c>
      <c r="L8077" s="10">
        <v>40299</v>
      </c>
      <c r="M8077">
        <v>314.96</v>
      </c>
      <c r="N8077" s="11">
        <v>18</v>
      </c>
      <c r="O8077" s="12">
        <v>18.65</v>
      </c>
      <c r="P8077" s="12">
        <v>3.77</v>
      </c>
      <c r="Q8077" s="13">
        <v>153.48</v>
      </c>
      <c r="R8077" s="36" t="s">
        <v>412</v>
      </c>
      <c r="S8077" s="7">
        <f t="shared" si="707"/>
        <v>0</v>
      </c>
      <c r="T8077" s="15" t="str">
        <f>VLOOKUP(R8077,产品分类!$C$2:$D$1278,2,0)</f>
        <v>数码电子</v>
      </c>
    </row>
    <row r="8078" spans="1:20">
      <c r="A8078" s="8">
        <f>DATE(2012,12,31)-67</f>
        <v>41207</v>
      </c>
      <c r="B8078" s="8">
        <f>DATE(2012,12,31)-67</f>
        <v>41207</v>
      </c>
      <c r="C8078" s="9" t="s">
        <v>1445</v>
      </c>
      <c r="D8078">
        <v>10021384976</v>
      </c>
      <c r="E8078" t="s">
        <v>47</v>
      </c>
      <c r="F8078" t="s">
        <v>72</v>
      </c>
      <c r="G8078" t="s">
        <v>73</v>
      </c>
      <c r="H8078" t="s">
        <v>2606</v>
      </c>
      <c r="I8078" t="s">
        <v>2607</v>
      </c>
      <c r="J8078" t="s">
        <v>52</v>
      </c>
      <c r="K8078" s="3">
        <v>100432906253</v>
      </c>
      <c r="L8078" s="10">
        <v>41209</v>
      </c>
      <c r="M8078">
        <v>120.15</v>
      </c>
      <c r="N8078" s="11">
        <v>40</v>
      </c>
      <c r="O8078" s="12">
        <v>2.88</v>
      </c>
      <c r="P8078" s="12">
        <v>1.49</v>
      </c>
      <c r="Q8078" s="13">
        <v>11.322</v>
      </c>
      <c r="R8078" s="36" t="s">
        <v>106</v>
      </c>
      <c r="S8078" s="7">
        <f t="shared" si="707"/>
        <v>2</v>
      </c>
      <c r="T8078" s="15" t="str">
        <f>VLOOKUP(R8078,产品分类!$C$2:$D$1278,2,0)</f>
        <v>数码电子</v>
      </c>
    </row>
    <row r="8079" spans="1:20">
      <c r="A8079" s="8">
        <f>DATE(2012,12,31)-999</f>
        <v>40275</v>
      </c>
      <c r="B8079" s="8">
        <f>DATE(2012,12,31)-999</f>
        <v>40275</v>
      </c>
      <c r="C8079" s="9" t="s">
        <v>785</v>
      </c>
      <c r="D8079">
        <v>10021273155</v>
      </c>
      <c r="E8079" t="s">
        <v>47</v>
      </c>
      <c r="F8079" t="s">
        <v>132</v>
      </c>
      <c r="G8079" t="s">
        <v>133</v>
      </c>
      <c r="H8079" t="s">
        <v>134</v>
      </c>
      <c r="I8079" t="s">
        <v>133</v>
      </c>
      <c r="J8079" t="s">
        <v>52</v>
      </c>
      <c r="K8079" s="3">
        <v>100132764477</v>
      </c>
      <c r="L8079" s="10">
        <v>40279</v>
      </c>
      <c r="M8079">
        <v>723.3075</v>
      </c>
      <c r="N8079" s="11">
        <v>39</v>
      </c>
      <c r="O8079" s="12">
        <v>20.99</v>
      </c>
      <c r="P8079" s="12">
        <v>0.99</v>
      </c>
      <c r="Q8079" s="13">
        <v>216.702</v>
      </c>
      <c r="R8079" s="36" t="s">
        <v>2542</v>
      </c>
      <c r="S8079" s="7">
        <f t="shared" si="707"/>
        <v>4</v>
      </c>
      <c r="T8079" s="15" t="str">
        <f>VLOOKUP(R8079,产品分类!$C$2:$D$1278,2,0)</f>
        <v>办公用品</v>
      </c>
    </row>
    <row r="8080" spans="1:20">
      <c r="A8080" s="8">
        <f>DATE(2012,12,31)-1404</f>
        <v>39870</v>
      </c>
      <c r="B8080" s="8">
        <f>DATE(2012,12,31)-1404</f>
        <v>39870</v>
      </c>
      <c r="C8080" s="9" t="s">
        <v>785</v>
      </c>
      <c r="D8080">
        <v>10021648327</v>
      </c>
      <c r="E8080" t="s">
        <v>47</v>
      </c>
      <c r="F8080" t="s">
        <v>78</v>
      </c>
      <c r="G8080" t="s">
        <v>79</v>
      </c>
      <c r="H8080" t="s">
        <v>80</v>
      </c>
      <c r="I8080" t="s">
        <v>81</v>
      </c>
      <c r="J8080" t="s">
        <v>52</v>
      </c>
      <c r="K8080" s="3">
        <v>100133238056</v>
      </c>
      <c r="L8080" s="10">
        <v>39872</v>
      </c>
      <c r="M8080">
        <v>803.04</v>
      </c>
      <c r="N8080" s="11">
        <v>15</v>
      </c>
      <c r="O8080" s="12">
        <v>55.48</v>
      </c>
      <c r="P8080" s="12">
        <v>6.79</v>
      </c>
      <c r="Q8080" s="13">
        <v>282.32</v>
      </c>
      <c r="R8080" s="36" t="s">
        <v>1177</v>
      </c>
      <c r="S8080" s="7">
        <f t="shared" si="707"/>
        <v>2</v>
      </c>
      <c r="T8080" s="15" t="str">
        <f>VLOOKUP(R8080,产品分类!$C$2:$D$1278,2,0)</f>
        <v>办公用品</v>
      </c>
    </row>
    <row r="8081" spans="1:20">
      <c r="A8081" s="8">
        <f>DATE(2012,12,31)-745</f>
        <v>40529</v>
      </c>
      <c r="B8081" s="8">
        <f>DATE(2012,12,31)-745</f>
        <v>40529</v>
      </c>
      <c r="C8081" s="9" t="s">
        <v>785</v>
      </c>
      <c r="D8081">
        <v>10021569411</v>
      </c>
      <c r="E8081" t="s">
        <v>47</v>
      </c>
      <c r="F8081" t="s">
        <v>72</v>
      </c>
      <c r="G8081" t="s">
        <v>73</v>
      </c>
      <c r="H8081" t="s">
        <v>2606</v>
      </c>
      <c r="I8081" t="s">
        <v>2607</v>
      </c>
      <c r="J8081" t="s">
        <v>52</v>
      </c>
      <c r="K8081" s="3">
        <v>100933149461</v>
      </c>
      <c r="L8081" s="10">
        <v>40529</v>
      </c>
      <c r="M8081">
        <v>934.9405</v>
      </c>
      <c r="N8081" s="11">
        <v>17</v>
      </c>
      <c r="O8081" s="12">
        <v>65.99</v>
      </c>
      <c r="P8081" s="12">
        <v>5.92</v>
      </c>
      <c r="Q8081" s="13">
        <v>47.097</v>
      </c>
      <c r="R8081" s="36" t="s">
        <v>59</v>
      </c>
      <c r="S8081" s="7">
        <f t="shared" si="707"/>
        <v>0</v>
      </c>
      <c r="T8081" s="15" t="str">
        <f>VLOOKUP(R8081,产品分类!$C$2:$D$1278,2,0)</f>
        <v>数码电子</v>
      </c>
    </row>
    <row r="8082" spans="1:20">
      <c r="A8082" s="8">
        <f>DATE(2012,12,31)-272</f>
        <v>41002</v>
      </c>
      <c r="B8082" s="8">
        <f>DATE(2012,12,31)-272</f>
        <v>41002</v>
      </c>
      <c r="C8082" s="9" t="s">
        <v>1071</v>
      </c>
      <c r="D8082">
        <v>10021653297</v>
      </c>
      <c r="E8082" t="s">
        <v>47</v>
      </c>
      <c r="F8082" t="s">
        <v>230</v>
      </c>
      <c r="G8082" t="s">
        <v>231</v>
      </c>
      <c r="H8082" t="s">
        <v>2602</v>
      </c>
      <c r="I8082" t="s">
        <v>2603</v>
      </c>
      <c r="J8082" t="s">
        <v>52</v>
      </c>
      <c r="K8082" s="3">
        <v>100133252537</v>
      </c>
      <c r="L8082" s="10">
        <v>41004</v>
      </c>
      <c r="M8082">
        <v>13382.01</v>
      </c>
      <c r="N8082" s="11">
        <v>47</v>
      </c>
      <c r="O8082" s="12">
        <v>306.14</v>
      </c>
      <c r="P8082" s="12">
        <v>26.53</v>
      </c>
      <c r="Q8082" s="13">
        <v>2852.94</v>
      </c>
      <c r="R8082" s="36" t="s">
        <v>2328</v>
      </c>
      <c r="S8082" s="7">
        <f t="shared" si="707"/>
        <v>2</v>
      </c>
      <c r="T8082" s="15" t="str">
        <f>VLOOKUP(R8082,产品分类!$C$2:$D$1278,2,0)</f>
        <v>办公用品</v>
      </c>
    </row>
    <row r="8083" spans="1:20">
      <c r="A8083" s="8">
        <f>DATE(2012,12,31)-866</f>
        <v>40408</v>
      </c>
      <c r="B8083" s="8">
        <f>DATE(2012,12,31)-866</f>
        <v>40408</v>
      </c>
      <c r="C8083" s="9" t="s">
        <v>1196</v>
      </c>
      <c r="D8083">
        <v>10021478230</v>
      </c>
      <c r="E8083" t="s">
        <v>47</v>
      </c>
      <c r="F8083" t="s">
        <v>91</v>
      </c>
      <c r="G8083" t="s">
        <v>92</v>
      </c>
      <c r="H8083" t="s">
        <v>2621</v>
      </c>
      <c r="I8083" t="s">
        <v>2622</v>
      </c>
      <c r="J8083" t="s">
        <v>52</v>
      </c>
      <c r="K8083" s="3">
        <v>100133016737</v>
      </c>
      <c r="L8083" s="10">
        <v>40408</v>
      </c>
      <c r="M8083">
        <v>45.24</v>
      </c>
      <c r="N8083" s="11">
        <v>8</v>
      </c>
      <c r="O8083" s="12">
        <v>4.98</v>
      </c>
      <c r="P8083" s="12">
        <v>4.62</v>
      </c>
      <c r="Q8083" s="13">
        <v>-42.12</v>
      </c>
      <c r="R8083" s="36" t="s">
        <v>2480</v>
      </c>
      <c r="S8083" s="7">
        <f t="shared" si="707"/>
        <v>0</v>
      </c>
      <c r="T8083" s="15" t="str">
        <f>VLOOKUP(R8083,产品分类!$C$2:$D$1278,2,0)</f>
        <v>数码电子</v>
      </c>
    </row>
    <row r="8084" spans="1:20">
      <c r="A8084" s="8">
        <f>DATE(2012,12,31)-866</f>
        <v>40408</v>
      </c>
      <c r="B8084" s="8">
        <f>DATE(2012,12,31)-866</f>
        <v>40408</v>
      </c>
      <c r="C8084" s="9" t="s">
        <v>1196</v>
      </c>
      <c r="D8084">
        <v>10021733664</v>
      </c>
      <c r="E8084" t="s">
        <v>47</v>
      </c>
      <c r="F8084" t="s">
        <v>55</v>
      </c>
      <c r="G8084" t="s">
        <v>56</v>
      </c>
      <c r="H8084" t="s">
        <v>2633</v>
      </c>
      <c r="I8084" t="s">
        <v>2634</v>
      </c>
      <c r="J8084" t="s">
        <v>52</v>
      </c>
      <c r="K8084" s="3">
        <v>100433353814</v>
      </c>
      <c r="L8084" s="10">
        <v>40410</v>
      </c>
      <c r="M8084">
        <v>148.05</v>
      </c>
      <c r="N8084" s="11">
        <v>7</v>
      </c>
      <c r="O8084" s="12">
        <v>21.38</v>
      </c>
      <c r="P8084" s="12">
        <v>8.99</v>
      </c>
      <c r="Q8084" s="13">
        <v>-45.94</v>
      </c>
      <c r="R8084" s="36" t="s">
        <v>195</v>
      </c>
      <c r="S8084" s="7">
        <f t="shared" si="707"/>
        <v>2</v>
      </c>
      <c r="T8084" s="15" t="str">
        <f>VLOOKUP(R8084,产品分类!$C$2:$D$1278,2,0)</f>
        <v>家具产品</v>
      </c>
    </row>
    <row r="8085" spans="1:20">
      <c r="A8085" s="8">
        <f>DATE(2012,12,31)-692</f>
        <v>40582</v>
      </c>
      <c r="B8085" s="8">
        <f>DATE(2012,12,31)-692</f>
        <v>40582</v>
      </c>
      <c r="C8085" s="9" t="s">
        <v>1490</v>
      </c>
      <c r="D8085">
        <v>10021765400</v>
      </c>
      <c r="E8085" t="s">
        <v>47</v>
      </c>
      <c r="F8085" t="s">
        <v>91</v>
      </c>
      <c r="G8085" t="s">
        <v>92</v>
      </c>
      <c r="H8085" t="s">
        <v>2621</v>
      </c>
      <c r="I8085" t="s">
        <v>2622</v>
      </c>
      <c r="J8085" t="s">
        <v>52</v>
      </c>
      <c r="K8085" s="3">
        <v>100133385486</v>
      </c>
      <c r="L8085" s="10">
        <v>40582</v>
      </c>
      <c r="M8085">
        <v>343.26</v>
      </c>
      <c r="N8085" s="11">
        <v>50</v>
      </c>
      <c r="O8085" s="12">
        <v>6.84</v>
      </c>
      <c r="P8085" s="12">
        <v>8.37</v>
      </c>
      <c r="Q8085" s="13">
        <v>-287.28</v>
      </c>
      <c r="R8085" s="36" t="s">
        <v>625</v>
      </c>
      <c r="S8085" s="7">
        <f t="shared" si="707"/>
        <v>0</v>
      </c>
      <c r="T8085" s="15" t="str">
        <f>VLOOKUP(R8085,产品分类!$C$2:$D$1278,2,0)</f>
        <v>办公用品</v>
      </c>
    </row>
    <row r="8086" spans="1:20">
      <c r="A8086" s="16">
        <f>DATE(2012,12,31)-1402</f>
        <v>39872</v>
      </c>
      <c r="B8086" s="16">
        <f>DATE(2012,12,31)-1402</f>
        <v>39872</v>
      </c>
      <c r="C8086" s="9" t="s">
        <v>977</v>
      </c>
      <c r="D8086">
        <v>10021571049</v>
      </c>
      <c r="E8086" t="s">
        <v>47</v>
      </c>
      <c r="F8086" t="s">
        <v>91</v>
      </c>
      <c r="G8086" t="s">
        <v>92</v>
      </c>
      <c r="H8086" t="s">
        <v>2621</v>
      </c>
      <c r="I8086" t="s">
        <v>2622</v>
      </c>
      <c r="J8086" t="s">
        <v>52</v>
      </c>
      <c r="K8086" s="3">
        <v>100433153654</v>
      </c>
      <c r="L8086" s="10">
        <v>39873</v>
      </c>
      <c r="M8086">
        <v>1419.83</v>
      </c>
      <c r="N8086" s="17">
        <v>46</v>
      </c>
      <c r="O8086" s="5">
        <v>30.98</v>
      </c>
      <c r="P8086" s="5">
        <v>8.74</v>
      </c>
      <c r="Q8086" s="6">
        <v>385.8</v>
      </c>
      <c r="R8086" s="37" t="s">
        <v>1027</v>
      </c>
      <c r="S8086" s="7">
        <f t="shared" si="707"/>
        <v>1</v>
      </c>
      <c r="T8086" s="15" t="str">
        <f>VLOOKUP(R8086,产品分类!$C$2:$D$1278,2,0)</f>
        <v>数码电子</v>
      </c>
    </row>
    <row r="8087" spans="1:20">
      <c r="A8087" s="8">
        <f>DATE(2012,12,31)-367</f>
        <v>40907</v>
      </c>
      <c r="B8087" s="8">
        <f>DATE(2012,12,31)-367</f>
        <v>40907</v>
      </c>
      <c r="C8087" s="9" t="s">
        <v>864</v>
      </c>
      <c r="D8087">
        <v>10021305809</v>
      </c>
      <c r="E8087" t="s">
        <v>47</v>
      </c>
      <c r="F8087" t="s">
        <v>171</v>
      </c>
      <c r="G8087" t="s">
        <v>172</v>
      </c>
      <c r="H8087" t="s">
        <v>2486</v>
      </c>
      <c r="I8087" t="s">
        <v>2310</v>
      </c>
      <c r="J8087" t="s">
        <v>52</v>
      </c>
      <c r="K8087" s="3">
        <v>100132797796</v>
      </c>
      <c r="L8087" s="10">
        <v>40908</v>
      </c>
      <c r="M8087">
        <v>239.86</v>
      </c>
      <c r="N8087" s="11">
        <v>40</v>
      </c>
      <c r="O8087" s="12">
        <v>5.81</v>
      </c>
      <c r="P8087" s="12">
        <v>3.37</v>
      </c>
      <c r="Q8087" s="13">
        <v>-32.06</v>
      </c>
      <c r="R8087" s="36" t="s">
        <v>1440</v>
      </c>
      <c r="S8087" s="7">
        <f t="shared" si="707"/>
        <v>1</v>
      </c>
      <c r="T8087" s="15" t="str">
        <f>VLOOKUP(R8087,产品分类!$C$2:$D$1278,2,0)</f>
        <v>家具产品</v>
      </c>
    </row>
    <row r="8088" spans="1:20">
      <c r="A8088" s="8">
        <f>DATE(2012,12,31)-367</f>
        <v>40907</v>
      </c>
      <c r="B8088" s="8">
        <f>DATE(2012,12,31)-367</f>
        <v>40907</v>
      </c>
      <c r="C8088" s="9" t="s">
        <v>864</v>
      </c>
      <c r="D8088">
        <v>10021478797</v>
      </c>
      <c r="E8088" t="s">
        <v>47</v>
      </c>
      <c r="F8088" t="s">
        <v>61</v>
      </c>
      <c r="G8088" t="s">
        <v>62</v>
      </c>
      <c r="H8088" t="s">
        <v>2628</v>
      </c>
      <c r="I8088" t="s">
        <v>2629</v>
      </c>
      <c r="J8088" t="s">
        <v>52</v>
      </c>
      <c r="K8088" s="3">
        <v>100133018906</v>
      </c>
      <c r="L8088" s="10">
        <v>40908</v>
      </c>
      <c r="M8088">
        <v>1269.79</v>
      </c>
      <c r="N8088" s="11">
        <v>48</v>
      </c>
      <c r="O8088" s="12">
        <v>26.31</v>
      </c>
      <c r="P8088" s="12">
        <v>5.89</v>
      </c>
      <c r="Q8088" s="13">
        <v>-65.33</v>
      </c>
      <c r="R8088" s="36" t="s">
        <v>192</v>
      </c>
      <c r="S8088" s="7">
        <f t="shared" si="707"/>
        <v>1</v>
      </c>
      <c r="T8088" s="15" t="str">
        <f>VLOOKUP(R8088,产品分类!$C$2:$D$1278,2,0)</f>
        <v>办公用品</v>
      </c>
    </row>
    <row r="8089" spans="1:20">
      <c r="A8089" s="8">
        <f>DATE(2012,12,31)-821</f>
        <v>40453</v>
      </c>
      <c r="B8089" s="8">
        <f>DATE(2012,12,31)-821</f>
        <v>40453</v>
      </c>
      <c r="C8089" s="9" t="s">
        <v>1076</v>
      </c>
      <c r="D8089">
        <v>10021432455</v>
      </c>
      <c r="E8089" t="s">
        <v>47</v>
      </c>
      <c r="F8089" t="s">
        <v>152</v>
      </c>
      <c r="G8089" t="s">
        <v>153</v>
      </c>
      <c r="H8089" t="s">
        <v>154</v>
      </c>
      <c r="I8089" t="s">
        <v>155</v>
      </c>
      <c r="J8089" t="s">
        <v>52</v>
      </c>
      <c r="K8089" s="3">
        <v>10019506488</v>
      </c>
      <c r="L8089" s="10">
        <v>40454</v>
      </c>
      <c r="M8089">
        <v>192.99</v>
      </c>
      <c r="N8089" s="11">
        <v>6</v>
      </c>
      <c r="O8089" s="12">
        <v>30.97</v>
      </c>
      <c r="P8089" s="12">
        <v>4</v>
      </c>
      <c r="Q8089" s="13">
        <v>-123.37</v>
      </c>
      <c r="R8089" s="36" t="s">
        <v>541</v>
      </c>
      <c r="S8089" s="7">
        <f t="shared" si="707"/>
        <v>1</v>
      </c>
      <c r="T8089" s="15" t="str">
        <f>VLOOKUP(R8089,产品分类!$C$2:$D$1278,2,0)</f>
        <v>办公用品</v>
      </c>
    </row>
    <row r="8090" spans="1:20">
      <c r="A8090" s="8">
        <f>DATE(2012,12,31)-821</f>
        <v>40453</v>
      </c>
      <c r="B8090" s="8">
        <f>DATE(2012,12,31)-821</f>
        <v>40453</v>
      </c>
      <c r="C8090" s="9" t="s">
        <v>1076</v>
      </c>
      <c r="D8090">
        <v>10021760604</v>
      </c>
      <c r="E8090" t="s">
        <v>47</v>
      </c>
      <c r="F8090" t="s">
        <v>473</v>
      </c>
      <c r="G8090" t="s">
        <v>474</v>
      </c>
      <c r="H8090" t="s">
        <v>2639</v>
      </c>
      <c r="I8090" t="s">
        <v>2640</v>
      </c>
      <c r="J8090" t="s">
        <v>52</v>
      </c>
      <c r="K8090" s="3">
        <v>100133371968</v>
      </c>
      <c r="L8090" s="10">
        <v>40455</v>
      </c>
      <c r="M8090">
        <v>11829.4</v>
      </c>
      <c r="N8090" s="11">
        <v>20</v>
      </c>
      <c r="O8090" s="12">
        <v>599.99</v>
      </c>
      <c r="P8090" s="12">
        <v>24.49</v>
      </c>
      <c r="Q8090" s="13">
        <v>3899.72</v>
      </c>
      <c r="R8090" s="36" t="s">
        <v>1316</v>
      </c>
      <c r="S8090" s="7">
        <f t="shared" si="707"/>
        <v>2</v>
      </c>
      <c r="T8090" s="15" t="str">
        <f>VLOOKUP(R8090,产品分类!$C$2:$D$1278,2,0)</f>
        <v>办公用品</v>
      </c>
    </row>
    <row r="8091" spans="1:20">
      <c r="A8091" s="8">
        <f>DATE(2012,12,31)-794</f>
        <v>40480</v>
      </c>
      <c r="B8091" s="8">
        <f>DATE(2012,12,31)-794</f>
        <v>40480</v>
      </c>
      <c r="C8091" s="9" t="s">
        <v>1076</v>
      </c>
      <c r="D8091">
        <v>10021288781</v>
      </c>
      <c r="E8091" t="s">
        <v>47</v>
      </c>
      <c r="F8091" t="s">
        <v>61</v>
      </c>
      <c r="G8091" t="s">
        <v>62</v>
      </c>
      <c r="H8091" t="s">
        <v>2628</v>
      </c>
      <c r="I8091" t="s">
        <v>2629</v>
      </c>
      <c r="J8091" t="s">
        <v>52</v>
      </c>
      <c r="K8091" s="3">
        <v>100732782675</v>
      </c>
      <c r="L8091" s="10">
        <v>40480</v>
      </c>
      <c r="M8091">
        <v>199.93</v>
      </c>
      <c r="N8091" s="11">
        <v>14</v>
      </c>
      <c r="O8091" s="12">
        <v>14.81</v>
      </c>
      <c r="P8091" s="12">
        <v>13.32</v>
      </c>
      <c r="Q8091" s="13">
        <v>-105.33</v>
      </c>
      <c r="R8091" s="36" t="s">
        <v>901</v>
      </c>
      <c r="S8091" s="7">
        <f t="shared" si="707"/>
        <v>0</v>
      </c>
      <c r="T8091" s="15" t="str">
        <f>VLOOKUP(R8091,产品分类!$C$2:$D$1278,2,0)</f>
        <v>家具产品</v>
      </c>
    </row>
    <row r="8092" spans="1:20">
      <c r="A8092" s="8">
        <f>DATE(2012,12,31)-286</f>
        <v>40988</v>
      </c>
      <c r="B8092" s="8">
        <f>DATE(2012,12,31)-286</f>
        <v>40988</v>
      </c>
      <c r="C8092" s="9" t="s">
        <v>2363</v>
      </c>
      <c r="D8092">
        <v>10021727348</v>
      </c>
      <c r="E8092" t="s">
        <v>47</v>
      </c>
      <c r="F8092" t="s">
        <v>152</v>
      </c>
      <c r="G8092" t="s">
        <v>153</v>
      </c>
      <c r="H8092" t="s">
        <v>154</v>
      </c>
      <c r="I8092" t="s">
        <v>155</v>
      </c>
      <c r="J8092" t="s">
        <v>52</v>
      </c>
      <c r="K8092" s="3">
        <v>100733334455</v>
      </c>
      <c r="L8092" s="10">
        <v>40990</v>
      </c>
      <c r="M8092">
        <v>256.6</v>
      </c>
      <c r="N8092" s="11">
        <v>6</v>
      </c>
      <c r="O8092" s="12">
        <v>39.98</v>
      </c>
      <c r="P8092" s="12">
        <v>7.12</v>
      </c>
      <c r="Q8092" s="13">
        <v>-106.76</v>
      </c>
      <c r="R8092" s="36" t="s">
        <v>364</v>
      </c>
      <c r="S8092" s="7">
        <f t="shared" si="707"/>
        <v>2</v>
      </c>
      <c r="T8092" s="15" t="str">
        <f>VLOOKUP(R8092,产品分类!$C$2:$D$1278,2,0)</f>
        <v>数码电子</v>
      </c>
    </row>
    <row r="8093" spans="1:20">
      <c r="A8093" s="8">
        <f>DATE(2012,12,31)-1088</f>
        <v>40186</v>
      </c>
      <c r="B8093" s="8">
        <f>DATE(2012,12,31)-1088</f>
        <v>40186</v>
      </c>
      <c r="C8093" s="9" t="s">
        <v>982</v>
      </c>
      <c r="D8093">
        <v>10021724201</v>
      </c>
      <c r="E8093" t="s">
        <v>47</v>
      </c>
      <c r="F8093" t="s">
        <v>78</v>
      </c>
      <c r="G8093" t="s">
        <v>79</v>
      </c>
      <c r="H8093" t="s">
        <v>80</v>
      </c>
      <c r="I8093" t="s">
        <v>81</v>
      </c>
      <c r="J8093" t="s">
        <v>52</v>
      </c>
      <c r="K8093" s="3">
        <v>100933329361</v>
      </c>
      <c r="L8093" s="10">
        <v>40188</v>
      </c>
      <c r="M8093">
        <v>287.75</v>
      </c>
      <c r="N8093" s="11">
        <v>42</v>
      </c>
      <c r="O8093" s="12">
        <v>6.68</v>
      </c>
      <c r="P8093" s="12">
        <v>7.3</v>
      </c>
      <c r="Q8093" s="13">
        <v>-136.02</v>
      </c>
      <c r="R8093" s="36" t="s">
        <v>445</v>
      </c>
      <c r="S8093" s="7">
        <f t="shared" si="707"/>
        <v>2</v>
      </c>
      <c r="T8093" s="15" t="str">
        <f>VLOOKUP(R8093,产品分类!$C$2:$D$1278,2,0)</f>
        <v>数码电子</v>
      </c>
    </row>
    <row r="8094" spans="1:20">
      <c r="A8094" s="8">
        <f>DATE(2012,12,31)-727</f>
        <v>40547</v>
      </c>
      <c r="B8094" s="8">
        <f>DATE(2012,12,31)-727</f>
        <v>40547</v>
      </c>
      <c r="C8094" s="9" t="s">
        <v>982</v>
      </c>
      <c r="D8094">
        <v>10021329705</v>
      </c>
      <c r="E8094" t="s">
        <v>47</v>
      </c>
      <c r="F8094" t="s">
        <v>91</v>
      </c>
      <c r="G8094" t="s">
        <v>92</v>
      </c>
      <c r="H8094" t="s">
        <v>2621</v>
      </c>
      <c r="I8094" t="s">
        <v>2622</v>
      </c>
      <c r="J8094" t="s">
        <v>52</v>
      </c>
      <c r="K8094" s="3">
        <v>100132856187</v>
      </c>
      <c r="L8094" s="10">
        <v>40547</v>
      </c>
      <c r="M8094">
        <v>61.4</v>
      </c>
      <c r="N8094" s="11">
        <v>26</v>
      </c>
      <c r="O8094" s="12">
        <v>2.08</v>
      </c>
      <c r="P8094" s="12">
        <v>5.33</v>
      </c>
      <c r="Q8094" s="13">
        <v>-92.11</v>
      </c>
      <c r="R8094" s="36" t="s">
        <v>1307</v>
      </c>
      <c r="S8094" s="7">
        <f t="shared" si="707"/>
        <v>0</v>
      </c>
      <c r="T8094" s="15" t="str">
        <f>VLOOKUP(R8094,产品分类!$C$2:$D$1278,2,0)</f>
        <v>办公用品</v>
      </c>
    </row>
    <row r="8095" spans="1:20">
      <c r="A8095" s="8">
        <f>DATE(2012,12,31)-431</f>
        <v>40843</v>
      </c>
      <c r="B8095" s="8">
        <f>DATE(2012,12,31)-431</f>
        <v>40843</v>
      </c>
      <c r="C8095" s="9" t="s">
        <v>2532</v>
      </c>
      <c r="D8095">
        <v>10021490572</v>
      </c>
      <c r="E8095" t="s">
        <v>47</v>
      </c>
      <c r="F8095" t="s">
        <v>122</v>
      </c>
      <c r="G8095" t="s">
        <v>123</v>
      </c>
      <c r="H8095" t="s">
        <v>2458</v>
      </c>
      <c r="I8095" t="s">
        <v>2459</v>
      </c>
      <c r="J8095" t="s">
        <v>52</v>
      </c>
      <c r="K8095" s="3">
        <v>100833048552</v>
      </c>
      <c r="L8095" s="10">
        <v>40845</v>
      </c>
      <c r="M8095">
        <v>208.6</v>
      </c>
      <c r="N8095" s="11">
        <v>26</v>
      </c>
      <c r="O8095" s="12">
        <v>7.38</v>
      </c>
      <c r="P8095" s="12">
        <v>5.21</v>
      </c>
      <c r="Q8095" s="13">
        <v>-56.45</v>
      </c>
      <c r="R8095" s="36" t="s">
        <v>996</v>
      </c>
      <c r="S8095" s="7">
        <f t="shared" si="707"/>
        <v>2</v>
      </c>
      <c r="T8095" s="15" t="str">
        <f>VLOOKUP(R8095,产品分类!$C$2:$D$1278,2,0)</f>
        <v>家具产品</v>
      </c>
    </row>
    <row r="8096" spans="1:20">
      <c r="A8096" s="8">
        <f>DATE(2012,12,31)-134</f>
        <v>41140</v>
      </c>
      <c r="B8096" s="8">
        <f>DATE(2012,12,31)-134</f>
        <v>41140</v>
      </c>
      <c r="C8096" s="9" t="s">
        <v>2532</v>
      </c>
      <c r="D8096">
        <v>10021682566</v>
      </c>
      <c r="E8096" t="s">
        <v>47</v>
      </c>
      <c r="F8096" t="s">
        <v>97</v>
      </c>
      <c r="G8096" t="s">
        <v>98</v>
      </c>
      <c r="H8096" t="s">
        <v>99</v>
      </c>
      <c r="I8096" t="s">
        <v>98</v>
      </c>
      <c r="J8096" t="s">
        <v>52</v>
      </c>
      <c r="K8096" s="3">
        <v>100133273976</v>
      </c>
      <c r="L8096" s="10">
        <v>41140</v>
      </c>
      <c r="M8096">
        <v>21.55</v>
      </c>
      <c r="N8096" s="11">
        <v>3</v>
      </c>
      <c r="O8096" s="12">
        <v>7.31</v>
      </c>
      <c r="P8096" s="12">
        <v>0.49</v>
      </c>
      <c r="Q8096" s="13">
        <v>-2.87</v>
      </c>
      <c r="R8096" s="36" t="s">
        <v>2097</v>
      </c>
      <c r="S8096" s="7">
        <f t="shared" si="707"/>
        <v>0</v>
      </c>
      <c r="T8096" s="15" t="str">
        <f>VLOOKUP(R8096,产品分类!$C$2:$D$1278,2,0)</f>
        <v>数码电子</v>
      </c>
    </row>
    <row r="8097" spans="1:20">
      <c r="A8097" s="8">
        <f>DATE(2012,12,31)-134</f>
        <v>41140</v>
      </c>
      <c r="B8097" s="8">
        <f>DATE(2012,12,31)-134</f>
        <v>41140</v>
      </c>
      <c r="C8097" s="9" t="s">
        <v>858</v>
      </c>
      <c r="D8097">
        <v>10021581607</v>
      </c>
      <c r="E8097" t="s">
        <v>47</v>
      </c>
      <c r="F8097" t="s">
        <v>97</v>
      </c>
      <c r="G8097" t="s">
        <v>98</v>
      </c>
      <c r="H8097" t="s">
        <v>99</v>
      </c>
      <c r="I8097" t="s">
        <v>98</v>
      </c>
      <c r="J8097" t="s">
        <v>52</v>
      </c>
      <c r="K8097" s="3">
        <v>100424707514</v>
      </c>
      <c r="L8097" s="10">
        <v>41142</v>
      </c>
      <c r="M8097">
        <v>266.16</v>
      </c>
      <c r="N8097" s="11">
        <v>36</v>
      </c>
      <c r="O8097" s="12">
        <v>7.28</v>
      </c>
      <c r="P8097" s="12">
        <v>1.77</v>
      </c>
      <c r="Q8097" s="13">
        <v>90.91</v>
      </c>
      <c r="R8097" s="36" t="s">
        <v>981</v>
      </c>
      <c r="S8097" s="7">
        <f t="shared" si="707"/>
        <v>2</v>
      </c>
      <c r="T8097" s="15" t="str">
        <f>VLOOKUP(R8097,产品分类!$C$2:$D$1278,2,0)</f>
        <v>办公用品</v>
      </c>
    </row>
    <row r="8098" spans="1:20">
      <c r="A8098" s="8">
        <f>DATE(2012,12,31)-662</f>
        <v>40612</v>
      </c>
      <c r="B8098" s="8">
        <f>DATE(2012,12,31)-662</f>
        <v>40612</v>
      </c>
      <c r="C8098" s="9" t="s">
        <v>60</v>
      </c>
      <c r="D8098">
        <v>10021270481</v>
      </c>
      <c r="E8098" t="s">
        <v>47</v>
      </c>
      <c r="F8098" t="s">
        <v>91</v>
      </c>
      <c r="G8098" t="s">
        <v>92</v>
      </c>
      <c r="H8098" t="s">
        <v>2621</v>
      </c>
      <c r="I8098" t="s">
        <v>2622</v>
      </c>
      <c r="J8098" t="s">
        <v>52</v>
      </c>
      <c r="K8098" s="3">
        <v>100431268884</v>
      </c>
      <c r="L8098" s="10">
        <v>40613</v>
      </c>
      <c r="M8098">
        <v>154.62</v>
      </c>
      <c r="N8098" s="11">
        <v>27</v>
      </c>
      <c r="O8098" s="12">
        <v>5.53</v>
      </c>
      <c r="P8098" s="12">
        <v>6.98</v>
      </c>
      <c r="Q8098" s="13">
        <v>-118.5995</v>
      </c>
      <c r="R8098" s="36" t="s">
        <v>852</v>
      </c>
      <c r="S8098" s="7">
        <f t="shared" si="707"/>
        <v>1</v>
      </c>
      <c r="T8098" s="15" t="str">
        <f>VLOOKUP(R8098,产品分类!$C$2:$D$1278,2,0)</f>
        <v>家具产品</v>
      </c>
    </row>
    <row r="8099" spans="1:20">
      <c r="A8099" s="8">
        <f>DATE(2012,12,31)-662</f>
        <v>40612</v>
      </c>
      <c r="B8099" s="8">
        <f>DATE(2012,12,31)-662</f>
        <v>40612</v>
      </c>
      <c r="C8099" s="9" t="s">
        <v>820</v>
      </c>
      <c r="D8099">
        <v>10021337958</v>
      </c>
      <c r="E8099" t="s">
        <v>47</v>
      </c>
      <c r="F8099" t="s">
        <v>61</v>
      </c>
      <c r="G8099" t="s">
        <v>62</v>
      </c>
      <c r="H8099" t="s">
        <v>2628</v>
      </c>
      <c r="I8099" t="s">
        <v>2629</v>
      </c>
      <c r="J8099" t="s">
        <v>52</v>
      </c>
      <c r="K8099" s="3">
        <v>100123260016</v>
      </c>
      <c r="L8099" s="10">
        <v>40613</v>
      </c>
      <c r="M8099">
        <v>1638.2</v>
      </c>
      <c r="N8099" s="11">
        <v>31</v>
      </c>
      <c r="O8099" s="12">
        <v>55.98</v>
      </c>
      <c r="P8099" s="12">
        <v>13.88</v>
      </c>
      <c r="Q8099" s="13">
        <v>471.22</v>
      </c>
      <c r="R8099" s="36" t="s">
        <v>1586</v>
      </c>
      <c r="S8099" s="7">
        <f t="shared" si="707"/>
        <v>1</v>
      </c>
      <c r="T8099" s="15" t="str">
        <f>VLOOKUP(R8099,产品分类!$C$2:$D$1278,2,0)</f>
        <v>家具产品</v>
      </c>
    </row>
    <row r="8100" spans="1:20">
      <c r="A8100" s="8">
        <f>DATE(2012,12,31)-334</f>
        <v>40940</v>
      </c>
      <c r="B8100" s="8">
        <f>DATE(2012,12,31)-334</f>
        <v>40940</v>
      </c>
      <c r="C8100" s="9" t="s">
        <v>766</v>
      </c>
      <c r="D8100">
        <v>10021433722</v>
      </c>
      <c r="E8100" t="s">
        <v>47</v>
      </c>
      <c r="F8100" t="s">
        <v>83</v>
      </c>
      <c r="G8100" t="s">
        <v>84</v>
      </c>
      <c r="H8100" t="s">
        <v>2577</v>
      </c>
      <c r="I8100" t="s">
        <v>2578</v>
      </c>
      <c r="J8100" t="s">
        <v>52</v>
      </c>
      <c r="K8100" s="3">
        <v>100732629215</v>
      </c>
      <c r="L8100" s="10">
        <v>40942</v>
      </c>
      <c r="M8100">
        <v>362.71</v>
      </c>
      <c r="N8100" s="11">
        <v>48</v>
      </c>
      <c r="O8100" s="12">
        <v>7.68</v>
      </c>
      <c r="P8100" s="12">
        <v>6.16</v>
      </c>
      <c r="Q8100" s="13">
        <v>-88.9525</v>
      </c>
      <c r="R8100" s="36" t="s">
        <v>1090</v>
      </c>
      <c r="S8100" s="7">
        <f t="shared" si="707"/>
        <v>2</v>
      </c>
      <c r="T8100" s="15" t="str">
        <f>VLOOKUP(R8100,产品分类!$C$2:$D$1278,2,0)</f>
        <v>办公用品</v>
      </c>
    </row>
    <row r="8101" spans="1:20">
      <c r="A8101" s="8">
        <f>DATE(2012,12,31)-334</f>
        <v>40940</v>
      </c>
      <c r="B8101" s="8">
        <f>DATE(2012,12,31)-334</f>
        <v>40940</v>
      </c>
      <c r="C8101" s="9" t="s">
        <v>466</v>
      </c>
      <c r="D8101">
        <v>10021515719</v>
      </c>
      <c r="E8101" t="s">
        <v>47</v>
      </c>
      <c r="F8101" t="s">
        <v>152</v>
      </c>
      <c r="G8101" t="s">
        <v>153</v>
      </c>
      <c r="H8101" t="s">
        <v>154</v>
      </c>
      <c r="I8101" t="s">
        <v>155</v>
      </c>
      <c r="J8101" t="s">
        <v>52</v>
      </c>
      <c r="K8101" s="3">
        <v>100128836148</v>
      </c>
      <c r="L8101" s="10">
        <v>40942</v>
      </c>
      <c r="M8101">
        <v>2077.1875</v>
      </c>
      <c r="N8101" s="11">
        <v>12</v>
      </c>
      <c r="O8101" s="12">
        <v>200.99</v>
      </c>
      <c r="P8101" s="12">
        <v>4.2</v>
      </c>
      <c r="Q8101" s="13">
        <v>-38.071</v>
      </c>
      <c r="R8101" s="36" t="s">
        <v>1694</v>
      </c>
      <c r="S8101" s="7">
        <f t="shared" si="707"/>
        <v>2</v>
      </c>
      <c r="T8101" s="15" t="str">
        <f>VLOOKUP(R8101,产品分类!$C$2:$D$1278,2,0)</f>
        <v>家具产品</v>
      </c>
    </row>
    <row r="8102" spans="1:20">
      <c r="A8102" s="8">
        <f>DATE(2012,12,31)-1374</f>
        <v>39900</v>
      </c>
      <c r="B8102" s="8">
        <f>DATE(2012,12,31)-1374</f>
        <v>39900</v>
      </c>
      <c r="C8102" s="9" t="s">
        <v>1523</v>
      </c>
      <c r="D8102">
        <v>10021393875</v>
      </c>
      <c r="E8102" t="s">
        <v>47</v>
      </c>
      <c r="F8102" t="s">
        <v>66</v>
      </c>
      <c r="G8102" t="s">
        <v>67</v>
      </c>
      <c r="H8102" t="s">
        <v>2584</v>
      </c>
      <c r="I8102" t="s">
        <v>2585</v>
      </c>
      <c r="J8102" t="s">
        <v>52</v>
      </c>
      <c r="K8102" s="3">
        <v>100832353392</v>
      </c>
      <c r="L8102" s="10">
        <v>39901</v>
      </c>
      <c r="M8102">
        <v>171.77</v>
      </c>
      <c r="N8102" s="11">
        <v>6</v>
      </c>
      <c r="O8102" s="12">
        <v>25.98</v>
      </c>
      <c r="P8102" s="12">
        <v>14.36</v>
      </c>
      <c r="Q8102" s="13">
        <v>-59.88</v>
      </c>
      <c r="R8102" s="36" t="s">
        <v>471</v>
      </c>
      <c r="S8102" s="7">
        <f t="shared" si="707"/>
        <v>1</v>
      </c>
      <c r="T8102" s="15" t="str">
        <f>VLOOKUP(R8102,产品分类!$C$2:$D$1278,2,0)</f>
        <v>办公用品</v>
      </c>
    </row>
    <row r="8103" spans="1:20">
      <c r="A8103" s="8">
        <f>DATE(2012,12,31)-680</f>
        <v>40594</v>
      </c>
      <c r="B8103" s="8">
        <f>DATE(2012,12,31)-680</f>
        <v>40594</v>
      </c>
      <c r="C8103" s="9" t="s">
        <v>1523</v>
      </c>
      <c r="D8103">
        <v>10021328470</v>
      </c>
      <c r="E8103" t="s">
        <v>47</v>
      </c>
      <c r="F8103" t="s">
        <v>152</v>
      </c>
      <c r="G8103" t="s">
        <v>153</v>
      </c>
      <c r="H8103" t="s">
        <v>154</v>
      </c>
      <c r="I8103" t="s">
        <v>155</v>
      </c>
      <c r="J8103" t="s">
        <v>52</v>
      </c>
      <c r="K8103" s="3">
        <v>100910340021</v>
      </c>
      <c r="L8103" s="10">
        <v>40595</v>
      </c>
      <c r="M8103">
        <v>134.86</v>
      </c>
      <c r="N8103" s="11">
        <v>42</v>
      </c>
      <c r="O8103" s="12">
        <v>3.14</v>
      </c>
      <c r="P8103" s="12">
        <v>1.92</v>
      </c>
      <c r="Q8103" s="13">
        <v>-62.84</v>
      </c>
      <c r="R8103" s="36" t="s">
        <v>602</v>
      </c>
      <c r="S8103" s="7">
        <f t="shared" si="707"/>
        <v>1</v>
      </c>
      <c r="T8103" s="15" t="str">
        <f>VLOOKUP(R8103,产品分类!$C$2:$D$1278,2,0)</f>
        <v>办公用品</v>
      </c>
    </row>
    <row r="8104" spans="1:20">
      <c r="A8104" s="16">
        <f>DATE(2012,12,31)-1111</f>
        <v>40163</v>
      </c>
      <c r="B8104" s="16">
        <f>DATE(2012,12,31)-1111</f>
        <v>40163</v>
      </c>
      <c r="C8104" s="9" t="s">
        <v>1751</v>
      </c>
      <c r="D8104">
        <v>10021378654</v>
      </c>
      <c r="E8104" t="s">
        <v>47</v>
      </c>
      <c r="F8104" t="s">
        <v>66</v>
      </c>
      <c r="G8104" t="s">
        <v>67</v>
      </c>
      <c r="H8104" t="s">
        <v>2584</v>
      </c>
      <c r="I8104" t="s">
        <v>2585</v>
      </c>
      <c r="J8104" t="s">
        <v>52</v>
      </c>
      <c r="K8104" s="3">
        <v>100332578799</v>
      </c>
      <c r="L8104" s="10">
        <v>40170</v>
      </c>
      <c r="M8104">
        <v>778.38</v>
      </c>
      <c r="N8104" s="17">
        <v>29</v>
      </c>
      <c r="O8104" s="5">
        <v>26.38</v>
      </c>
      <c r="P8104" s="5">
        <v>5.86</v>
      </c>
      <c r="Q8104" s="6">
        <v>257.32</v>
      </c>
      <c r="R8104" s="37" t="s">
        <v>958</v>
      </c>
      <c r="S8104" s="7">
        <f t="shared" si="707"/>
        <v>7</v>
      </c>
      <c r="T8104" s="15" t="str">
        <f>VLOOKUP(R8104,产品分类!$C$2:$D$1278,2,0)</f>
        <v>办公用品</v>
      </c>
    </row>
    <row r="8105" spans="1:20">
      <c r="A8105" s="8">
        <f>DATE(2012,12,31)-229</f>
        <v>41045</v>
      </c>
      <c r="B8105" s="8">
        <f>DATE(2012,12,31)-229</f>
        <v>41045</v>
      </c>
      <c r="C8105" s="9" t="s">
        <v>1751</v>
      </c>
      <c r="D8105">
        <v>10021766081</v>
      </c>
      <c r="E8105" t="s">
        <v>47</v>
      </c>
      <c r="F8105" t="s">
        <v>78</v>
      </c>
      <c r="G8105" t="s">
        <v>79</v>
      </c>
      <c r="H8105" t="s">
        <v>80</v>
      </c>
      <c r="I8105" t="s">
        <v>81</v>
      </c>
      <c r="J8105" t="s">
        <v>52</v>
      </c>
      <c r="K8105" s="3">
        <v>100130248797</v>
      </c>
      <c r="L8105" s="10">
        <v>41045</v>
      </c>
      <c r="M8105">
        <v>203.49</v>
      </c>
      <c r="N8105" s="11">
        <v>33</v>
      </c>
      <c r="O8105" s="12">
        <v>5.84</v>
      </c>
      <c r="P8105" s="12">
        <v>1.2</v>
      </c>
      <c r="Q8105" s="13">
        <v>46.21</v>
      </c>
      <c r="R8105" s="36" t="s">
        <v>1509</v>
      </c>
      <c r="S8105" s="7">
        <f t="shared" si="707"/>
        <v>0</v>
      </c>
      <c r="T8105" s="15" t="str">
        <f>VLOOKUP(R8105,产品分类!$C$2:$D$1278,2,0)</f>
        <v>家具产品</v>
      </c>
    </row>
    <row r="8106" spans="1:20">
      <c r="A8106" s="8">
        <f>DATE(2012,12,31)-1323</f>
        <v>39951</v>
      </c>
      <c r="B8106" s="8">
        <f>DATE(2012,12,31)-1323</f>
        <v>39951</v>
      </c>
      <c r="C8106" s="9" t="s">
        <v>1741</v>
      </c>
      <c r="D8106">
        <v>10021724582</v>
      </c>
      <c r="E8106" t="s">
        <v>47</v>
      </c>
      <c r="F8106" t="s">
        <v>72</v>
      </c>
      <c r="G8106" t="s">
        <v>73</v>
      </c>
      <c r="H8106" t="s">
        <v>2606</v>
      </c>
      <c r="I8106" t="s">
        <v>2607</v>
      </c>
      <c r="J8106" t="s">
        <v>52</v>
      </c>
      <c r="K8106" s="3">
        <v>100111202707</v>
      </c>
      <c r="L8106" s="10">
        <v>39951</v>
      </c>
      <c r="M8106">
        <v>470.74</v>
      </c>
      <c r="N8106" s="11">
        <v>41</v>
      </c>
      <c r="O8106" s="12">
        <v>10.98</v>
      </c>
      <c r="P8106" s="12">
        <v>3.99</v>
      </c>
      <c r="Q8106" s="13">
        <v>24.09</v>
      </c>
      <c r="R8106" s="36" t="s">
        <v>1864</v>
      </c>
      <c r="S8106" s="7">
        <f t="shared" si="707"/>
        <v>0</v>
      </c>
      <c r="T8106" s="15" t="str">
        <f>VLOOKUP(R8106,产品分类!$C$2:$D$1278,2,0)</f>
        <v>办公用品</v>
      </c>
    </row>
    <row r="8107" spans="1:20">
      <c r="A8107" s="8">
        <f>DATE(2012,12,31)-969</f>
        <v>40305</v>
      </c>
      <c r="B8107" s="8">
        <f>DATE(2012,12,31)-969</f>
        <v>40305</v>
      </c>
      <c r="C8107" s="9" t="s">
        <v>1741</v>
      </c>
      <c r="D8107">
        <v>10021643761</v>
      </c>
      <c r="E8107" t="s">
        <v>47</v>
      </c>
      <c r="F8107" t="s">
        <v>230</v>
      </c>
      <c r="G8107" t="s">
        <v>231</v>
      </c>
      <c r="H8107" t="s">
        <v>2602</v>
      </c>
      <c r="I8107" t="s">
        <v>2603</v>
      </c>
      <c r="J8107" t="s">
        <v>52</v>
      </c>
      <c r="K8107" s="3">
        <v>10013380268</v>
      </c>
      <c r="L8107" s="10">
        <v>40305</v>
      </c>
      <c r="M8107">
        <v>60.36</v>
      </c>
      <c r="N8107" s="11">
        <v>24</v>
      </c>
      <c r="O8107" s="12">
        <v>2.16</v>
      </c>
      <c r="P8107" s="12">
        <v>6.05</v>
      </c>
      <c r="Q8107" s="13">
        <v>-119.623</v>
      </c>
      <c r="R8107" s="36" t="s">
        <v>847</v>
      </c>
      <c r="S8107" s="7">
        <f t="shared" si="707"/>
        <v>0</v>
      </c>
      <c r="T8107" s="15" t="str">
        <f>VLOOKUP(R8107,产品分类!$C$2:$D$1278,2,0)</f>
        <v>数码电子</v>
      </c>
    </row>
    <row r="8108" spans="1:20">
      <c r="A8108" s="8">
        <f>DATE(2012,12,31)-1189</f>
        <v>40085</v>
      </c>
      <c r="B8108" s="8">
        <f>DATE(2012,12,31)-1189</f>
        <v>40085</v>
      </c>
      <c r="C8108" s="9" t="s">
        <v>1992</v>
      </c>
      <c r="D8108">
        <v>10021713277</v>
      </c>
      <c r="E8108" t="s">
        <v>47</v>
      </c>
      <c r="F8108" t="s">
        <v>230</v>
      </c>
      <c r="G8108" t="s">
        <v>231</v>
      </c>
      <c r="H8108" t="s">
        <v>2602</v>
      </c>
      <c r="I8108" t="s">
        <v>2603</v>
      </c>
      <c r="J8108" t="s">
        <v>52</v>
      </c>
      <c r="K8108" s="3">
        <v>100415532563</v>
      </c>
      <c r="L8108" s="10">
        <v>40085</v>
      </c>
      <c r="M8108">
        <v>211.48</v>
      </c>
      <c r="N8108" s="11">
        <v>33</v>
      </c>
      <c r="O8108" s="12">
        <v>6.75</v>
      </c>
      <c r="P8108" s="12">
        <v>2.99</v>
      </c>
      <c r="Q8108" s="13">
        <v>18.1475</v>
      </c>
      <c r="R8108" s="36" t="s">
        <v>1707</v>
      </c>
      <c r="S8108" s="7">
        <f t="shared" si="707"/>
        <v>0</v>
      </c>
      <c r="T8108" s="15" t="str">
        <f>VLOOKUP(R8108,产品分类!$C$2:$D$1278,2,0)</f>
        <v>办公用品</v>
      </c>
    </row>
    <row r="8109" spans="1:20">
      <c r="A8109" s="8">
        <f>DATE(2012,12,31)-1189</f>
        <v>40085</v>
      </c>
      <c r="B8109" s="8">
        <f>DATE(2012,12,31)-1189</f>
        <v>40085</v>
      </c>
      <c r="C8109" s="9" t="s">
        <v>1414</v>
      </c>
      <c r="D8109">
        <v>10021484699</v>
      </c>
      <c r="E8109" t="s">
        <v>47</v>
      </c>
      <c r="F8109" t="s">
        <v>91</v>
      </c>
      <c r="G8109" t="s">
        <v>92</v>
      </c>
      <c r="H8109" t="s">
        <v>2621</v>
      </c>
      <c r="I8109" t="s">
        <v>2622</v>
      </c>
      <c r="J8109" t="s">
        <v>52</v>
      </c>
      <c r="K8109" s="3">
        <v>100930736191</v>
      </c>
      <c r="L8109" s="10">
        <v>40085</v>
      </c>
      <c r="M8109">
        <v>5601.1</v>
      </c>
      <c r="N8109" s="11">
        <v>38</v>
      </c>
      <c r="O8109" s="12">
        <v>142.86</v>
      </c>
      <c r="P8109" s="12">
        <v>19.99</v>
      </c>
      <c r="Q8109" s="13">
        <v>1515.7</v>
      </c>
      <c r="R8109" s="36" t="s">
        <v>1562</v>
      </c>
      <c r="S8109" s="7">
        <f t="shared" si="707"/>
        <v>0</v>
      </c>
      <c r="T8109" s="15" t="str">
        <f>VLOOKUP(R8109,产品分类!$C$2:$D$1278,2,0)</f>
        <v>办公用品</v>
      </c>
    </row>
    <row r="8110" spans="1:20">
      <c r="A8110" s="8">
        <f>DATE(2012,12,31)-483</f>
        <v>40791</v>
      </c>
      <c r="B8110" s="8">
        <f>DATE(2012,12,31)-483</f>
        <v>40791</v>
      </c>
      <c r="C8110" s="9" t="s">
        <v>2369</v>
      </c>
      <c r="D8110">
        <v>10021681057</v>
      </c>
      <c r="E8110" t="s">
        <v>47</v>
      </c>
      <c r="F8110" t="s">
        <v>55</v>
      </c>
      <c r="G8110" t="s">
        <v>56</v>
      </c>
      <c r="H8110" t="s">
        <v>2633</v>
      </c>
      <c r="I8110" t="s">
        <v>2634</v>
      </c>
      <c r="J8110" t="s">
        <v>52</v>
      </c>
      <c r="K8110" s="3">
        <v>100933270131</v>
      </c>
      <c r="L8110" s="10">
        <v>40792</v>
      </c>
      <c r="M8110">
        <v>39.49</v>
      </c>
      <c r="N8110" s="11">
        <v>3</v>
      </c>
      <c r="O8110" s="12">
        <v>11.58</v>
      </c>
      <c r="P8110" s="12">
        <v>5.72</v>
      </c>
      <c r="Q8110" s="13">
        <v>-12.99</v>
      </c>
      <c r="R8110" s="36" t="s">
        <v>1189</v>
      </c>
      <c r="S8110" s="7">
        <f t="shared" si="707"/>
        <v>1</v>
      </c>
      <c r="T8110" s="15" t="str">
        <f>VLOOKUP(R8110,产品分类!$C$2:$D$1278,2,0)</f>
        <v>家具产品</v>
      </c>
    </row>
    <row r="8111" spans="1:20">
      <c r="A8111" s="8">
        <f>DATE(2012,12,31)-85</f>
        <v>41189</v>
      </c>
      <c r="B8111" s="8">
        <f>DATE(2012,12,31)-85</f>
        <v>41189</v>
      </c>
      <c r="C8111" s="9" t="s">
        <v>1414</v>
      </c>
      <c r="D8111">
        <v>10021618295</v>
      </c>
      <c r="E8111" t="s">
        <v>47</v>
      </c>
      <c r="F8111" t="s">
        <v>91</v>
      </c>
      <c r="G8111" t="s">
        <v>92</v>
      </c>
      <c r="H8111" t="s">
        <v>2621</v>
      </c>
      <c r="I8111" t="s">
        <v>2622</v>
      </c>
      <c r="J8111" t="s">
        <v>52</v>
      </c>
      <c r="K8111" s="3">
        <v>100927390631</v>
      </c>
      <c r="L8111" s="10">
        <v>41191</v>
      </c>
      <c r="M8111">
        <v>36.43</v>
      </c>
      <c r="N8111" s="11">
        <v>5</v>
      </c>
      <c r="O8111" s="12">
        <v>5.98</v>
      </c>
      <c r="P8111" s="12">
        <v>7.15</v>
      </c>
      <c r="Q8111" s="13">
        <v>-22.04</v>
      </c>
      <c r="R8111" s="36" t="s">
        <v>1483</v>
      </c>
      <c r="S8111" s="7">
        <f t="shared" si="707"/>
        <v>2</v>
      </c>
      <c r="T8111" s="15" t="str">
        <f>VLOOKUP(R8111,产品分类!$C$2:$D$1278,2,0)</f>
        <v>办公用品</v>
      </c>
    </row>
    <row r="8112" spans="1:20">
      <c r="A8112" s="8">
        <f>DATE(2012,12,31)-1410</f>
        <v>39864</v>
      </c>
      <c r="B8112" s="8">
        <f>DATE(2012,12,31)-1410</f>
        <v>39864</v>
      </c>
      <c r="C8112" s="9" t="s">
        <v>96</v>
      </c>
      <c r="D8112">
        <v>10021377146</v>
      </c>
      <c r="E8112" t="s">
        <v>47</v>
      </c>
      <c r="F8112" t="s">
        <v>91</v>
      </c>
      <c r="G8112" t="s">
        <v>92</v>
      </c>
      <c r="H8112" t="s">
        <v>2621</v>
      </c>
      <c r="I8112" t="s">
        <v>2622</v>
      </c>
      <c r="J8112" t="s">
        <v>52</v>
      </c>
      <c r="K8112" s="3">
        <v>100132807497</v>
      </c>
      <c r="L8112" s="10">
        <v>39866</v>
      </c>
      <c r="M8112">
        <v>479.13</v>
      </c>
      <c r="N8112" s="11">
        <v>24</v>
      </c>
      <c r="O8112" s="12">
        <v>19.23</v>
      </c>
      <c r="P8112" s="12">
        <v>6.15</v>
      </c>
      <c r="Q8112" s="13">
        <v>166.92</v>
      </c>
      <c r="R8112" s="36" t="s">
        <v>146</v>
      </c>
      <c r="S8112" s="7">
        <f t="shared" si="707"/>
        <v>2</v>
      </c>
      <c r="T8112" s="15" t="str">
        <f>VLOOKUP(R8112,产品分类!$C$2:$D$1278,2,0)</f>
        <v>办公用品</v>
      </c>
    </row>
    <row r="8113" spans="1:20">
      <c r="A8113" s="8">
        <f>DATE(2012,12,31)-25</f>
        <v>41249</v>
      </c>
      <c r="B8113" s="8">
        <f>DATE(2012,12,31)-25</f>
        <v>41249</v>
      </c>
      <c r="C8113" s="9" t="s">
        <v>96</v>
      </c>
      <c r="D8113">
        <v>10021604761</v>
      </c>
      <c r="E8113" t="s">
        <v>47</v>
      </c>
      <c r="F8113" t="s">
        <v>91</v>
      </c>
      <c r="G8113" t="s">
        <v>92</v>
      </c>
      <c r="H8113" t="s">
        <v>2621</v>
      </c>
      <c r="I8113" t="s">
        <v>2622</v>
      </c>
      <c r="J8113" t="s">
        <v>52</v>
      </c>
      <c r="K8113" s="3">
        <v>100926976191</v>
      </c>
      <c r="L8113" s="10">
        <v>41250</v>
      </c>
      <c r="M8113">
        <v>144.03</v>
      </c>
      <c r="N8113" s="11">
        <v>38</v>
      </c>
      <c r="O8113" s="12">
        <v>3.58</v>
      </c>
      <c r="P8113" s="12">
        <v>5.47</v>
      </c>
      <c r="Q8113" s="13">
        <v>-139.518</v>
      </c>
      <c r="R8113" s="36" t="s">
        <v>993</v>
      </c>
      <c r="S8113" s="7">
        <f t="shared" si="707"/>
        <v>1</v>
      </c>
      <c r="T8113" s="15" t="str">
        <f>VLOOKUP(R8113,产品分类!$C$2:$D$1278,2,0)</f>
        <v>数码电子</v>
      </c>
    </row>
    <row r="8114" spans="1:20">
      <c r="A8114" s="8">
        <f>DATE(2012,12,31)-846</f>
        <v>40428</v>
      </c>
      <c r="B8114" s="8">
        <f>DATE(2012,12,31)-846</f>
        <v>40428</v>
      </c>
      <c r="C8114" s="9" t="s">
        <v>430</v>
      </c>
      <c r="D8114">
        <v>10021723009</v>
      </c>
      <c r="E8114" t="s">
        <v>47</v>
      </c>
      <c r="F8114" t="s">
        <v>91</v>
      </c>
      <c r="G8114" t="s">
        <v>92</v>
      </c>
      <c r="H8114" t="s">
        <v>2621</v>
      </c>
      <c r="I8114" t="s">
        <v>2622</v>
      </c>
      <c r="J8114" t="s">
        <v>52</v>
      </c>
      <c r="K8114" s="3">
        <v>1004443243</v>
      </c>
      <c r="L8114" s="10">
        <v>40429</v>
      </c>
      <c r="M8114">
        <v>146.71</v>
      </c>
      <c r="N8114" s="11">
        <v>36</v>
      </c>
      <c r="O8114" s="12">
        <v>4</v>
      </c>
      <c r="P8114" s="12">
        <v>1.3</v>
      </c>
      <c r="Q8114" s="13">
        <v>38.63</v>
      </c>
      <c r="R8114" s="36" t="s">
        <v>1239</v>
      </c>
      <c r="S8114" s="7">
        <f t="shared" si="707"/>
        <v>1</v>
      </c>
      <c r="T8114" s="15" t="str">
        <f>VLOOKUP(R8114,产品分类!$C$2:$D$1278,2,0)</f>
        <v>办公用品</v>
      </c>
    </row>
    <row r="8115" spans="1:20">
      <c r="A8115" s="16">
        <f>DATE(2012,12,31)-846</f>
        <v>40428</v>
      </c>
      <c r="B8115" s="16">
        <f>DATE(2012,12,31)-846</f>
        <v>40428</v>
      </c>
      <c r="C8115" s="9" t="s">
        <v>893</v>
      </c>
      <c r="D8115">
        <v>10021573036</v>
      </c>
      <c r="E8115" t="s">
        <v>47</v>
      </c>
      <c r="F8115" t="s">
        <v>171</v>
      </c>
      <c r="G8115" t="s">
        <v>172</v>
      </c>
      <c r="H8115" t="s">
        <v>2486</v>
      </c>
      <c r="I8115" t="s">
        <v>2310</v>
      </c>
      <c r="J8115" t="s">
        <v>52</v>
      </c>
      <c r="K8115" s="3">
        <v>100126924386</v>
      </c>
      <c r="L8115" s="10">
        <v>40429</v>
      </c>
      <c r="M8115">
        <v>475.92</v>
      </c>
      <c r="N8115" s="17">
        <v>36</v>
      </c>
      <c r="O8115" s="5">
        <v>12.88</v>
      </c>
      <c r="P8115" s="5">
        <v>4.59</v>
      </c>
      <c r="Q8115" s="6">
        <v>-95.3</v>
      </c>
      <c r="R8115" s="37" t="s">
        <v>496</v>
      </c>
      <c r="S8115" s="7">
        <f t="shared" si="707"/>
        <v>1</v>
      </c>
      <c r="T8115" s="15" t="str">
        <f>VLOOKUP(R8115,产品分类!$C$2:$D$1278,2,0)</f>
        <v>办公用品</v>
      </c>
    </row>
    <row r="8116" spans="1:20">
      <c r="A8116" s="16">
        <f>DATE(2012,12,31)-465</f>
        <v>40809</v>
      </c>
      <c r="B8116" s="16">
        <f>DATE(2012,12,31)-465</f>
        <v>40809</v>
      </c>
      <c r="C8116" s="9" t="s">
        <v>1537</v>
      </c>
      <c r="D8116">
        <v>10021375116</v>
      </c>
      <c r="E8116" t="s">
        <v>47</v>
      </c>
      <c r="F8116" t="s">
        <v>527</v>
      </c>
      <c r="G8116" t="s">
        <v>528</v>
      </c>
      <c r="H8116" t="s">
        <v>2624</v>
      </c>
      <c r="I8116" t="s">
        <v>2625</v>
      </c>
      <c r="J8116" t="s">
        <v>52</v>
      </c>
      <c r="K8116" s="3">
        <v>100132642067</v>
      </c>
      <c r="L8116" s="10">
        <v>40809</v>
      </c>
      <c r="M8116">
        <v>1058.82</v>
      </c>
      <c r="N8116" s="17">
        <v>8</v>
      </c>
      <c r="O8116" s="5">
        <v>131.12</v>
      </c>
      <c r="P8116" s="5">
        <v>0.99</v>
      </c>
      <c r="Q8116" s="6">
        <v>211.73</v>
      </c>
      <c r="R8116" s="37" t="s">
        <v>224</v>
      </c>
      <c r="S8116" s="7">
        <f t="shared" si="707"/>
        <v>0</v>
      </c>
      <c r="T8116" s="15" t="str">
        <f>VLOOKUP(R8116,产品分类!$C$2:$D$1278,2,0)</f>
        <v>办公用品</v>
      </c>
    </row>
    <row r="8117" spans="1:20">
      <c r="A8117" s="8">
        <f>DATE(2012,12,31)-465</f>
        <v>40809</v>
      </c>
      <c r="B8117" s="8">
        <f>DATE(2012,12,31)-465</f>
        <v>40809</v>
      </c>
      <c r="C8117" s="9" t="s">
        <v>1537</v>
      </c>
      <c r="D8117">
        <v>10021732137</v>
      </c>
      <c r="E8117" t="s">
        <v>47</v>
      </c>
      <c r="F8117" t="s">
        <v>171</v>
      </c>
      <c r="G8117" t="s">
        <v>172</v>
      </c>
      <c r="H8117" t="s">
        <v>2486</v>
      </c>
      <c r="I8117" t="s">
        <v>2310</v>
      </c>
      <c r="J8117" t="s">
        <v>52</v>
      </c>
      <c r="K8117" s="3">
        <v>100125123926</v>
      </c>
      <c r="L8117" s="10">
        <v>40811</v>
      </c>
      <c r="M8117">
        <v>92.07</v>
      </c>
      <c r="N8117" s="11">
        <v>14</v>
      </c>
      <c r="O8117" s="12">
        <v>6.48</v>
      </c>
      <c r="P8117" s="12">
        <v>7.86</v>
      </c>
      <c r="Q8117" s="13">
        <v>-64.5</v>
      </c>
      <c r="R8117" s="36" t="s">
        <v>1352</v>
      </c>
      <c r="S8117" s="7">
        <f t="shared" si="707"/>
        <v>2</v>
      </c>
      <c r="T8117" s="15" t="str">
        <f>VLOOKUP(R8117,产品分类!$C$2:$D$1278,2,0)</f>
        <v>数码电子</v>
      </c>
    </row>
    <row r="8118" spans="1:20">
      <c r="A8118" s="8">
        <f>DATE(2012,12,31)-925</f>
        <v>40349</v>
      </c>
      <c r="B8118" s="8">
        <f>DATE(2012,12,31)-925</f>
        <v>40349</v>
      </c>
      <c r="C8118" s="9" t="s">
        <v>2427</v>
      </c>
      <c r="D8118">
        <v>10021437974</v>
      </c>
      <c r="E8118" t="s">
        <v>47</v>
      </c>
      <c r="F8118" t="s">
        <v>171</v>
      </c>
      <c r="G8118" t="s">
        <v>172</v>
      </c>
      <c r="H8118" t="s">
        <v>2486</v>
      </c>
      <c r="I8118" t="s">
        <v>2310</v>
      </c>
      <c r="J8118" t="s">
        <v>52</v>
      </c>
      <c r="K8118" s="3">
        <v>100732245455</v>
      </c>
      <c r="L8118" s="10">
        <v>40349</v>
      </c>
      <c r="M8118">
        <v>244.9</v>
      </c>
      <c r="N8118" s="11">
        <v>31</v>
      </c>
      <c r="O8118" s="12">
        <v>8.46</v>
      </c>
      <c r="P8118" s="12">
        <v>3.62</v>
      </c>
      <c r="Q8118" s="13">
        <v>-61.14</v>
      </c>
      <c r="R8118" s="36" t="s">
        <v>969</v>
      </c>
      <c r="S8118" s="7">
        <f t="shared" si="707"/>
        <v>0</v>
      </c>
      <c r="T8118" s="15" t="str">
        <f>VLOOKUP(R8118,产品分类!$C$2:$D$1278,2,0)</f>
        <v>家具产品</v>
      </c>
    </row>
    <row r="8119" spans="1:20">
      <c r="A8119" s="16">
        <f>DATE(2012,12,31)-1437</f>
        <v>39837</v>
      </c>
      <c r="B8119" s="16">
        <f>DATE(2012,12,31)-1437</f>
        <v>39837</v>
      </c>
      <c r="C8119" s="9" t="s">
        <v>2427</v>
      </c>
      <c r="D8119">
        <v>10021391523</v>
      </c>
      <c r="E8119" t="s">
        <v>47</v>
      </c>
      <c r="F8119" t="s">
        <v>177</v>
      </c>
      <c r="G8119" t="s">
        <v>178</v>
      </c>
      <c r="H8119" t="s">
        <v>2626</v>
      </c>
      <c r="I8119" t="s">
        <v>2627</v>
      </c>
      <c r="J8119" t="s">
        <v>52</v>
      </c>
      <c r="K8119" s="3">
        <v>100132768617</v>
      </c>
      <c r="L8119" s="10">
        <v>39839</v>
      </c>
      <c r="M8119">
        <v>294.68</v>
      </c>
      <c r="N8119" s="17">
        <v>23</v>
      </c>
      <c r="O8119" s="5">
        <v>11.7</v>
      </c>
      <c r="P8119" s="5">
        <v>6.96</v>
      </c>
      <c r="Q8119" s="6">
        <v>-23.35</v>
      </c>
      <c r="R8119" s="37" t="s">
        <v>634</v>
      </c>
      <c r="S8119" s="7">
        <f t="shared" si="707"/>
        <v>2</v>
      </c>
      <c r="T8119" s="15" t="str">
        <f>VLOOKUP(R8119,产品分类!$C$2:$D$1278,2,0)</f>
        <v>办公用品</v>
      </c>
    </row>
    <row r="8120" spans="1:20">
      <c r="A8120" s="8">
        <f>DATE(2012,12,31)-112</f>
        <v>41162</v>
      </c>
      <c r="B8120" s="8">
        <f>DATE(2012,12,31)-112</f>
        <v>41162</v>
      </c>
      <c r="C8120" s="9" t="s">
        <v>1006</v>
      </c>
      <c r="D8120">
        <v>10021572407</v>
      </c>
      <c r="E8120" t="s">
        <v>47</v>
      </c>
      <c r="F8120" t="s">
        <v>177</v>
      </c>
      <c r="G8120" t="s">
        <v>178</v>
      </c>
      <c r="H8120" t="s">
        <v>2626</v>
      </c>
      <c r="I8120" t="s">
        <v>2627</v>
      </c>
      <c r="J8120" t="s">
        <v>52</v>
      </c>
      <c r="K8120" s="3">
        <v>100129918407</v>
      </c>
      <c r="L8120" s="10">
        <v>41164</v>
      </c>
      <c r="M8120">
        <v>3512.9</v>
      </c>
      <c r="N8120" s="11">
        <v>37</v>
      </c>
      <c r="O8120" s="12">
        <v>99.23</v>
      </c>
      <c r="P8120" s="12">
        <v>8.99</v>
      </c>
      <c r="Q8120" s="13">
        <v>2093.7</v>
      </c>
      <c r="R8120" s="36" t="s">
        <v>676</v>
      </c>
      <c r="S8120" s="7">
        <f t="shared" si="707"/>
        <v>2</v>
      </c>
      <c r="T8120" s="15" t="str">
        <f>VLOOKUP(R8120,产品分类!$C$2:$D$1278,2,0)</f>
        <v>办公用品</v>
      </c>
    </row>
    <row r="8121" spans="1:20">
      <c r="A8121" s="8">
        <f>DATE(2012,12,31)-112</f>
        <v>41162</v>
      </c>
      <c r="B8121" s="8">
        <f>DATE(2012,12,31)-112</f>
        <v>41162</v>
      </c>
      <c r="C8121" s="9" t="s">
        <v>119</v>
      </c>
      <c r="D8121">
        <v>10021373834</v>
      </c>
      <c r="E8121" t="s">
        <v>47</v>
      </c>
      <c r="F8121" t="s">
        <v>61</v>
      </c>
      <c r="G8121" t="s">
        <v>62</v>
      </c>
      <c r="H8121" t="s">
        <v>2628</v>
      </c>
      <c r="I8121" t="s">
        <v>2629</v>
      </c>
      <c r="J8121" t="s">
        <v>52</v>
      </c>
      <c r="K8121" s="3">
        <v>100131783657</v>
      </c>
      <c r="L8121" s="10">
        <v>41165</v>
      </c>
      <c r="M8121">
        <v>281.5455</v>
      </c>
      <c r="N8121" s="11">
        <v>4</v>
      </c>
      <c r="O8121" s="12">
        <v>85.99</v>
      </c>
      <c r="P8121" s="12">
        <v>0.99</v>
      </c>
      <c r="Q8121" s="13">
        <v>-434.555</v>
      </c>
      <c r="R8121" s="36" t="s">
        <v>1547</v>
      </c>
      <c r="S8121" s="7">
        <f t="shared" si="707"/>
        <v>3</v>
      </c>
      <c r="T8121" s="15" t="str">
        <f>VLOOKUP(R8121,产品分类!$C$2:$D$1278,2,0)</f>
        <v>办公用品</v>
      </c>
    </row>
    <row r="8122" spans="1:20">
      <c r="A8122" s="16">
        <f>DATE(2012,12,31)-1360</f>
        <v>39914</v>
      </c>
      <c r="B8122" s="16">
        <f>DATE(2012,12,31)-1360</f>
        <v>39914</v>
      </c>
      <c r="C8122" s="9" t="s">
        <v>855</v>
      </c>
      <c r="D8122">
        <v>10021402719</v>
      </c>
      <c r="E8122" t="s">
        <v>47</v>
      </c>
      <c r="F8122" t="s">
        <v>61</v>
      </c>
      <c r="G8122" t="s">
        <v>62</v>
      </c>
      <c r="H8122" t="s">
        <v>2628</v>
      </c>
      <c r="I8122" t="s">
        <v>2629</v>
      </c>
      <c r="J8122" t="s">
        <v>52</v>
      </c>
      <c r="K8122" s="3">
        <v>100128958666</v>
      </c>
      <c r="L8122" s="10">
        <v>39914</v>
      </c>
      <c r="M8122">
        <v>1317.34</v>
      </c>
      <c r="N8122" s="17">
        <v>44</v>
      </c>
      <c r="O8122" s="5">
        <v>30.56</v>
      </c>
      <c r="P8122" s="5">
        <v>2.99</v>
      </c>
      <c r="Q8122" s="6">
        <v>555.934</v>
      </c>
      <c r="R8122" s="37" t="s">
        <v>1972</v>
      </c>
      <c r="S8122" s="7">
        <f t="shared" si="707"/>
        <v>0</v>
      </c>
      <c r="T8122" s="15" t="str">
        <f>VLOOKUP(R8122,产品分类!$C$2:$D$1278,2,0)</f>
        <v>办公用品</v>
      </c>
    </row>
    <row r="8123" spans="1:20">
      <c r="A8123" s="8">
        <f t="shared" ref="A8123:B8125" si="708">DATE(2012,12,31)-955</f>
        <v>40319</v>
      </c>
      <c r="B8123" s="8">
        <f t="shared" si="708"/>
        <v>40319</v>
      </c>
      <c r="C8123" s="9" t="s">
        <v>1153</v>
      </c>
      <c r="D8123">
        <v>10021356997</v>
      </c>
      <c r="E8123" t="s">
        <v>47</v>
      </c>
      <c r="F8123" t="s">
        <v>61</v>
      </c>
      <c r="G8123" t="s">
        <v>62</v>
      </c>
      <c r="H8123" t="s">
        <v>2628</v>
      </c>
      <c r="I8123" t="s">
        <v>2629</v>
      </c>
      <c r="J8123" t="s">
        <v>52</v>
      </c>
      <c r="K8123" s="3">
        <v>10018747707</v>
      </c>
      <c r="L8123" s="10">
        <v>40319</v>
      </c>
      <c r="M8123">
        <v>2173.26</v>
      </c>
      <c r="N8123" s="11">
        <v>35</v>
      </c>
      <c r="O8123" s="12">
        <v>58.14</v>
      </c>
      <c r="P8123" s="12">
        <v>36.61</v>
      </c>
      <c r="Q8123" s="13">
        <v>-465.66</v>
      </c>
      <c r="R8123" s="36" t="s">
        <v>901</v>
      </c>
      <c r="S8123" s="7">
        <f t="shared" si="707"/>
        <v>0</v>
      </c>
      <c r="T8123" s="15" t="str">
        <f>VLOOKUP(R8123,产品分类!$C$2:$D$1278,2,0)</f>
        <v>家具产品</v>
      </c>
    </row>
    <row r="8124" spans="1:20">
      <c r="A8124" s="8">
        <f t="shared" si="708"/>
        <v>40319</v>
      </c>
      <c r="B8124" s="8">
        <f t="shared" si="708"/>
        <v>40319</v>
      </c>
      <c r="C8124" s="9" t="s">
        <v>742</v>
      </c>
      <c r="D8124">
        <v>10021604067</v>
      </c>
      <c r="E8124" t="s">
        <v>47</v>
      </c>
      <c r="F8124" t="s">
        <v>48</v>
      </c>
      <c r="G8124" t="s">
        <v>49</v>
      </c>
      <c r="H8124" t="s">
        <v>2641</v>
      </c>
      <c r="I8124" t="s">
        <v>2642</v>
      </c>
      <c r="J8124" t="s">
        <v>52</v>
      </c>
      <c r="K8124" s="3">
        <v>10013312867</v>
      </c>
      <c r="L8124" s="10">
        <v>40320</v>
      </c>
      <c r="M8124">
        <v>623.29</v>
      </c>
      <c r="N8124" s="11">
        <v>20</v>
      </c>
      <c r="O8124" s="12">
        <v>29.99</v>
      </c>
      <c r="P8124" s="12">
        <v>5.5</v>
      </c>
      <c r="Q8124" s="13">
        <v>57.44</v>
      </c>
      <c r="R8124" s="36" t="s">
        <v>163</v>
      </c>
      <c r="S8124" s="7">
        <f t="shared" si="707"/>
        <v>1</v>
      </c>
      <c r="T8124" s="15" t="str">
        <f>VLOOKUP(R8124,产品分类!$C$2:$D$1278,2,0)</f>
        <v>家具产品</v>
      </c>
    </row>
    <row r="8125" spans="1:20">
      <c r="A8125" s="8">
        <f t="shared" si="708"/>
        <v>40319</v>
      </c>
      <c r="B8125" s="8">
        <f t="shared" si="708"/>
        <v>40319</v>
      </c>
      <c r="C8125" s="9" t="s">
        <v>1130</v>
      </c>
      <c r="D8125">
        <v>10021307829</v>
      </c>
      <c r="E8125" t="s">
        <v>47</v>
      </c>
      <c r="F8125" t="s">
        <v>72</v>
      </c>
      <c r="G8125" t="s">
        <v>73</v>
      </c>
      <c r="H8125" t="s">
        <v>2606</v>
      </c>
      <c r="I8125" t="s">
        <v>2607</v>
      </c>
      <c r="J8125" t="s">
        <v>52</v>
      </c>
      <c r="K8125" s="3">
        <v>10084972972</v>
      </c>
      <c r="L8125" s="10">
        <v>40321</v>
      </c>
      <c r="M8125">
        <v>40.34</v>
      </c>
      <c r="N8125" s="11">
        <v>2</v>
      </c>
      <c r="O8125" s="12">
        <v>16.16</v>
      </c>
      <c r="P8125" s="12">
        <v>7.74</v>
      </c>
      <c r="Q8125" s="13">
        <v>-23.62</v>
      </c>
      <c r="R8125" s="36" t="s">
        <v>694</v>
      </c>
      <c r="S8125" s="7">
        <f t="shared" si="707"/>
        <v>2</v>
      </c>
      <c r="T8125" s="15" t="str">
        <f>VLOOKUP(R8125,产品分类!$C$2:$D$1278,2,0)</f>
        <v>办公用品</v>
      </c>
    </row>
    <row r="8126" spans="1:20">
      <c r="A8126" s="8">
        <f>DATE(2012,12,31)-1407</f>
        <v>39867</v>
      </c>
      <c r="B8126" s="8">
        <f>DATE(2012,12,31)-1407</f>
        <v>39867</v>
      </c>
      <c r="C8126" s="9" t="s">
        <v>1130</v>
      </c>
      <c r="D8126">
        <v>10021490670</v>
      </c>
      <c r="E8126" t="s">
        <v>47</v>
      </c>
      <c r="F8126" t="s">
        <v>434</v>
      </c>
      <c r="G8126" t="s">
        <v>435</v>
      </c>
      <c r="H8126" t="s">
        <v>436</v>
      </c>
      <c r="I8126" t="s">
        <v>437</v>
      </c>
      <c r="J8126" t="s">
        <v>52</v>
      </c>
      <c r="K8126" s="3">
        <v>10099061211</v>
      </c>
      <c r="L8126" s="10">
        <v>39868</v>
      </c>
      <c r="M8126">
        <v>834.81</v>
      </c>
      <c r="N8126" s="11">
        <v>22</v>
      </c>
      <c r="O8126" s="12">
        <v>37.76</v>
      </c>
      <c r="P8126" s="12">
        <v>12.9</v>
      </c>
      <c r="Q8126" s="13">
        <v>1.98</v>
      </c>
      <c r="R8126" s="36" t="s">
        <v>1693</v>
      </c>
      <c r="S8126" s="7">
        <f t="shared" si="707"/>
        <v>1</v>
      </c>
      <c r="T8126" s="15" t="str">
        <f>VLOOKUP(R8126,产品分类!$C$2:$D$1278,2,0)</f>
        <v>办公用品</v>
      </c>
    </row>
    <row r="8127" spans="1:20">
      <c r="A8127" s="8">
        <f>DATE(2012,12,31)-1313</f>
        <v>39961</v>
      </c>
      <c r="B8127" s="8">
        <f>DATE(2012,12,31)-1313</f>
        <v>39961</v>
      </c>
      <c r="C8127" s="9" t="s">
        <v>96</v>
      </c>
      <c r="D8127">
        <v>10021634445</v>
      </c>
      <c r="E8127" t="s">
        <v>47</v>
      </c>
      <c r="F8127" t="s">
        <v>91</v>
      </c>
      <c r="G8127" t="s">
        <v>92</v>
      </c>
      <c r="H8127" t="s">
        <v>2621</v>
      </c>
      <c r="I8127" t="s">
        <v>2622</v>
      </c>
      <c r="J8127" t="s">
        <v>52</v>
      </c>
      <c r="K8127" s="3">
        <v>10095316681</v>
      </c>
      <c r="L8127" s="10">
        <v>39963</v>
      </c>
      <c r="M8127">
        <v>106.45</v>
      </c>
      <c r="N8127" s="11">
        <v>18</v>
      </c>
      <c r="O8127" s="12">
        <v>5.85</v>
      </c>
      <c r="P8127" s="12">
        <v>2.27</v>
      </c>
      <c r="Q8127" s="13">
        <v>-5.08</v>
      </c>
      <c r="R8127" s="36" t="s">
        <v>1566</v>
      </c>
      <c r="S8127" s="7">
        <f t="shared" si="707"/>
        <v>2</v>
      </c>
      <c r="T8127" s="15" t="str">
        <f>VLOOKUP(R8127,产品分类!$C$2:$D$1278,2,0)</f>
        <v>数码电子</v>
      </c>
    </row>
    <row r="8128" spans="1:20">
      <c r="A8128" s="16">
        <f>DATE(2012,12,31)-1297</f>
        <v>39977</v>
      </c>
      <c r="B8128" s="16">
        <f>DATE(2012,12,31)-1297</f>
        <v>39977</v>
      </c>
      <c r="C8128" s="9" t="s">
        <v>96</v>
      </c>
      <c r="D8128">
        <v>10021278557</v>
      </c>
      <c r="E8128" t="s">
        <v>47</v>
      </c>
      <c r="F8128" t="s">
        <v>91</v>
      </c>
      <c r="G8128" t="s">
        <v>92</v>
      </c>
      <c r="H8128" t="s">
        <v>2621</v>
      </c>
      <c r="I8128" t="s">
        <v>2622</v>
      </c>
      <c r="J8128" t="s">
        <v>52</v>
      </c>
      <c r="K8128" s="3">
        <v>100910759251</v>
      </c>
      <c r="L8128" s="10">
        <v>39977</v>
      </c>
      <c r="M8128">
        <v>1608.87</v>
      </c>
      <c r="N8128" s="17">
        <v>9</v>
      </c>
      <c r="O8128" s="5">
        <v>177.98</v>
      </c>
      <c r="P8128" s="5">
        <v>0.99</v>
      </c>
      <c r="Q8128" s="6">
        <v>346.98</v>
      </c>
      <c r="R8128" s="37" t="s">
        <v>1180</v>
      </c>
      <c r="S8128" s="7">
        <f t="shared" si="707"/>
        <v>0</v>
      </c>
      <c r="T8128" s="15" t="str">
        <f>VLOOKUP(R8128,产品分类!$C$2:$D$1278,2,0)</f>
        <v>办公用品</v>
      </c>
    </row>
    <row r="8129" spans="1:20">
      <c r="A8129" s="8">
        <f>DATE(2012,12,31)-1297</f>
        <v>39977</v>
      </c>
      <c r="B8129" s="8">
        <f>DATE(2012,12,31)-1297</f>
        <v>39977</v>
      </c>
      <c r="C8129" s="9" t="s">
        <v>1906</v>
      </c>
      <c r="D8129">
        <v>10021796697</v>
      </c>
      <c r="E8129" t="s">
        <v>47</v>
      </c>
      <c r="F8129" t="s">
        <v>171</v>
      </c>
      <c r="G8129" t="s">
        <v>172</v>
      </c>
      <c r="H8129" t="s">
        <v>2486</v>
      </c>
      <c r="I8129" t="s">
        <v>2310</v>
      </c>
      <c r="J8129" t="s">
        <v>52</v>
      </c>
      <c r="K8129" s="3">
        <v>100433118103</v>
      </c>
      <c r="L8129" s="10">
        <v>39978</v>
      </c>
      <c r="M8129">
        <v>37.64</v>
      </c>
      <c r="N8129" s="11">
        <v>11</v>
      </c>
      <c r="O8129" s="12">
        <v>2.08</v>
      </c>
      <c r="P8129" s="12">
        <v>1.49</v>
      </c>
      <c r="Q8129" s="13">
        <v>7.5225</v>
      </c>
      <c r="R8129" s="36" t="s">
        <v>1262</v>
      </c>
      <c r="S8129" s="7">
        <f t="shared" si="707"/>
        <v>1</v>
      </c>
      <c r="T8129" s="15" t="str">
        <f>VLOOKUP(R8129,产品分类!$C$2:$D$1278,2,0)</f>
        <v>办公用品</v>
      </c>
    </row>
    <row r="8130" spans="1:20">
      <c r="A8130" s="8">
        <f>DATE(2012,12,31)-723</f>
        <v>40551</v>
      </c>
      <c r="B8130" s="8">
        <f>DATE(2012,12,31)-723</f>
        <v>40551</v>
      </c>
      <c r="C8130" s="9" t="s">
        <v>1906</v>
      </c>
      <c r="D8130">
        <v>10021481510</v>
      </c>
      <c r="E8130" t="s">
        <v>47</v>
      </c>
      <c r="F8130" t="s">
        <v>137</v>
      </c>
      <c r="G8130" t="s">
        <v>138</v>
      </c>
      <c r="H8130" t="s">
        <v>2504</v>
      </c>
      <c r="I8130" t="s">
        <v>2505</v>
      </c>
      <c r="J8130" t="s">
        <v>52</v>
      </c>
      <c r="K8130" s="3">
        <v>10046265263</v>
      </c>
      <c r="L8130" s="10">
        <v>40552</v>
      </c>
      <c r="M8130">
        <v>1936.3</v>
      </c>
      <c r="N8130" s="11">
        <v>36</v>
      </c>
      <c r="O8130" s="12">
        <v>50.98</v>
      </c>
      <c r="P8130" s="12">
        <v>13.66</v>
      </c>
      <c r="Q8130" s="13">
        <v>278.12</v>
      </c>
      <c r="R8130" s="36" t="s">
        <v>779</v>
      </c>
      <c r="S8130" s="7">
        <f t="shared" si="707"/>
        <v>1</v>
      </c>
      <c r="T8130" s="15" t="str">
        <f>VLOOKUP(R8130,产品分类!$C$2:$D$1278,2,0)</f>
        <v>家具产品</v>
      </c>
    </row>
    <row r="8131" spans="1:20">
      <c r="A8131" s="8">
        <f>DATE(2012,12,31)-640</f>
        <v>40634</v>
      </c>
      <c r="B8131" s="8">
        <f>DATE(2012,12,31)-640</f>
        <v>40634</v>
      </c>
      <c r="C8131" s="9" t="s">
        <v>2296</v>
      </c>
      <c r="D8131">
        <v>10021781070</v>
      </c>
      <c r="E8131" t="s">
        <v>47</v>
      </c>
      <c r="F8131" t="s">
        <v>61</v>
      </c>
      <c r="G8131" t="s">
        <v>62</v>
      </c>
      <c r="H8131" t="s">
        <v>2628</v>
      </c>
      <c r="I8131" t="s">
        <v>2629</v>
      </c>
      <c r="J8131" t="s">
        <v>52</v>
      </c>
      <c r="K8131" s="3">
        <v>100826838562</v>
      </c>
      <c r="L8131" s="10">
        <v>40634</v>
      </c>
      <c r="M8131">
        <v>1718.87</v>
      </c>
      <c r="N8131" s="11">
        <v>40</v>
      </c>
      <c r="O8131" s="12">
        <v>40.98</v>
      </c>
      <c r="P8131" s="12">
        <v>1.99</v>
      </c>
      <c r="Q8131" s="13">
        <v>754.1</v>
      </c>
      <c r="R8131" s="36" t="s">
        <v>1510</v>
      </c>
      <c r="S8131" s="7">
        <f t="shared" ref="S8131:S8194" si="709">+L8131-B8131</f>
        <v>0</v>
      </c>
      <c r="T8131" s="15" t="str">
        <f>VLOOKUP(R8131,产品分类!$C$2:$D$1278,2,0)</f>
        <v>办公用品</v>
      </c>
    </row>
    <row r="8132" spans="1:20">
      <c r="A8132" s="8">
        <f>DATE(2012,12,31)-1452</f>
        <v>39822</v>
      </c>
      <c r="B8132" s="8">
        <f>DATE(2012,12,31)-1452</f>
        <v>39822</v>
      </c>
      <c r="C8132" s="9" t="s">
        <v>989</v>
      </c>
      <c r="D8132">
        <v>10021554141</v>
      </c>
      <c r="E8132" t="s">
        <v>47</v>
      </c>
      <c r="F8132" t="s">
        <v>61</v>
      </c>
      <c r="G8132" t="s">
        <v>62</v>
      </c>
      <c r="H8132" t="s">
        <v>2628</v>
      </c>
      <c r="I8132" t="s">
        <v>2629</v>
      </c>
      <c r="J8132" t="s">
        <v>52</v>
      </c>
      <c r="K8132" s="3">
        <v>100910829181</v>
      </c>
      <c r="L8132" s="10">
        <v>39824</v>
      </c>
      <c r="M8132">
        <v>121.87</v>
      </c>
      <c r="N8132" s="11">
        <v>39</v>
      </c>
      <c r="O8132" s="12">
        <v>3.29</v>
      </c>
      <c r="P8132" s="12">
        <v>1.35</v>
      </c>
      <c r="Q8132" s="13">
        <v>11.32</v>
      </c>
      <c r="R8132" s="36" t="s">
        <v>157</v>
      </c>
      <c r="S8132" s="7">
        <f t="shared" si="709"/>
        <v>2</v>
      </c>
      <c r="T8132" s="15" t="str">
        <f>VLOOKUP(R8132,产品分类!$C$2:$D$1278,2,0)</f>
        <v>数码电子</v>
      </c>
    </row>
    <row r="8133" spans="1:20">
      <c r="A8133" s="8">
        <f t="shared" ref="A8133:B8135" si="710">DATE(2012,12,31)-175</f>
        <v>41099</v>
      </c>
      <c r="B8133" s="8">
        <f t="shared" si="710"/>
        <v>41099</v>
      </c>
      <c r="C8133" s="9" t="s">
        <v>46</v>
      </c>
      <c r="D8133">
        <v>10021563761</v>
      </c>
      <c r="E8133" t="s">
        <v>47</v>
      </c>
      <c r="F8133" t="s">
        <v>61</v>
      </c>
      <c r="G8133" t="s">
        <v>62</v>
      </c>
      <c r="H8133" t="s">
        <v>2628</v>
      </c>
      <c r="I8133" t="s">
        <v>2629</v>
      </c>
      <c r="J8133" t="s">
        <v>52</v>
      </c>
      <c r="K8133" s="3">
        <v>100916627991</v>
      </c>
      <c r="L8133" s="10">
        <v>41101</v>
      </c>
      <c r="M8133">
        <v>14.23</v>
      </c>
      <c r="N8133" s="11">
        <v>4</v>
      </c>
      <c r="O8133" s="12">
        <v>2.08</v>
      </c>
      <c r="P8133" s="12">
        <v>5.33</v>
      </c>
      <c r="Q8133" s="13">
        <v>-4.43</v>
      </c>
      <c r="R8133" s="36" t="s">
        <v>1760</v>
      </c>
      <c r="S8133" s="7">
        <f t="shared" si="709"/>
        <v>2</v>
      </c>
      <c r="T8133" s="15" t="str">
        <f>VLOOKUP(R8133,产品分类!$C$2:$D$1278,2,0)</f>
        <v>办公用品</v>
      </c>
    </row>
    <row r="8134" spans="1:20">
      <c r="A8134" s="8">
        <f t="shared" si="710"/>
        <v>41099</v>
      </c>
      <c r="B8134" s="8">
        <f t="shared" si="710"/>
        <v>41099</v>
      </c>
      <c r="C8134" s="9" t="s">
        <v>1348</v>
      </c>
      <c r="D8134">
        <v>10021644153</v>
      </c>
      <c r="E8134" t="s">
        <v>47</v>
      </c>
      <c r="F8134" t="s">
        <v>61</v>
      </c>
      <c r="G8134" t="s">
        <v>62</v>
      </c>
      <c r="H8134" t="s">
        <v>2628</v>
      </c>
      <c r="I8134" t="s">
        <v>2629</v>
      </c>
      <c r="J8134" t="s">
        <v>52</v>
      </c>
      <c r="K8134" s="3">
        <v>100832112092</v>
      </c>
      <c r="L8134" s="10">
        <v>41100</v>
      </c>
      <c r="M8134">
        <v>272.07</v>
      </c>
      <c r="N8134" s="11">
        <v>39</v>
      </c>
      <c r="O8134" s="12">
        <v>6.48</v>
      </c>
      <c r="P8134" s="12">
        <v>9.54</v>
      </c>
      <c r="Q8134" s="13">
        <v>-206.46</v>
      </c>
      <c r="R8134" s="36" t="s">
        <v>1089</v>
      </c>
      <c r="S8134" s="7">
        <f t="shared" si="709"/>
        <v>1</v>
      </c>
      <c r="T8134" s="15" t="str">
        <f>VLOOKUP(R8134,产品分类!$C$2:$D$1278,2,0)</f>
        <v>办公用品</v>
      </c>
    </row>
    <row r="8135" spans="1:20">
      <c r="A8135" s="8">
        <f t="shared" si="710"/>
        <v>41099</v>
      </c>
      <c r="B8135" s="8">
        <f t="shared" si="710"/>
        <v>41099</v>
      </c>
      <c r="C8135" s="9" t="s">
        <v>632</v>
      </c>
      <c r="D8135">
        <v>10021424138</v>
      </c>
      <c r="E8135" t="s">
        <v>47</v>
      </c>
      <c r="F8135" t="s">
        <v>97</v>
      </c>
      <c r="G8135" t="s">
        <v>98</v>
      </c>
      <c r="H8135" t="s">
        <v>99</v>
      </c>
      <c r="I8135" t="s">
        <v>98</v>
      </c>
      <c r="J8135" t="s">
        <v>52</v>
      </c>
      <c r="K8135" s="3">
        <v>100828417152</v>
      </c>
      <c r="L8135" s="10">
        <v>41099</v>
      </c>
      <c r="M8135">
        <v>325.43</v>
      </c>
      <c r="N8135" s="11">
        <v>5</v>
      </c>
      <c r="O8135" s="12">
        <v>64.98</v>
      </c>
      <c r="P8135" s="12">
        <v>6.88</v>
      </c>
      <c r="Q8135" s="13">
        <v>-76.11</v>
      </c>
      <c r="R8135" s="36" t="s">
        <v>1382</v>
      </c>
      <c r="S8135" s="7">
        <f t="shared" si="709"/>
        <v>0</v>
      </c>
      <c r="T8135" s="15" t="str">
        <f>VLOOKUP(R8135,产品分类!$C$2:$D$1278,2,0)</f>
        <v>办公用品</v>
      </c>
    </row>
    <row r="8136" spans="1:20">
      <c r="A8136" s="8">
        <f>DATE(2012,12,31)-123</f>
        <v>41151</v>
      </c>
      <c r="B8136" s="8">
        <f>DATE(2012,12,31)-123</f>
        <v>41151</v>
      </c>
      <c r="C8136" s="9" t="s">
        <v>562</v>
      </c>
      <c r="D8136">
        <v>10021658411</v>
      </c>
      <c r="E8136" t="s">
        <v>47</v>
      </c>
      <c r="F8136" t="s">
        <v>152</v>
      </c>
      <c r="G8136" t="s">
        <v>153</v>
      </c>
      <c r="H8136" t="s">
        <v>154</v>
      </c>
      <c r="I8136" t="s">
        <v>155</v>
      </c>
      <c r="J8136" t="s">
        <v>52</v>
      </c>
      <c r="K8136" s="3">
        <v>10096496781</v>
      </c>
      <c r="L8136" s="10">
        <v>41152</v>
      </c>
      <c r="M8136">
        <v>320.57</v>
      </c>
      <c r="N8136" s="11">
        <v>46</v>
      </c>
      <c r="O8136" s="12">
        <v>7.1</v>
      </c>
      <c r="P8136" s="12">
        <v>6.05</v>
      </c>
      <c r="Q8136" s="13">
        <v>-114.195</v>
      </c>
      <c r="R8136" s="36" t="s">
        <v>507</v>
      </c>
      <c r="S8136" s="7">
        <f t="shared" si="709"/>
        <v>1</v>
      </c>
      <c r="T8136" s="15" t="str">
        <f>VLOOKUP(R8136,产品分类!$C$2:$D$1278,2,0)</f>
        <v>家具产品</v>
      </c>
    </row>
    <row r="8137" spans="1:20">
      <c r="A8137" s="8">
        <f>DATE(2012,12,31)-123</f>
        <v>41151</v>
      </c>
      <c r="B8137" s="8">
        <f>DATE(2012,12,31)-123</f>
        <v>41151</v>
      </c>
      <c r="C8137" s="9" t="s">
        <v>2355</v>
      </c>
      <c r="D8137">
        <v>10021668682</v>
      </c>
      <c r="E8137" t="s">
        <v>47</v>
      </c>
      <c r="F8137" t="s">
        <v>132</v>
      </c>
      <c r="G8137" t="s">
        <v>133</v>
      </c>
      <c r="H8137" t="s">
        <v>134</v>
      </c>
      <c r="I8137" t="s">
        <v>133</v>
      </c>
      <c r="J8137" t="s">
        <v>52</v>
      </c>
      <c r="K8137" s="3">
        <v>100829211302</v>
      </c>
      <c r="L8137" s="10">
        <v>41151</v>
      </c>
      <c r="M8137">
        <v>2013.8</v>
      </c>
      <c r="N8137" s="11">
        <v>16</v>
      </c>
      <c r="O8137" s="12">
        <v>119.99</v>
      </c>
      <c r="P8137" s="12">
        <v>56.14</v>
      </c>
      <c r="Q8137" s="13">
        <v>-98.4318</v>
      </c>
      <c r="R8137" s="36" t="s">
        <v>1532</v>
      </c>
      <c r="S8137" s="7">
        <f t="shared" si="709"/>
        <v>0</v>
      </c>
      <c r="T8137" s="15" t="str">
        <f>VLOOKUP(R8137,产品分类!$C$2:$D$1278,2,0)</f>
        <v>办公用品</v>
      </c>
    </row>
    <row r="8138" spans="1:20">
      <c r="A8138" s="8">
        <f t="shared" ref="A8138:B8140" si="711">DATE(2012,12,31)-965</f>
        <v>40309</v>
      </c>
      <c r="B8138" s="8">
        <f t="shared" si="711"/>
        <v>40309</v>
      </c>
      <c r="C8138" s="9" t="s">
        <v>2355</v>
      </c>
      <c r="D8138">
        <v>10021659656</v>
      </c>
      <c r="E8138" t="s">
        <v>47</v>
      </c>
      <c r="F8138" t="s">
        <v>152</v>
      </c>
      <c r="G8138" t="s">
        <v>153</v>
      </c>
      <c r="H8138" t="s">
        <v>154</v>
      </c>
      <c r="I8138" t="s">
        <v>155</v>
      </c>
      <c r="J8138" t="s">
        <v>52</v>
      </c>
      <c r="K8138" s="3">
        <v>100911341001</v>
      </c>
      <c r="L8138" s="10">
        <v>40311</v>
      </c>
      <c r="M8138">
        <v>2168.05</v>
      </c>
      <c r="N8138" s="11">
        <v>5</v>
      </c>
      <c r="O8138" s="12">
        <v>420.98</v>
      </c>
      <c r="P8138" s="12">
        <v>19.99</v>
      </c>
      <c r="Q8138" s="13">
        <v>416.0155</v>
      </c>
      <c r="R8138" s="36" t="s">
        <v>1067</v>
      </c>
      <c r="S8138" s="7">
        <f t="shared" si="709"/>
        <v>2</v>
      </c>
      <c r="T8138" s="15" t="str">
        <f>VLOOKUP(R8138,产品分类!$C$2:$D$1278,2,0)</f>
        <v>办公用品</v>
      </c>
    </row>
    <row r="8139" spans="1:20">
      <c r="A8139" s="8">
        <f t="shared" si="711"/>
        <v>40309</v>
      </c>
      <c r="B8139" s="8">
        <f t="shared" si="711"/>
        <v>40309</v>
      </c>
      <c r="C8139" s="9" t="s">
        <v>483</v>
      </c>
      <c r="D8139">
        <v>10021736499</v>
      </c>
      <c r="E8139" t="s">
        <v>47</v>
      </c>
      <c r="F8139" t="s">
        <v>132</v>
      </c>
      <c r="G8139" t="s">
        <v>133</v>
      </c>
      <c r="H8139" t="s">
        <v>134</v>
      </c>
      <c r="I8139" t="s">
        <v>133</v>
      </c>
      <c r="J8139" t="s">
        <v>52</v>
      </c>
      <c r="K8139" s="3">
        <v>10074724445</v>
      </c>
      <c r="L8139" s="10">
        <v>40310</v>
      </c>
      <c r="M8139">
        <v>303.07</v>
      </c>
      <c r="N8139" s="11">
        <v>44</v>
      </c>
      <c r="O8139" s="12">
        <v>6.48</v>
      </c>
      <c r="P8139" s="12">
        <v>9.68</v>
      </c>
      <c r="Q8139" s="13">
        <v>-238.45</v>
      </c>
      <c r="R8139" s="36" t="s">
        <v>1022</v>
      </c>
      <c r="S8139" s="7">
        <f t="shared" si="709"/>
        <v>1</v>
      </c>
      <c r="T8139" s="15" t="str">
        <f>VLOOKUP(R8139,产品分类!$C$2:$D$1278,2,0)</f>
        <v>办公用品</v>
      </c>
    </row>
    <row r="8140" spans="1:20">
      <c r="A8140" s="8">
        <f t="shared" si="711"/>
        <v>40309</v>
      </c>
      <c r="B8140" s="8">
        <f t="shared" si="711"/>
        <v>40309</v>
      </c>
      <c r="C8140" s="9" t="s">
        <v>1083</v>
      </c>
      <c r="D8140">
        <v>10021774340</v>
      </c>
      <c r="E8140" t="s">
        <v>47</v>
      </c>
      <c r="F8140" t="s">
        <v>132</v>
      </c>
      <c r="G8140" t="s">
        <v>133</v>
      </c>
      <c r="H8140" t="s">
        <v>134</v>
      </c>
      <c r="I8140" t="s">
        <v>133</v>
      </c>
      <c r="J8140" t="s">
        <v>52</v>
      </c>
      <c r="K8140" s="3">
        <v>100919161561</v>
      </c>
      <c r="L8140" s="10">
        <v>40311</v>
      </c>
      <c r="M8140">
        <v>1661.8</v>
      </c>
      <c r="N8140" s="11">
        <v>48</v>
      </c>
      <c r="O8140" s="12">
        <v>36.55</v>
      </c>
      <c r="P8140" s="12">
        <v>13.89</v>
      </c>
      <c r="Q8140" s="13">
        <v>202.68</v>
      </c>
      <c r="R8140" s="36" t="s">
        <v>640</v>
      </c>
      <c r="S8140" s="7">
        <f t="shared" si="709"/>
        <v>2</v>
      </c>
      <c r="T8140" s="15" t="str">
        <f>VLOOKUP(R8140,产品分类!$C$2:$D$1278,2,0)</f>
        <v>办公用品</v>
      </c>
    </row>
    <row r="8141" spans="1:20">
      <c r="A8141" s="8">
        <f>DATE(2012,12,31)-639</f>
        <v>40635</v>
      </c>
      <c r="B8141" s="8">
        <f>DATE(2012,12,31)-639</f>
        <v>40635</v>
      </c>
      <c r="C8141" s="9" t="s">
        <v>1866</v>
      </c>
      <c r="D8141">
        <v>10021504834</v>
      </c>
      <c r="E8141" t="s">
        <v>47</v>
      </c>
      <c r="F8141" t="s">
        <v>152</v>
      </c>
      <c r="G8141" t="s">
        <v>153</v>
      </c>
      <c r="H8141" t="s">
        <v>154</v>
      </c>
      <c r="I8141" t="s">
        <v>155</v>
      </c>
      <c r="J8141" t="s">
        <v>52</v>
      </c>
      <c r="K8141" s="3">
        <v>100430721953</v>
      </c>
      <c r="L8141" s="10">
        <v>40640</v>
      </c>
      <c r="M8141">
        <v>184.1</v>
      </c>
      <c r="N8141" s="11">
        <v>48</v>
      </c>
      <c r="O8141" s="12">
        <v>3.98</v>
      </c>
      <c r="P8141" s="12">
        <v>0.7</v>
      </c>
      <c r="Q8141" s="13">
        <v>43.2</v>
      </c>
      <c r="R8141" s="36" t="s">
        <v>1245</v>
      </c>
      <c r="S8141" s="7">
        <f t="shared" si="709"/>
        <v>5</v>
      </c>
      <c r="T8141" s="15" t="str">
        <f>VLOOKUP(R8141,产品分类!$C$2:$D$1278,2,0)</f>
        <v>办公用品</v>
      </c>
    </row>
    <row r="8142" spans="1:20">
      <c r="A8142" s="8">
        <f>DATE(2012,12,31)-639</f>
        <v>40635</v>
      </c>
      <c r="B8142" s="8">
        <f>DATE(2012,12,31)-639</f>
        <v>40635</v>
      </c>
      <c r="C8142" s="9" t="s">
        <v>2071</v>
      </c>
      <c r="D8142">
        <v>10021656984</v>
      </c>
      <c r="E8142" t="s">
        <v>47</v>
      </c>
      <c r="F8142" t="s">
        <v>97</v>
      </c>
      <c r="G8142" t="s">
        <v>98</v>
      </c>
      <c r="H8142" t="s">
        <v>99</v>
      </c>
      <c r="I8142" t="s">
        <v>98</v>
      </c>
      <c r="J8142" t="s">
        <v>52</v>
      </c>
      <c r="K8142" s="3">
        <v>10094832761</v>
      </c>
      <c r="L8142" s="10">
        <v>40639</v>
      </c>
      <c r="M8142">
        <v>38.2</v>
      </c>
      <c r="N8142" s="11">
        <v>16</v>
      </c>
      <c r="O8142" s="12">
        <v>2.21</v>
      </c>
      <c r="P8142" s="12">
        <v>1</v>
      </c>
      <c r="Q8142" s="13">
        <v>4.34</v>
      </c>
      <c r="R8142" s="36" t="s">
        <v>320</v>
      </c>
      <c r="S8142" s="7">
        <f t="shared" si="709"/>
        <v>4</v>
      </c>
      <c r="T8142" s="15" t="str">
        <f>VLOOKUP(R8142,产品分类!$C$2:$D$1278,2,0)</f>
        <v>办公用品</v>
      </c>
    </row>
    <row r="8143" spans="1:20">
      <c r="A8143" s="8">
        <f>DATE(2012,12,31)-605</f>
        <v>40669</v>
      </c>
      <c r="B8143" s="8">
        <f>DATE(2012,12,31)-605</f>
        <v>40669</v>
      </c>
      <c r="C8143" s="9" t="s">
        <v>864</v>
      </c>
      <c r="D8143">
        <v>10021505394</v>
      </c>
      <c r="E8143" t="s">
        <v>47</v>
      </c>
      <c r="F8143" t="s">
        <v>48</v>
      </c>
      <c r="G8143" t="s">
        <v>49</v>
      </c>
      <c r="H8143" t="s">
        <v>2641</v>
      </c>
      <c r="I8143" t="s">
        <v>2642</v>
      </c>
      <c r="J8143" t="s">
        <v>52</v>
      </c>
      <c r="K8143" s="3">
        <v>100430803664</v>
      </c>
      <c r="L8143" s="10">
        <v>40672</v>
      </c>
      <c r="M8143">
        <v>1669.88</v>
      </c>
      <c r="N8143" s="11">
        <v>29</v>
      </c>
      <c r="O8143" s="12">
        <v>55.48</v>
      </c>
      <c r="P8143" s="12">
        <v>14.3</v>
      </c>
      <c r="Q8143" s="13">
        <v>548.92</v>
      </c>
      <c r="R8143" s="36" t="s">
        <v>1003</v>
      </c>
      <c r="S8143" s="7">
        <f t="shared" si="709"/>
        <v>3</v>
      </c>
      <c r="T8143" s="15" t="str">
        <f>VLOOKUP(R8143,产品分类!$C$2:$D$1278,2,0)</f>
        <v>数码电子</v>
      </c>
    </row>
    <row r="8144" spans="1:20">
      <c r="A8144" s="8">
        <f t="shared" ref="A8144:B8146" si="712">DATE(2012,12,31)-549</f>
        <v>40725</v>
      </c>
      <c r="B8144" s="8">
        <f t="shared" si="712"/>
        <v>40725</v>
      </c>
      <c r="C8144" s="9" t="s">
        <v>864</v>
      </c>
      <c r="D8144">
        <v>10021755689</v>
      </c>
      <c r="E8144" t="s">
        <v>47</v>
      </c>
      <c r="F8144" t="s">
        <v>152</v>
      </c>
      <c r="G8144" t="s">
        <v>153</v>
      </c>
      <c r="H8144" t="s">
        <v>154</v>
      </c>
      <c r="I8144" t="s">
        <v>155</v>
      </c>
      <c r="J8144" t="s">
        <v>52</v>
      </c>
      <c r="K8144" s="3">
        <v>100832982042</v>
      </c>
      <c r="L8144" s="10">
        <v>40726</v>
      </c>
      <c r="M8144">
        <v>2020.58</v>
      </c>
      <c r="N8144" s="11">
        <v>11</v>
      </c>
      <c r="O8144" s="12">
        <v>180.98</v>
      </c>
      <c r="P8144" s="12">
        <v>30</v>
      </c>
      <c r="Q8144" s="13">
        <v>-45.02</v>
      </c>
      <c r="R8144" s="36" t="s">
        <v>1622</v>
      </c>
      <c r="S8144" s="7">
        <f t="shared" si="709"/>
        <v>1</v>
      </c>
      <c r="T8144" s="15" t="str">
        <f>VLOOKUP(R8144,产品分类!$C$2:$D$1278,2,0)</f>
        <v>数码电子</v>
      </c>
    </row>
    <row r="8145" spans="1:20">
      <c r="A8145" s="8">
        <f t="shared" si="712"/>
        <v>40725</v>
      </c>
      <c r="B8145" s="8">
        <f t="shared" si="712"/>
        <v>40725</v>
      </c>
      <c r="C8145" s="9" t="s">
        <v>726</v>
      </c>
      <c r="D8145">
        <v>10021496804</v>
      </c>
      <c r="E8145" t="s">
        <v>47</v>
      </c>
      <c r="F8145" t="s">
        <v>48</v>
      </c>
      <c r="G8145" t="s">
        <v>49</v>
      </c>
      <c r="H8145" t="s">
        <v>2641</v>
      </c>
      <c r="I8145" t="s">
        <v>2642</v>
      </c>
      <c r="J8145" t="s">
        <v>52</v>
      </c>
      <c r="K8145" s="3">
        <v>100915285631</v>
      </c>
      <c r="L8145" s="10">
        <v>40727</v>
      </c>
      <c r="M8145">
        <v>1533.46</v>
      </c>
      <c r="N8145" s="11">
        <v>30</v>
      </c>
      <c r="O8145" s="12">
        <v>48.04</v>
      </c>
      <c r="P8145" s="12">
        <v>5.79</v>
      </c>
      <c r="Q8145" s="13">
        <v>730.44</v>
      </c>
      <c r="R8145" s="36" t="s">
        <v>1087</v>
      </c>
      <c r="S8145" s="7">
        <f t="shared" si="709"/>
        <v>2</v>
      </c>
      <c r="T8145" s="15" t="str">
        <f>VLOOKUP(R8145,产品分类!$C$2:$D$1278,2,0)</f>
        <v>数码电子</v>
      </c>
    </row>
    <row r="8146" spans="1:20">
      <c r="A8146" s="8">
        <f t="shared" si="712"/>
        <v>40725</v>
      </c>
      <c r="B8146" s="8">
        <f t="shared" si="712"/>
        <v>40725</v>
      </c>
      <c r="C8146" s="9" t="s">
        <v>726</v>
      </c>
      <c r="D8146">
        <v>10021500345</v>
      </c>
      <c r="E8146" t="s">
        <v>47</v>
      </c>
      <c r="F8146" t="s">
        <v>152</v>
      </c>
      <c r="G8146" t="s">
        <v>153</v>
      </c>
      <c r="H8146" t="s">
        <v>154</v>
      </c>
      <c r="I8146" t="s">
        <v>155</v>
      </c>
      <c r="J8146" t="s">
        <v>52</v>
      </c>
      <c r="K8146" s="3">
        <v>100125838257</v>
      </c>
      <c r="L8146" s="10">
        <v>40727</v>
      </c>
      <c r="M8146">
        <v>5989.048</v>
      </c>
      <c r="N8146" s="11">
        <v>20</v>
      </c>
      <c r="O8146" s="12">
        <v>400.98</v>
      </c>
      <c r="P8146" s="12">
        <v>42.52</v>
      </c>
      <c r="Q8146" s="13">
        <v>541.01</v>
      </c>
      <c r="R8146" s="36" t="s">
        <v>957</v>
      </c>
      <c r="S8146" s="7">
        <f t="shared" si="709"/>
        <v>2</v>
      </c>
      <c r="T8146" s="15" t="str">
        <f>VLOOKUP(R8146,产品分类!$C$2:$D$1278,2,0)</f>
        <v>办公用品</v>
      </c>
    </row>
    <row r="8147" spans="1:20">
      <c r="A8147" s="8">
        <f>DATE(2012,12,31)-1393</f>
        <v>39881</v>
      </c>
      <c r="B8147" s="8">
        <f>DATE(2012,12,31)-1393</f>
        <v>39881</v>
      </c>
      <c r="C8147" s="9" t="s">
        <v>523</v>
      </c>
      <c r="D8147">
        <v>10021499216</v>
      </c>
      <c r="E8147" t="s">
        <v>47</v>
      </c>
      <c r="F8147" t="s">
        <v>66</v>
      </c>
      <c r="G8147" t="s">
        <v>67</v>
      </c>
      <c r="H8147" t="s">
        <v>2584</v>
      </c>
      <c r="I8147" t="s">
        <v>2585</v>
      </c>
      <c r="J8147" t="s">
        <v>52</v>
      </c>
      <c r="K8147" s="3">
        <v>100410552043</v>
      </c>
      <c r="L8147" s="10">
        <v>39882</v>
      </c>
      <c r="M8147">
        <v>843.53</v>
      </c>
      <c r="N8147" s="11">
        <v>42</v>
      </c>
      <c r="O8147" s="12">
        <v>19.23</v>
      </c>
      <c r="P8147" s="12">
        <v>6.15</v>
      </c>
      <c r="Q8147" s="13">
        <v>268.32</v>
      </c>
      <c r="R8147" s="36" t="s">
        <v>412</v>
      </c>
      <c r="S8147" s="7">
        <f t="shared" si="709"/>
        <v>1</v>
      </c>
      <c r="T8147" s="15" t="str">
        <f>VLOOKUP(R8147,产品分类!$C$2:$D$1278,2,0)</f>
        <v>数码电子</v>
      </c>
    </row>
    <row r="8148" spans="1:20">
      <c r="A8148" s="8">
        <f>DATE(2012,12,31)-238</f>
        <v>41036</v>
      </c>
      <c r="B8148" s="8">
        <f>DATE(2012,12,31)-238</f>
        <v>41036</v>
      </c>
      <c r="C8148" s="9" t="s">
        <v>143</v>
      </c>
      <c r="D8148">
        <v>10021267506</v>
      </c>
      <c r="E8148" t="s">
        <v>47</v>
      </c>
      <c r="F8148" t="s">
        <v>152</v>
      </c>
      <c r="G8148" t="s">
        <v>153</v>
      </c>
      <c r="H8148" t="s">
        <v>154</v>
      </c>
      <c r="I8148" t="s">
        <v>155</v>
      </c>
      <c r="J8148" t="s">
        <v>52</v>
      </c>
      <c r="K8148" s="3">
        <v>100432096884</v>
      </c>
      <c r="L8148" s="10">
        <v>41038</v>
      </c>
      <c r="M8148">
        <v>273.44</v>
      </c>
      <c r="N8148" s="11">
        <v>11</v>
      </c>
      <c r="O8148" s="12">
        <v>22.38</v>
      </c>
      <c r="P8148" s="12">
        <v>15.1</v>
      </c>
      <c r="Q8148" s="13">
        <v>-35.6155</v>
      </c>
      <c r="R8148" s="36" t="s">
        <v>244</v>
      </c>
      <c r="S8148" s="7">
        <f t="shared" si="709"/>
        <v>2</v>
      </c>
      <c r="T8148" s="15" t="str">
        <f>VLOOKUP(R8148,产品分类!$C$2:$D$1278,2,0)</f>
        <v>办公用品</v>
      </c>
    </row>
    <row r="8149" spans="1:20">
      <c r="A8149" s="16">
        <f t="shared" ref="A8149:B8153" si="713">DATE(2012,12,31)-572</f>
        <v>40702</v>
      </c>
      <c r="B8149" s="16">
        <f t="shared" si="713"/>
        <v>40702</v>
      </c>
      <c r="C8149" s="9" t="s">
        <v>877</v>
      </c>
      <c r="D8149">
        <v>10021581729</v>
      </c>
      <c r="E8149" t="s">
        <v>47</v>
      </c>
      <c r="F8149" t="s">
        <v>66</v>
      </c>
      <c r="G8149" t="s">
        <v>67</v>
      </c>
      <c r="H8149" t="s">
        <v>2584</v>
      </c>
      <c r="I8149" t="s">
        <v>2585</v>
      </c>
      <c r="J8149" t="s">
        <v>52</v>
      </c>
      <c r="K8149" s="3">
        <v>100724900645</v>
      </c>
      <c r="L8149" s="10">
        <v>40703</v>
      </c>
      <c r="M8149">
        <v>1811.55</v>
      </c>
      <c r="N8149" s="17">
        <v>24</v>
      </c>
      <c r="O8149" s="5">
        <v>81.32</v>
      </c>
      <c r="P8149" s="5">
        <v>0.99</v>
      </c>
      <c r="Q8149" s="6">
        <v>512.69</v>
      </c>
      <c r="R8149" s="37" t="s">
        <v>1484</v>
      </c>
      <c r="S8149" s="7">
        <f t="shared" si="709"/>
        <v>1</v>
      </c>
      <c r="T8149" s="15" t="str">
        <f>VLOOKUP(R8149,产品分类!$C$2:$D$1278,2,0)</f>
        <v>数码电子</v>
      </c>
    </row>
    <row r="8150" spans="1:20">
      <c r="A8150" s="8">
        <f t="shared" si="713"/>
        <v>40702</v>
      </c>
      <c r="B8150" s="8">
        <f t="shared" si="713"/>
        <v>40702</v>
      </c>
      <c r="C8150" s="9" t="s">
        <v>877</v>
      </c>
      <c r="D8150">
        <v>10021657808</v>
      </c>
      <c r="E8150" t="s">
        <v>47</v>
      </c>
      <c r="F8150" t="s">
        <v>66</v>
      </c>
      <c r="G8150" t="s">
        <v>67</v>
      </c>
      <c r="H8150" t="s">
        <v>2584</v>
      </c>
      <c r="I8150" t="s">
        <v>2585</v>
      </c>
      <c r="J8150" t="s">
        <v>52</v>
      </c>
      <c r="K8150" s="3">
        <v>100710162505</v>
      </c>
      <c r="L8150" s="10">
        <v>40702</v>
      </c>
      <c r="M8150">
        <v>49.08</v>
      </c>
      <c r="N8150" s="11">
        <v>13</v>
      </c>
      <c r="O8150" s="12">
        <v>3.71</v>
      </c>
      <c r="P8150" s="12">
        <v>1.93</v>
      </c>
      <c r="Q8150" s="13">
        <v>-0.31</v>
      </c>
      <c r="R8150" s="36" t="s">
        <v>228</v>
      </c>
      <c r="S8150" s="7">
        <f t="shared" si="709"/>
        <v>0</v>
      </c>
      <c r="T8150" s="15" t="str">
        <f>VLOOKUP(R8150,产品分类!$C$2:$D$1278,2,0)</f>
        <v>数码电子</v>
      </c>
    </row>
    <row r="8151" spans="1:20">
      <c r="A8151" s="8">
        <f t="shared" si="713"/>
        <v>40702</v>
      </c>
      <c r="B8151" s="8">
        <f t="shared" si="713"/>
        <v>40702</v>
      </c>
      <c r="C8151" s="9" t="s">
        <v>136</v>
      </c>
      <c r="D8151">
        <v>10021250914</v>
      </c>
      <c r="E8151" t="s">
        <v>47</v>
      </c>
      <c r="F8151" t="s">
        <v>152</v>
      </c>
      <c r="G8151" t="s">
        <v>153</v>
      </c>
      <c r="H8151" t="s">
        <v>154</v>
      </c>
      <c r="I8151" t="s">
        <v>155</v>
      </c>
      <c r="J8151" t="s">
        <v>52</v>
      </c>
      <c r="K8151" s="3">
        <v>100316193659</v>
      </c>
      <c r="L8151" s="10">
        <v>40703</v>
      </c>
      <c r="M8151">
        <v>236.19</v>
      </c>
      <c r="N8151" s="11">
        <v>36</v>
      </c>
      <c r="O8151" s="12">
        <v>6.48</v>
      </c>
      <c r="P8151" s="12">
        <v>5.94</v>
      </c>
      <c r="Q8151" s="13">
        <v>-76.92</v>
      </c>
      <c r="R8151" s="36" t="s">
        <v>1457</v>
      </c>
      <c r="S8151" s="7">
        <f t="shared" si="709"/>
        <v>1</v>
      </c>
      <c r="T8151" s="15" t="str">
        <f>VLOOKUP(R8151,产品分类!$C$2:$D$1278,2,0)</f>
        <v>办公用品</v>
      </c>
    </row>
    <row r="8152" spans="1:20">
      <c r="A8152" s="8">
        <f t="shared" si="713"/>
        <v>40702</v>
      </c>
      <c r="B8152" s="8">
        <f t="shared" si="713"/>
        <v>40702</v>
      </c>
      <c r="C8152" s="9" t="s">
        <v>1083</v>
      </c>
      <c r="D8152">
        <v>10021574986</v>
      </c>
      <c r="E8152" t="s">
        <v>47</v>
      </c>
      <c r="F8152" t="s">
        <v>48</v>
      </c>
      <c r="G8152" t="s">
        <v>49</v>
      </c>
      <c r="H8152" t="s">
        <v>2641</v>
      </c>
      <c r="I8152" t="s">
        <v>2642</v>
      </c>
      <c r="J8152" t="s">
        <v>52</v>
      </c>
      <c r="K8152" s="3">
        <v>10019193828</v>
      </c>
      <c r="L8152" s="10">
        <v>40704</v>
      </c>
      <c r="M8152">
        <v>854.14</v>
      </c>
      <c r="N8152" s="11">
        <v>45</v>
      </c>
      <c r="O8152" s="12">
        <v>18.97</v>
      </c>
      <c r="P8152" s="12">
        <v>9.03</v>
      </c>
      <c r="Q8152" s="13">
        <v>94</v>
      </c>
      <c r="R8152" s="36" t="s">
        <v>1368</v>
      </c>
      <c r="S8152" s="7">
        <f t="shared" si="709"/>
        <v>2</v>
      </c>
      <c r="T8152" s="15" t="str">
        <f>VLOOKUP(R8152,产品分类!$C$2:$D$1278,2,0)</f>
        <v>数码电子</v>
      </c>
    </row>
    <row r="8153" spans="1:20">
      <c r="A8153" s="8">
        <f t="shared" si="713"/>
        <v>40702</v>
      </c>
      <c r="B8153" s="8">
        <f t="shared" si="713"/>
        <v>40702</v>
      </c>
      <c r="C8153" s="9" t="s">
        <v>1083</v>
      </c>
      <c r="D8153">
        <v>10021368497</v>
      </c>
      <c r="E8153" t="s">
        <v>47</v>
      </c>
      <c r="F8153" t="s">
        <v>72</v>
      </c>
      <c r="G8153" t="s">
        <v>73</v>
      </c>
      <c r="H8153" t="s">
        <v>2606</v>
      </c>
      <c r="I8153" t="s">
        <v>2607</v>
      </c>
      <c r="J8153" t="s">
        <v>52</v>
      </c>
      <c r="K8153" s="3">
        <v>100414037474</v>
      </c>
      <c r="L8153" s="10">
        <v>40703</v>
      </c>
      <c r="M8153">
        <v>159.5</v>
      </c>
      <c r="N8153" s="11">
        <v>5</v>
      </c>
      <c r="O8153" s="12">
        <v>31.98</v>
      </c>
      <c r="P8153" s="12">
        <v>6.72</v>
      </c>
      <c r="Q8153" s="13">
        <v>-57.98</v>
      </c>
      <c r="R8153" s="36" t="s">
        <v>939</v>
      </c>
      <c r="S8153" s="7">
        <f t="shared" si="709"/>
        <v>1</v>
      </c>
      <c r="T8153" s="15" t="str">
        <f>VLOOKUP(R8153,产品分类!$C$2:$D$1278,2,0)</f>
        <v>办公用品</v>
      </c>
    </row>
    <row r="8154" spans="1:20">
      <c r="A8154" s="8">
        <f>DATE(2012,12,31)-569</f>
        <v>40705</v>
      </c>
      <c r="B8154" s="8">
        <f>DATE(2012,12,31)-569</f>
        <v>40705</v>
      </c>
      <c r="C8154" s="9" t="s">
        <v>1083</v>
      </c>
      <c r="D8154">
        <v>10021678302</v>
      </c>
      <c r="E8154" t="s">
        <v>47</v>
      </c>
      <c r="F8154" t="s">
        <v>72</v>
      </c>
      <c r="G8154" t="s">
        <v>73</v>
      </c>
      <c r="H8154" t="s">
        <v>2606</v>
      </c>
      <c r="I8154" t="s">
        <v>2607</v>
      </c>
      <c r="J8154" t="s">
        <v>52</v>
      </c>
      <c r="K8154" s="3">
        <v>100812998812</v>
      </c>
      <c r="L8154" s="10">
        <v>40707</v>
      </c>
      <c r="M8154">
        <v>137.97</v>
      </c>
      <c r="N8154" s="11">
        <v>20</v>
      </c>
      <c r="O8154" s="12">
        <v>6.48</v>
      </c>
      <c r="P8154" s="12">
        <v>10.05</v>
      </c>
      <c r="Q8154" s="13">
        <v>-123.94</v>
      </c>
      <c r="R8154" s="36" t="s">
        <v>2371</v>
      </c>
      <c r="S8154" s="7">
        <f t="shared" si="709"/>
        <v>2</v>
      </c>
      <c r="T8154" s="15" t="str">
        <f>VLOOKUP(R8154,产品分类!$C$2:$D$1278,2,0)</f>
        <v>家具产品</v>
      </c>
    </row>
    <row r="8155" spans="1:20">
      <c r="A8155" s="8">
        <f>DATE(2012,12,31)-686</f>
        <v>40588</v>
      </c>
      <c r="B8155" s="8">
        <f>DATE(2012,12,31)-686</f>
        <v>40588</v>
      </c>
      <c r="C8155" s="9" t="s">
        <v>2394</v>
      </c>
      <c r="D8155">
        <v>10021702165</v>
      </c>
      <c r="E8155" t="s">
        <v>47</v>
      </c>
      <c r="F8155" t="s">
        <v>78</v>
      </c>
      <c r="G8155" t="s">
        <v>79</v>
      </c>
      <c r="H8155" t="s">
        <v>80</v>
      </c>
      <c r="I8155" t="s">
        <v>81</v>
      </c>
      <c r="J8155" t="s">
        <v>52</v>
      </c>
      <c r="K8155" s="3">
        <v>10081192322</v>
      </c>
      <c r="L8155" s="10">
        <v>40588</v>
      </c>
      <c r="M8155">
        <v>1529.014</v>
      </c>
      <c r="N8155" s="11">
        <v>17</v>
      </c>
      <c r="O8155" s="12">
        <v>110.99</v>
      </c>
      <c r="P8155" s="12">
        <v>8.99</v>
      </c>
      <c r="Q8155" s="13">
        <v>14.013</v>
      </c>
      <c r="R8155" s="36" t="s">
        <v>1506</v>
      </c>
      <c r="S8155" s="7">
        <f t="shared" si="709"/>
        <v>0</v>
      </c>
      <c r="T8155" s="15" t="str">
        <f>VLOOKUP(R8155,产品分类!$C$2:$D$1278,2,0)</f>
        <v>办公用品</v>
      </c>
    </row>
    <row r="8156" spans="1:20">
      <c r="A8156" s="8">
        <f>DATE(2012,12,31)-1053</f>
        <v>40221</v>
      </c>
      <c r="B8156" s="8">
        <f>DATE(2012,12,31)-1053</f>
        <v>40221</v>
      </c>
      <c r="C8156" s="9" t="s">
        <v>1857</v>
      </c>
      <c r="D8156">
        <v>10021741409</v>
      </c>
      <c r="E8156" t="s">
        <v>47</v>
      </c>
      <c r="F8156" t="s">
        <v>78</v>
      </c>
      <c r="G8156" t="s">
        <v>79</v>
      </c>
      <c r="H8156" t="s">
        <v>80</v>
      </c>
      <c r="I8156" t="s">
        <v>81</v>
      </c>
      <c r="J8156" t="s">
        <v>52</v>
      </c>
      <c r="K8156" s="3">
        <v>100823206502</v>
      </c>
      <c r="L8156" s="10">
        <v>40223</v>
      </c>
      <c r="M8156">
        <v>5186.31</v>
      </c>
      <c r="N8156" s="11">
        <v>23</v>
      </c>
      <c r="O8156" s="12">
        <v>226.67</v>
      </c>
      <c r="P8156" s="12">
        <v>28.16</v>
      </c>
      <c r="Q8156" s="13">
        <v>1009.38</v>
      </c>
      <c r="R8156" s="36" t="s">
        <v>834</v>
      </c>
      <c r="S8156" s="7">
        <f t="shared" si="709"/>
        <v>2</v>
      </c>
      <c r="T8156" s="15" t="str">
        <f>VLOOKUP(R8156,产品分类!$C$2:$D$1278,2,0)</f>
        <v>家具产品</v>
      </c>
    </row>
    <row r="8157" spans="1:20">
      <c r="A8157" s="16">
        <f>DATE(2012,12,31)-796</f>
        <v>40478</v>
      </c>
      <c r="B8157" s="16">
        <f>DATE(2012,12,31)-796</f>
        <v>40478</v>
      </c>
      <c r="C8157" s="9" t="s">
        <v>1122</v>
      </c>
      <c r="D8157">
        <v>10021434607</v>
      </c>
      <c r="E8157" t="s">
        <v>47</v>
      </c>
      <c r="F8157" t="s">
        <v>78</v>
      </c>
      <c r="G8157" t="s">
        <v>79</v>
      </c>
      <c r="H8157" t="s">
        <v>80</v>
      </c>
      <c r="I8157" t="s">
        <v>81</v>
      </c>
      <c r="J8157" t="s">
        <v>52</v>
      </c>
      <c r="K8157" s="3">
        <v>100932663541</v>
      </c>
      <c r="L8157" s="10">
        <v>40479</v>
      </c>
      <c r="M8157">
        <v>700.95</v>
      </c>
      <c r="N8157" s="17">
        <v>14</v>
      </c>
      <c r="O8157" s="5">
        <v>46.89</v>
      </c>
      <c r="P8157" s="5">
        <v>5.1</v>
      </c>
      <c r="Q8157" s="6">
        <v>233.8</v>
      </c>
      <c r="R8157" s="37" t="s">
        <v>2367</v>
      </c>
      <c r="S8157" s="7">
        <f t="shared" si="709"/>
        <v>1</v>
      </c>
      <c r="T8157" s="15" t="str">
        <f>VLOOKUP(R8157,产品分类!$C$2:$D$1278,2,0)</f>
        <v>家具产品</v>
      </c>
    </row>
    <row r="8158" spans="1:20">
      <c r="A8158" s="8">
        <f>DATE(2012,12,31)-796</f>
        <v>40478</v>
      </c>
      <c r="B8158" s="8">
        <f>DATE(2012,12,31)-796</f>
        <v>40478</v>
      </c>
      <c r="C8158" s="9" t="s">
        <v>1122</v>
      </c>
      <c r="D8158">
        <v>10021389433</v>
      </c>
      <c r="E8158" t="s">
        <v>47</v>
      </c>
      <c r="F8158" t="s">
        <v>78</v>
      </c>
      <c r="G8158" t="s">
        <v>79</v>
      </c>
      <c r="H8158" t="s">
        <v>80</v>
      </c>
      <c r="I8158" t="s">
        <v>81</v>
      </c>
      <c r="J8158" t="s">
        <v>52</v>
      </c>
      <c r="K8158" s="3">
        <v>100832012002</v>
      </c>
      <c r="L8158" s="10">
        <v>40479</v>
      </c>
      <c r="M8158">
        <v>159.74</v>
      </c>
      <c r="N8158" s="11">
        <v>41</v>
      </c>
      <c r="O8158" s="12">
        <v>3.69</v>
      </c>
      <c r="P8158" s="12">
        <v>2.5</v>
      </c>
      <c r="Q8158" s="13">
        <v>-9.14</v>
      </c>
      <c r="R8158" s="36" t="s">
        <v>1351</v>
      </c>
      <c r="S8158" s="7">
        <f t="shared" si="709"/>
        <v>1</v>
      </c>
      <c r="T8158" s="15" t="str">
        <f>VLOOKUP(R8158,产品分类!$C$2:$D$1278,2,0)</f>
        <v>办公用品</v>
      </c>
    </row>
    <row r="8159" spans="1:20">
      <c r="A8159" s="8">
        <f>DATE(2012,12,31)-49</f>
        <v>41225</v>
      </c>
      <c r="B8159" s="8">
        <f>DATE(2012,12,31)-49</f>
        <v>41225</v>
      </c>
      <c r="C8159" s="9" t="s">
        <v>425</v>
      </c>
      <c r="D8159">
        <v>10021585561</v>
      </c>
      <c r="E8159" t="s">
        <v>47</v>
      </c>
      <c r="F8159" t="s">
        <v>72</v>
      </c>
      <c r="G8159" t="s">
        <v>73</v>
      </c>
      <c r="H8159" t="s">
        <v>2606</v>
      </c>
      <c r="I8159" t="s">
        <v>2607</v>
      </c>
      <c r="J8159" t="s">
        <v>52</v>
      </c>
      <c r="K8159" s="3">
        <v>100128332057</v>
      </c>
      <c r="L8159" s="10">
        <v>41226</v>
      </c>
      <c r="M8159">
        <v>103.03</v>
      </c>
      <c r="N8159" s="11">
        <v>49</v>
      </c>
      <c r="O8159" s="12">
        <v>2.08</v>
      </c>
      <c r="P8159" s="12">
        <v>2.56</v>
      </c>
      <c r="Q8159" s="13">
        <v>-82.63</v>
      </c>
      <c r="R8159" s="36" t="s">
        <v>1151</v>
      </c>
      <c r="S8159" s="7">
        <f t="shared" si="709"/>
        <v>1</v>
      </c>
      <c r="T8159" s="15" t="str">
        <f>VLOOKUP(R8159,产品分类!$C$2:$D$1278,2,0)</f>
        <v>办公用品</v>
      </c>
    </row>
    <row r="8160" spans="1:20">
      <c r="A8160" s="8">
        <f>DATE(2012,12,31)-496</f>
        <v>40778</v>
      </c>
      <c r="B8160" s="8">
        <f>DATE(2012,12,31)-496</f>
        <v>40778</v>
      </c>
      <c r="C8160" s="9" t="s">
        <v>2366</v>
      </c>
      <c r="D8160">
        <v>10021784924</v>
      </c>
      <c r="E8160" t="s">
        <v>47</v>
      </c>
      <c r="F8160" t="s">
        <v>78</v>
      </c>
      <c r="G8160" t="s">
        <v>79</v>
      </c>
      <c r="H8160" t="s">
        <v>80</v>
      </c>
      <c r="I8160" t="s">
        <v>81</v>
      </c>
      <c r="J8160" t="s">
        <v>52</v>
      </c>
      <c r="K8160" s="3">
        <v>100721718975</v>
      </c>
      <c r="L8160" s="10">
        <v>40779</v>
      </c>
      <c r="M8160">
        <v>4680.89</v>
      </c>
      <c r="N8160" s="11">
        <v>45</v>
      </c>
      <c r="O8160" s="12">
        <v>105.29</v>
      </c>
      <c r="P8160" s="12">
        <v>10.12</v>
      </c>
      <c r="Q8160" s="13">
        <v>693.01</v>
      </c>
      <c r="R8160" s="36" t="s">
        <v>541</v>
      </c>
      <c r="S8160" s="7">
        <f t="shared" si="709"/>
        <v>1</v>
      </c>
      <c r="T8160" s="15" t="str">
        <f>VLOOKUP(R8160,产品分类!$C$2:$D$1278,2,0)</f>
        <v>办公用品</v>
      </c>
    </row>
    <row r="8161" spans="1:20">
      <c r="A8161" s="8">
        <f>DATE(2012,12,31)-496</f>
        <v>40778</v>
      </c>
      <c r="B8161" s="8">
        <f>DATE(2012,12,31)-496</f>
        <v>40778</v>
      </c>
      <c r="C8161" s="9" t="s">
        <v>1595</v>
      </c>
      <c r="D8161">
        <v>10021751618</v>
      </c>
      <c r="E8161" t="s">
        <v>47</v>
      </c>
      <c r="F8161" t="s">
        <v>72</v>
      </c>
      <c r="G8161" t="s">
        <v>73</v>
      </c>
      <c r="H8161" t="s">
        <v>2606</v>
      </c>
      <c r="I8161" t="s">
        <v>2607</v>
      </c>
      <c r="J8161" t="s">
        <v>52</v>
      </c>
      <c r="K8161" s="3">
        <v>100131900566</v>
      </c>
      <c r="L8161" s="10">
        <v>40780</v>
      </c>
      <c r="M8161">
        <v>2414.9945</v>
      </c>
      <c r="N8161" s="11">
        <v>42</v>
      </c>
      <c r="O8161" s="12">
        <v>65.99</v>
      </c>
      <c r="P8161" s="12">
        <v>4.99</v>
      </c>
      <c r="Q8161" s="13">
        <v>624.708</v>
      </c>
      <c r="R8161" s="36" t="s">
        <v>908</v>
      </c>
      <c r="S8161" s="7">
        <f t="shared" si="709"/>
        <v>2</v>
      </c>
      <c r="T8161" s="15" t="str">
        <f>VLOOKUP(R8161,产品分类!$C$2:$D$1278,2,0)</f>
        <v>办公用品</v>
      </c>
    </row>
    <row r="8162" spans="1:20">
      <c r="A8162" s="8">
        <f>DATE(2012,12,31)-480</f>
        <v>40794</v>
      </c>
      <c r="B8162" s="8">
        <f>DATE(2012,12,31)-480</f>
        <v>40794</v>
      </c>
      <c r="C8162" s="9" t="s">
        <v>1592</v>
      </c>
      <c r="D8162">
        <v>10021447003</v>
      </c>
      <c r="E8162" t="s">
        <v>47</v>
      </c>
      <c r="F8162" t="s">
        <v>72</v>
      </c>
      <c r="G8162" t="s">
        <v>73</v>
      </c>
      <c r="H8162" t="s">
        <v>2606</v>
      </c>
      <c r="I8162" t="s">
        <v>2607</v>
      </c>
      <c r="J8162" t="s">
        <v>52</v>
      </c>
      <c r="K8162" s="3">
        <v>100322175139</v>
      </c>
      <c r="L8162" s="10">
        <v>40795</v>
      </c>
      <c r="M8162">
        <v>2018.45</v>
      </c>
      <c r="N8162" s="11">
        <v>29</v>
      </c>
      <c r="O8162" s="12">
        <v>70.71</v>
      </c>
      <c r="P8162" s="12">
        <v>37.58</v>
      </c>
      <c r="Q8162" s="13">
        <v>-812.25</v>
      </c>
      <c r="R8162" s="36" t="s">
        <v>901</v>
      </c>
      <c r="S8162" s="7">
        <f t="shared" si="709"/>
        <v>1</v>
      </c>
      <c r="T8162" s="15" t="str">
        <f>VLOOKUP(R8162,产品分类!$C$2:$D$1278,2,0)</f>
        <v>家具产品</v>
      </c>
    </row>
    <row r="8163" spans="1:20">
      <c r="A8163" s="8">
        <f>DATE(2012,12,31)-855</f>
        <v>40419</v>
      </c>
      <c r="B8163" s="8">
        <f>DATE(2012,12,31)-855</f>
        <v>40419</v>
      </c>
      <c r="C8163" s="9" t="s">
        <v>1592</v>
      </c>
      <c r="D8163">
        <v>10021296536</v>
      </c>
      <c r="E8163" t="s">
        <v>47</v>
      </c>
      <c r="F8163" t="s">
        <v>72</v>
      </c>
      <c r="G8163" t="s">
        <v>73</v>
      </c>
      <c r="H8163" t="s">
        <v>2606</v>
      </c>
      <c r="I8163" t="s">
        <v>2607</v>
      </c>
      <c r="J8163" t="s">
        <v>52</v>
      </c>
      <c r="K8163" s="3">
        <v>100422384254</v>
      </c>
      <c r="L8163" s="10">
        <v>40420</v>
      </c>
      <c r="M8163">
        <v>812.21</v>
      </c>
      <c r="N8163" s="11">
        <v>41</v>
      </c>
      <c r="O8163" s="12">
        <v>20.28</v>
      </c>
      <c r="P8163" s="12">
        <v>14.39</v>
      </c>
      <c r="Q8163" s="13">
        <v>-128.02</v>
      </c>
      <c r="R8163" s="36" t="s">
        <v>722</v>
      </c>
      <c r="S8163" s="7">
        <f t="shared" si="709"/>
        <v>1</v>
      </c>
      <c r="T8163" s="15" t="str">
        <f>VLOOKUP(R8163,产品分类!$C$2:$D$1278,2,0)</f>
        <v>办公用品</v>
      </c>
    </row>
    <row r="8164" spans="1:20">
      <c r="A8164" s="8">
        <f>DATE(2012,12,31)-497</f>
        <v>40777</v>
      </c>
      <c r="B8164" s="8">
        <f>DATE(2012,12,31)-497</f>
        <v>40777</v>
      </c>
      <c r="C8164" s="9" t="s">
        <v>1592</v>
      </c>
      <c r="D8164">
        <v>10021508601</v>
      </c>
      <c r="E8164" t="s">
        <v>47</v>
      </c>
      <c r="F8164" t="s">
        <v>230</v>
      </c>
      <c r="G8164" t="s">
        <v>231</v>
      </c>
      <c r="H8164" t="s">
        <v>2602</v>
      </c>
      <c r="I8164" t="s">
        <v>2603</v>
      </c>
      <c r="J8164" t="s">
        <v>52</v>
      </c>
      <c r="K8164" s="3">
        <v>100132303216</v>
      </c>
      <c r="L8164" s="10">
        <v>40778</v>
      </c>
      <c r="M8164">
        <v>13608.83</v>
      </c>
      <c r="N8164" s="11">
        <v>50</v>
      </c>
      <c r="O8164" s="12">
        <v>300.98</v>
      </c>
      <c r="P8164" s="12">
        <v>64.73</v>
      </c>
      <c r="Q8164" s="13">
        <v>1342.93</v>
      </c>
      <c r="R8164" s="36" t="s">
        <v>765</v>
      </c>
      <c r="S8164" s="7">
        <f t="shared" si="709"/>
        <v>1</v>
      </c>
      <c r="T8164" s="15" t="str">
        <f>VLOOKUP(R8164,产品分类!$C$2:$D$1278,2,0)</f>
        <v>办公用品</v>
      </c>
    </row>
    <row r="8165" spans="1:20">
      <c r="A8165" s="8">
        <f>DATE(2012,12,31)-497</f>
        <v>40777</v>
      </c>
      <c r="B8165" s="8">
        <f>DATE(2012,12,31)-497</f>
        <v>40777</v>
      </c>
      <c r="C8165" s="9" t="s">
        <v>1823</v>
      </c>
      <c r="D8165">
        <v>10021531295</v>
      </c>
      <c r="E8165" t="s">
        <v>47</v>
      </c>
      <c r="F8165" t="s">
        <v>230</v>
      </c>
      <c r="G8165" t="s">
        <v>231</v>
      </c>
      <c r="H8165" t="s">
        <v>2602</v>
      </c>
      <c r="I8165" t="s">
        <v>2603</v>
      </c>
      <c r="J8165" t="s">
        <v>52</v>
      </c>
      <c r="K8165" s="3">
        <v>100711631675</v>
      </c>
      <c r="L8165" s="10">
        <v>40778</v>
      </c>
      <c r="M8165">
        <v>89.32</v>
      </c>
      <c r="N8165" s="11">
        <v>25</v>
      </c>
      <c r="O8165" s="12">
        <v>3.41</v>
      </c>
      <c r="P8165" s="12">
        <v>0.7</v>
      </c>
      <c r="Q8165" s="13">
        <v>33.46</v>
      </c>
      <c r="R8165" s="36" t="s">
        <v>958</v>
      </c>
      <c r="S8165" s="7">
        <f t="shared" si="709"/>
        <v>1</v>
      </c>
      <c r="T8165" s="15" t="str">
        <f>VLOOKUP(R8165,产品分类!$C$2:$D$1278,2,0)</f>
        <v>办公用品</v>
      </c>
    </row>
    <row r="8166" spans="1:20">
      <c r="A8166" s="8">
        <f>DATE(2012,12,31)-1082</f>
        <v>40192</v>
      </c>
      <c r="B8166" s="8">
        <f>DATE(2012,12,31)-1082</f>
        <v>40192</v>
      </c>
      <c r="C8166" s="9" t="s">
        <v>1823</v>
      </c>
      <c r="D8166">
        <v>10021294483</v>
      </c>
      <c r="E8166" t="s">
        <v>47</v>
      </c>
      <c r="F8166" t="s">
        <v>230</v>
      </c>
      <c r="G8166" t="s">
        <v>231</v>
      </c>
      <c r="H8166" t="s">
        <v>2602</v>
      </c>
      <c r="I8166" t="s">
        <v>2603</v>
      </c>
      <c r="J8166" t="s">
        <v>52</v>
      </c>
      <c r="K8166" s="3">
        <v>100914276191</v>
      </c>
      <c r="L8166" s="10">
        <v>40193</v>
      </c>
      <c r="M8166">
        <v>5332.42</v>
      </c>
      <c r="N8166" s="11">
        <v>49</v>
      </c>
      <c r="O8166" s="12">
        <v>113.98</v>
      </c>
      <c r="P8166" s="12">
        <v>30</v>
      </c>
      <c r="Q8166" s="13">
        <v>-219.2</v>
      </c>
      <c r="R8166" s="36" t="s">
        <v>1626</v>
      </c>
      <c r="S8166" s="7">
        <f t="shared" si="709"/>
        <v>1</v>
      </c>
      <c r="T8166" s="15" t="str">
        <f>VLOOKUP(R8166,产品分类!$C$2:$D$1278,2,0)</f>
        <v>办公用品</v>
      </c>
    </row>
    <row r="8167" spans="1:20">
      <c r="A8167" s="8">
        <f>DATE(2012,12,31)-1082</f>
        <v>40192</v>
      </c>
      <c r="B8167" s="8">
        <f>DATE(2012,12,31)-1082</f>
        <v>40192</v>
      </c>
      <c r="C8167" s="9" t="s">
        <v>1462</v>
      </c>
      <c r="D8167">
        <v>10021745443</v>
      </c>
      <c r="E8167" t="s">
        <v>47</v>
      </c>
      <c r="F8167" t="s">
        <v>78</v>
      </c>
      <c r="G8167" t="s">
        <v>79</v>
      </c>
      <c r="H8167" t="s">
        <v>80</v>
      </c>
      <c r="I8167" t="s">
        <v>81</v>
      </c>
      <c r="J8167" t="s">
        <v>52</v>
      </c>
      <c r="K8167" s="3">
        <v>100927774751</v>
      </c>
      <c r="L8167" s="10">
        <v>40193</v>
      </c>
      <c r="M8167">
        <v>2328.62</v>
      </c>
      <c r="N8167" s="11">
        <v>19</v>
      </c>
      <c r="O8167" s="12">
        <v>120.98</v>
      </c>
      <c r="P8167" s="12">
        <v>30</v>
      </c>
      <c r="Q8167" s="13">
        <v>45.54</v>
      </c>
      <c r="R8167" s="36" t="s">
        <v>498</v>
      </c>
      <c r="S8167" s="7">
        <f t="shared" si="709"/>
        <v>1</v>
      </c>
      <c r="T8167" s="15" t="str">
        <f>VLOOKUP(R8167,产品分类!$C$2:$D$1278,2,0)</f>
        <v>家具产品</v>
      </c>
    </row>
    <row r="8168" spans="1:20">
      <c r="A8168" s="8">
        <f t="shared" ref="A8168:B8170" si="714">DATE(2012,12,31)-367</f>
        <v>40907</v>
      </c>
      <c r="B8168" s="8">
        <f t="shared" si="714"/>
        <v>40907</v>
      </c>
      <c r="C8168" s="9" t="s">
        <v>1462</v>
      </c>
      <c r="D8168">
        <v>10021657080</v>
      </c>
      <c r="E8168" t="s">
        <v>47</v>
      </c>
      <c r="F8168" t="s">
        <v>230</v>
      </c>
      <c r="G8168" t="s">
        <v>231</v>
      </c>
      <c r="H8168" t="s">
        <v>2602</v>
      </c>
      <c r="I8168" t="s">
        <v>2603</v>
      </c>
      <c r="J8168" t="s">
        <v>52</v>
      </c>
      <c r="K8168" s="3">
        <v>10078812885</v>
      </c>
      <c r="L8168" s="10">
        <v>40909</v>
      </c>
      <c r="M8168">
        <v>6641.14</v>
      </c>
      <c r="N8168" s="11">
        <v>23</v>
      </c>
      <c r="O8168" s="12">
        <v>300.98</v>
      </c>
      <c r="P8168" s="12">
        <v>64.73</v>
      </c>
      <c r="Q8168" s="13">
        <v>673.77</v>
      </c>
      <c r="R8168" s="36" t="s">
        <v>1905</v>
      </c>
      <c r="S8168" s="7">
        <f t="shared" si="709"/>
        <v>2</v>
      </c>
      <c r="T8168" s="15" t="str">
        <f>VLOOKUP(R8168,产品分类!$C$2:$D$1278,2,0)</f>
        <v>数码电子</v>
      </c>
    </row>
    <row r="8169" spans="1:20">
      <c r="A8169" s="8">
        <f t="shared" si="714"/>
        <v>40907</v>
      </c>
      <c r="B8169" s="8">
        <f t="shared" si="714"/>
        <v>40907</v>
      </c>
      <c r="C8169" s="9" t="s">
        <v>1462</v>
      </c>
      <c r="D8169">
        <v>10021524230</v>
      </c>
      <c r="E8169" t="s">
        <v>47</v>
      </c>
      <c r="F8169" t="s">
        <v>78</v>
      </c>
      <c r="G8169" t="s">
        <v>79</v>
      </c>
      <c r="H8169" t="s">
        <v>80</v>
      </c>
      <c r="I8169" t="s">
        <v>81</v>
      </c>
      <c r="J8169" t="s">
        <v>52</v>
      </c>
      <c r="K8169" s="3">
        <v>10091193871</v>
      </c>
      <c r="L8169" s="10">
        <v>40910</v>
      </c>
      <c r="M8169">
        <v>10469.03</v>
      </c>
      <c r="N8169" s="11">
        <v>21</v>
      </c>
      <c r="O8169" s="12">
        <v>500.98</v>
      </c>
      <c r="P8169" s="12">
        <v>26</v>
      </c>
      <c r="Q8169" s="13">
        <v>2608.72</v>
      </c>
      <c r="R8169" s="36" t="s">
        <v>159</v>
      </c>
      <c r="S8169" s="7">
        <f t="shared" si="709"/>
        <v>3</v>
      </c>
      <c r="T8169" s="15" t="str">
        <f>VLOOKUP(R8169,产品分类!$C$2:$D$1278,2,0)</f>
        <v>数码电子</v>
      </c>
    </row>
    <row r="8170" spans="1:20">
      <c r="A8170" s="8">
        <f t="shared" si="714"/>
        <v>40907</v>
      </c>
      <c r="B8170" s="8">
        <f t="shared" si="714"/>
        <v>40907</v>
      </c>
      <c r="C8170" s="9" t="s">
        <v>1560</v>
      </c>
      <c r="D8170">
        <v>10021547932</v>
      </c>
      <c r="E8170" t="s">
        <v>47</v>
      </c>
      <c r="F8170" t="s">
        <v>2517</v>
      </c>
      <c r="G8170" t="s">
        <v>2518</v>
      </c>
      <c r="H8170" t="s">
        <v>2619</v>
      </c>
      <c r="I8170" t="s">
        <v>2620</v>
      </c>
      <c r="J8170" t="s">
        <v>52</v>
      </c>
      <c r="K8170" s="3">
        <v>100732100545</v>
      </c>
      <c r="L8170" s="10">
        <v>40908</v>
      </c>
      <c r="M8170">
        <v>835.55</v>
      </c>
      <c r="N8170" s="11">
        <v>18</v>
      </c>
      <c r="O8170" s="12">
        <v>45.19</v>
      </c>
      <c r="P8170" s="12">
        <v>1.99</v>
      </c>
      <c r="Q8170" s="13">
        <v>171.59</v>
      </c>
      <c r="R8170" s="36" t="s">
        <v>1026</v>
      </c>
      <c r="S8170" s="7">
        <f t="shared" si="709"/>
        <v>1</v>
      </c>
      <c r="T8170" s="15" t="str">
        <f>VLOOKUP(R8170,产品分类!$C$2:$D$1278,2,0)</f>
        <v>数码电子</v>
      </c>
    </row>
    <row r="8171" spans="1:20">
      <c r="A8171" s="8">
        <f>DATE(2012,12,31)-1378</f>
        <v>39896</v>
      </c>
      <c r="B8171" s="8">
        <f>DATE(2012,12,31)-1378</f>
        <v>39896</v>
      </c>
      <c r="C8171" s="9" t="s">
        <v>1560</v>
      </c>
      <c r="D8171">
        <v>10021497416</v>
      </c>
      <c r="E8171" t="s">
        <v>47</v>
      </c>
      <c r="F8171" t="s">
        <v>2517</v>
      </c>
      <c r="G8171" t="s">
        <v>2518</v>
      </c>
      <c r="H8171" t="s">
        <v>2619</v>
      </c>
      <c r="I8171" t="s">
        <v>2620</v>
      </c>
      <c r="J8171" t="s">
        <v>52</v>
      </c>
      <c r="K8171" s="3">
        <v>100717568265</v>
      </c>
      <c r="L8171" s="10">
        <v>39897</v>
      </c>
      <c r="M8171">
        <v>2527.792</v>
      </c>
      <c r="N8171" s="11">
        <v>23</v>
      </c>
      <c r="O8171" s="12">
        <v>138.75</v>
      </c>
      <c r="P8171" s="12">
        <v>52.42</v>
      </c>
      <c r="Q8171" s="13">
        <v>-335.317125</v>
      </c>
      <c r="R8171" s="36" t="s">
        <v>226</v>
      </c>
      <c r="S8171" s="7">
        <f t="shared" si="709"/>
        <v>1</v>
      </c>
      <c r="T8171" s="15" t="str">
        <f>VLOOKUP(R8171,产品分类!$C$2:$D$1278,2,0)</f>
        <v>家具产品</v>
      </c>
    </row>
    <row r="8172" spans="1:20">
      <c r="A8172" s="8">
        <f>DATE(2012,12,31)-758</f>
        <v>40516</v>
      </c>
      <c r="B8172" s="8">
        <f>DATE(2012,12,31)-758</f>
        <v>40516</v>
      </c>
      <c r="C8172" s="9" t="s">
        <v>1397</v>
      </c>
      <c r="D8172">
        <v>10021336991</v>
      </c>
      <c r="E8172" t="s">
        <v>47</v>
      </c>
      <c r="F8172" t="s">
        <v>91</v>
      </c>
      <c r="G8172" t="s">
        <v>92</v>
      </c>
      <c r="H8172" t="s">
        <v>2621</v>
      </c>
      <c r="I8172" t="s">
        <v>2622</v>
      </c>
      <c r="J8172" t="s">
        <v>52</v>
      </c>
      <c r="K8172" s="3">
        <v>1001308036</v>
      </c>
      <c r="L8172" s="10">
        <v>40518</v>
      </c>
      <c r="M8172">
        <v>39.44</v>
      </c>
      <c r="N8172" s="11">
        <v>5</v>
      </c>
      <c r="O8172" s="12">
        <v>6.75</v>
      </c>
      <c r="P8172" s="12">
        <v>2.99</v>
      </c>
      <c r="Q8172" s="13">
        <v>-0.943</v>
      </c>
      <c r="R8172" s="36" t="s">
        <v>429</v>
      </c>
      <c r="S8172" s="7">
        <f t="shared" si="709"/>
        <v>2</v>
      </c>
      <c r="T8172" s="15" t="str">
        <f>VLOOKUP(R8172,产品分类!$C$2:$D$1278,2,0)</f>
        <v>办公用品</v>
      </c>
    </row>
    <row r="8173" spans="1:20">
      <c r="A8173" s="8">
        <f>DATE(2012,12,31)-758</f>
        <v>40516</v>
      </c>
      <c r="B8173" s="8">
        <f>DATE(2012,12,31)-758</f>
        <v>40516</v>
      </c>
      <c r="C8173" s="9" t="s">
        <v>1280</v>
      </c>
      <c r="D8173">
        <v>10021336000</v>
      </c>
      <c r="E8173" t="s">
        <v>47</v>
      </c>
      <c r="F8173" t="s">
        <v>91</v>
      </c>
      <c r="G8173" t="s">
        <v>92</v>
      </c>
      <c r="H8173" t="s">
        <v>2621</v>
      </c>
      <c r="I8173" t="s">
        <v>2622</v>
      </c>
      <c r="J8173" t="s">
        <v>52</v>
      </c>
      <c r="K8173" s="3">
        <v>10043042614</v>
      </c>
      <c r="L8173" s="10">
        <v>40518</v>
      </c>
      <c r="M8173">
        <v>11.01</v>
      </c>
      <c r="N8173" s="11">
        <v>3</v>
      </c>
      <c r="O8173" s="12">
        <v>2.08</v>
      </c>
      <c r="P8173" s="12">
        <v>5.33</v>
      </c>
      <c r="Q8173" s="13">
        <v>-1.42</v>
      </c>
      <c r="R8173" s="36" t="s">
        <v>1627</v>
      </c>
      <c r="S8173" s="7">
        <f t="shared" si="709"/>
        <v>2</v>
      </c>
      <c r="T8173" s="15" t="str">
        <f>VLOOKUP(R8173,产品分类!$C$2:$D$1278,2,0)</f>
        <v>办公用品</v>
      </c>
    </row>
    <row r="8174" spans="1:20">
      <c r="A8174" s="8">
        <f>DATE(2012,12,31)-1010</f>
        <v>40264</v>
      </c>
      <c r="B8174" s="8">
        <f>DATE(2012,12,31)-1010</f>
        <v>40264</v>
      </c>
      <c r="C8174" s="9" t="s">
        <v>1280</v>
      </c>
      <c r="D8174">
        <v>10021665171</v>
      </c>
      <c r="E8174" t="s">
        <v>47</v>
      </c>
      <c r="F8174" t="s">
        <v>55</v>
      </c>
      <c r="G8174" t="s">
        <v>56</v>
      </c>
      <c r="H8174" t="s">
        <v>2633</v>
      </c>
      <c r="I8174" t="s">
        <v>2634</v>
      </c>
      <c r="J8174" t="s">
        <v>52</v>
      </c>
      <c r="K8174" s="3">
        <v>100326103279</v>
      </c>
      <c r="L8174" s="10">
        <v>40266</v>
      </c>
      <c r="M8174">
        <v>1338.12</v>
      </c>
      <c r="N8174" s="11">
        <v>43</v>
      </c>
      <c r="O8174" s="12">
        <v>31.78</v>
      </c>
      <c r="P8174" s="12">
        <v>1.99</v>
      </c>
      <c r="Q8174" s="13">
        <v>519.7</v>
      </c>
      <c r="R8174" s="36" t="s">
        <v>2111</v>
      </c>
      <c r="S8174" s="7">
        <f t="shared" si="709"/>
        <v>2</v>
      </c>
      <c r="T8174" s="15" t="str">
        <f>VLOOKUP(R8174,产品分类!$C$2:$D$1278,2,0)</f>
        <v>数码电子</v>
      </c>
    </row>
    <row r="8175" spans="1:20">
      <c r="A8175" s="8">
        <f t="shared" ref="A8175:B8177" si="715">DATE(2012,12,31)-203</f>
        <v>41071</v>
      </c>
      <c r="B8175" s="8">
        <f t="shared" si="715"/>
        <v>41071</v>
      </c>
      <c r="C8175" s="9" t="s">
        <v>1280</v>
      </c>
      <c r="D8175">
        <v>10021580268</v>
      </c>
      <c r="E8175" t="s">
        <v>47</v>
      </c>
      <c r="F8175" t="s">
        <v>55</v>
      </c>
      <c r="G8175" t="s">
        <v>56</v>
      </c>
      <c r="H8175" t="s">
        <v>2633</v>
      </c>
      <c r="I8175" t="s">
        <v>2634</v>
      </c>
      <c r="J8175" t="s">
        <v>52</v>
      </c>
      <c r="K8175" s="3">
        <v>100922450251</v>
      </c>
      <c r="L8175" s="10">
        <v>41072</v>
      </c>
      <c r="M8175">
        <v>883.23</v>
      </c>
      <c r="N8175" s="11">
        <v>7</v>
      </c>
      <c r="O8175" s="12">
        <v>120.98</v>
      </c>
      <c r="P8175" s="12">
        <v>58.64</v>
      </c>
      <c r="Q8175" s="13">
        <v>-404.36</v>
      </c>
      <c r="R8175" s="36" t="s">
        <v>1048</v>
      </c>
      <c r="S8175" s="7">
        <f t="shared" si="709"/>
        <v>1</v>
      </c>
      <c r="T8175" s="15" t="str">
        <f>VLOOKUP(R8175,产品分类!$C$2:$D$1278,2,0)</f>
        <v>办公用品</v>
      </c>
    </row>
    <row r="8176" spans="1:20">
      <c r="A8176" s="8">
        <f t="shared" si="715"/>
        <v>41071</v>
      </c>
      <c r="B8176" s="8">
        <f t="shared" si="715"/>
        <v>41071</v>
      </c>
      <c r="C8176" s="9" t="s">
        <v>315</v>
      </c>
      <c r="D8176">
        <v>10021586363</v>
      </c>
      <c r="E8176" t="s">
        <v>47</v>
      </c>
      <c r="F8176" t="s">
        <v>91</v>
      </c>
      <c r="G8176" t="s">
        <v>92</v>
      </c>
      <c r="H8176" t="s">
        <v>2621</v>
      </c>
      <c r="I8176" t="s">
        <v>2622</v>
      </c>
      <c r="J8176" t="s">
        <v>52</v>
      </c>
      <c r="K8176" s="3">
        <v>100729072785</v>
      </c>
      <c r="L8176" s="10">
        <v>41072</v>
      </c>
      <c r="M8176">
        <v>917.25</v>
      </c>
      <c r="N8176" s="11">
        <v>41</v>
      </c>
      <c r="O8176" s="12">
        <v>20.97</v>
      </c>
      <c r="P8176" s="12">
        <v>6.5</v>
      </c>
      <c r="Q8176" s="13">
        <v>-103.75</v>
      </c>
      <c r="R8176" s="36" t="s">
        <v>1245</v>
      </c>
      <c r="S8176" s="7">
        <f t="shared" si="709"/>
        <v>1</v>
      </c>
      <c r="T8176" s="15" t="str">
        <f>VLOOKUP(R8176,产品分类!$C$2:$D$1278,2,0)</f>
        <v>办公用品</v>
      </c>
    </row>
    <row r="8177" spans="1:20">
      <c r="A8177" s="8">
        <f t="shared" si="715"/>
        <v>41071</v>
      </c>
      <c r="B8177" s="8">
        <f t="shared" si="715"/>
        <v>41071</v>
      </c>
      <c r="C8177" s="9" t="s">
        <v>273</v>
      </c>
      <c r="D8177">
        <v>10021791534</v>
      </c>
      <c r="E8177" t="s">
        <v>47</v>
      </c>
      <c r="F8177" t="s">
        <v>55</v>
      </c>
      <c r="G8177" t="s">
        <v>56</v>
      </c>
      <c r="H8177" t="s">
        <v>2633</v>
      </c>
      <c r="I8177" t="s">
        <v>2634</v>
      </c>
      <c r="J8177" t="s">
        <v>52</v>
      </c>
      <c r="K8177" s="3">
        <v>100431982593</v>
      </c>
      <c r="L8177" s="10">
        <v>41073</v>
      </c>
      <c r="M8177">
        <v>760.801</v>
      </c>
      <c r="N8177" s="11">
        <v>46</v>
      </c>
      <c r="O8177" s="12">
        <v>20.99</v>
      </c>
      <c r="P8177" s="12">
        <v>0.99</v>
      </c>
      <c r="Q8177" s="13">
        <v>348.588</v>
      </c>
      <c r="R8177" s="36" t="s">
        <v>938</v>
      </c>
      <c r="S8177" s="7">
        <f t="shared" si="709"/>
        <v>2</v>
      </c>
      <c r="T8177" s="15" t="str">
        <f>VLOOKUP(R8177,产品分类!$C$2:$D$1278,2,0)</f>
        <v>办公用品</v>
      </c>
    </row>
    <row r="8178" spans="1:20">
      <c r="A8178" s="8">
        <f>DATE(2012,12,31)-799</f>
        <v>40475</v>
      </c>
      <c r="B8178" s="8">
        <f>DATE(2012,12,31)-799</f>
        <v>40475</v>
      </c>
      <c r="C8178" s="9" t="s">
        <v>1916</v>
      </c>
      <c r="D8178">
        <v>10021395190</v>
      </c>
      <c r="E8178" t="s">
        <v>47</v>
      </c>
      <c r="F8178" t="s">
        <v>91</v>
      </c>
      <c r="G8178" t="s">
        <v>92</v>
      </c>
      <c r="H8178" t="s">
        <v>2621</v>
      </c>
      <c r="I8178" t="s">
        <v>2622</v>
      </c>
      <c r="J8178" t="s">
        <v>52</v>
      </c>
      <c r="K8178" s="3">
        <v>10047647853</v>
      </c>
      <c r="L8178" s="10">
        <v>40477</v>
      </c>
      <c r="M8178">
        <v>21.01</v>
      </c>
      <c r="N8178" s="11">
        <v>2</v>
      </c>
      <c r="O8178" s="12">
        <v>6.48</v>
      </c>
      <c r="P8178" s="12">
        <v>8.19</v>
      </c>
      <c r="Q8178" s="13">
        <v>-13.13</v>
      </c>
      <c r="R8178" s="36" t="s">
        <v>1893</v>
      </c>
      <c r="S8178" s="7">
        <f t="shared" si="709"/>
        <v>2</v>
      </c>
      <c r="T8178" s="15" t="str">
        <f>VLOOKUP(R8178,产品分类!$C$2:$D$1278,2,0)</f>
        <v>办公用品</v>
      </c>
    </row>
    <row r="8179" spans="1:20">
      <c r="A8179" s="8">
        <f>DATE(2012,12,31)-1373</f>
        <v>39901</v>
      </c>
      <c r="B8179" s="8">
        <f>DATE(2012,12,31)-1373</f>
        <v>39901</v>
      </c>
      <c r="C8179" s="9" t="s">
        <v>1916</v>
      </c>
      <c r="D8179">
        <v>10021270355</v>
      </c>
      <c r="E8179" t="s">
        <v>47</v>
      </c>
      <c r="F8179" t="s">
        <v>122</v>
      </c>
      <c r="G8179" t="s">
        <v>123</v>
      </c>
      <c r="H8179" t="s">
        <v>2458</v>
      </c>
      <c r="I8179" t="s">
        <v>2459</v>
      </c>
      <c r="J8179" t="s">
        <v>52</v>
      </c>
      <c r="K8179" s="3">
        <v>100132476468</v>
      </c>
      <c r="L8179" s="10">
        <v>39903</v>
      </c>
      <c r="M8179">
        <v>215.93</v>
      </c>
      <c r="N8179" s="11">
        <v>18</v>
      </c>
      <c r="O8179" s="12">
        <v>11.97</v>
      </c>
      <c r="P8179" s="12">
        <v>5.81</v>
      </c>
      <c r="Q8179" s="13">
        <v>-41.87</v>
      </c>
      <c r="R8179" s="36" t="s">
        <v>1451</v>
      </c>
      <c r="S8179" s="7">
        <f t="shared" si="709"/>
        <v>2</v>
      </c>
      <c r="T8179" s="15" t="str">
        <f>VLOOKUP(R8179,产品分类!$C$2:$D$1278,2,0)</f>
        <v>办公用品</v>
      </c>
    </row>
    <row r="8180" spans="1:20">
      <c r="A8180" s="8">
        <f>DATE(2012,12,31)-422</f>
        <v>40852</v>
      </c>
      <c r="B8180" s="8">
        <f>DATE(2012,12,31)-422</f>
        <v>40852</v>
      </c>
      <c r="C8180" s="9" t="s">
        <v>1916</v>
      </c>
      <c r="D8180">
        <v>10021738109</v>
      </c>
      <c r="E8180" t="s">
        <v>47</v>
      </c>
      <c r="F8180" t="s">
        <v>91</v>
      </c>
      <c r="G8180" t="s">
        <v>92</v>
      </c>
      <c r="H8180" t="s">
        <v>2621</v>
      </c>
      <c r="I8180" t="s">
        <v>2622</v>
      </c>
      <c r="J8180" t="s">
        <v>52</v>
      </c>
      <c r="K8180" s="3">
        <v>10017650958</v>
      </c>
      <c r="L8180" s="10">
        <v>40853</v>
      </c>
      <c r="M8180">
        <v>3023.73</v>
      </c>
      <c r="N8180" s="11">
        <v>14</v>
      </c>
      <c r="O8180" s="12">
        <v>218.75</v>
      </c>
      <c r="P8180" s="12">
        <v>69.64</v>
      </c>
      <c r="Q8180" s="13">
        <v>-1068.0098</v>
      </c>
      <c r="R8180" s="36" t="s">
        <v>1284</v>
      </c>
      <c r="S8180" s="7">
        <f t="shared" si="709"/>
        <v>1</v>
      </c>
      <c r="T8180" s="15" t="str">
        <f>VLOOKUP(R8180,产品分类!$C$2:$D$1278,2,0)</f>
        <v>家具产品</v>
      </c>
    </row>
    <row r="8181" spans="1:20">
      <c r="A8181" s="16">
        <f>DATE(2012,12,31)-1167</f>
        <v>40107</v>
      </c>
      <c r="B8181" s="16">
        <f>DATE(2012,12,31)-1167</f>
        <v>40107</v>
      </c>
      <c r="C8181" s="9" t="s">
        <v>1916</v>
      </c>
      <c r="D8181">
        <v>10021736707</v>
      </c>
      <c r="E8181" t="s">
        <v>47</v>
      </c>
      <c r="F8181" t="s">
        <v>122</v>
      </c>
      <c r="G8181" t="s">
        <v>123</v>
      </c>
      <c r="H8181" t="s">
        <v>2458</v>
      </c>
      <c r="I8181" t="s">
        <v>2459</v>
      </c>
      <c r="J8181" t="s">
        <v>52</v>
      </c>
      <c r="K8181" s="3">
        <v>10049480874</v>
      </c>
      <c r="L8181" s="10">
        <v>40111</v>
      </c>
      <c r="M8181">
        <v>876.64</v>
      </c>
      <c r="N8181" s="17">
        <v>50</v>
      </c>
      <c r="O8181" s="5">
        <v>15.99</v>
      </c>
      <c r="P8181" s="5">
        <v>13.18</v>
      </c>
      <c r="Q8181" s="6">
        <v>-126.684</v>
      </c>
      <c r="R8181" s="37" t="s">
        <v>131</v>
      </c>
      <c r="S8181" s="7">
        <f t="shared" si="709"/>
        <v>4</v>
      </c>
      <c r="T8181" s="15" t="str">
        <f>VLOOKUP(R8181,产品分类!$C$2:$D$1278,2,0)</f>
        <v>家具产品</v>
      </c>
    </row>
    <row r="8182" spans="1:20">
      <c r="A8182" s="16">
        <f>DATE(2012,12,31)-1030</f>
        <v>40244</v>
      </c>
      <c r="B8182" s="16">
        <f>DATE(2012,12,31)-1030</f>
        <v>40244</v>
      </c>
      <c r="C8182" s="9" t="s">
        <v>1916</v>
      </c>
      <c r="D8182">
        <v>10021662170</v>
      </c>
      <c r="E8182" t="s">
        <v>47</v>
      </c>
      <c r="F8182" t="s">
        <v>55</v>
      </c>
      <c r="G8182" t="s">
        <v>56</v>
      </c>
      <c r="H8182" t="s">
        <v>2633</v>
      </c>
      <c r="I8182" t="s">
        <v>2634</v>
      </c>
      <c r="J8182" t="s">
        <v>52</v>
      </c>
      <c r="K8182" s="3">
        <v>100121459487</v>
      </c>
      <c r="L8182" s="10">
        <v>40244</v>
      </c>
      <c r="M8182">
        <v>2378.82</v>
      </c>
      <c r="N8182" s="17">
        <v>43</v>
      </c>
      <c r="O8182" s="5">
        <v>52.4</v>
      </c>
      <c r="P8182" s="5">
        <v>16.11</v>
      </c>
      <c r="Q8182" s="6">
        <v>597.159</v>
      </c>
      <c r="R8182" s="37" t="s">
        <v>449</v>
      </c>
      <c r="S8182" s="7">
        <f t="shared" si="709"/>
        <v>0</v>
      </c>
      <c r="T8182" s="15" t="str">
        <f>VLOOKUP(R8182,产品分类!$C$2:$D$1278,2,0)</f>
        <v>家具产品</v>
      </c>
    </row>
    <row r="8183" spans="1:20">
      <c r="A8183" s="8">
        <f>DATE(2012,12,31)-1030</f>
        <v>40244</v>
      </c>
      <c r="B8183" s="8">
        <f>DATE(2012,12,31)-1030</f>
        <v>40244</v>
      </c>
      <c r="C8183" s="9" t="s">
        <v>2256</v>
      </c>
      <c r="D8183">
        <v>10021363543</v>
      </c>
      <c r="E8183" t="s">
        <v>47</v>
      </c>
      <c r="F8183" t="s">
        <v>91</v>
      </c>
      <c r="G8183" t="s">
        <v>92</v>
      </c>
      <c r="H8183" t="s">
        <v>2621</v>
      </c>
      <c r="I8183" t="s">
        <v>2622</v>
      </c>
      <c r="J8183" t="s">
        <v>52</v>
      </c>
      <c r="K8183" s="3">
        <v>10032510769</v>
      </c>
      <c r="L8183" s="10">
        <v>40245</v>
      </c>
      <c r="M8183">
        <v>202.62</v>
      </c>
      <c r="N8183" s="11">
        <v>6</v>
      </c>
      <c r="O8183" s="12">
        <v>30.98</v>
      </c>
      <c r="P8183" s="12">
        <v>8.74</v>
      </c>
      <c r="Q8183" s="13">
        <v>13.87</v>
      </c>
      <c r="R8183" s="36" t="s">
        <v>215</v>
      </c>
      <c r="S8183" s="7">
        <f t="shared" si="709"/>
        <v>1</v>
      </c>
      <c r="T8183" s="15" t="str">
        <f>VLOOKUP(R8183,产品分类!$C$2:$D$1278,2,0)</f>
        <v>数码电子</v>
      </c>
    </row>
    <row r="8184" spans="1:20">
      <c r="A8184" s="8">
        <f>DATE(2012,12,31)-81</f>
        <v>41193</v>
      </c>
      <c r="B8184" s="8">
        <f>DATE(2012,12,31)-81</f>
        <v>41193</v>
      </c>
      <c r="C8184" s="9" t="s">
        <v>943</v>
      </c>
      <c r="D8184">
        <v>10021646314</v>
      </c>
      <c r="E8184" t="s">
        <v>47</v>
      </c>
      <c r="F8184" t="s">
        <v>91</v>
      </c>
      <c r="G8184" t="s">
        <v>92</v>
      </c>
      <c r="H8184" t="s">
        <v>2621</v>
      </c>
      <c r="I8184" t="s">
        <v>2622</v>
      </c>
      <c r="J8184" t="s">
        <v>52</v>
      </c>
      <c r="K8184" s="3">
        <v>100317024439</v>
      </c>
      <c r="L8184" s="10">
        <v>41195</v>
      </c>
      <c r="M8184">
        <v>4042.96</v>
      </c>
      <c r="N8184" s="11">
        <v>45</v>
      </c>
      <c r="O8184" s="12">
        <v>89.99</v>
      </c>
      <c r="P8184" s="12">
        <v>42</v>
      </c>
      <c r="Q8184" s="13">
        <v>-699.72</v>
      </c>
      <c r="R8184" s="36" t="s">
        <v>852</v>
      </c>
      <c r="S8184" s="7">
        <f t="shared" si="709"/>
        <v>2</v>
      </c>
      <c r="T8184" s="15" t="str">
        <f>VLOOKUP(R8184,产品分类!$C$2:$D$1278,2,0)</f>
        <v>家具产品</v>
      </c>
    </row>
    <row r="8185" spans="1:20">
      <c r="A8185" s="8">
        <f>DATE(2012,12,31)-956</f>
        <v>40318</v>
      </c>
      <c r="B8185" s="8">
        <f>DATE(2012,12,31)-956</f>
        <v>40318</v>
      </c>
      <c r="C8185" s="9" t="s">
        <v>311</v>
      </c>
      <c r="D8185">
        <v>10021782292</v>
      </c>
      <c r="E8185" t="s">
        <v>47</v>
      </c>
      <c r="F8185" t="s">
        <v>55</v>
      </c>
      <c r="G8185" t="s">
        <v>56</v>
      </c>
      <c r="H8185" t="s">
        <v>2633</v>
      </c>
      <c r="I8185" t="s">
        <v>2634</v>
      </c>
      <c r="J8185" t="s">
        <v>52</v>
      </c>
      <c r="K8185" s="3">
        <v>10085549412</v>
      </c>
      <c r="L8185" s="10">
        <v>40319</v>
      </c>
      <c r="M8185">
        <v>148.31</v>
      </c>
      <c r="N8185" s="11">
        <v>20</v>
      </c>
      <c r="O8185" s="12">
        <v>7.04</v>
      </c>
      <c r="P8185" s="12">
        <v>2.17</v>
      </c>
      <c r="Q8185" s="13">
        <v>37.33</v>
      </c>
      <c r="R8185" s="36" t="s">
        <v>1748</v>
      </c>
      <c r="S8185" s="7">
        <f t="shared" si="709"/>
        <v>1</v>
      </c>
      <c r="T8185" s="15" t="str">
        <f>VLOOKUP(R8185,产品分类!$C$2:$D$1278,2,0)</f>
        <v>数码电子</v>
      </c>
    </row>
    <row r="8186" spans="1:20">
      <c r="A8186" s="16">
        <f>DATE(2012,12,31)-956</f>
        <v>40318</v>
      </c>
      <c r="B8186" s="16">
        <f>DATE(2012,12,31)-956</f>
        <v>40318</v>
      </c>
      <c r="C8186" s="9" t="s">
        <v>1964</v>
      </c>
      <c r="D8186">
        <v>10021581583</v>
      </c>
      <c r="E8186" t="s">
        <v>47</v>
      </c>
      <c r="F8186" t="s">
        <v>55</v>
      </c>
      <c r="G8186" t="s">
        <v>56</v>
      </c>
      <c r="H8186" t="s">
        <v>2633</v>
      </c>
      <c r="I8186" t="s">
        <v>2634</v>
      </c>
      <c r="J8186" t="s">
        <v>52</v>
      </c>
      <c r="K8186" s="3">
        <v>100924639241</v>
      </c>
      <c r="L8186" s="10">
        <v>40319</v>
      </c>
      <c r="M8186">
        <v>335.35</v>
      </c>
      <c r="N8186" s="17">
        <v>39</v>
      </c>
      <c r="O8186" s="5">
        <v>8.74</v>
      </c>
      <c r="P8186" s="5">
        <v>8.29</v>
      </c>
      <c r="Q8186" s="6">
        <v>-134.97</v>
      </c>
      <c r="R8186" s="37" t="s">
        <v>1530</v>
      </c>
      <c r="S8186" s="7">
        <f t="shared" si="709"/>
        <v>1</v>
      </c>
      <c r="T8186" s="15" t="str">
        <f>VLOOKUP(R8186,产品分类!$C$2:$D$1278,2,0)</f>
        <v>数码电子</v>
      </c>
    </row>
    <row r="8187" spans="1:20">
      <c r="A8187" s="8">
        <f>DATE(2012,12,31)-1274</f>
        <v>40000</v>
      </c>
      <c r="B8187" s="8">
        <f>DATE(2012,12,31)-1274</f>
        <v>40000</v>
      </c>
      <c r="C8187" s="9" t="s">
        <v>1964</v>
      </c>
      <c r="D8187">
        <v>10021428307</v>
      </c>
      <c r="E8187" t="s">
        <v>47</v>
      </c>
      <c r="F8187" t="s">
        <v>91</v>
      </c>
      <c r="G8187" t="s">
        <v>92</v>
      </c>
      <c r="H8187" t="s">
        <v>2621</v>
      </c>
      <c r="I8187" t="s">
        <v>2622</v>
      </c>
      <c r="J8187" t="s">
        <v>52</v>
      </c>
      <c r="K8187" s="3">
        <v>100431052153</v>
      </c>
      <c r="L8187" s="10">
        <v>40001</v>
      </c>
      <c r="M8187">
        <v>525.78</v>
      </c>
      <c r="N8187" s="11">
        <v>20</v>
      </c>
      <c r="O8187" s="12">
        <v>26.48</v>
      </c>
      <c r="P8187" s="12">
        <v>6.93</v>
      </c>
      <c r="Q8187" s="13">
        <v>180.64</v>
      </c>
      <c r="R8187" s="36" t="s">
        <v>1982</v>
      </c>
      <c r="S8187" s="7">
        <f t="shared" si="709"/>
        <v>1</v>
      </c>
      <c r="T8187" s="15" t="str">
        <f>VLOOKUP(R8187,产品分类!$C$2:$D$1278,2,0)</f>
        <v>办公用品</v>
      </c>
    </row>
    <row r="8188" spans="1:20">
      <c r="A8188" s="8">
        <f>DATE(2012,12,31)-394</f>
        <v>40880</v>
      </c>
      <c r="B8188" s="8">
        <f>DATE(2012,12,31)-394</f>
        <v>40880</v>
      </c>
      <c r="C8188" s="9" t="s">
        <v>1391</v>
      </c>
      <c r="D8188">
        <v>10021261946</v>
      </c>
      <c r="E8188" t="s">
        <v>47</v>
      </c>
      <c r="F8188" t="s">
        <v>122</v>
      </c>
      <c r="G8188" t="s">
        <v>123</v>
      </c>
      <c r="H8188" t="s">
        <v>2458</v>
      </c>
      <c r="I8188" t="s">
        <v>2459</v>
      </c>
      <c r="J8188" t="s">
        <v>52</v>
      </c>
      <c r="K8188" s="3">
        <v>100329753879</v>
      </c>
      <c r="L8188" s="10">
        <v>40882</v>
      </c>
      <c r="M8188">
        <v>15.61</v>
      </c>
      <c r="N8188" s="11">
        <v>7</v>
      </c>
      <c r="O8188" s="12">
        <v>2.08</v>
      </c>
      <c r="P8188" s="12">
        <v>1.49</v>
      </c>
      <c r="Q8188" s="13">
        <v>-5.1865</v>
      </c>
      <c r="R8188" s="36" t="s">
        <v>59</v>
      </c>
      <c r="S8188" s="7">
        <f t="shared" si="709"/>
        <v>2</v>
      </c>
      <c r="T8188" s="15" t="str">
        <f>VLOOKUP(R8188,产品分类!$C$2:$D$1278,2,0)</f>
        <v>数码电子</v>
      </c>
    </row>
    <row r="8189" spans="1:20">
      <c r="A8189" s="8">
        <f>DATE(2012,12,31)-394</f>
        <v>40880</v>
      </c>
      <c r="B8189" s="8">
        <f>DATE(2012,12,31)-394</f>
        <v>40880</v>
      </c>
      <c r="C8189" s="9" t="s">
        <v>858</v>
      </c>
      <c r="D8189">
        <v>10021620760</v>
      </c>
      <c r="E8189" t="s">
        <v>47</v>
      </c>
      <c r="F8189" t="s">
        <v>122</v>
      </c>
      <c r="G8189" t="s">
        <v>123</v>
      </c>
      <c r="H8189" t="s">
        <v>2458</v>
      </c>
      <c r="I8189" t="s">
        <v>2459</v>
      </c>
      <c r="J8189" t="s">
        <v>52</v>
      </c>
      <c r="K8189" s="3">
        <v>10087150782</v>
      </c>
      <c r="L8189" s="10">
        <v>40889</v>
      </c>
      <c r="M8189">
        <v>47.11</v>
      </c>
      <c r="N8189" s="11">
        <v>18</v>
      </c>
      <c r="O8189" s="12">
        <v>2.18</v>
      </c>
      <c r="P8189" s="12">
        <v>7.09</v>
      </c>
      <c r="Q8189" s="13">
        <v>-95.42</v>
      </c>
      <c r="R8189" s="36" t="s">
        <v>461</v>
      </c>
      <c r="S8189" s="7">
        <f t="shared" si="709"/>
        <v>9</v>
      </c>
      <c r="T8189" s="15" t="str">
        <f>VLOOKUP(R8189,产品分类!$C$2:$D$1278,2,0)</f>
        <v>数码电子</v>
      </c>
    </row>
    <row r="8190" spans="1:20">
      <c r="A8190" s="8">
        <f>DATE(2012,12,31)-1440</f>
        <v>39834</v>
      </c>
      <c r="B8190" s="8">
        <f>DATE(2012,12,31)-1440</f>
        <v>39834</v>
      </c>
      <c r="C8190" s="9" t="s">
        <v>858</v>
      </c>
      <c r="D8190">
        <v>10021390307</v>
      </c>
      <c r="E8190" t="s">
        <v>47</v>
      </c>
      <c r="F8190" t="s">
        <v>91</v>
      </c>
      <c r="G8190" t="s">
        <v>92</v>
      </c>
      <c r="H8190" t="s">
        <v>2621</v>
      </c>
      <c r="I8190" t="s">
        <v>2622</v>
      </c>
      <c r="J8190" t="s">
        <v>52</v>
      </c>
      <c r="K8190" s="3">
        <v>1001998888</v>
      </c>
      <c r="L8190" s="10">
        <v>39841</v>
      </c>
      <c r="M8190">
        <v>33.44</v>
      </c>
      <c r="N8190" s="11">
        <v>4</v>
      </c>
      <c r="O8190" s="12">
        <v>8.01</v>
      </c>
      <c r="P8190" s="12">
        <v>2.87</v>
      </c>
      <c r="Q8190" s="13">
        <v>-6.88</v>
      </c>
      <c r="R8190" s="36" t="s">
        <v>2248</v>
      </c>
      <c r="S8190" s="7">
        <f t="shared" si="709"/>
        <v>7</v>
      </c>
      <c r="T8190" s="15" t="str">
        <f>VLOOKUP(R8190,产品分类!$C$2:$D$1278,2,0)</f>
        <v>办公用品</v>
      </c>
    </row>
    <row r="8191" spans="1:20">
      <c r="A8191" s="8">
        <f t="shared" ref="A8191:B8195" si="716">DATE(2012,12,31)-1443</f>
        <v>39831</v>
      </c>
      <c r="B8191" s="8">
        <f t="shared" si="716"/>
        <v>39831</v>
      </c>
      <c r="C8191" s="9" t="s">
        <v>1216</v>
      </c>
      <c r="D8191">
        <v>10021301080</v>
      </c>
      <c r="E8191" t="s">
        <v>47</v>
      </c>
      <c r="F8191" t="s">
        <v>122</v>
      </c>
      <c r="G8191" t="s">
        <v>123</v>
      </c>
      <c r="H8191" t="s">
        <v>2458</v>
      </c>
      <c r="I8191" t="s">
        <v>2459</v>
      </c>
      <c r="J8191" t="s">
        <v>52</v>
      </c>
      <c r="K8191" s="3">
        <v>100929976981</v>
      </c>
      <c r="L8191" s="10">
        <v>39832</v>
      </c>
      <c r="M8191">
        <v>141.9</v>
      </c>
      <c r="N8191" s="11">
        <v>12</v>
      </c>
      <c r="O8191" s="12">
        <v>11.58</v>
      </c>
      <c r="P8191" s="12">
        <v>5.72</v>
      </c>
      <c r="Q8191" s="13">
        <v>1.46</v>
      </c>
      <c r="R8191" s="36" t="s">
        <v>1212</v>
      </c>
      <c r="S8191" s="7">
        <f t="shared" si="709"/>
        <v>1</v>
      </c>
      <c r="T8191" s="15" t="str">
        <f>VLOOKUP(R8191,产品分类!$C$2:$D$1278,2,0)</f>
        <v>办公用品</v>
      </c>
    </row>
    <row r="8192" spans="1:20">
      <c r="A8192" s="8">
        <f t="shared" si="716"/>
        <v>39831</v>
      </c>
      <c r="B8192" s="8">
        <f t="shared" si="716"/>
        <v>39831</v>
      </c>
      <c r="C8192" s="9" t="s">
        <v>826</v>
      </c>
      <c r="D8192">
        <v>10021783996</v>
      </c>
      <c r="E8192" t="s">
        <v>47</v>
      </c>
      <c r="F8192" t="s">
        <v>177</v>
      </c>
      <c r="G8192" t="s">
        <v>178</v>
      </c>
      <c r="H8192" t="s">
        <v>2626</v>
      </c>
      <c r="I8192" t="s">
        <v>2627</v>
      </c>
      <c r="J8192" t="s">
        <v>52</v>
      </c>
      <c r="K8192" s="3">
        <v>100116021226</v>
      </c>
      <c r="L8192" s="10">
        <v>39831</v>
      </c>
      <c r="M8192">
        <v>1379.1</v>
      </c>
      <c r="N8192" s="11">
        <v>29</v>
      </c>
      <c r="O8192" s="12">
        <v>48.91</v>
      </c>
      <c r="P8192" s="12">
        <v>5.81</v>
      </c>
      <c r="Q8192" s="13">
        <v>573.8</v>
      </c>
      <c r="R8192" s="36" t="s">
        <v>1295</v>
      </c>
      <c r="S8192" s="7">
        <f t="shared" si="709"/>
        <v>0</v>
      </c>
      <c r="T8192" s="15" t="str">
        <f>VLOOKUP(R8192,产品分类!$C$2:$D$1278,2,0)</f>
        <v>数码电子</v>
      </c>
    </row>
    <row r="8193" spans="1:20">
      <c r="A8193" s="8">
        <f t="shared" si="716"/>
        <v>39831</v>
      </c>
      <c r="B8193" s="8">
        <f t="shared" si="716"/>
        <v>39831</v>
      </c>
      <c r="C8193" s="9" t="s">
        <v>369</v>
      </c>
      <c r="D8193">
        <v>10021501513</v>
      </c>
      <c r="E8193" t="s">
        <v>47</v>
      </c>
      <c r="F8193" t="s">
        <v>97</v>
      </c>
      <c r="G8193" t="s">
        <v>98</v>
      </c>
      <c r="H8193" t="s">
        <v>99</v>
      </c>
      <c r="I8193" t="s">
        <v>98</v>
      </c>
      <c r="J8193" t="s">
        <v>52</v>
      </c>
      <c r="K8193" s="3">
        <v>100327336649</v>
      </c>
      <c r="L8193" s="10">
        <v>39832</v>
      </c>
      <c r="M8193">
        <v>278.76</v>
      </c>
      <c r="N8193" s="11">
        <v>17</v>
      </c>
      <c r="O8193" s="12">
        <v>15.51</v>
      </c>
      <c r="P8193" s="12">
        <v>17.78</v>
      </c>
      <c r="Q8193" s="13">
        <v>-210.09</v>
      </c>
      <c r="R8193" s="36" t="s">
        <v>1063</v>
      </c>
      <c r="S8193" s="7">
        <f t="shared" si="709"/>
        <v>1</v>
      </c>
      <c r="T8193" s="15" t="str">
        <f>VLOOKUP(R8193,产品分类!$C$2:$D$1278,2,0)</f>
        <v>办公用品</v>
      </c>
    </row>
    <row r="8194" spans="1:20">
      <c r="A8194" s="8">
        <f t="shared" si="716"/>
        <v>39831</v>
      </c>
      <c r="B8194" s="8">
        <f t="shared" si="716"/>
        <v>39831</v>
      </c>
      <c r="C8194" s="9" t="s">
        <v>369</v>
      </c>
      <c r="D8194">
        <v>10021311328</v>
      </c>
      <c r="E8194" t="s">
        <v>47</v>
      </c>
      <c r="F8194" t="s">
        <v>97</v>
      </c>
      <c r="G8194" t="s">
        <v>98</v>
      </c>
      <c r="H8194" t="s">
        <v>99</v>
      </c>
      <c r="I8194" t="s">
        <v>98</v>
      </c>
      <c r="J8194" t="s">
        <v>52</v>
      </c>
      <c r="K8194" s="3">
        <v>100817068972</v>
      </c>
      <c r="L8194" s="10">
        <v>39833</v>
      </c>
      <c r="M8194">
        <v>8875.17</v>
      </c>
      <c r="N8194" s="11">
        <v>25</v>
      </c>
      <c r="O8194" s="12">
        <v>350.99</v>
      </c>
      <c r="P8194" s="12">
        <v>39</v>
      </c>
      <c r="Q8194" s="13">
        <v>2372.08</v>
      </c>
      <c r="R8194" s="36" t="s">
        <v>2630</v>
      </c>
      <c r="S8194" s="7">
        <f t="shared" si="709"/>
        <v>2</v>
      </c>
      <c r="T8194" s="15" t="str">
        <f>VLOOKUP(R8194,产品分类!$C$2:$D$1278,2,0)</f>
        <v>办公用品</v>
      </c>
    </row>
    <row r="8195" spans="1:20">
      <c r="A8195" s="8">
        <f t="shared" si="716"/>
        <v>39831</v>
      </c>
      <c r="B8195" s="8">
        <f t="shared" si="716"/>
        <v>39831</v>
      </c>
      <c r="C8195" s="9" t="s">
        <v>1615</v>
      </c>
      <c r="D8195">
        <v>10021510051</v>
      </c>
      <c r="E8195" t="s">
        <v>47</v>
      </c>
      <c r="F8195" t="s">
        <v>97</v>
      </c>
      <c r="G8195" t="s">
        <v>98</v>
      </c>
      <c r="H8195" t="s">
        <v>99</v>
      </c>
      <c r="I8195" t="s">
        <v>98</v>
      </c>
      <c r="J8195" t="s">
        <v>52</v>
      </c>
      <c r="K8195" s="3">
        <v>100332666999</v>
      </c>
      <c r="L8195" s="10">
        <v>39833</v>
      </c>
      <c r="M8195">
        <v>331.21</v>
      </c>
      <c r="N8195" s="11">
        <v>20</v>
      </c>
      <c r="O8195" s="12">
        <v>15.99</v>
      </c>
      <c r="P8195" s="12">
        <v>9.4</v>
      </c>
      <c r="Q8195" s="13">
        <v>-67.3815</v>
      </c>
      <c r="R8195" s="36" t="s">
        <v>556</v>
      </c>
      <c r="S8195" s="7">
        <f t="shared" ref="S8195:S8258" si="717">+L8195-B8195</f>
        <v>2</v>
      </c>
      <c r="T8195" s="15" t="str">
        <f>VLOOKUP(R8195,产品分类!$C$2:$D$1278,2,0)</f>
        <v>办公用品</v>
      </c>
    </row>
    <row r="8196" spans="1:20">
      <c r="A8196" s="8">
        <f>DATE(2012,12,31)-1064</f>
        <v>40210</v>
      </c>
      <c r="B8196" s="8">
        <f>DATE(2012,12,31)-1064</f>
        <v>40210</v>
      </c>
      <c r="C8196" s="9" t="s">
        <v>1615</v>
      </c>
      <c r="D8196">
        <v>10021545909</v>
      </c>
      <c r="E8196" t="s">
        <v>47</v>
      </c>
      <c r="F8196" t="s">
        <v>97</v>
      </c>
      <c r="G8196" t="s">
        <v>98</v>
      </c>
      <c r="H8196" t="s">
        <v>99</v>
      </c>
      <c r="I8196" t="s">
        <v>98</v>
      </c>
      <c r="J8196" t="s">
        <v>52</v>
      </c>
      <c r="K8196" s="3">
        <v>100930599761</v>
      </c>
      <c r="L8196" s="10">
        <v>40212</v>
      </c>
      <c r="M8196">
        <v>983.78</v>
      </c>
      <c r="N8196" s="11">
        <v>31</v>
      </c>
      <c r="O8196" s="12">
        <v>30.98</v>
      </c>
      <c r="P8196" s="12">
        <v>6.5</v>
      </c>
      <c r="Q8196" s="13">
        <v>43.72</v>
      </c>
      <c r="R8196" s="36" t="s">
        <v>750</v>
      </c>
      <c r="S8196" s="7">
        <f t="shared" si="717"/>
        <v>2</v>
      </c>
      <c r="T8196" s="15" t="str">
        <f>VLOOKUP(R8196,产品分类!$C$2:$D$1278,2,0)</f>
        <v>办公用品</v>
      </c>
    </row>
    <row r="8197" spans="1:20">
      <c r="A8197" s="16">
        <f>DATE(2012,12,31)-879</f>
        <v>40395</v>
      </c>
      <c r="B8197" s="16">
        <f>DATE(2012,12,31)-879</f>
        <v>40395</v>
      </c>
      <c r="C8197" s="9" t="s">
        <v>1201</v>
      </c>
      <c r="D8197">
        <v>10021500601</v>
      </c>
      <c r="E8197" t="s">
        <v>47</v>
      </c>
      <c r="F8197" t="s">
        <v>132</v>
      </c>
      <c r="G8197" t="s">
        <v>133</v>
      </c>
      <c r="H8197" t="s">
        <v>134</v>
      </c>
      <c r="I8197" t="s">
        <v>133</v>
      </c>
      <c r="J8197" t="s">
        <v>52</v>
      </c>
      <c r="K8197" s="3">
        <v>100326327019</v>
      </c>
      <c r="L8197" s="10">
        <v>40399</v>
      </c>
      <c r="M8197">
        <v>195.51</v>
      </c>
      <c r="N8197" s="17">
        <v>26</v>
      </c>
      <c r="O8197" s="5">
        <v>7.3</v>
      </c>
      <c r="P8197" s="5">
        <v>7.72</v>
      </c>
      <c r="Q8197" s="6">
        <v>-105.7195</v>
      </c>
      <c r="R8197" s="37" t="s">
        <v>1063</v>
      </c>
      <c r="S8197" s="7">
        <f t="shared" si="717"/>
        <v>4</v>
      </c>
      <c r="T8197" s="15" t="str">
        <f>VLOOKUP(R8197,产品分类!$C$2:$D$1278,2,0)</f>
        <v>办公用品</v>
      </c>
    </row>
    <row r="8198" spans="1:20">
      <c r="A8198" s="8">
        <f>DATE(2012,12,31)-879</f>
        <v>40395</v>
      </c>
      <c r="B8198" s="8">
        <f>DATE(2012,12,31)-879</f>
        <v>40395</v>
      </c>
      <c r="C8198" s="9" t="s">
        <v>1201</v>
      </c>
      <c r="D8198">
        <v>10021253509</v>
      </c>
      <c r="E8198" t="s">
        <v>47</v>
      </c>
      <c r="F8198" t="s">
        <v>97</v>
      </c>
      <c r="G8198" t="s">
        <v>98</v>
      </c>
      <c r="H8198" t="s">
        <v>99</v>
      </c>
      <c r="I8198" t="s">
        <v>98</v>
      </c>
      <c r="J8198" t="s">
        <v>52</v>
      </c>
      <c r="K8198" s="3">
        <v>100119303086</v>
      </c>
      <c r="L8198" s="10">
        <v>40400</v>
      </c>
      <c r="M8198">
        <v>377.13</v>
      </c>
      <c r="N8198" s="11">
        <v>38</v>
      </c>
      <c r="O8198" s="12">
        <v>9.77</v>
      </c>
      <c r="P8198" s="12">
        <v>6.02</v>
      </c>
      <c r="Q8198" s="13">
        <v>-10.29</v>
      </c>
      <c r="R8198" s="36" t="s">
        <v>614</v>
      </c>
      <c r="S8198" s="7">
        <f t="shared" si="717"/>
        <v>5</v>
      </c>
      <c r="T8198" s="15" t="str">
        <f>VLOOKUP(R8198,产品分类!$C$2:$D$1278,2,0)</f>
        <v>办公用品</v>
      </c>
    </row>
    <row r="8199" spans="1:20">
      <c r="A8199" s="8">
        <f>DATE(2012,12,31)-1356</f>
        <v>39918</v>
      </c>
      <c r="B8199" s="8">
        <f>DATE(2012,12,31)-1356</f>
        <v>39918</v>
      </c>
      <c r="C8199" s="9" t="s">
        <v>1201</v>
      </c>
      <c r="D8199">
        <v>10021425082</v>
      </c>
      <c r="E8199" t="s">
        <v>47</v>
      </c>
      <c r="F8199" t="s">
        <v>132</v>
      </c>
      <c r="G8199" t="s">
        <v>133</v>
      </c>
      <c r="H8199" t="s">
        <v>134</v>
      </c>
      <c r="I8199" t="s">
        <v>133</v>
      </c>
      <c r="J8199" t="s">
        <v>52</v>
      </c>
      <c r="K8199" s="3">
        <v>100129271397</v>
      </c>
      <c r="L8199" s="10">
        <v>39919</v>
      </c>
      <c r="M8199">
        <v>998.05</v>
      </c>
      <c r="N8199" s="11">
        <v>41</v>
      </c>
      <c r="O8199" s="12">
        <v>22.98</v>
      </c>
      <c r="P8199" s="12">
        <v>1.99</v>
      </c>
      <c r="Q8199" s="13">
        <v>391.14</v>
      </c>
      <c r="R8199" s="36" t="s">
        <v>921</v>
      </c>
      <c r="S8199" s="7">
        <f t="shared" si="717"/>
        <v>1</v>
      </c>
      <c r="T8199" s="15" t="str">
        <f>VLOOKUP(R8199,产品分类!$C$2:$D$1278,2,0)</f>
        <v>家具产品</v>
      </c>
    </row>
    <row r="8200" spans="1:20">
      <c r="A8200" s="8">
        <f>DATE(2012,12,31)-1356</f>
        <v>39918</v>
      </c>
      <c r="B8200" s="8">
        <f>DATE(2012,12,31)-1356</f>
        <v>39918</v>
      </c>
      <c r="C8200" s="9" t="s">
        <v>2256</v>
      </c>
      <c r="D8200">
        <v>10021253482</v>
      </c>
      <c r="E8200" t="s">
        <v>47</v>
      </c>
      <c r="F8200" t="s">
        <v>137</v>
      </c>
      <c r="G8200" t="s">
        <v>138</v>
      </c>
      <c r="H8200" t="s">
        <v>2504</v>
      </c>
      <c r="I8200" t="s">
        <v>2505</v>
      </c>
      <c r="J8200" t="s">
        <v>52</v>
      </c>
      <c r="K8200" s="3">
        <v>100119259617</v>
      </c>
      <c r="L8200" s="10">
        <v>39920</v>
      </c>
      <c r="M8200">
        <v>4353.02</v>
      </c>
      <c r="N8200" s="11">
        <v>20</v>
      </c>
      <c r="O8200" s="12">
        <v>226.67</v>
      </c>
      <c r="P8200" s="12">
        <v>28.16</v>
      </c>
      <c r="Q8200" s="13">
        <v>661.77</v>
      </c>
      <c r="R8200" s="36" t="s">
        <v>299</v>
      </c>
      <c r="S8200" s="7">
        <f t="shared" si="717"/>
        <v>2</v>
      </c>
      <c r="T8200" s="15" t="str">
        <f>VLOOKUP(R8200,产品分类!$C$2:$D$1278,2,0)</f>
        <v>家具产品</v>
      </c>
    </row>
    <row r="8201" spans="1:20">
      <c r="A8201" s="8">
        <f>DATE(2012,12,31)-1038</f>
        <v>40236</v>
      </c>
      <c r="B8201" s="8">
        <f>DATE(2012,12,31)-1038</f>
        <v>40236</v>
      </c>
      <c r="C8201" s="9" t="s">
        <v>2358</v>
      </c>
      <c r="D8201">
        <v>10021658805</v>
      </c>
      <c r="E8201" t="s">
        <v>47</v>
      </c>
      <c r="F8201" t="s">
        <v>102</v>
      </c>
      <c r="G8201" t="s">
        <v>103</v>
      </c>
      <c r="H8201" t="s">
        <v>2617</v>
      </c>
      <c r="I8201" t="s">
        <v>2618</v>
      </c>
      <c r="J8201" t="s">
        <v>52</v>
      </c>
      <c r="K8201" s="3">
        <v>100413358343</v>
      </c>
      <c r="L8201" s="10">
        <v>40241</v>
      </c>
      <c r="M8201">
        <v>307.49</v>
      </c>
      <c r="N8201" s="11">
        <v>24</v>
      </c>
      <c r="O8201" s="12">
        <v>12.2</v>
      </c>
      <c r="P8201" s="12">
        <v>6.02</v>
      </c>
      <c r="Q8201" s="13">
        <v>61.51</v>
      </c>
      <c r="R8201" s="36" t="s">
        <v>1532</v>
      </c>
      <c r="S8201" s="7">
        <f t="shared" si="717"/>
        <v>5</v>
      </c>
      <c r="T8201" s="15" t="str">
        <f>VLOOKUP(R8201,产品分类!$C$2:$D$1278,2,0)</f>
        <v>办公用品</v>
      </c>
    </row>
    <row r="8202" spans="1:20">
      <c r="A8202" s="8">
        <f>DATE(2012,12,31)-938</f>
        <v>40336</v>
      </c>
      <c r="B8202" s="8">
        <f>DATE(2012,12,31)-938</f>
        <v>40336</v>
      </c>
      <c r="C8202" s="9" t="s">
        <v>2358</v>
      </c>
      <c r="D8202">
        <v>10021745303</v>
      </c>
      <c r="E8202" t="s">
        <v>47</v>
      </c>
      <c r="F8202" t="s">
        <v>102</v>
      </c>
      <c r="G8202" t="s">
        <v>103</v>
      </c>
      <c r="H8202" t="s">
        <v>2617</v>
      </c>
      <c r="I8202" t="s">
        <v>2618</v>
      </c>
      <c r="J8202" t="s">
        <v>52</v>
      </c>
      <c r="K8202" s="3">
        <v>100427699683</v>
      </c>
      <c r="L8202" s="10">
        <v>40340</v>
      </c>
      <c r="M8202">
        <v>23.93</v>
      </c>
      <c r="N8202" s="11">
        <v>3</v>
      </c>
      <c r="O8202" s="12">
        <v>8.34</v>
      </c>
      <c r="P8202" s="12">
        <v>0.96</v>
      </c>
      <c r="Q8202" s="13">
        <v>-6.39</v>
      </c>
      <c r="R8202" s="36" t="s">
        <v>901</v>
      </c>
      <c r="S8202" s="7">
        <f t="shared" si="717"/>
        <v>4</v>
      </c>
      <c r="T8202" s="15" t="str">
        <f>VLOOKUP(R8202,产品分类!$C$2:$D$1278,2,0)</f>
        <v>家具产品</v>
      </c>
    </row>
    <row r="8203" spans="1:20">
      <c r="A8203" s="8">
        <f>DATE(2012,12,31)-938</f>
        <v>40336</v>
      </c>
      <c r="B8203" s="8">
        <f>DATE(2012,12,31)-938</f>
        <v>40336</v>
      </c>
      <c r="C8203" s="9" t="s">
        <v>1091</v>
      </c>
      <c r="D8203">
        <v>10021262756</v>
      </c>
      <c r="E8203" t="s">
        <v>47</v>
      </c>
      <c r="F8203" t="s">
        <v>208</v>
      </c>
      <c r="G8203" t="s">
        <v>209</v>
      </c>
      <c r="H8203" t="s">
        <v>2635</v>
      </c>
      <c r="I8203" t="s">
        <v>2636</v>
      </c>
      <c r="J8203" t="s">
        <v>52</v>
      </c>
      <c r="K8203" s="3">
        <v>100130133758</v>
      </c>
      <c r="L8203" s="10">
        <v>40343</v>
      </c>
      <c r="M8203">
        <v>2027.55</v>
      </c>
      <c r="N8203" s="11">
        <v>14</v>
      </c>
      <c r="O8203" s="12">
        <v>140.99</v>
      </c>
      <c r="P8203" s="12">
        <v>13.99</v>
      </c>
      <c r="Q8203" s="13">
        <v>537.4</v>
      </c>
      <c r="R8203" s="36" t="s">
        <v>451</v>
      </c>
      <c r="S8203" s="7">
        <f t="shared" si="717"/>
        <v>7</v>
      </c>
      <c r="T8203" s="15" t="str">
        <f>VLOOKUP(R8203,产品分类!$C$2:$D$1278,2,0)</f>
        <v>家具产品</v>
      </c>
    </row>
    <row r="8204" spans="1:20">
      <c r="A8204" s="8">
        <f>DATE(2012,12,31)-232</f>
        <v>41042</v>
      </c>
      <c r="B8204" s="8">
        <f>DATE(2012,12,31)-232</f>
        <v>41042</v>
      </c>
      <c r="C8204" s="9" t="s">
        <v>858</v>
      </c>
      <c r="D8204">
        <v>10021345765</v>
      </c>
      <c r="E8204" t="s">
        <v>47</v>
      </c>
      <c r="F8204" t="s">
        <v>102</v>
      </c>
      <c r="G8204" t="s">
        <v>103</v>
      </c>
      <c r="H8204" t="s">
        <v>2617</v>
      </c>
      <c r="I8204" t="s">
        <v>2618</v>
      </c>
      <c r="J8204" t="s">
        <v>52</v>
      </c>
      <c r="K8204" s="3">
        <v>100130218998</v>
      </c>
      <c r="L8204" s="10">
        <v>41043</v>
      </c>
      <c r="M8204">
        <v>5307.5</v>
      </c>
      <c r="N8204" s="11">
        <v>27</v>
      </c>
      <c r="O8204" s="12">
        <v>200.98</v>
      </c>
      <c r="P8204" s="12">
        <v>23.76</v>
      </c>
      <c r="Q8204" s="13">
        <v>1116.67</v>
      </c>
      <c r="R8204" s="36" t="s">
        <v>301</v>
      </c>
      <c r="S8204" s="7">
        <f t="shared" si="717"/>
        <v>1</v>
      </c>
      <c r="T8204" s="15" t="str">
        <f>VLOOKUP(R8204,产品分类!$C$2:$D$1278,2,0)</f>
        <v>数码电子</v>
      </c>
    </row>
    <row r="8205" spans="1:20">
      <c r="A8205" s="8">
        <f>DATE(2012,12,31)-982</f>
        <v>40292</v>
      </c>
      <c r="B8205" s="8">
        <f>DATE(2012,12,31)-982</f>
        <v>40292</v>
      </c>
      <c r="C8205" s="9" t="s">
        <v>858</v>
      </c>
      <c r="D8205">
        <v>10021449760</v>
      </c>
      <c r="E8205" t="s">
        <v>47</v>
      </c>
      <c r="F8205" t="s">
        <v>171</v>
      </c>
      <c r="G8205" t="s">
        <v>172</v>
      </c>
      <c r="H8205" t="s">
        <v>2486</v>
      </c>
      <c r="I8205" t="s">
        <v>2310</v>
      </c>
      <c r="J8205" t="s">
        <v>52</v>
      </c>
      <c r="K8205" s="3">
        <v>100927645411</v>
      </c>
      <c r="L8205" s="10">
        <v>40293</v>
      </c>
      <c r="M8205">
        <v>6130.9</v>
      </c>
      <c r="N8205" s="11">
        <v>35</v>
      </c>
      <c r="O8205" s="12">
        <v>170.98</v>
      </c>
      <c r="P8205" s="12">
        <v>35.89</v>
      </c>
      <c r="Q8205" s="13">
        <v>583.15</v>
      </c>
      <c r="R8205" s="36" t="s">
        <v>420</v>
      </c>
      <c r="S8205" s="7">
        <f t="shared" si="717"/>
        <v>1</v>
      </c>
      <c r="T8205" s="15" t="str">
        <f>VLOOKUP(R8205,产品分类!$C$2:$D$1278,2,0)</f>
        <v>数码电子</v>
      </c>
    </row>
    <row r="8206" spans="1:20">
      <c r="A8206" s="8">
        <f>DATE(2012,12,31)-982</f>
        <v>40292</v>
      </c>
      <c r="B8206" s="8">
        <f>DATE(2012,12,31)-982</f>
        <v>40292</v>
      </c>
      <c r="C8206" s="9" t="s">
        <v>858</v>
      </c>
      <c r="D8206">
        <v>10021497287</v>
      </c>
      <c r="E8206" t="s">
        <v>47</v>
      </c>
      <c r="F8206" t="s">
        <v>527</v>
      </c>
      <c r="G8206" t="s">
        <v>528</v>
      </c>
      <c r="H8206" t="s">
        <v>2624</v>
      </c>
      <c r="I8206" t="s">
        <v>2625</v>
      </c>
      <c r="J8206" t="s">
        <v>52</v>
      </c>
      <c r="K8206" s="3">
        <v>100416988693</v>
      </c>
      <c r="L8206" s="10">
        <v>40294</v>
      </c>
      <c r="M8206">
        <v>193.205</v>
      </c>
      <c r="N8206" s="11">
        <v>10</v>
      </c>
      <c r="O8206" s="12">
        <v>20.99</v>
      </c>
      <c r="P8206" s="12">
        <v>4.81</v>
      </c>
      <c r="Q8206" s="13">
        <v>-52.239</v>
      </c>
      <c r="R8206" s="36" t="s">
        <v>1154</v>
      </c>
      <c r="S8206" s="7">
        <f t="shared" si="717"/>
        <v>2</v>
      </c>
      <c r="T8206" s="15" t="str">
        <f>VLOOKUP(R8206,产品分类!$C$2:$D$1278,2,0)</f>
        <v>办公用品</v>
      </c>
    </row>
    <row r="8207" spans="1:20">
      <c r="A8207" s="8">
        <f>DATE(2012,12,31)-792</f>
        <v>40482</v>
      </c>
      <c r="B8207" s="8">
        <f>DATE(2012,12,31)-792</f>
        <v>40482</v>
      </c>
      <c r="C8207" s="9" t="s">
        <v>564</v>
      </c>
      <c r="D8207">
        <v>10021607420</v>
      </c>
      <c r="E8207" t="s">
        <v>47</v>
      </c>
      <c r="F8207" t="s">
        <v>171</v>
      </c>
      <c r="G8207" t="s">
        <v>172</v>
      </c>
      <c r="H8207" t="s">
        <v>2486</v>
      </c>
      <c r="I8207" t="s">
        <v>2310</v>
      </c>
      <c r="J8207" t="s">
        <v>52</v>
      </c>
      <c r="K8207" s="3">
        <v>100323639359</v>
      </c>
      <c r="L8207" s="10">
        <v>40482</v>
      </c>
      <c r="M8207">
        <v>69.26</v>
      </c>
      <c r="N8207" s="11">
        <v>38</v>
      </c>
      <c r="O8207" s="12">
        <v>1.74</v>
      </c>
      <c r="P8207" s="12">
        <v>4.08</v>
      </c>
      <c r="Q8207" s="13">
        <v>-113.86</v>
      </c>
      <c r="R8207" s="36" t="s">
        <v>120</v>
      </c>
      <c r="S8207" s="7">
        <f t="shared" si="717"/>
        <v>0</v>
      </c>
      <c r="T8207" s="15" t="str">
        <f>VLOOKUP(R8207,产品分类!$C$2:$D$1278,2,0)</f>
        <v>家具产品</v>
      </c>
    </row>
    <row r="8208" spans="1:20">
      <c r="A8208" s="8">
        <f>DATE(2012,12,31)-141</f>
        <v>41133</v>
      </c>
      <c r="B8208" s="8">
        <f>DATE(2012,12,31)-141</f>
        <v>41133</v>
      </c>
      <c r="C8208" s="9" t="s">
        <v>653</v>
      </c>
      <c r="D8208">
        <v>10021545319</v>
      </c>
      <c r="E8208" t="s">
        <v>47</v>
      </c>
      <c r="F8208" t="s">
        <v>171</v>
      </c>
      <c r="G8208" t="s">
        <v>172</v>
      </c>
      <c r="H8208" t="s">
        <v>2486</v>
      </c>
      <c r="I8208" t="s">
        <v>2310</v>
      </c>
      <c r="J8208" t="s">
        <v>52</v>
      </c>
      <c r="K8208" s="3">
        <v>100729875955</v>
      </c>
      <c r="L8208" s="10">
        <v>41138</v>
      </c>
      <c r="M8208">
        <v>161.56</v>
      </c>
      <c r="N8208" s="11">
        <v>36</v>
      </c>
      <c r="O8208" s="12">
        <v>4.13</v>
      </c>
      <c r="P8208" s="12">
        <v>0.99</v>
      </c>
      <c r="Q8208" s="13">
        <v>59.67</v>
      </c>
      <c r="R8208" s="36" t="s">
        <v>499</v>
      </c>
      <c r="S8208" s="7">
        <f t="shared" si="717"/>
        <v>5</v>
      </c>
      <c r="T8208" s="15" t="str">
        <f>VLOOKUP(R8208,产品分类!$C$2:$D$1278,2,0)</f>
        <v>办公用品</v>
      </c>
    </row>
    <row r="8209" spans="1:20">
      <c r="A8209" s="8">
        <f>DATE(2012,12,31)-651</f>
        <v>40623</v>
      </c>
      <c r="B8209" s="8">
        <f>DATE(2012,12,31)-651</f>
        <v>40623</v>
      </c>
      <c r="C8209" s="9" t="s">
        <v>2012</v>
      </c>
      <c r="D8209">
        <v>10021791625</v>
      </c>
      <c r="E8209" t="s">
        <v>47</v>
      </c>
      <c r="F8209" t="s">
        <v>171</v>
      </c>
      <c r="G8209" t="s">
        <v>172</v>
      </c>
      <c r="H8209" t="s">
        <v>2486</v>
      </c>
      <c r="I8209" t="s">
        <v>2310</v>
      </c>
      <c r="J8209" t="s">
        <v>52</v>
      </c>
      <c r="K8209" s="3">
        <v>100132159686</v>
      </c>
      <c r="L8209" s="10">
        <v>40628</v>
      </c>
      <c r="M8209">
        <v>87.68</v>
      </c>
      <c r="N8209" s="11">
        <v>29</v>
      </c>
      <c r="O8209" s="12">
        <v>2.88</v>
      </c>
      <c r="P8209" s="12">
        <v>0.99</v>
      </c>
      <c r="Q8209" s="13">
        <v>23.14</v>
      </c>
      <c r="R8209" s="36" t="s">
        <v>456</v>
      </c>
      <c r="S8209" s="7">
        <f t="shared" si="717"/>
        <v>5</v>
      </c>
      <c r="T8209" s="15" t="str">
        <f>VLOOKUP(R8209,产品分类!$C$2:$D$1278,2,0)</f>
        <v>办公用品</v>
      </c>
    </row>
    <row r="8210" spans="1:20">
      <c r="A8210" s="8">
        <f>DATE(2012,12,31)-651</f>
        <v>40623</v>
      </c>
      <c r="B8210" s="8">
        <f>DATE(2012,12,31)-651</f>
        <v>40623</v>
      </c>
      <c r="C8210" s="9" t="s">
        <v>956</v>
      </c>
      <c r="D8210">
        <v>10021501762</v>
      </c>
      <c r="E8210" t="s">
        <v>47</v>
      </c>
      <c r="F8210" t="s">
        <v>171</v>
      </c>
      <c r="G8210" t="s">
        <v>172</v>
      </c>
      <c r="H8210" t="s">
        <v>2486</v>
      </c>
      <c r="I8210" t="s">
        <v>2310</v>
      </c>
      <c r="J8210" t="s">
        <v>52</v>
      </c>
      <c r="K8210" s="3">
        <v>100827732612</v>
      </c>
      <c r="L8210" s="10">
        <v>40628</v>
      </c>
      <c r="M8210">
        <v>3732.25</v>
      </c>
      <c r="N8210" s="11">
        <v>46</v>
      </c>
      <c r="O8210" s="12">
        <v>85.29</v>
      </c>
      <c r="P8210" s="12">
        <v>60</v>
      </c>
      <c r="Q8210" s="13">
        <v>-1255.86</v>
      </c>
      <c r="R8210" s="36" t="s">
        <v>511</v>
      </c>
      <c r="S8210" s="7">
        <f t="shared" si="717"/>
        <v>5</v>
      </c>
      <c r="T8210" s="15" t="str">
        <f>VLOOKUP(R8210,产品分类!$C$2:$D$1278,2,0)</f>
        <v>数码电子</v>
      </c>
    </row>
    <row r="8211" spans="1:20">
      <c r="A8211" s="8">
        <f>DATE(2012,12,31)-965</f>
        <v>40309</v>
      </c>
      <c r="B8211" s="8">
        <f>DATE(2012,12,31)-965</f>
        <v>40309</v>
      </c>
      <c r="C8211" s="9" t="s">
        <v>1670</v>
      </c>
      <c r="D8211">
        <v>10021688991</v>
      </c>
      <c r="E8211" t="s">
        <v>47</v>
      </c>
      <c r="F8211" t="s">
        <v>171</v>
      </c>
      <c r="G8211" t="s">
        <v>172</v>
      </c>
      <c r="H8211" t="s">
        <v>2486</v>
      </c>
      <c r="I8211" t="s">
        <v>2310</v>
      </c>
      <c r="J8211" t="s">
        <v>52</v>
      </c>
      <c r="K8211" s="3">
        <v>100917259791</v>
      </c>
      <c r="L8211" s="10">
        <v>40311</v>
      </c>
      <c r="M8211">
        <v>144.55</v>
      </c>
      <c r="N8211" s="11">
        <v>23</v>
      </c>
      <c r="O8211" s="12">
        <v>6.48</v>
      </c>
      <c r="P8211" s="12">
        <v>5.94</v>
      </c>
      <c r="Q8211" s="13">
        <v>-60.17</v>
      </c>
      <c r="R8211" s="36" t="s">
        <v>1899</v>
      </c>
      <c r="S8211" s="7">
        <f t="shared" si="717"/>
        <v>2</v>
      </c>
      <c r="T8211" s="15" t="str">
        <f>VLOOKUP(R8211,产品分类!$C$2:$D$1278,2,0)</f>
        <v>家具产品</v>
      </c>
    </row>
    <row r="8212" spans="1:20">
      <c r="A8212" s="8">
        <f>DATE(2012,12,31)-1362</f>
        <v>39912</v>
      </c>
      <c r="B8212" s="8">
        <f>DATE(2012,12,31)-1362</f>
        <v>39912</v>
      </c>
      <c r="C8212" s="9" t="s">
        <v>1670</v>
      </c>
      <c r="D8212">
        <v>10021387567</v>
      </c>
      <c r="E8212" t="s">
        <v>47</v>
      </c>
      <c r="F8212" t="s">
        <v>171</v>
      </c>
      <c r="G8212" t="s">
        <v>172</v>
      </c>
      <c r="H8212" t="s">
        <v>2486</v>
      </c>
      <c r="I8212" t="s">
        <v>2310</v>
      </c>
      <c r="J8212" t="s">
        <v>52</v>
      </c>
      <c r="K8212" s="3">
        <v>100921849331</v>
      </c>
      <c r="L8212" s="10">
        <v>39914</v>
      </c>
      <c r="M8212">
        <v>99.94</v>
      </c>
      <c r="N8212" s="11">
        <v>46</v>
      </c>
      <c r="O8212" s="12">
        <v>2.12</v>
      </c>
      <c r="P8212" s="12">
        <v>1.99</v>
      </c>
      <c r="Q8212" s="13">
        <v>-55.84</v>
      </c>
      <c r="R8212" s="36" t="s">
        <v>496</v>
      </c>
      <c r="S8212" s="7">
        <f t="shared" si="717"/>
        <v>2</v>
      </c>
      <c r="T8212" s="15" t="str">
        <f>VLOOKUP(R8212,产品分类!$C$2:$D$1278,2,0)</f>
        <v>办公用品</v>
      </c>
    </row>
    <row r="8213" spans="1:20">
      <c r="A8213" s="8">
        <f>DATE(2012,12,31)-1362</f>
        <v>39912</v>
      </c>
      <c r="B8213" s="8">
        <f>DATE(2012,12,31)-1362</f>
        <v>39912</v>
      </c>
      <c r="C8213" s="9" t="s">
        <v>868</v>
      </c>
      <c r="D8213">
        <v>10021294739</v>
      </c>
      <c r="E8213" t="s">
        <v>47</v>
      </c>
      <c r="F8213" t="s">
        <v>171</v>
      </c>
      <c r="G8213" t="s">
        <v>172</v>
      </c>
      <c r="H8213" t="s">
        <v>2486</v>
      </c>
      <c r="I8213" t="s">
        <v>2310</v>
      </c>
      <c r="J8213" t="s">
        <v>52</v>
      </c>
      <c r="K8213" s="3">
        <v>10047889503</v>
      </c>
      <c r="L8213" s="10">
        <v>39919</v>
      </c>
      <c r="M8213">
        <v>18.7</v>
      </c>
      <c r="N8213" s="11">
        <v>11</v>
      </c>
      <c r="O8213" s="12">
        <v>1.76</v>
      </c>
      <c r="P8213" s="12">
        <v>0.7</v>
      </c>
      <c r="Q8213" s="13">
        <v>-3.36</v>
      </c>
      <c r="R8213" s="36" t="s">
        <v>891</v>
      </c>
      <c r="S8213" s="7">
        <f t="shared" si="717"/>
        <v>7</v>
      </c>
      <c r="T8213" s="15" t="str">
        <f>VLOOKUP(R8213,产品分类!$C$2:$D$1278,2,0)</f>
        <v>家具产品</v>
      </c>
    </row>
    <row r="8214" spans="1:20">
      <c r="A8214" s="8">
        <f>DATE(2012,12,31)-304</f>
        <v>40970</v>
      </c>
      <c r="B8214" s="8">
        <f>DATE(2012,12,31)-304</f>
        <v>40970</v>
      </c>
      <c r="C8214" s="9" t="s">
        <v>2397</v>
      </c>
      <c r="D8214">
        <v>10021476316</v>
      </c>
      <c r="E8214" t="s">
        <v>47</v>
      </c>
      <c r="F8214" t="s">
        <v>127</v>
      </c>
      <c r="G8214" t="s">
        <v>128</v>
      </c>
      <c r="H8214" t="s">
        <v>2608</v>
      </c>
      <c r="I8214" t="s">
        <v>2609</v>
      </c>
      <c r="J8214" t="s">
        <v>52</v>
      </c>
      <c r="K8214" s="3">
        <v>100919286131</v>
      </c>
      <c r="L8214" s="10">
        <v>40971</v>
      </c>
      <c r="M8214">
        <v>14300.26</v>
      </c>
      <c r="N8214" s="11">
        <v>27</v>
      </c>
      <c r="O8214" s="12">
        <v>499.99</v>
      </c>
      <c r="P8214" s="12">
        <v>24.49</v>
      </c>
      <c r="Q8214" s="13">
        <v>6279.18</v>
      </c>
      <c r="R8214" s="36" t="s">
        <v>1920</v>
      </c>
      <c r="S8214" s="7">
        <f t="shared" si="717"/>
        <v>1</v>
      </c>
      <c r="T8214" s="15" t="str">
        <f>VLOOKUP(R8214,产品分类!$C$2:$D$1278,2,0)</f>
        <v>家具产品</v>
      </c>
    </row>
    <row r="8215" spans="1:20">
      <c r="A8215" s="8">
        <f>DATE(2012,12,31)-304</f>
        <v>40970</v>
      </c>
      <c r="B8215" s="8">
        <f>DATE(2012,12,31)-304</f>
        <v>40970</v>
      </c>
      <c r="C8215" s="9" t="s">
        <v>2397</v>
      </c>
      <c r="D8215">
        <v>10021737794</v>
      </c>
      <c r="E8215" t="s">
        <v>47</v>
      </c>
      <c r="F8215" t="s">
        <v>177</v>
      </c>
      <c r="G8215" t="s">
        <v>178</v>
      </c>
      <c r="H8215" t="s">
        <v>2626</v>
      </c>
      <c r="I8215" t="s">
        <v>2627</v>
      </c>
      <c r="J8215" t="s">
        <v>52</v>
      </c>
      <c r="K8215" s="3">
        <v>100713096065</v>
      </c>
      <c r="L8215" s="10">
        <v>40970</v>
      </c>
      <c r="M8215">
        <v>62.88</v>
      </c>
      <c r="N8215" s="11">
        <v>3</v>
      </c>
      <c r="O8215" s="12">
        <v>21.98</v>
      </c>
      <c r="P8215" s="12">
        <v>2.87</v>
      </c>
      <c r="Q8215" s="13">
        <v>-25.96</v>
      </c>
      <c r="R8215" s="36" t="s">
        <v>618</v>
      </c>
      <c r="S8215" s="7">
        <f t="shared" si="717"/>
        <v>0</v>
      </c>
      <c r="T8215" s="15" t="str">
        <f>VLOOKUP(R8215,产品分类!$C$2:$D$1278,2,0)</f>
        <v>办公用品</v>
      </c>
    </row>
    <row r="8216" spans="1:20">
      <c r="A8216" s="8">
        <f>DATE(2012,12,31)-462</f>
        <v>40812</v>
      </c>
      <c r="B8216" s="8">
        <f>DATE(2012,12,31)-462</f>
        <v>40812</v>
      </c>
      <c r="C8216" s="9" t="s">
        <v>639</v>
      </c>
      <c r="D8216">
        <v>10021427116</v>
      </c>
      <c r="E8216" t="s">
        <v>47</v>
      </c>
      <c r="F8216" t="s">
        <v>177</v>
      </c>
      <c r="G8216" t="s">
        <v>178</v>
      </c>
      <c r="H8216" t="s">
        <v>2626</v>
      </c>
      <c r="I8216" t="s">
        <v>2627</v>
      </c>
      <c r="J8216" t="s">
        <v>52</v>
      </c>
      <c r="K8216" s="3">
        <v>100830513332</v>
      </c>
      <c r="L8216" s="10">
        <v>40812</v>
      </c>
      <c r="M8216">
        <v>410.15</v>
      </c>
      <c r="N8216" s="11">
        <v>48</v>
      </c>
      <c r="O8216" s="12">
        <v>8.01</v>
      </c>
      <c r="P8216" s="12">
        <v>2.87</v>
      </c>
      <c r="Q8216" s="13">
        <v>102.58</v>
      </c>
      <c r="R8216" s="36" t="s">
        <v>1313</v>
      </c>
      <c r="S8216" s="7">
        <f t="shared" si="717"/>
        <v>0</v>
      </c>
      <c r="T8216" s="15" t="str">
        <f>VLOOKUP(R8216,产品分类!$C$2:$D$1278,2,0)</f>
        <v>数码电子</v>
      </c>
    </row>
    <row r="8217" spans="1:20">
      <c r="A8217" s="16">
        <f>DATE(2012,12,31)-462</f>
        <v>40812</v>
      </c>
      <c r="B8217" s="16">
        <f>DATE(2012,12,31)-462</f>
        <v>40812</v>
      </c>
      <c r="C8217" s="9" t="s">
        <v>897</v>
      </c>
      <c r="D8217">
        <v>10021261156</v>
      </c>
      <c r="E8217" t="s">
        <v>47</v>
      </c>
      <c r="F8217" t="s">
        <v>177</v>
      </c>
      <c r="G8217" t="s">
        <v>178</v>
      </c>
      <c r="H8217" t="s">
        <v>2626</v>
      </c>
      <c r="I8217" t="s">
        <v>2627</v>
      </c>
      <c r="J8217" t="s">
        <v>52</v>
      </c>
      <c r="K8217" s="3">
        <v>100921103661</v>
      </c>
      <c r="L8217" s="10">
        <v>40813</v>
      </c>
      <c r="M8217">
        <v>135.72</v>
      </c>
      <c r="N8217" s="17">
        <v>28</v>
      </c>
      <c r="O8217" s="5">
        <v>4.98</v>
      </c>
      <c r="P8217" s="5">
        <v>5.02</v>
      </c>
      <c r="Q8217" s="6">
        <v>-67.79</v>
      </c>
      <c r="R8217" s="37" t="s">
        <v>2023</v>
      </c>
      <c r="S8217" s="7">
        <f t="shared" si="717"/>
        <v>1</v>
      </c>
      <c r="T8217" s="15" t="str">
        <f>VLOOKUP(R8217,产品分类!$C$2:$D$1278,2,0)</f>
        <v>数码电子</v>
      </c>
    </row>
    <row r="8218" spans="1:20">
      <c r="A8218" s="8">
        <f>DATE(2012,12,31)-15</f>
        <v>41259</v>
      </c>
      <c r="B8218" s="8">
        <f>DATE(2012,12,31)-15</f>
        <v>41259</v>
      </c>
      <c r="C8218" s="9" t="s">
        <v>897</v>
      </c>
      <c r="D8218">
        <v>10021577184</v>
      </c>
      <c r="E8218" t="s">
        <v>47</v>
      </c>
      <c r="F8218" t="s">
        <v>342</v>
      </c>
      <c r="G8218" t="s">
        <v>343</v>
      </c>
      <c r="H8218" t="s">
        <v>2637</v>
      </c>
      <c r="I8218" t="s">
        <v>2638</v>
      </c>
      <c r="J8218" t="s">
        <v>52</v>
      </c>
      <c r="K8218" s="3">
        <v>10077295395</v>
      </c>
      <c r="L8218" s="10">
        <v>41260</v>
      </c>
      <c r="M8218">
        <v>1558.9425</v>
      </c>
      <c r="N8218" s="11">
        <v>50</v>
      </c>
      <c r="O8218" s="12">
        <v>35.99</v>
      </c>
      <c r="P8218" s="12">
        <v>1.1</v>
      </c>
      <c r="Q8218" s="13">
        <v>548.442</v>
      </c>
      <c r="R8218" s="36" t="s">
        <v>1095</v>
      </c>
      <c r="S8218" s="7">
        <f t="shared" si="717"/>
        <v>1</v>
      </c>
      <c r="T8218" s="15" t="str">
        <f>VLOOKUP(R8218,产品分类!$C$2:$D$1278,2,0)</f>
        <v>办公用品</v>
      </c>
    </row>
    <row r="8219" spans="1:20">
      <c r="A8219" s="8">
        <f>DATE(2012,12,31)-329</f>
        <v>40945</v>
      </c>
      <c r="B8219" s="8">
        <f>DATE(2012,12,31)-329</f>
        <v>40945</v>
      </c>
      <c r="C8219" s="9" t="s">
        <v>683</v>
      </c>
      <c r="D8219">
        <v>10021575378</v>
      </c>
      <c r="E8219" t="s">
        <v>47</v>
      </c>
      <c r="F8219" t="s">
        <v>183</v>
      </c>
      <c r="G8219" t="s">
        <v>184</v>
      </c>
      <c r="H8219" t="s">
        <v>2643</v>
      </c>
      <c r="I8219" t="s">
        <v>2644</v>
      </c>
      <c r="J8219" t="s">
        <v>52</v>
      </c>
      <c r="K8219" s="3">
        <v>10019727276</v>
      </c>
      <c r="L8219" s="10">
        <v>40952</v>
      </c>
      <c r="M8219">
        <v>75.89</v>
      </c>
      <c r="N8219" s="11">
        <v>13</v>
      </c>
      <c r="O8219" s="12">
        <v>5.98</v>
      </c>
      <c r="P8219" s="12">
        <v>5.15</v>
      </c>
      <c r="Q8219" s="13">
        <v>-31.01</v>
      </c>
      <c r="R8219" s="36" t="s">
        <v>677</v>
      </c>
      <c r="S8219" s="7">
        <f t="shared" si="717"/>
        <v>7</v>
      </c>
      <c r="T8219" s="15" t="str">
        <f>VLOOKUP(R8219,产品分类!$C$2:$D$1278,2,0)</f>
        <v>办公用品</v>
      </c>
    </row>
    <row r="8220" spans="1:20">
      <c r="A8220" s="8">
        <f>DATE(2012,12,31)-700</f>
        <v>40574</v>
      </c>
      <c r="B8220" s="8">
        <f>DATE(2012,12,31)-700</f>
        <v>40574</v>
      </c>
      <c r="C8220" s="9" t="s">
        <v>2410</v>
      </c>
      <c r="D8220">
        <v>10021656909</v>
      </c>
      <c r="E8220" t="s">
        <v>47</v>
      </c>
      <c r="F8220" t="s">
        <v>177</v>
      </c>
      <c r="G8220" t="s">
        <v>178</v>
      </c>
      <c r="H8220" t="s">
        <v>2626</v>
      </c>
      <c r="I8220" t="s">
        <v>2627</v>
      </c>
      <c r="J8220" t="s">
        <v>52</v>
      </c>
      <c r="K8220" s="3">
        <v>10094319851</v>
      </c>
      <c r="L8220" s="10">
        <v>40576</v>
      </c>
      <c r="M8220">
        <v>1262.75</v>
      </c>
      <c r="N8220" s="11">
        <v>28</v>
      </c>
      <c r="O8220" s="12">
        <v>46.89</v>
      </c>
      <c r="P8220" s="12">
        <v>5.1</v>
      </c>
      <c r="Q8220" s="13">
        <v>422.23</v>
      </c>
      <c r="R8220" s="36" t="s">
        <v>1022</v>
      </c>
      <c r="S8220" s="7">
        <f t="shared" si="717"/>
        <v>2</v>
      </c>
      <c r="T8220" s="15" t="str">
        <f>VLOOKUP(R8220,产品分类!$C$2:$D$1278,2,0)</f>
        <v>办公用品</v>
      </c>
    </row>
    <row r="8221" spans="1:20">
      <c r="A8221" s="8">
        <f>DATE(2012,12,31)-824</f>
        <v>40450</v>
      </c>
      <c r="B8221" s="8">
        <f>DATE(2012,12,31)-824</f>
        <v>40450</v>
      </c>
      <c r="C8221" s="9" t="s">
        <v>2410</v>
      </c>
      <c r="D8221">
        <v>10021416516</v>
      </c>
      <c r="E8221" t="s">
        <v>47</v>
      </c>
      <c r="F8221" t="s">
        <v>177</v>
      </c>
      <c r="G8221" t="s">
        <v>178</v>
      </c>
      <c r="H8221" t="s">
        <v>2626</v>
      </c>
      <c r="I8221" t="s">
        <v>2627</v>
      </c>
      <c r="J8221" t="s">
        <v>52</v>
      </c>
      <c r="K8221" s="3">
        <v>10018096557</v>
      </c>
      <c r="L8221" s="10">
        <v>40450</v>
      </c>
      <c r="M8221">
        <v>3451.85</v>
      </c>
      <c r="N8221" s="11">
        <v>39</v>
      </c>
      <c r="O8221" s="12">
        <v>90.97</v>
      </c>
      <c r="P8221" s="12">
        <v>14</v>
      </c>
      <c r="Q8221" s="13">
        <v>1264.75</v>
      </c>
      <c r="R8221" s="36" t="s">
        <v>700</v>
      </c>
      <c r="S8221" s="7">
        <f t="shared" si="717"/>
        <v>0</v>
      </c>
      <c r="T8221" s="15" t="str">
        <f>VLOOKUP(R8221,产品分类!$C$2:$D$1278,2,0)</f>
        <v>家具产品</v>
      </c>
    </row>
    <row r="8222" spans="1:20">
      <c r="A8222" s="8">
        <f>DATE(2012,12,31)-409</f>
        <v>40865</v>
      </c>
      <c r="B8222" s="8">
        <f>DATE(2012,12,31)-409</f>
        <v>40865</v>
      </c>
      <c r="C8222" s="9" t="s">
        <v>2410</v>
      </c>
      <c r="D8222">
        <v>10021737725</v>
      </c>
      <c r="E8222" t="s">
        <v>47</v>
      </c>
      <c r="F8222" t="s">
        <v>177</v>
      </c>
      <c r="G8222" t="s">
        <v>178</v>
      </c>
      <c r="H8222" t="s">
        <v>2645</v>
      </c>
      <c r="I8222" t="s">
        <v>2646</v>
      </c>
      <c r="J8222" t="s">
        <v>52</v>
      </c>
      <c r="K8222" s="3">
        <v>100312970209</v>
      </c>
      <c r="L8222" s="10">
        <v>40867</v>
      </c>
      <c r="M8222">
        <v>614.91</v>
      </c>
      <c r="N8222" s="11">
        <v>19</v>
      </c>
      <c r="O8222" s="12">
        <v>30.98</v>
      </c>
      <c r="P8222" s="12">
        <v>17.08</v>
      </c>
      <c r="Q8222" s="13">
        <v>-7.02</v>
      </c>
      <c r="R8222" s="36" t="s">
        <v>1513</v>
      </c>
      <c r="S8222" s="7">
        <f t="shared" si="717"/>
        <v>2</v>
      </c>
      <c r="T8222" s="15" t="str">
        <f>VLOOKUP(R8222,产品分类!$C$2:$D$1278,2,0)</f>
        <v>家具产品</v>
      </c>
    </row>
    <row r="8223" spans="1:20">
      <c r="A8223" s="8">
        <f t="shared" ref="A8223:B8225" si="718">DATE(2012,12,31)-219</f>
        <v>41055</v>
      </c>
      <c r="B8223" s="8">
        <f t="shared" si="718"/>
        <v>41055</v>
      </c>
      <c r="C8223" s="9" t="s">
        <v>2410</v>
      </c>
      <c r="D8223">
        <v>10021773303</v>
      </c>
      <c r="E8223" t="s">
        <v>47</v>
      </c>
      <c r="F8223" t="s">
        <v>177</v>
      </c>
      <c r="G8223" t="s">
        <v>178</v>
      </c>
      <c r="H8223" t="s">
        <v>2645</v>
      </c>
      <c r="I8223" t="s">
        <v>2646</v>
      </c>
      <c r="J8223" t="s">
        <v>52</v>
      </c>
      <c r="K8223" s="3">
        <v>100916328821</v>
      </c>
      <c r="L8223" s="10">
        <v>41056</v>
      </c>
      <c r="M8223">
        <v>254.46</v>
      </c>
      <c r="N8223" s="11">
        <v>32</v>
      </c>
      <c r="O8223" s="12">
        <v>8.5</v>
      </c>
      <c r="P8223" s="12">
        <v>1.99</v>
      </c>
      <c r="Q8223" s="13">
        <v>23.5</v>
      </c>
      <c r="R8223" s="36" t="s">
        <v>1319</v>
      </c>
      <c r="S8223" s="7">
        <f t="shared" si="717"/>
        <v>1</v>
      </c>
      <c r="T8223" s="15" t="str">
        <f>VLOOKUP(R8223,产品分类!$C$2:$D$1278,2,0)</f>
        <v>家具产品</v>
      </c>
    </row>
    <row r="8224" spans="1:20">
      <c r="A8224" s="8">
        <f t="shared" si="718"/>
        <v>41055</v>
      </c>
      <c r="B8224" s="8">
        <f t="shared" si="718"/>
        <v>41055</v>
      </c>
      <c r="C8224" s="9" t="s">
        <v>2410</v>
      </c>
      <c r="D8224">
        <v>10021428707</v>
      </c>
      <c r="E8224" t="s">
        <v>47</v>
      </c>
      <c r="F8224" t="s">
        <v>177</v>
      </c>
      <c r="G8224" t="s">
        <v>178</v>
      </c>
      <c r="H8224" t="s">
        <v>2645</v>
      </c>
      <c r="I8224" t="s">
        <v>2646</v>
      </c>
      <c r="J8224" t="s">
        <v>52</v>
      </c>
      <c r="K8224" s="3">
        <v>100331090089</v>
      </c>
      <c r="L8224" s="10">
        <v>41056</v>
      </c>
      <c r="M8224">
        <v>278.19</v>
      </c>
      <c r="N8224" s="11">
        <v>32</v>
      </c>
      <c r="O8224" s="12">
        <v>8.34</v>
      </c>
      <c r="P8224" s="12">
        <v>0.96</v>
      </c>
      <c r="Q8224" s="13">
        <v>149.39</v>
      </c>
      <c r="R8224" s="36" t="s">
        <v>349</v>
      </c>
      <c r="S8224" s="7">
        <f t="shared" si="717"/>
        <v>1</v>
      </c>
      <c r="T8224" s="15" t="str">
        <f>VLOOKUP(R8224,产品分类!$C$2:$D$1278,2,0)</f>
        <v>数码电子</v>
      </c>
    </row>
    <row r="8225" spans="1:20">
      <c r="A8225" s="8">
        <f t="shared" si="718"/>
        <v>41055</v>
      </c>
      <c r="B8225" s="8">
        <f t="shared" si="718"/>
        <v>41055</v>
      </c>
      <c r="C8225" s="9" t="s">
        <v>1473</v>
      </c>
      <c r="D8225">
        <v>10021702727</v>
      </c>
      <c r="E8225" t="s">
        <v>47</v>
      </c>
      <c r="F8225" t="s">
        <v>177</v>
      </c>
      <c r="G8225" t="s">
        <v>178</v>
      </c>
      <c r="H8225" t="s">
        <v>2645</v>
      </c>
      <c r="I8225" t="s">
        <v>2646</v>
      </c>
      <c r="J8225" t="s">
        <v>52</v>
      </c>
      <c r="K8225" s="3">
        <v>10018832928</v>
      </c>
      <c r="L8225" s="10">
        <v>41057</v>
      </c>
      <c r="M8225">
        <v>1662.33</v>
      </c>
      <c r="N8225" s="11">
        <v>32</v>
      </c>
      <c r="O8225" s="12">
        <v>48.91</v>
      </c>
      <c r="P8225" s="12">
        <v>5.81</v>
      </c>
      <c r="Q8225" s="13">
        <v>783.84</v>
      </c>
      <c r="R8225" s="36" t="s">
        <v>744</v>
      </c>
      <c r="S8225" s="7">
        <f t="shared" si="717"/>
        <v>2</v>
      </c>
      <c r="T8225" s="15" t="str">
        <f>VLOOKUP(R8225,产品分类!$C$2:$D$1278,2,0)</f>
        <v>家具产品</v>
      </c>
    </row>
    <row r="8226" spans="1:20">
      <c r="A8226" s="8">
        <f>DATE(2012,12,31)-530</f>
        <v>40744</v>
      </c>
      <c r="B8226" s="8">
        <f>DATE(2012,12,31)-530</f>
        <v>40744</v>
      </c>
      <c r="C8226" s="9" t="s">
        <v>835</v>
      </c>
      <c r="D8226">
        <v>10021738639</v>
      </c>
      <c r="E8226" t="s">
        <v>47</v>
      </c>
      <c r="F8226" t="s">
        <v>167</v>
      </c>
      <c r="G8226" t="s">
        <v>168</v>
      </c>
      <c r="H8226" t="s">
        <v>169</v>
      </c>
      <c r="I8226" t="s">
        <v>168</v>
      </c>
      <c r="J8226" t="s">
        <v>52</v>
      </c>
      <c r="K8226" s="3">
        <v>100914136961</v>
      </c>
      <c r="L8226" s="10">
        <v>40746</v>
      </c>
      <c r="M8226">
        <v>20.19</v>
      </c>
      <c r="N8226" s="11">
        <v>6</v>
      </c>
      <c r="O8226" s="12">
        <v>3.08</v>
      </c>
      <c r="P8226" s="12">
        <v>0.99</v>
      </c>
      <c r="Q8226" s="13">
        <v>1.25</v>
      </c>
      <c r="R8226" s="36" t="s">
        <v>295</v>
      </c>
      <c r="S8226" s="7">
        <f t="shared" si="717"/>
        <v>2</v>
      </c>
      <c r="T8226" s="15" t="str">
        <f>VLOOKUP(R8226,产品分类!$C$2:$D$1278,2,0)</f>
        <v>办公用品</v>
      </c>
    </row>
    <row r="8227" spans="1:20">
      <c r="A8227" s="8">
        <f>DATE(2012,12,31)-687</f>
        <v>40587</v>
      </c>
      <c r="B8227" s="8">
        <f>DATE(2012,12,31)-687</f>
        <v>40587</v>
      </c>
      <c r="C8227" s="9" t="s">
        <v>835</v>
      </c>
      <c r="D8227">
        <v>10021784704</v>
      </c>
      <c r="E8227" t="s">
        <v>47</v>
      </c>
      <c r="F8227" t="s">
        <v>183</v>
      </c>
      <c r="G8227" t="s">
        <v>184</v>
      </c>
      <c r="H8227" t="s">
        <v>2643</v>
      </c>
      <c r="I8227" t="s">
        <v>2644</v>
      </c>
      <c r="J8227" t="s">
        <v>52</v>
      </c>
      <c r="K8227" s="3">
        <v>100121074376</v>
      </c>
      <c r="L8227" s="10">
        <v>40589</v>
      </c>
      <c r="M8227">
        <v>140.24</v>
      </c>
      <c r="N8227" s="11">
        <v>30</v>
      </c>
      <c r="O8227" s="12">
        <v>4.55</v>
      </c>
      <c r="P8227" s="12">
        <v>1.49</v>
      </c>
      <c r="Q8227" s="13">
        <v>32.8695</v>
      </c>
      <c r="R8227" s="36" t="s">
        <v>1227</v>
      </c>
      <c r="S8227" s="7">
        <f t="shared" si="717"/>
        <v>2</v>
      </c>
      <c r="T8227" s="15" t="str">
        <f>VLOOKUP(R8227,产品分类!$C$2:$D$1278,2,0)</f>
        <v>办公用品</v>
      </c>
    </row>
    <row r="8228" spans="1:20">
      <c r="A8228" s="8">
        <f>DATE(2012,12,31)-703</f>
        <v>40571</v>
      </c>
      <c r="B8228" s="8">
        <f>DATE(2012,12,31)-703</f>
        <v>40571</v>
      </c>
      <c r="C8228" s="9" t="s">
        <v>609</v>
      </c>
      <c r="D8228">
        <v>10021646106</v>
      </c>
      <c r="E8228" t="s">
        <v>47</v>
      </c>
      <c r="F8228" t="s">
        <v>61</v>
      </c>
      <c r="G8228" t="s">
        <v>62</v>
      </c>
      <c r="H8228" t="s">
        <v>2628</v>
      </c>
      <c r="I8228" t="s">
        <v>2629</v>
      </c>
      <c r="J8228" t="s">
        <v>52</v>
      </c>
      <c r="K8228" s="3">
        <v>100112957736</v>
      </c>
      <c r="L8228" s="10">
        <v>40571</v>
      </c>
      <c r="M8228">
        <v>266.94</v>
      </c>
      <c r="N8228" s="11">
        <v>10</v>
      </c>
      <c r="O8228" s="12">
        <v>28.48</v>
      </c>
      <c r="P8228" s="12">
        <v>1.99</v>
      </c>
      <c r="Q8228" s="13">
        <v>19.2</v>
      </c>
      <c r="R8228" s="36" t="s">
        <v>585</v>
      </c>
      <c r="S8228" s="7">
        <f t="shared" si="717"/>
        <v>0</v>
      </c>
      <c r="T8228" s="15" t="str">
        <f>VLOOKUP(R8228,产品分类!$C$2:$D$1278,2,0)</f>
        <v>家具产品</v>
      </c>
    </row>
    <row r="8229" spans="1:20">
      <c r="A8229" s="8">
        <f>DATE(2012,12,31)-703</f>
        <v>40571</v>
      </c>
      <c r="B8229" s="8">
        <f>DATE(2012,12,31)-703</f>
        <v>40571</v>
      </c>
      <c r="C8229" s="9" t="s">
        <v>609</v>
      </c>
      <c r="D8229">
        <v>10021703884</v>
      </c>
      <c r="E8229" t="s">
        <v>47</v>
      </c>
      <c r="F8229" t="s">
        <v>55</v>
      </c>
      <c r="G8229" t="s">
        <v>56</v>
      </c>
      <c r="H8229" t="s">
        <v>2633</v>
      </c>
      <c r="I8229" t="s">
        <v>2634</v>
      </c>
      <c r="J8229" t="s">
        <v>52</v>
      </c>
      <c r="K8229" s="3">
        <v>100915680551</v>
      </c>
      <c r="L8229" s="10">
        <v>40573</v>
      </c>
      <c r="M8229">
        <v>113.85</v>
      </c>
      <c r="N8229" s="11">
        <v>26</v>
      </c>
      <c r="O8229" s="12">
        <v>4.14</v>
      </c>
      <c r="P8229" s="12">
        <v>6.6</v>
      </c>
      <c r="Q8229" s="13">
        <v>-93.93</v>
      </c>
      <c r="R8229" s="36" t="s">
        <v>1748</v>
      </c>
      <c r="S8229" s="7">
        <f t="shared" si="717"/>
        <v>2</v>
      </c>
      <c r="T8229" s="15" t="str">
        <f>VLOOKUP(R8229,产品分类!$C$2:$D$1278,2,0)</f>
        <v>数码电子</v>
      </c>
    </row>
    <row r="8230" spans="1:20">
      <c r="A8230" s="8">
        <f t="shared" ref="A8230:B8233" si="719">DATE(2012,12,31)-1316</f>
        <v>39958</v>
      </c>
      <c r="B8230" s="8">
        <f t="shared" si="719"/>
        <v>39958</v>
      </c>
      <c r="C8230" s="9" t="s">
        <v>1926</v>
      </c>
      <c r="D8230">
        <v>10021502884</v>
      </c>
      <c r="E8230" t="s">
        <v>47</v>
      </c>
      <c r="F8230" t="s">
        <v>61</v>
      </c>
      <c r="G8230" t="s">
        <v>62</v>
      </c>
      <c r="H8230" t="s">
        <v>2628</v>
      </c>
      <c r="I8230" t="s">
        <v>2629</v>
      </c>
      <c r="J8230" t="s">
        <v>52</v>
      </c>
      <c r="K8230" s="3">
        <v>100929019621</v>
      </c>
      <c r="L8230" s="10">
        <v>39960</v>
      </c>
      <c r="M8230">
        <v>78.94</v>
      </c>
      <c r="N8230" s="11">
        <v>12</v>
      </c>
      <c r="O8230" s="12">
        <v>5.44</v>
      </c>
      <c r="P8230" s="12">
        <v>7.46</v>
      </c>
      <c r="Q8230" s="13">
        <v>-51.704</v>
      </c>
      <c r="R8230" s="36" t="s">
        <v>1460</v>
      </c>
      <c r="S8230" s="7">
        <f t="shared" si="717"/>
        <v>2</v>
      </c>
      <c r="T8230" s="15" t="str">
        <f>VLOOKUP(R8230,产品分类!$C$2:$D$1278,2,0)</f>
        <v>办公用品</v>
      </c>
    </row>
    <row r="8231" spans="1:20">
      <c r="A8231" s="8">
        <f t="shared" si="719"/>
        <v>39958</v>
      </c>
      <c r="B8231" s="8">
        <f t="shared" si="719"/>
        <v>39958</v>
      </c>
      <c r="C8231" s="9" t="s">
        <v>598</v>
      </c>
      <c r="D8231">
        <v>10021503506</v>
      </c>
      <c r="E8231" t="s">
        <v>47</v>
      </c>
      <c r="F8231" t="s">
        <v>342</v>
      </c>
      <c r="G8231" t="s">
        <v>343</v>
      </c>
      <c r="H8231" t="s">
        <v>2637</v>
      </c>
      <c r="I8231" t="s">
        <v>2638</v>
      </c>
      <c r="J8231" t="s">
        <v>52</v>
      </c>
      <c r="K8231" s="3">
        <v>100829663202</v>
      </c>
      <c r="L8231" s="10">
        <v>39959</v>
      </c>
      <c r="M8231">
        <v>576.89</v>
      </c>
      <c r="N8231" s="11">
        <v>22</v>
      </c>
      <c r="O8231" s="12">
        <v>26.38</v>
      </c>
      <c r="P8231" s="12">
        <v>5.58</v>
      </c>
      <c r="Q8231" s="13">
        <v>175.03</v>
      </c>
      <c r="R8231" s="36" t="s">
        <v>935</v>
      </c>
      <c r="S8231" s="7">
        <f t="shared" si="717"/>
        <v>1</v>
      </c>
      <c r="T8231" s="15" t="str">
        <f>VLOOKUP(R8231,产品分类!$C$2:$D$1278,2,0)</f>
        <v>办公用品</v>
      </c>
    </row>
    <row r="8232" spans="1:20">
      <c r="A8232" s="8">
        <f t="shared" si="719"/>
        <v>39958</v>
      </c>
      <c r="B8232" s="8">
        <f t="shared" si="719"/>
        <v>39958</v>
      </c>
      <c r="C8232" s="9" t="s">
        <v>598</v>
      </c>
      <c r="D8232">
        <v>10021767239</v>
      </c>
      <c r="E8232" t="s">
        <v>47</v>
      </c>
      <c r="F8232" t="s">
        <v>61</v>
      </c>
      <c r="G8232" t="s">
        <v>62</v>
      </c>
      <c r="H8232" t="s">
        <v>2647</v>
      </c>
      <c r="I8232" t="s">
        <v>2648</v>
      </c>
      <c r="J8232" t="s">
        <v>52</v>
      </c>
      <c r="K8232" s="3">
        <v>10035287549</v>
      </c>
      <c r="L8232" s="10">
        <v>39960</v>
      </c>
      <c r="M8232">
        <v>35.666</v>
      </c>
      <c r="N8232" s="11">
        <v>2</v>
      </c>
      <c r="O8232" s="12">
        <v>20.99</v>
      </c>
      <c r="P8232" s="12">
        <v>2.5</v>
      </c>
      <c r="Q8232" s="13">
        <v>-112.189</v>
      </c>
      <c r="R8232" s="36" t="s">
        <v>2099</v>
      </c>
      <c r="S8232" s="7">
        <f t="shared" si="717"/>
        <v>2</v>
      </c>
      <c r="T8232" s="15" t="str">
        <f>VLOOKUP(R8232,产品分类!$C$2:$D$1278,2,0)</f>
        <v>办公用品</v>
      </c>
    </row>
    <row r="8233" spans="1:20">
      <c r="A8233" s="8">
        <f t="shared" si="719"/>
        <v>39958</v>
      </c>
      <c r="B8233" s="8">
        <f t="shared" si="719"/>
        <v>39958</v>
      </c>
      <c r="C8233" s="9" t="s">
        <v>1529</v>
      </c>
      <c r="D8233">
        <v>10021386207</v>
      </c>
      <c r="E8233" t="s">
        <v>47</v>
      </c>
      <c r="F8233" t="s">
        <v>61</v>
      </c>
      <c r="G8233" t="s">
        <v>62</v>
      </c>
      <c r="H8233" t="s">
        <v>2647</v>
      </c>
      <c r="I8233" t="s">
        <v>2648</v>
      </c>
      <c r="J8233" t="s">
        <v>52</v>
      </c>
      <c r="K8233" s="3">
        <v>10017179637</v>
      </c>
      <c r="L8233" s="10">
        <v>39960</v>
      </c>
      <c r="M8233">
        <v>4191.5625</v>
      </c>
      <c r="N8233" s="11">
        <v>38</v>
      </c>
      <c r="O8233" s="12">
        <v>125.99</v>
      </c>
      <c r="P8233" s="12">
        <v>2.5</v>
      </c>
      <c r="Q8233" s="13">
        <v>1286.532</v>
      </c>
      <c r="R8233" s="36" t="s">
        <v>1343</v>
      </c>
      <c r="S8233" s="7">
        <f t="shared" si="717"/>
        <v>2</v>
      </c>
      <c r="T8233" s="15" t="str">
        <f>VLOOKUP(R8233,产品分类!$C$2:$D$1278,2,0)</f>
        <v>办公用品</v>
      </c>
    </row>
    <row r="8234" spans="1:20">
      <c r="A8234" s="8">
        <f>DATE(2012,12,31)-872</f>
        <v>40402</v>
      </c>
      <c r="B8234" s="8">
        <f>DATE(2012,12,31)-872</f>
        <v>40402</v>
      </c>
      <c r="C8234" s="9" t="s">
        <v>96</v>
      </c>
      <c r="D8234">
        <v>10021739968</v>
      </c>
      <c r="E8234" t="s">
        <v>47</v>
      </c>
      <c r="F8234" t="s">
        <v>61</v>
      </c>
      <c r="G8234" t="s">
        <v>62</v>
      </c>
      <c r="H8234" t="s">
        <v>2647</v>
      </c>
      <c r="I8234" t="s">
        <v>2648</v>
      </c>
      <c r="J8234" t="s">
        <v>52</v>
      </c>
      <c r="K8234" s="3">
        <v>100917182831</v>
      </c>
      <c r="L8234" s="10">
        <v>40404</v>
      </c>
      <c r="M8234">
        <v>589.63</v>
      </c>
      <c r="N8234" s="11">
        <v>37</v>
      </c>
      <c r="O8234" s="12">
        <v>14.98</v>
      </c>
      <c r="P8234" s="12">
        <v>8.99</v>
      </c>
      <c r="Q8234" s="13">
        <v>70.8</v>
      </c>
      <c r="R8234" s="36" t="s">
        <v>1840</v>
      </c>
      <c r="S8234" s="7">
        <f t="shared" si="717"/>
        <v>2</v>
      </c>
      <c r="T8234" s="15" t="str">
        <f>VLOOKUP(R8234,产品分类!$C$2:$D$1278,2,0)</f>
        <v>家具产品</v>
      </c>
    </row>
    <row r="8235" spans="1:20">
      <c r="A8235" s="16">
        <f>DATE(2012,12,31)-309</f>
        <v>40965</v>
      </c>
      <c r="B8235" s="16">
        <f>DATE(2012,12,31)-309</f>
        <v>40965</v>
      </c>
      <c r="C8235" s="9" t="s">
        <v>96</v>
      </c>
      <c r="D8235">
        <v>10021620863</v>
      </c>
      <c r="E8235" t="s">
        <v>47</v>
      </c>
      <c r="F8235" t="s">
        <v>61</v>
      </c>
      <c r="G8235" t="s">
        <v>62</v>
      </c>
      <c r="H8235" t="s">
        <v>2647</v>
      </c>
      <c r="I8235" t="s">
        <v>2648</v>
      </c>
      <c r="J8235" t="s">
        <v>52</v>
      </c>
      <c r="K8235" s="3">
        <v>100910130961</v>
      </c>
      <c r="L8235" s="10">
        <v>40968</v>
      </c>
      <c r="M8235">
        <v>425.91</v>
      </c>
      <c r="N8235" s="17">
        <v>38</v>
      </c>
      <c r="O8235" s="5">
        <v>11.19</v>
      </c>
      <c r="P8235" s="5">
        <v>5.03</v>
      </c>
      <c r="Q8235" s="6">
        <v>55.06</v>
      </c>
      <c r="R8235" s="37" t="s">
        <v>692</v>
      </c>
      <c r="S8235" s="7">
        <f t="shared" si="717"/>
        <v>3</v>
      </c>
      <c r="T8235" s="15" t="str">
        <f>VLOOKUP(R8235,产品分类!$C$2:$D$1278,2,0)</f>
        <v>办公用品</v>
      </c>
    </row>
    <row r="8236" spans="1:20">
      <c r="A8236" s="8">
        <f>DATE(2012,12,31)-309</f>
        <v>40965</v>
      </c>
      <c r="B8236" s="8">
        <f>DATE(2012,12,31)-309</f>
        <v>40965</v>
      </c>
      <c r="C8236" s="9" t="s">
        <v>1488</v>
      </c>
      <c r="D8236">
        <v>10021610304</v>
      </c>
      <c r="E8236" t="s">
        <v>47</v>
      </c>
      <c r="F8236" t="s">
        <v>61</v>
      </c>
      <c r="G8236" t="s">
        <v>62</v>
      </c>
      <c r="H8236" t="s">
        <v>2647</v>
      </c>
      <c r="I8236" t="s">
        <v>2648</v>
      </c>
      <c r="J8236" t="s">
        <v>52</v>
      </c>
      <c r="K8236" s="3">
        <v>100128938028</v>
      </c>
      <c r="L8236" s="10">
        <v>40973</v>
      </c>
      <c r="M8236">
        <v>21.84</v>
      </c>
      <c r="N8236" s="11">
        <v>4</v>
      </c>
      <c r="O8236" s="12">
        <v>4.77</v>
      </c>
      <c r="P8236" s="12">
        <v>2.39</v>
      </c>
      <c r="Q8236" s="13">
        <v>-25.31</v>
      </c>
      <c r="R8236" s="36" t="s">
        <v>980</v>
      </c>
      <c r="S8236" s="7">
        <f t="shared" si="717"/>
        <v>8</v>
      </c>
      <c r="T8236" s="15" t="str">
        <f>VLOOKUP(R8236,产品分类!$C$2:$D$1278,2,0)</f>
        <v>办公用品</v>
      </c>
    </row>
    <row r="8237" spans="1:20">
      <c r="A8237" s="8">
        <f t="shared" ref="A8237:B8239" si="720">DATE(2012,12,31)-1418</f>
        <v>39856</v>
      </c>
      <c r="B8237" s="8">
        <f t="shared" si="720"/>
        <v>39856</v>
      </c>
      <c r="C8237" s="9" t="s">
        <v>1378</v>
      </c>
      <c r="D8237">
        <v>10021444903</v>
      </c>
      <c r="E8237" t="s">
        <v>47</v>
      </c>
      <c r="F8237" t="s">
        <v>61</v>
      </c>
      <c r="G8237" t="s">
        <v>62</v>
      </c>
      <c r="H8237" t="s">
        <v>2647</v>
      </c>
      <c r="I8237" t="s">
        <v>2648</v>
      </c>
      <c r="J8237" t="s">
        <v>52</v>
      </c>
      <c r="K8237" s="3">
        <v>10039986459</v>
      </c>
      <c r="L8237" s="10">
        <v>39859</v>
      </c>
      <c r="M8237">
        <v>197.61</v>
      </c>
      <c r="N8237" s="11">
        <v>13</v>
      </c>
      <c r="O8237" s="12">
        <v>14.27</v>
      </c>
      <c r="P8237" s="12">
        <v>7.27</v>
      </c>
      <c r="Q8237" s="13">
        <v>3.4595</v>
      </c>
      <c r="R8237" s="36" t="s">
        <v>971</v>
      </c>
      <c r="S8237" s="7">
        <f t="shared" si="717"/>
        <v>3</v>
      </c>
      <c r="T8237" s="15" t="str">
        <f>VLOOKUP(R8237,产品分类!$C$2:$D$1278,2,0)</f>
        <v>办公用品</v>
      </c>
    </row>
    <row r="8238" spans="1:20">
      <c r="A8238" s="8">
        <f t="shared" si="720"/>
        <v>39856</v>
      </c>
      <c r="B8238" s="8">
        <f t="shared" si="720"/>
        <v>39856</v>
      </c>
      <c r="C8238" s="9" t="s">
        <v>1258</v>
      </c>
      <c r="D8238">
        <v>10021621921</v>
      </c>
      <c r="E8238" t="s">
        <v>47</v>
      </c>
      <c r="F8238" t="s">
        <v>61</v>
      </c>
      <c r="G8238" t="s">
        <v>62</v>
      </c>
      <c r="H8238" t="s">
        <v>2647</v>
      </c>
      <c r="I8238" t="s">
        <v>2648</v>
      </c>
      <c r="J8238" t="s">
        <v>52</v>
      </c>
      <c r="K8238" s="3">
        <v>100712324125</v>
      </c>
      <c r="L8238" s="10">
        <v>39859</v>
      </c>
      <c r="M8238">
        <v>68.92</v>
      </c>
      <c r="N8238" s="11">
        <v>22</v>
      </c>
      <c r="O8238" s="12">
        <v>2.98</v>
      </c>
      <c r="P8238" s="12">
        <v>1.58</v>
      </c>
      <c r="Q8238" s="13">
        <v>2.63</v>
      </c>
      <c r="R8238" s="36" t="s">
        <v>1207</v>
      </c>
      <c r="S8238" s="7">
        <f t="shared" si="717"/>
        <v>3</v>
      </c>
      <c r="T8238" s="15" t="str">
        <f>VLOOKUP(R8238,产品分类!$C$2:$D$1278,2,0)</f>
        <v>数码电子</v>
      </c>
    </row>
    <row r="8239" spans="1:20">
      <c r="A8239" s="8">
        <f t="shared" si="720"/>
        <v>39856</v>
      </c>
      <c r="B8239" s="8">
        <f t="shared" si="720"/>
        <v>39856</v>
      </c>
      <c r="C8239" s="9" t="s">
        <v>1258</v>
      </c>
      <c r="D8239">
        <v>10021502770</v>
      </c>
      <c r="E8239" t="s">
        <v>47</v>
      </c>
      <c r="F8239" t="s">
        <v>253</v>
      </c>
      <c r="G8239" t="s">
        <v>254</v>
      </c>
      <c r="H8239" t="s">
        <v>2613</v>
      </c>
      <c r="I8239" t="s">
        <v>2614</v>
      </c>
      <c r="J8239" t="s">
        <v>52</v>
      </c>
      <c r="K8239" s="3">
        <v>100428972264</v>
      </c>
      <c r="L8239" s="10">
        <v>39858</v>
      </c>
      <c r="M8239">
        <v>3594.7435</v>
      </c>
      <c r="N8239" s="11">
        <v>38</v>
      </c>
      <c r="O8239" s="12">
        <v>115.99</v>
      </c>
      <c r="P8239" s="12">
        <v>2.5</v>
      </c>
      <c r="Q8239" s="13">
        <v>1016.973</v>
      </c>
      <c r="R8239" s="36" t="s">
        <v>2576</v>
      </c>
      <c r="S8239" s="7">
        <f t="shared" si="717"/>
        <v>2</v>
      </c>
      <c r="T8239" s="15" t="str">
        <f>VLOOKUP(R8239,产品分类!$C$2:$D$1278,2,0)</f>
        <v>家具产品</v>
      </c>
    </row>
    <row r="8240" spans="1:20">
      <c r="A8240" s="8">
        <f>DATE(2012,12,31)-451</f>
        <v>40823</v>
      </c>
      <c r="B8240" s="8">
        <f>DATE(2012,12,31)-451</f>
        <v>40823</v>
      </c>
      <c r="C8240" s="9" t="s">
        <v>1667</v>
      </c>
      <c r="D8240">
        <v>10021746679</v>
      </c>
      <c r="E8240" t="s">
        <v>47</v>
      </c>
      <c r="F8240" t="s">
        <v>61</v>
      </c>
      <c r="G8240" t="s">
        <v>62</v>
      </c>
      <c r="H8240" t="s">
        <v>2647</v>
      </c>
      <c r="I8240" t="s">
        <v>2648</v>
      </c>
      <c r="J8240" t="s">
        <v>52</v>
      </c>
      <c r="K8240" s="3">
        <v>100328902649</v>
      </c>
      <c r="L8240" s="10">
        <v>40828</v>
      </c>
      <c r="M8240">
        <v>68.53</v>
      </c>
      <c r="N8240" s="11">
        <v>21</v>
      </c>
      <c r="O8240" s="12">
        <v>3.28</v>
      </c>
      <c r="P8240" s="12">
        <v>3.97</v>
      </c>
      <c r="Q8240" s="13">
        <v>-59.97</v>
      </c>
      <c r="R8240" s="36" t="s">
        <v>1284</v>
      </c>
      <c r="S8240" s="7">
        <f t="shared" si="717"/>
        <v>5</v>
      </c>
      <c r="T8240" s="15" t="str">
        <f>VLOOKUP(R8240,产品分类!$C$2:$D$1278,2,0)</f>
        <v>家具产品</v>
      </c>
    </row>
    <row r="8241" spans="1:20">
      <c r="A8241" s="8">
        <f>DATE(2012,12,31)-451</f>
        <v>40823</v>
      </c>
      <c r="B8241" s="8">
        <f>DATE(2012,12,31)-451</f>
        <v>40823</v>
      </c>
      <c r="C8241" s="9" t="s">
        <v>1362</v>
      </c>
      <c r="D8241">
        <v>10021415407</v>
      </c>
      <c r="E8241" t="s">
        <v>47</v>
      </c>
      <c r="F8241" t="s">
        <v>253</v>
      </c>
      <c r="G8241" t="s">
        <v>254</v>
      </c>
      <c r="H8241" t="s">
        <v>2649</v>
      </c>
      <c r="I8241" t="s">
        <v>2650</v>
      </c>
      <c r="J8241" t="s">
        <v>52</v>
      </c>
      <c r="K8241" s="3">
        <v>100713073295</v>
      </c>
      <c r="L8241" s="10">
        <v>40832</v>
      </c>
      <c r="M8241">
        <v>4215.83</v>
      </c>
      <c r="N8241" s="11">
        <v>39</v>
      </c>
      <c r="O8241" s="12">
        <v>125.99</v>
      </c>
      <c r="P8241" s="12">
        <v>8.99</v>
      </c>
      <c r="Q8241" s="13">
        <v>972.189</v>
      </c>
      <c r="R8241" s="36" t="s">
        <v>698</v>
      </c>
      <c r="S8241" s="7">
        <f t="shared" si="717"/>
        <v>9</v>
      </c>
      <c r="T8241" s="15" t="str">
        <f>VLOOKUP(R8241,产品分类!$C$2:$D$1278,2,0)</f>
        <v>办公用品</v>
      </c>
    </row>
    <row r="8242" spans="1:20">
      <c r="A8242" s="8">
        <f>DATE(2012,12,31)-702</f>
        <v>40572</v>
      </c>
      <c r="B8242" s="8">
        <f>DATE(2012,12,31)-702</f>
        <v>40572</v>
      </c>
      <c r="C8242" s="9" t="s">
        <v>1362</v>
      </c>
      <c r="D8242">
        <v>10021592888</v>
      </c>
      <c r="E8242" t="s">
        <v>47</v>
      </c>
      <c r="F8242" t="s">
        <v>61</v>
      </c>
      <c r="G8242" t="s">
        <v>62</v>
      </c>
      <c r="H8242" t="s">
        <v>2647</v>
      </c>
      <c r="I8242" t="s">
        <v>2648</v>
      </c>
      <c r="J8242" t="s">
        <v>52</v>
      </c>
      <c r="K8242" s="3">
        <v>100132399068</v>
      </c>
      <c r="L8242" s="10">
        <v>40573</v>
      </c>
      <c r="M8242">
        <v>849.51</v>
      </c>
      <c r="N8242" s="11">
        <v>12</v>
      </c>
      <c r="O8242" s="12">
        <v>70.97</v>
      </c>
      <c r="P8242" s="12">
        <v>3.5</v>
      </c>
      <c r="Q8242" s="13">
        <v>163.1</v>
      </c>
      <c r="R8242" s="36" t="s">
        <v>318</v>
      </c>
      <c r="S8242" s="7">
        <f t="shared" si="717"/>
        <v>1</v>
      </c>
      <c r="T8242" s="15" t="str">
        <f>VLOOKUP(R8242,产品分类!$C$2:$D$1278,2,0)</f>
        <v>办公用品</v>
      </c>
    </row>
    <row r="8243" spans="1:20">
      <c r="A8243" s="8">
        <f>DATE(2012,12,31)-702</f>
        <v>40572</v>
      </c>
      <c r="B8243" s="8">
        <f>DATE(2012,12,31)-702</f>
        <v>40572</v>
      </c>
      <c r="C8243" s="9" t="s">
        <v>928</v>
      </c>
      <c r="D8243">
        <v>10021431573</v>
      </c>
      <c r="E8243" t="s">
        <v>47</v>
      </c>
      <c r="F8243" t="s">
        <v>61</v>
      </c>
      <c r="G8243" t="s">
        <v>62</v>
      </c>
      <c r="H8243" t="s">
        <v>2647</v>
      </c>
      <c r="I8243" t="s">
        <v>2648</v>
      </c>
      <c r="J8243" t="s">
        <v>52</v>
      </c>
      <c r="K8243" s="3">
        <v>100132243006</v>
      </c>
      <c r="L8243" s="10">
        <v>40573</v>
      </c>
      <c r="M8243">
        <v>189.49</v>
      </c>
      <c r="N8243" s="11">
        <v>38</v>
      </c>
      <c r="O8243" s="12">
        <v>5.34</v>
      </c>
      <c r="P8243" s="12">
        <v>2.99</v>
      </c>
      <c r="Q8243" s="13">
        <v>-13.708</v>
      </c>
      <c r="R8243" s="36" t="s">
        <v>1171</v>
      </c>
      <c r="S8243" s="7">
        <f t="shared" si="717"/>
        <v>1</v>
      </c>
      <c r="T8243" s="15" t="str">
        <f>VLOOKUP(R8243,产品分类!$C$2:$D$1278,2,0)</f>
        <v>办公用品</v>
      </c>
    </row>
    <row r="8244" spans="1:20">
      <c r="A8244" s="8">
        <f t="shared" ref="A8244:B8247" si="721">DATE(2012,12,31)-1413</f>
        <v>39861</v>
      </c>
      <c r="B8244" s="8">
        <f t="shared" si="721"/>
        <v>39861</v>
      </c>
      <c r="C8244" s="9" t="s">
        <v>928</v>
      </c>
      <c r="D8244">
        <v>10021579651</v>
      </c>
      <c r="E8244" t="s">
        <v>47</v>
      </c>
      <c r="F8244" t="s">
        <v>61</v>
      </c>
      <c r="G8244" t="s">
        <v>62</v>
      </c>
      <c r="H8244" t="s">
        <v>2647</v>
      </c>
      <c r="I8244" t="s">
        <v>2648</v>
      </c>
      <c r="J8244" t="s">
        <v>52</v>
      </c>
      <c r="K8244" s="3">
        <v>100820684352</v>
      </c>
      <c r="L8244" s="10">
        <v>39862</v>
      </c>
      <c r="M8244">
        <v>242.46</v>
      </c>
      <c r="N8244" s="11">
        <v>44</v>
      </c>
      <c r="O8244" s="12">
        <v>5.34</v>
      </c>
      <c r="P8244" s="12">
        <v>2.99</v>
      </c>
      <c r="Q8244" s="13">
        <v>9.299</v>
      </c>
      <c r="R8244" s="36" t="s">
        <v>753</v>
      </c>
      <c r="S8244" s="7">
        <f t="shared" si="717"/>
        <v>1</v>
      </c>
      <c r="T8244" s="15" t="str">
        <f>VLOOKUP(R8244,产品分类!$C$2:$D$1278,2,0)</f>
        <v>家具产品</v>
      </c>
    </row>
    <row r="8245" spans="1:20">
      <c r="A8245" s="8">
        <f t="shared" si="721"/>
        <v>39861</v>
      </c>
      <c r="B8245" s="8">
        <f t="shared" si="721"/>
        <v>39861</v>
      </c>
      <c r="C8245" s="9" t="s">
        <v>334</v>
      </c>
      <c r="D8245">
        <v>10021267140</v>
      </c>
      <c r="E8245" t="s">
        <v>47</v>
      </c>
      <c r="F8245" t="s">
        <v>83</v>
      </c>
      <c r="G8245" t="s">
        <v>84</v>
      </c>
      <c r="H8245" t="s">
        <v>2577</v>
      </c>
      <c r="I8245" t="s">
        <v>2578</v>
      </c>
      <c r="J8245" t="s">
        <v>52</v>
      </c>
      <c r="K8245" s="3">
        <v>100314480689</v>
      </c>
      <c r="L8245" s="10">
        <v>39863</v>
      </c>
      <c r="M8245">
        <v>607.77</v>
      </c>
      <c r="N8245" s="11">
        <v>10</v>
      </c>
      <c r="O8245" s="12">
        <v>62.18</v>
      </c>
      <c r="P8245" s="12">
        <v>10.84</v>
      </c>
      <c r="Q8245" s="13">
        <v>232</v>
      </c>
      <c r="R8245" s="36" t="s">
        <v>677</v>
      </c>
      <c r="S8245" s="7">
        <f t="shared" si="717"/>
        <v>2</v>
      </c>
      <c r="T8245" s="15" t="str">
        <f>VLOOKUP(R8245,产品分类!$C$2:$D$1278,2,0)</f>
        <v>办公用品</v>
      </c>
    </row>
    <row r="8246" spans="1:20">
      <c r="A8246" s="8">
        <f t="shared" si="721"/>
        <v>39861</v>
      </c>
      <c r="B8246" s="8">
        <f t="shared" si="721"/>
        <v>39861</v>
      </c>
      <c r="C8246" s="9" t="s">
        <v>334</v>
      </c>
      <c r="D8246">
        <v>10021370670</v>
      </c>
      <c r="E8246" t="s">
        <v>47</v>
      </c>
      <c r="F8246" t="s">
        <v>61</v>
      </c>
      <c r="G8246" t="s">
        <v>62</v>
      </c>
      <c r="H8246" t="s">
        <v>2647</v>
      </c>
      <c r="I8246" t="s">
        <v>2648</v>
      </c>
      <c r="J8246" t="s">
        <v>52</v>
      </c>
      <c r="K8246" s="3">
        <v>100429787313</v>
      </c>
      <c r="L8246" s="10">
        <v>39863</v>
      </c>
      <c r="M8246">
        <v>954.57</v>
      </c>
      <c r="N8246" s="11">
        <v>22</v>
      </c>
      <c r="O8246" s="12">
        <v>41.47</v>
      </c>
      <c r="P8246" s="12">
        <v>34.2</v>
      </c>
      <c r="Q8246" s="13">
        <v>-380.9</v>
      </c>
      <c r="R8246" s="36" t="s">
        <v>2335</v>
      </c>
      <c r="S8246" s="7">
        <f t="shared" si="717"/>
        <v>2</v>
      </c>
      <c r="T8246" s="15" t="str">
        <f>VLOOKUP(R8246,产品分类!$C$2:$D$1278,2,0)</f>
        <v>办公用品</v>
      </c>
    </row>
    <row r="8247" spans="1:20">
      <c r="A8247" s="8">
        <f t="shared" si="721"/>
        <v>39861</v>
      </c>
      <c r="B8247" s="8">
        <f t="shared" si="721"/>
        <v>39861</v>
      </c>
      <c r="C8247" s="9" t="s">
        <v>250</v>
      </c>
      <c r="D8247">
        <v>10021755169</v>
      </c>
      <c r="E8247" t="s">
        <v>47</v>
      </c>
      <c r="F8247" t="s">
        <v>61</v>
      </c>
      <c r="G8247" t="s">
        <v>62</v>
      </c>
      <c r="H8247" t="s">
        <v>2647</v>
      </c>
      <c r="I8247" t="s">
        <v>2648</v>
      </c>
      <c r="J8247" t="s">
        <v>52</v>
      </c>
      <c r="K8247" s="3">
        <v>100832812022</v>
      </c>
      <c r="L8247" s="10">
        <v>39863</v>
      </c>
      <c r="M8247">
        <v>8767.62</v>
      </c>
      <c r="N8247" s="11">
        <v>5</v>
      </c>
      <c r="O8247" s="12">
        <v>1938.02</v>
      </c>
      <c r="P8247" s="12">
        <v>13.99</v>
      </c>
      <c r="Q8247" s="13">
        <v>-1510.8855</v>
      </c>
      <c r="R8247" s="36" t="s">
        <v>537</v>
      </c>
      <c r="S8247" s="7">
        <f t="shared" si="717"/>
        <v>2</v>
      </c>
      <c r="T8247" s="15" t="str">
        <f>VLOOKUP(R8247,产品分类!$C$2:$D$1278,2,0)</f>
        <v>办公用品</v>
      </c>
    </row>
    <row r="8248" spans="1:20">
      <c r="A8248" s="8">
        <f>DATE(2012,12,31)-476</f>
        <v>40798</v>
      </c>
      <c r="B8248" s="8">
        <f>DATE(2012,12,31)-476</f>
        <v>40798</v>
      </c>
      <c r="C8248" s="9" t="s">
        <v>1139</v>
      </c>
      <c r="D8248">
        <v>10021333387</v>
      </c>
      <c r="E8248" t="s">
        <v>47</v>
      </c>
      <c r="F8248" t="s">
        <v>253</v>
      </c>
      <c r="G8248" t="s">
        <v>254</v>
      </c>
      <c r="H8248" t="s">
        <v>2649</v>
      </c>
      <c r="I8248" t="s">
        <v>2650</v>
      </c>
      <c r="J8248" t="s">
        <v>52</v>
      </c>
      <c r="K8248" s="3">
        <v>100110364466</v>
      </c>
      <c r="L8248" s="10">
        <v>40799</v>
      </c>
      <c r="M8248">
        <v>105.07</v>
      </c>
      <c r="N8248" s="11">
        <v>39</v>
      </c>
      <c r="O8248" s="12">
        <v>2.88</v>
      </c>
      <c r="P8248" s="12">
        <v>0.7</v>
      </c>
      <c r="Q8248" s="13">
        <v>9.11</v>
      </c>
      <c r="R8248" s="36" t="s">
        <v>164</v>
      </c>
      <c r="S8248" s="7">
        <f t="shared" si="717"/>
        <v>1</v>
      </c>
      <c r="T8248" s="15" t="str">
        <f>VLOOKUP(R8248,产品分类!$C$2:$D$1278,2,0)</f>
        <v>办公用品</v>
      </c>
    </row>
    <row r="8249" spans="1:20">
      <c r="A8249" s="8">
        <f>DATE(2012,12,31)-742</f>
        <v>40532</v>
      </c>
      <c r="B8249" s="8">
        <f>DATE(2012,12,31)-742</f>
        <v>40532</v>
      </c>
      <c r="C8249" s="9" t="s">
        <v>1415</v>
      </c>
      <c r="D8249">
        <v>10021318699</v>
      </c>
      <c r="E8249" t="s">
        <v>47</v>
      </c>
      <c r="F8249" t="s">
        <v>253</v>
      </c>
      <c r="G8249" t="s">
        <v>254</v>
      </c>
      <c r="H8249" t="s">
        <v>2649</v>
      </c>
      <c r="I8249" t="s">
        <v>2650</v>
      </c>
      <c r="J8249" t="s">
        <v>52</v>
      </c>
      <c r="K8249" s="3">
        <v>10094813031</v>
      </c>
      <c r="L8249" s="10">
        <v>40533</v>
      </c>
      <c r="M8249">
        <v>2896.99</v>
      </c>
      <c r="N8249" s="11">
        <v>27</v>
      </c>
      <c r="O8249" s="12">
        <v>100.98</v>
      </c>
      <c r="P8249" s="12">
        <v>35.84</v>
      </c>
      <c r="Q8249" s="13">
        <v>36.94</v>
      </c>
      <c r="R8249" s="36" t="s">
        <v>1530</v>
      </c>
      <c r="S8249" s="7">
        <f t="shared" si="717"/>
        <v>1</v>
      </c>
      <c r="T8249" s="15" t="str">
        <f>VLOOKUP(R8249,产品分类!$C$2:$D$1278,2,0)</f>
        <v>数码电子</v>
      </c>
    </row>
    <row r="8250" spans="1:20">
      <c r="A8250" s="8">
        <f>DATE(2012,12,31)-1095</f>
        <v>40179</v>
      </c>
      <c r="B8250" s="8">
        <f>DATE(2012,12,31)-1095</f>
        <v>40179</v>
      </c>
      <c r="C8250" s="9" t="s">
        <v>743</v>
      </c>
      <c r="D8250">
        <v>10021279629</v>
      </c>
      <c r="E8250" t="s">
        <v>47</v>
      </c>
      <c r="F8250" t="s">
        <v>61</v>
      </c>
      <c r="G8250" t="s">
        <v>62</v>
      </c>
      <c r="H8250" t="s">
        <v>2647</v>
      </c>
      <c r="I8250" t="s">
        <v>2648</v>
      </c>
      <c r="J8250" t="s">
        <v>52</v>
      </c>
      <c r="K8250" s="3">
        <v>10034203849</v>
      </c>
      <c r="L8250" s="10">
        <v>40181</v>
      </c>
      <c r="M8250">
        <v>1193.1</v>
      </c>
      <c r="N8250" s="11">
        <v>6</v>
      </c>
      <c r="O8250" s="12">
        <v>204.1</v>
      </c>
      <c r="P8250" s="12">
        <v>13.99</v>
      </c>
      <c r="Q8250" s="13">
        <v>-139.4958</v>
      </c>
      <c r="R8250" s="36" t="s">
        <v>886</v>
      </c>
      <c r="S8250" s="7">
        <f t="shared" si="717"/>
        <v>2</v>
      </c>
      <c r="T8250" s="15" t="str">
        <f>VLOOKUP(R8250,产品分类!$C$2:$D$1278,2,0)</f>
        <v>办公用品</v>
      </c>
    </row>
    <row r="8251" spans="1:20">
      <c r="A8251" s="8">
        <f>DATE(2012,12,31)-388</f>
        <v>40886</v>
      </c>
      <c r="B8251" s="8">
        <f>DATE(2012,12,31)-388</f>
        <v>40886</v>
      </c>
      <c r="C8251" s="9" t="s">
        <v>675</v>
      </c>
      <c r="D8251">
        <v>10021466466</v>
      </c>
      <c r="E8251" t="s">
        <v>47</v>
      </c>
      <c r="F8251" t="s">
        <v>61</v>
      </c>
      <c r="G8251" t="s">
        <v>62</v>
      </c>
      <c r="H8251" t="s">
        <v>2647</v>
      </c>
      <c r="I8251" t="s">
        <v>2648</v>
      </c>
      <c r="J8251" t="s">
        <v>52</v>
      </c>
      <c r="K8251" s="3">
        <v>100917111541</v>
      </c>
      <c r="L8251" s="10">
        <v>40886</v>
      </c>
      <c r="M8251">
        <v>170.45</v>
      </c>
      <c r="N8251" s="11">
        <v>4</v>
      </c>
      <c r="O8251" s="12">
        <v>42.98</v>
      </c>
      <c r="P8251" s="12">
        <v>4.62</v>
      </c>
      <c r="Q8251" s="13">
        <v>-30.27</v>
      </c>
      <c r="R8251" s="36" t="s">
        <v>1977</v>
      </c>
      <c r="S8251" s="7">
        <f t="shared" si="717"/>
        <v>0</v>
      </c>
      <c r="T8251" s="15" t="str">
        <f>VLOOKUP(R8251,产品分类!$C$2:$D$1278,2,0)</f>
        <v>数码电子</v>
      </c>
    </row>
    <row r="8252" spans="1:20">
      <c r="A8252" s="8">
        <f>DATE(2012,12,31)-388</f>
        <v>40886</v>
      </c>
      <c r="B8252" s="8">
        <f>DATE(2012,12,31)-388</f>
        <v>40886</v>
      </c>
      <c r="C8252" s="9" t="s">
        <v>1523</v>
      </c>
      <c r="D8252">
        <v>10021459841</v>
      </c>
      <c r="E8252" t="s">
        <v>47</v>
      </c>
      <c r="F8252" t="s">
        <v>61</v>
      </c>
      <c r="G8252" t="s">
        <v>62</v>
      </c>
      <c r="H8252" t="s">
        <v>2647</v>
      </c>
      <c r="I8252" t="s">
        <v>2648</v>
      </c>
      <c r="J8252" t="s">
        <v>52</v>
      </c>
      <c r="K8252" s="3">
        <v>10074985635</v>
      </c>
      <c r="L8252" s="10">
        <v>40888</v>
      </c>
      <c r="M8252">
        <v>350.42</v>
      </c>
      <c r="N8252" s="11">
        <v>28</v>
      </c>
      <c r="O8252" s="12">
        <v>11.97</v>
      </c>
      <c r="P8252" s="12">
        <v>5.81</v>
      </c>
      <c r="Q8252" s="13">
        <v>-37.3</v>
      </c>
      <c r="R8252" s="36" t="s">
        <v>973</v>
      </c>
      <c r="S8252" s="7">
        <f t="shared" si="717"/>
        <v>2</v>
      </c>
      <c r="T8252" s="15" t="str">
        <f>VLOOKUP(R8252,产品分类!$C$2:$D$1278,2,0)</f>
        <v>办公用品</v>
      </c>
    </row>
    <row r="8253" spans="1:20">
      <c r="A8253" s="8">
        <f>DATE(2012,12,31)-114</f>
        <v>41160</v>
      </c>
      <c r="B8253" s="8">
        <f>DATE(2012,12,31)-114</f>
        <v>41160</v>
      </c>
      <c r="C8253" s="9" t="s">
        <v>1523</v>
      </c>
      <c r="D8253">
        <v>10021497652</v>
      </c>
      <c r="E8253" t="s">
        <v>47</v>
      </c>
      <c r="F8253" t="s">
        <v>61</v>
      </c>
      <c r="G8253" t="s">
        <v>62</v>
      </c>
      <c r="H8253" t="s">
        <v>2647</v>
      </c>
      <c r="I8253" t="s">
        <v>2648</v>
      </c>
      <c r="J8253" t="s">
        <v>52</v>
      </c>
      <c r="K8253" s="3">
        <v>100418604984</v>
      </c>
      <c r="L8253" s="10">
        <v>41160</v>
      </c>
      <c r="M8253">
        <v>83.81</v>
      </c>
      <c r="N8253" s="11">
        <v>7</v>
      </c>
      <c r="O8253" s="12">
        <v>12.53</v>
      </c>
      <c r="P8253" s="12">
        <v>0.5</v>
      </c>
      <c r="Q8253" s="13">
        <v>21.92</v>
      </c>
      <c r="R8253" s="36" t="s">
        <v>935</v>
      </c>
      <c r="S8253" s="7">
        <f t="shared" si="717"/>
        <v>0</v>
      </c>
      <c r="T8253" s="15" t="str">
        <f>VLOOKUP(R8253,产品分类!$C$2:$D$1278,2,0)</f>
        <v>办公用品</v>
      </c>
    </row>
    <row r="8254" spans="1:20">
      <c r="A8254" s="8">
        <f>DATE(2012,12,31)-114</f>
        <v>41160</v>
      </c>
      <c r="B8254" s="8">
        <f>DATE(2012,12,31)-114</f>
        <v>41160</v>
      </c>
      <c r="C8254" s="9" t="s">
        <v>1523</v>
      </c>
      <c r="D8254">
        <v>10021744803</v>
      </c>
      <c r="E8254" t="s">
        <v>47</v>
      </c>
      <c r="F8254" t="s">
        <v>61</v>
      </c>
      <c r="G8254" t="s">
        <v>62</v>
      </c>
      <c r="H8254" t="s">
        <v>2647</v>
      </c>
      <c r="I8254" t="s">
        <v>2648</v>
      </c>
      <c r="J8254" t="s">
        <v>52</v>
      </c>
      <c r="K8254" s="3">
        <v>100127266728</v>
      </c>
      <c r="L8254" s="10">
        <v>41161</v>
      </c>
      <c r="M8254">
        <v>218.81</v>
      </c>
      <c r="N8254" s="11">
        <v>36</v>
      </c>
      <c r="O8254" s="12">
        <v>5.85</v>
      </c>
      <c r="P8254" s="12">
        <v>2.27</v>
      </c>
      <c r="Q8254" s="13">
        <v>7.45</v>
      </c>
      <c r="R8254" s="36" t="s">
        <v>700</v>
      </c>
      <c r="S8254" s="7">
        <f t="shared" si="717"/>
        <v>1</v>
      </c>
      <c r="T8254" s="15" t="str">
        <f>VLOOKUP(R8254,产品分类!$C$2:$D$1278,2,0)</f>
        <v>家具产品</v>
      </c>
    </row>
    <row r="8255" spans="1:20">
      <c r="A8255" s="8">
        <f t="shared" ref="A8255:B8257" si="722">DATE(2012,12,31)-306</f>
        <v>40968</v>
      </c>
      <c r="B8255" s="8">
        <f t="shared" si="722"/>
        <v>40968</v>
      </c>
      <c r="C8255" s="9" t="s">
        <v>1182</v>
      </c>
      <c r="D8255">
        <v>10021694741</v>
      </c>
      <c r="E8255" t="s">
        <v>47</v>
      </c>
      <c r="F8255" t="s">
        <v>61</v>
      </c>
      <c r="G8255" t="s">
        <v>62</v>
      </c>
      <c r="H8255" t="s">
        <v>2647</v>
      </c>
      <c r="I8255" t="s">
        <v>2648</v>
      </c>
      <c r="J8255" t="s">
        <v>52</v>
      </c>
      <c r="K8255" s="3">
        <v>100429787313</v>
      </c>
      <c r="L8255" s="10">
        <v>40969</v>
      </c>
      <c r="M8255">
        <v>250.29</v>
      </c>
      <c r="N8255" s="11">
        <v>8</v>
      </c>
      <c r="O8255" s="12">
        <v>31.74</v>
      </c>
      <c r="P8255" s="12">
        <v>12.62</v>
      </c>
      <c r="Q8255" s="13">
        <v>-9.31499999999999</v>
      </c>
      <c r="R8255" s="36" t="s">
        <v>283</v>
      </c>
      <c r="S8255" s="7">
        <f t="shared" si="717"/>
        <v>1</v>
      </c>
      <c r="T8255" s="15" t="str">
        <f>VLOOKUP(R8255,产品分类!$C$2:$D$1278,2,0)</f>
        <v>办公用品</v>
      </c>
    </row>
    <row r="8256" spans="1:20">
      <c r="A8256" s="8">
        <f t="shared" si="722"/>
        <v>40968</v>
      </c>
      <c r="B8256" s="8">
        <f t="shared" si="722"/>
        <v>40968</v>
      </c>
      <c r="C8256" s="9" t="s">
        <v>2068</v>
      </c>
      <c r="D8256">
        <v>10021745255</v>
      </c>
      <c r="E8256" t="s">
        <v>47</v>
      </c>
      <c r="F8256" t="s">
        <v>61</v>
      </c>
      <c r="G8256" t="s">
        <v>62</v>
      </c>
      <c r="H8256" t="s">
        <v>2647</v>
      </c>
      <c r="I8256" t="s">
        <v>2648</v>
      </c>
      <c r="J8256" t="s">
        <v>52</v>
      </c>
      <c r="K8256" s="3">
        <v>100127682988</v>
      </c>
      <c r="L8256" s="10">
        <v>40969</v>
      </c>
      <c r="M8256">
        <v>251.59</v>
      </c>
      <c r="N8256" s="11">
        <v>7</v>
      </c>
      <c r="O8256" s="12">
        <v>37.94</v>
      </c>
      <c r="P8256" s="12">
        <v>5.08</v>
      </c>
      <c r="Q8256" s="13">
        <v>39.23</v>
      </c>
      <c r="R8256" s="36" t="s">
        <v>1668</v>
      </c>
      <c r="S8256" s="7">
        <f t="shared" si="717"/>
        <v>1</v>
      </c>
      <c r="T8256" s="15" t="str">
        <f>VLOOKUP(R8256,产品分类!$C$2:$D$1278,2,0)</f>
        <v>办公用品</v>
      </c>
    </row>
    <row r="8257" spans="1:20">
      <c r="A8257" s="8">
        <f t="shared" si="722"/>
        <v>40968</v>
      </c>
      <c r="B8257" s="8">
        <f t="shared" si="722"/>
        <v>40968</v>
      </c>
      <c r="C8257" s="9" t="s">
        <v>1109</v>
      </c>
      <c r="D8257">
        <v>10021303185</v>
      </c>
      <c r="E8257" t="s">
        <v>47</v>
      </c>
      <c r="F8257" t="s">
        <v>61</v>
      </c>
      <c r="G8257" t="s">
        <v>62</v>
      </c>
      <c r="H8257" t="s">
        <v>2647</v>
      </c>
      <c r="I8257" t="s">
        <v>2648</v>
      </c>
      <c r="J8257" t="s">
        <v>52</v>
      </c>
      <c r="K8257" s="3">
        <v>100131680976</v>
      </c>
      <c r="L8257" s="10">
        <v>40969</v>
      </c>
      <c r="M8257">
        <v>151.75</v>
      </c>
      <c r="N8257" s="11">
        <v>25</v>
      </c>
      <c r="O8257" s="12">
        <v>5.8</v>
      </c>
      <c r="P8257" s="12">
        <v>5.59</v>
      </c>
      <c r="Q8257" s="13">
        <v>-66.24</v>
      </c>
      <c r="R8257" s="36" t="s">
        <v>409</v>
      </c>
      <c r="S8257" s="7">
        <f t="shared" si="717"/>
        <v>1</v>
      </c>
      <c r="T8257" s="15" t="str">
        <f>VLOOKUP(R8257,产品分类!$C$2:$D$1278,2,0)</f>
        <v>办公用品</v>
      </c>
    </row>
    <row r="8258" spans="1:20">
      <c r="A8258" s="8">
        <f>DATE(2012,12,31)-427</f>
        <v>40847</v>
      </c>
      <c r="B8258" s="8">
        <f>DATE(2012,12,31)-427</f>
        <v>40847</v>
      </c>
      <c r="C8258" s="9" t="s">
        <v>1109</v>
      </c>
      <c r="D8258">
        <v>10021576780</v>
      </c>
      <c r="E8258" t="s">
        <v>47</v>
      </c>
      <c r="F8258" t="s">
        <v>61</v>
      </c>
      <c r="G8258" t="s">
        <v>62</v>
      </c>
      <c r="H8258" t="s">
        <v>2647</v>
      </c>
      <c r="I8258" t="s">
        <v>2648</v>
      </c>
      <c r="J8258" t="s">
        <v>52</v>
      </c>
      <c r="K8258" s="3">
        <v>100416128723</v>
      </c>
      <c r="L8258" s="10">
        <v>40849</v>
      </c>
      <c r="M8258">
        <v>54.59</v>
      </c>
      <c r="N8258" s="11">
        <v>11</v>
      </c>
      <c r="O8258" s="12">
        <v>4.13</v>
      </c>
      <c r="P8258" s="12">
        <v>6.89</v>
      </c>
      <c r="Q8258" s="13">
        <v>-47.18</v>
      </c>
      <c r="R8258" s="36" t="s">
        <v>1766</v>
      </c>
      <c r="S8258" s="7">
        <f t="shared" si="717"/>
        <v>2</v>
      </c>
      <c r="T8258" s="15" t="str">
        <f>VLOOKUP(R8258,产品分类!$C$2:$D$1278,2,0)</f>
        <v>办公用品</v>
      </c>
    </row>
    <row r="8259" spans="1:20">
      <c r="A8259" s="8">
        <f>DATE(2012,12,31)-427</f>
        <v>40847</v>
      </c>
      <c r="B8259" s="8">
        <f>DATE(2012,12,31)-427</f>
        <v>40847</v>
      </c>
      <c r="C8259" s="9" t="s">
        <v>1563</v>
      </c>
      <c r="D8259">
        <v>10021575795</v>
      </c>
      <c r="E8259" t="s">
        <v>47</v>
      </c>
      <c r="F8259" t="s">
        <v>61</v>
      </c>
      <c r="G8259" t="s">
        <v>62</v>
      </c>
      <c r="H8259" t="s">
        <v>2647</v>
      </c>
      <c r="I8259" t="s">
        <v>2648</v>
      </c>
      <c r="J8259" t="s">
        <v>52</v>
      </c>
      <c r="K8259" s="3">
        <v>100312004049</v>
      </c>
      <c r="L8259" s="10">
        <v>40849</v>
      </c>
      <c r="M8259">
        <v>597.04</v>
      </c>
      <c r="N8259" s="11">
        <v>35</v>
      </c>
      <c r="O8259" s="12">
        <v>16.74</v>
      </c>
      <c r="P8259" s="12">
        <v>7.04</v>
      </c>
      <c r="Q8259" s="13">
        <v>-157.42</v>
      </c>
      <c r="R8259" s="36" t="s">
        <v>745</v>
      </c>
      <c r="S8259" s="7">
        <f t="shared" ref="S8259:S8322" si="723">+L8259-B8259</f>
        <v>2</v>
      </c>
      <c r="T8259" s="15" t="str">
        <f>VLOOKUP(R8259,产品分类!$C$2:$D$1278,2,0)</f>
        <v>办公用品</v>
      </c>
    </row>
    <row r="8260" spans="1:20">
      <c r="A8260" s="8">
        <f>DATE(2012,12,31)-1323</f>
        <v>39951</v>
      </c>
      <c r="B8260" s="8">
        <f>DATE(2012,12,31)-1323</f>
        <v>39951</v>
      </c>
      <c r="C8260" s="9" t="s">
        <v>1563</v>
      </c>
      <c r="D8260">
        <v>10021271515</v>
      </c>
      <c r="E8260" t="s">
        <v>47</v>
      </c>
      <c r="F8260" t="s">
        <v>61</v>
      </c>
      <c r="G8260" t="s">
        <v>62</v>
      </c>
      <c r="H8260" t="s">
        <v>2647</v>
      </c>
      <c r="I8260" t="s">
        <v>2648</v>
      </c>
      <c r="J8260" t="s">
        <v>52</v>
      </c>
      <c r="K8260" s="3">
        <v>100426150574</v>
      </c>
      <c r="L8260" s="10">
        <v>39952</v>
      </c>
      <c r="M8260">
        <v>10.12</v>
      </c>
      <c r="N8260" s="11">
        <v>3</v>
      </c>
      <c r="O8260" s="12">
        <v>2.98</v>
      </c>
      <c r="P8260" s="12">
        <v>1.58</v>
      </c>
      <c r="Q8260" s="13">
        <v>-4.07</v>
      </c>
      <c r="R8260" s="36" t="s">
        <v>2651</v>
      </c>
      <c r="S8260" s="7">
        <f t="shared" si="723"/>
        <v>1</v>
      </c>
      <c r="T8260" s="15" t="str">
        <f>VLOOKUP(R8260,产品分类!$C$2:$D$1278,2,0)</f>
        <v>办公用品</v>
      </c>
    </row>
    <row r="8261" spans="1:20">
      <c r="A8261" s="8">
        <f>DATE(2012,12,31)-1323</f>
        <v>39951</v>
      </c>
      <c r="B8261" s="8">
        <f>DATE(2012,12,31)-1323</f>
        <v>39951</v>
      </c>
      <c r="C8261" s="9" t="s">
        <v>1563</v>
      </c>
      <c r="D8261">
        <v>10021276139</v>
      </c>
      <c r="E8261" t="s">
        <v>47</v>
      </c>
      <c r="F8261" t="s">
        <v>152</v>
      </c>
      <c r="G8261" t="s">
        <v>153</v>
      </c>
      <c r="H8261" t="s">
        <v>154</v>
      </c>
      <c r="I8261" t="s">
        <v>155</v>
      </c>
      <c r="J8261" t="s">
        <v>52</v>
      </c>
      <c r="K8261" s="3">
        <v>100329111439</v>
      </c>
      <c r="L8261" s="10">
        <v>39951</v>
      </c>
      <c r="M8261">
        <v>9502.736</v>
      </c>
      <c r="N8261" s="11">
        <v>42</v>
      </c>
      <c r="O8261" s="12">
        <v>280.98</v>
      </c>
      <c r="P8261" s="12">
        <v>81.98</v>
      </c>
      <c r="Q8261" s="13">
        <v>-945.558</v>
      </c>
      <c r="R8261" s="36" t="s">
        <v>478</v>
      </c>
      <c r="S8261" s="7">
        <f t="shared" si="723"/>
        <v>0</v>
      </c>
      <c r="T8261" s="15" t="str">
        <f>VLOOKUP(R8261,产品分类!$C$2:$D$1278,2,0)</f>
        <v>办公用品</v>
      </c>
    </row>
    <row r="8262" spans="1:20">
      <c r="A8262" s="8">
        <f>DATE(2012,12,31)-1456</f>
        <v>39818</v>
      </c>
      <c r="B8262" s="8">
        <f>DATE(2012,12,31)-1456</f>
        <v>39818</v>
      </c>
      <c r="C8262" s="9" t="s">
        <v>1563</v>
      </c>
      <c r="D8262">
        <v>10021267877</v>
      </c>
      <c r="E8262" t="s">
        <v>47</v>
      </c>
      <c r="F8262" t="s">
        <v>66</v>
      </c>
      <c r="G8262" t="s">
        <v>67</v>
      </c>
      <c r="H8262" t="s">
        <v>2584</v>
      </c>
      <c r="I8262" t="s">
        <v>2585</v>
      </c>
      <c r="J8262" t="s">
        <v>52</v>
      </c>
      <c r="K8262" s="3">
        <v>100132118618</v>
      </c>
      <c r="L8262" s="10">
        <v>39820</v>
      </c>
      <c r="M8262">
        <v>725.43</v>
      </c>
      <c r="N8262" s="11">
        <v>23</v>
      </c>
      <c r="O8262" s="12">
        <v>30.98</v>
      </c>
      <c r="P8262" s="12">
        <v>5.76</v>
      </c>
      <c r="Q8262" s="13">
        <v>245.97</v>
      </c>
      <c r="R8262" s="36" t="s">
        <v>1942</v>
      </c>
      <c r="S8262" s="7">
        <f t="shared" si="723"/>
        <v>2</v>
      </c>
      <c r="T8262" s="15" t="str">
        <f>VLOOKUP(R8262,产品分类!$C$2:$D$1278,2,0)</f>
        <v>家具产品</v>
      </c>
    </row>
    <row r="8263" spans="1:20">
      <c r="A8263" s="8">
        <f>DATE(2012,12,31)-864</f>
        <v>40410</v>
      </c>
      <c r="B8263" s="8">
        <f>DATE(2012,12,31)-864</f>
        <v>40410</v>
      </c>
      <c r="C8263" s="9" t="s">
        <v>948</v>
      </c>
      <c r="D8263">
        <v>10021351516</v>
      </c>
      <c r="E8263" t="s">
        <v>47</v>
      </c>
      <c r="F8263" t="s">
        <v>72</v>
      </c>
      <c r="G8263" t="s">
        <v>73</v>
      </c>
      <c r="H8263" t="s">
        <v>2606</v>
      </c>
      <c r="I8263" t="s">
        <v>2607</v>
      </c>
      <c r="J8263" t="s">
        <v>52</v>
      </c>
      <c r="K8263" s="3">
        <v>100932487961</v>
      </c>
      <c r="L8263" s="10">
        <v>40412</v>
      </c>
      <c r="M8263">
        <v>336.84</v>
      </c>
      <c r="N8263" s="11">
        <v>3</v>
      </c>
      <c r="O8263" s="12">
        <v>100.98</v>
      </c>
      <c r="P8263" s="12">
        <v>35.84</v>
      </c>
      <c r="Q8263" s="13">
        <v>-160.46</v>
      </c>
      <c r="R8263" s="36" t="s">
        <v>757</v>
      </c>
      <c r="S8263" s="7">
        <f t="shared" si="723"/>
        <v>2</v>
      </c>
      <c r="T8263" s="15" t="str">
        <f>VLOOKUP(R8263,产品分类!$C$2:$D$1278,2,0)</f>
        <v>办公用品</v>
      </c>
    </row>
    <row r="8264" spans="1:20">
      <c r="A8264" s="8">
        <f>DATE(2012,12,31)-864</f>
        <v>40410</v>
      </c>
      <c r="B8264" s="8">
        <f>DATE(2012,12,31)-864</f>
        <v>40410</v>
      </c>
      <c r="C8264" s="9" t="s">
        <v>1877</v>
      </c>
      <c r="D8264">
        <v>10021422996</v>
      </c>
      <c r="E8264" t="s">
        <v>47</v>
      </c>
      <c r="F8264" t="s">
        <v>230</v>
      </c>
      <c r="G8264" t="s">
        <v>231</v>
      </c>
      <c r="H8264" t="s">
        <v>2602</v>
      </c>
      <c r="I8264" t="s">
        <v>2603</v>
      </c>
      <c r="J8264" t="s">
        <v>52</v>
      </c>
      <c r="K8264" s="3">
        <v>100727664285</v>
      </c>
      <c r="L8264" s="10">
        <v>40410</v>
      </c>
      <c r="M8264">
        <v>397.17</v>
      </c>
      <c r="N8264" s="11">
        <v>30</v>
      </c>
      <c r="O8264" s="12">
        <v>14.34</v>
      </c>
      <c r="P8264" s="12">
        <v>5</v>
      </c>
      <c r="Q8264" s="13">
        <v>7.69</v>
      </c>
      <c r="R8264" s="36" t="s">
        <v>2521</v>
      </c>
      <c r="S8264" s="7">
        <f t="shared" si="723"/>
        <v>0</v>
      </c>
      <c r="T8264" s="15" t="str">
        <f>VLOOKUP(R8264,产品分类!$C$2:$D$1278,2,0)</f>
        <v>办公用品</v>
      </c>
    </row>
    <row r="8265" spans="1:20">
      <c r="A8265" s="16">
        <f>DATE(2012,12,31)-155</f>
        <v>41119</v>
      </c>
      <c r="B8265" s="16">
        <f>DATE(2012,12,31)-155</f>
        <v>41119</v>
      </c>
      <c r="C8265" s="9" t="s">
        <v>1877</v>
      </c>
      <c r="D8265">
        <v>10021266851</v>
      </c>
      <c r="E8265" t="s">
        <v>47</v>
      </c>
      <c r="F8265" t="s">
        <v>230</v>
      </c>
      <c r="G8265" t="s">
        <v>231</v>
      </c>
      <c r="H8265" t="s">
        <v>2602</v>
      </c>
      <c r="I8265" t="s">
        <v>2603</v>
      </c>
      <c r="J8265" t="s">
        <v>52</v>
      </c>
      <c r="K8265" s="3">
        <v>100432059993</v>
      </c>
      <c r="L8265" s="10">
        <v>41123</v>
      </c>
      <c r="M8265">
        <v>5686.25</v>
      </c>
      <c r="N8265" s="17">
        <v>32</v>
      </c>
      <c r="O8265" s="5">
        <v>177.98</v>
      </c>
      <c r="P8265" s="5">
        <v>0.99</v>
      </c>
      <c r="Q8265" s="6">
        <v>2109.21</v>
      </c>
      <c r="R8265" s="37" t="s">
        <v>1398</v>
      </c>
      <c r="S8265" s="7">
        <f t="shared" si="723"/>
        <v>4</v>
      </c>
      <c r="T8265" s="15" t="str">
        <f>VLOOKUP(R8265,产品分类!$C$2:$D$1278,2,0)</f>
        <v>办公用品</v>
      </c>
    </row>
    <row r="8266" spans="1:20">
      <c r="A8266" s="8">
        <f>DATE(2012,12,31)-155</f>
        <v>41119</v>
      </c>
      <c r="B8266" s="8">
        <f>DATE(2012,12,31)-155</f>
        <v>41119</v>
      </c>
      <c r="C8266" s="9" t="s">
        <v>431</v>
      </c>
      <c r="D8266">
        <v>10021675164</v>
      </c>
      <c r="E8266" t="s">
        <v>47</v>
      </c>
      <c r="F8266" t="s">
        <v>122</v>
      </c>
      <c r="G8266" t="s">
        <v>123</v>
      </c>
      <c r="H8266" t="s">
        <v>2458</v>
      </c>
      <c r="I8266" t="s">
        <v>2459</v>
      </c>
      <c r="J8266" t="s">
        <v>52</v>
      </c>
      <c r="K8266" s="3">
        <v>100132276758</v>
      </c>
      <c r="L8266" s="10">
        <v>41124</v>
      </c>
      <c r="M8266">
        <v>797.24</v>
      </c>
      <c r="N8266" s="11">
        <v>16</v>
      </c>
      <c r="O8266" s="12">
        <v>50.98</v>
      </c>
      <c r="P8266" s="12">
        <v>14.19</v>
      </c>
      <c r="Q8266" s="13">
        <v>11.46</v>
      </c>
      <c r="R8266" s="36" t="s">
        <v>1287</v>
      </c>
      <c r="S8266" s="7">
        <f t="shared" si="723"/>
        <v>5</v>
      </c>
      <c r="T8266" s="15" t="str">
        <f>VLOOKUP(R8266,产品分类!$C$2:$D$1278,2,0)</f>
        <v>家具产品</v>
      </c>
    </row>
    <row r="8267" spans="1:20">
      <c r="A8267" s="8">
        <f>DATE(2012,12,31)-1199</f>
        <v>40075</v>
      </c>
      <c r="B8267" s="8">
        <f>DATE(2012,12,31)-1199</f>
        <v>40075</v>
      </c>
      <c r="C8267" s="9" t="s">
        <v>431</v>
      </c>
      <c r="D8267">
        <v>10021484716</v>
      </c>
      <c r="E8267" t="s">
        <v>47</v>
      </c>
      <c r="F8267" t="s">
        <v>66</v>
      </c>
      <c r="G8267" t="s">
        <v>67</v>
      </c>
      <c r="H8267" t="s">
        <v>2584</v>
      </c>
      <c r="I8267" t="s">
        <v>2585</v>
      </c>
      <c r="J8267" t="s">
        <v>52</v>
      </c>
      <c r="K8267" s="3">
        <v>100818221772</v>
      </c>
      <c r="L8267" s="10">
        <v>40076</v>
      </c>
      <c r="M8267">
        <v>455.88</v>
      </c>
      <c r="N8267" s="11">
        <v>11</v>
      </c>
      <c r="O8267" s="12">
        <v>40.97</v>
      </c>
      <c r="P8267" s="12">
        <v>8.99</v>
      </c>
      <c r="Q8267" s="13">
        <v>9.15000000000001</v>
      </c>
      <c r="R8267" s="36" t="s">
        <v>1923</v>
      </c>
      <c r="S8267" s="7">
        <f t="shared" si="723"/>
        <v>1</v>
      </c>
      <c r="T8267" s="15" t="str">
        <f>VLOOKUP(R8267,产品分类!$C$2:$D$1278,2,0)</f>
        <v>数码电子</v>
      </c>
    </row>
    <row r="8268" spans="1:20">
      <c r="A8268" s="8">
        <f t="shared" ref="A8268:B8271" si="724">DATE(2012,12,31)-1085</f>
        <v>40189</v>
      </c>
      <c r="B8268" s="8">
        <f t="shared" si="724"/>
        <v>40189</v>
      </c>
      <c r="C8268" s="9" t="s">
        <v>431</v>
      </c>
      <c r="D8268">
        <v>10021436121</v>
      </c>
      <c r="E8268" t="s">
        <v>47</v>
      </c>
      <c r="F8268" t="s">
        <v>152</v>
      </c>
      <c r="G8268" t="s">
        <v>153</v>
      </c>
      <c r="H8268" t="s">
        <v>154</v>
      </c>
      <c r="I8268" t="s">
        <v>155</v>
      </c>
      <c r="J8268" t="s">
        <v>52</v>
      </c>
      <c r="K8268" s="3">
        <v>100432852983</v>
      </c>
      <c r="L8268" s="10">
        <v>40191</v>
      </c>
      <c r="M8268">
        <v>25312</v>
      </c>
      <c r="N8268" s="11">
        <v>48</v>
      </c>
      <c r="O8268" s="12">
        <v>517.48</v>
      </c>
      <c r="P8268" s="12">
        <v>16.63</v>
      </c>
      <c r="Q8268" s="13">
        <v>8788.81</v>
      </c>
      <c r="R8268" s="36" t="s">
        <v>857</v>
      </c>
      <c r="S8268" s="7">
        <f t="shared" si="723"/>
        <v>2</v>
      </c>
      <c r="T8268" s="15" t="str">
        <f>VLOOKUP(R8268,产品分类!$C$2:$D$1278,2,0)</f>
        <v>办公用品</v>
      </c>
    </row>
    <row r="8269" spans="1:20">
      <c r="A8269" s="8">
        <f t="shared" si="724"/>
        <v>40189</v>
      </c>
      <c r="B8269" s="8">
        <f t="shared" si="724"/>
        <v>40189</v>
      </c>
      <c r="C8269" s="9" t="s">
        <v>820</v>
      </c>
      <c r="D8269">
        <v>10021654740</v>
      </c>
      <c r="E8269" t="s">
        <v>47</v>
      </c>
      <c r="F8269" t="s">
        <v>72</v>
      </c>
      <c r="G8269" t="s">
        <v>73</v>
      </c>
      <c r="H8269" t="s">
        <v>2606</v>
      </c>
      <c r="I8269" t="s">
        <v>2607</v>
      </c>
      <c r="J8269" t="s">
        <v>52</v>
      </c>
      <c r="K8269" s="3">
        <v>100820720072</v>
      </c>
      <c r="L8269" s="10">
        <v>40190</v>
      </c>
      <c r="M8269">
        <v>2138.63</v>
      </c>
      <c r="N8269" s="11">
        <v>14</v>
      </c>
      <c r="O8269" s="12">
        <v>142.86</v>
      </c>
      <c r="P8269" s="12">
        <v>19.99</v>
      </c>
      <c r="Q8269" s="13">
        <v>453.03</v>
      </c>
      <c r="R8269" s="36" t="s">
        <v>1756</v>
      </c>
      <c r="S8269" s="7">
        <f t="shared" si="723"/>
        <v>1</v>
      </c>
      <c r="T8269" s="15" t="str">
        <f>VLOOKUP(R8269,产品分类!$C$2:$D$1278,2,0)</f>
        <v>办公用品</v>
      </c>
    </row>
    <row r="8270" spans="1:20">
      <c r="A8270" s="8">
        <f t="shared" si="724"/>
        <v>40189</v>
      </c>
      <c r="B8270" s="8">
        <f t="shared" si="724"/>
        <v>40189</v>
      </c>
      <c r="C8270" s="9" t="s">
        <v>820</v>
      </c>
      <c r="D8270">
        <v>10021686290</v>
      </c>
      <c r="E8270" t="s">
        <v>47</v>
      </c>
      <c r="F8270" t="s">
        <v>72</v>
      </c>
      <c r="G8270" t="s">
        <v>73</v>
      </c>
      <c r="H8270" t="s">
        <v>2606</v>
      </c>
      <c r="I8270" t="s">
        <v>2607</v>
      </c>
      <c r="J8270" t="s">
        <v>52</v>
      </c>
      <c r="K8270" s="3">
        <v>100733263625</v>
      </c>
      <c r="L8270" s="10">
        <v>40189</v>
      </c>
      <c r="M8270">
        <v>647.27</v>
      </c>
      <c r="N8270" s="11">
        <v>5</v>
      </c>
      <c r="O8270" s="12">
        <v>122.99</v>
      </c>
      <c r="P8270" s="12">
        <v>70.2</v>
      </c>
      <c r="Q8270" s="13">
        <v>-404.77</v>
      </c>
      <c r="R8270" s="36" t="s">
        <v>1637</v>
      </c>
      <c r="S8270" s="7">
        <f t="shared" si="723"/>
        <v>0</v>
      </c>
      <c r="T8270" s="15" t="str">
        <f>VLOOKUP(R8270,产品分类!$C$2:$D$1278,2,0)</f>
        <v>数码电子</v>
      </c>
    </row>
    <row r="8271" spans="1:20">
      <c r="A8271" s="8">
        <f t="shared" si="724"/>
        <v>40189</v>
      </c>
      <c r="B8271" s="8">
        <f t="shared" si="724"/>
        <v>40189</v>
      </c>
      <c r="C8271" s="9" t="s">
        <v>108</v>
      </c>
      <c r="D8271">
        <v>10021290331</v>
      </c>
      <c r="E8271" t="s">
        <v>47</v>
      </c>
      <c r="F8271" t="s">
        <v>230</v>
      </c>
      <c r="G8271" t="s">
        <v>231</v>
      </c>
      <c r="H8271" t="s">
        <v>2602</v>
      </c>
      <c r="I8271" t="s">
        <v>2603</v>
      </c>
      <c r="J8271" t="s">
        <v>52</v>
      </c>
      <c r="K8271" s="3">
        <v>100331346049</v>
      </c>
      <c r="L8271" s="10">
        <v>40191</v>
      </c>
      <c r="M8271">
        <v>1597.02</v>
      </c>
      <c r="N8271" s="11">
        <v>47</v>
      </c>
      <c r="O8271" s="12">
        <v>31.78</v>
      </c>
      <c r="P8271" s="12">
        <v>1.99</v>
      </c>
      <c r="Q8271" s="13">
        <v>749.03</v>
      </c>
      <c r="R8271" s="36" t="s">
        <v>365</v>
      </c>
      <c r="S8271" s="7">
        <f t="shared" si="723"/>
        <v>2</v>
      </c>
      <c r="T8271" s="15" t="str">
        <f>VLOOKUP(R8271,产品分类!$C$2:$D$1278,2,0)</f>
        <v>数码电子</v>
      </c>
    </row>
    <row r="8272" spans="1:20">
      <c r="A8272" s="8">
        <f>DATE(2012,12,31)-616</f>
        <v>40658</v>
      </c>
      <c r="B8272" s="8">
        <f>DATE(2012,12,31)-616</f>
        <v>40658</v>
      </c>
      <c r="C8272" s="9" t="s">
        <v>108</v>
      </c>
      <c r="D8272">
        <v>10021290505</v>
      </c>
      <c r="E8272" t="s">
        <v>47</v>
      </c>
      <c r="F8272" t="s">
        <v>91</v>
      </c>
      <c r="G8272" t="s">
        <v>92</v>
      </c>
      <c r="H8272" t="s">
        <v>2621</v>
      </c>
      <c r="I8272" t="s">
        <v>2622</v>
      </c>
      <c r="J8272" t="s">
        <v>52</v>
      </c>
      <c r="K8272" s="3">
        <v>1001977296</v>
      </c>
      <c r="L8272" s="10">
        <v>40659</v>
      </c>
      <c r="M8272">
        <v>630.38</v>
      </c>
      <c r="N8272" s="11">
        <v>40</v>
      </c>
      <c r="O8272" s="12">
        <v>14.81</v>
      </c>
      <c r="P8272" s="12">
        <v>13.32</v>
      </c>
      <c r="Q8272" s="13">
        <v>-186.77</v>
      </c>
      <c r="R8272" s="36" t="s">
        <v>415</v>
      </c>
      <c r="S8272" s="7">
        <f t="shared" si="723"/>
        <v>1</v>
      </c>
      <c r="T8272" s="15" t="str">
        <f>VLOOKUP(R8272,产品分类!$C$2:$D$1278,2,0)</f>
        <v>办公用品</v>
      </c>
    </row>
    <row r="8273" spans="1:20">
      <c r="A8273" s="16">
        <f>DATE(2012,12,31)-616</f>
        <v>40658</v>
      </c>
      <c r="B8273" s="16">
        <f>DATE(2012,12,31)-616</f>
        <v>40658</v>
      </c>
      <c r="C8273" s="9" t="s">
        <v>481</v>
      </c>
      <c r="D8273">
        <v>10021304457</v>
      </c>
      <c r="E8273" t="s">
        <v>47</v>
      </c>
      <c r="F8273" t="s">
        <v>91</v>
      </c>
      <c r="G8273" t="s">
        <v>92</v>
      </c>
      <c r="H8273" t="s">
        <v>2621</v>
      </c>
      <c r="I8273" t="s">
        <v>2622</v>
      </c>
      <c r="J8273" t="s">
        <v>52</v>
      </c>
      <c r="K8273" s="3">
        <v>100430072963</v>
      </c>
      <c r="L8273" s="10">
        <v>40660</v>
      </c>
      <c r="M8273">
        <v>144.03</v>
      </c>
      <c r="N8273" s="17">
        <v>23</v>
      </c>
      <c r="O8273" s="5">
        <v>5.98</v>
      </c>
      <c r="P8273" s="5">
        <v>5.2</v>
      </c>
      <c r="Q8273" s="6">
        <v>-37.04</v>
      </c>
      <c r="R8273" s="37" t="s">
        <v>415</v>
      </c>
      <c r="S8273" s="7">
        <f t="shared" si="723"/>
        <v>2</v>
      </c>
      <c r="T8273" s="15" t="str">
        <f>VLOOKUP(R8273,产品分类!$C$2:$D$1278,2,0)</f>
        <v>办公用品</v>
      </c>
    </row>
    <row r="8274" spans="1:20">
      <c r="A8274" s="8">
        <f>DATE(2012,12,31)-1118</f>
        <v>40156</v>
      </c>
      <c r="B8274" s="8">
        <f>DATE(2012,12,31)-1118</f>
        <v>40156</v>
      </c>
      <c r="C8274" s="9" t="s">
        <v>481</v>
      </c>
      <c r="D8274">
        <v>10021569955</v>
      </c>
      <c r="E8274" t="s">
        <v>47</v>
      </c>
      <c r="F8274" t="s">
        <v>83</v>
      </c>
      <c r="G8274" t="s">
        <v>84</v>
      </c>
      <c r="H8274" t="s">
        <v>2577</v>
      </c>
      <c r="I8274" t="s">
        <v>2578</v>
      </c>
      <c r="J8274" t="s">
        <v>52</v>
      </c>
      <c r="K8274" s="3">
        <v>100731942975</v>
      </c>
      <c r="L8274" s="10">
        <v>40158</v>
      </c>
      <c r="M8274">
        <v>1582.47</v>
      </c>
      <c r="N8274" s="11">
        <v>13</v>
      </c>
      <c r="O8274" s="12">
        <v>119.99</v>
      </c>
      <c r="P8274" s="12">
        <v>56.14</v>
      </c>
      <c r="Q8274" s="13">
        <v>-205.0242</v>
      </c>
      <c r="R8274" s="36" t="s">
        <v>1933</v>
      </c>
      <c r="S8274" s="7">
        <f t="shared" si="723"/>
        <v>2</v>
      </c>
      <c r="T8274" s="15" t="str">
        <f>VLOOKUP(R8274,产品分类!$C$2:$D$1278,2,0)</f>
        <v>办公用品</v>
      </c>
    </row>
    <row r="8275" spans="1:20">
      <c r="A8275" s="8">
        <f t="shared" ref="A8275:B8278" si="725">DATE(2012,12,31)-27</f>
        <v>41247</v>
      </c>
      <c r="B8275" s="8">
        <f t="shared" si="725"/>
        <v>41247</v>
      </c>
      <c r="C8275" s="9" t="s">
        <v>481</v>
      </c>
      <c r="D8275">
        <v>10021329051</v>
      </c>
      <c r="E8275" t="s">
        <v>47</v>
      </c>
      <c r="F8275" t="s">
        <v>122</v>
      </c>
      <c r="G8275" t="s">
        <v>123</v>
      </c>
      <c r="H8275" t="s">
        <v>2458</v>
      </c>
      <c r="I8275" t="s">
        <v>2459</v>
      </c>
      <c r="J8275" t="s">
        <v>52</v>
      </c>
      <c r="K8275" s="3">
        <v>100412206423</v>
      </c>
      <c r="L8275" s="10">
        <v>41249</v>
      </c>
      <c r="M8275">
        <v>128.12</v>
      </c>
      <c r="N8275" s="11">
        <v>35</v>
      </c>
      <c r="O8275" s="12">
        <v>3.81</v>
      </c>
      <c r="P8275" s="12">
        <v>5.44</v>
      </c>
      <c r="Q8275" s="13">
        <v>-135.5965</v>
      </c>
      <c r="R8275" s="36" t="s">
        <v>1610</v>
      </c>
      <c r="S8275" s="7">
        <f t="shared" si="723"/>
        <v>2</v>
      </c>
      <c r="T8275" s="15" t="str">
        <f>VLOOKUP(R8275,产品分类!$C$2:$D$1278,2,0)</f>
        <v>办公用品</v>
      </c>
    </row>
    <row r="8276" spans="1:20">
      <c r="A8276" s="8">
        <f t="shared" si="725"/>
        <v>41247</v>
      </c>
      <c r="B8276" s="8">
        <f t="shared" si="725"/>
        <v>41247</v>
      </c>
      <c r="C8276" s="9" t="s">
        <v>481</v>
      </c>
      <c r="D8276">
        <v>10021472843</v>
      </c>
      <c r="E8276" t="s">
        <v>47</v>
      </c>
      <c r="F8276" t="s">
        <v>122</v>
      </c>
      <c r="G8276" t="s">
        <v>123</v>
      </c>
      <c r="H8276" t="s">
        <v>2458</v>
      </c>
      <c r="I8276" t="s">
        <v>2459</v>
      </c>
      <c r="J8276" t="s">
        <v>52</v>
      </c>
      <c r="K8276" s="3">
        <v>100432982664</v>
      </c>
      <c r="L8276" s="10">
        <v>41247</v>
      </c>
      <c r="M8276">
        <v>165.62</v>
      </c>
      <c r="N8276" s="11">
        <v>25</v>
      </c>
      <c r="O8276" s="12">
        <v>6.24</v>
      </c>
      <c r="P8276" s="12">
        <v>5.22</v>
      </c>
      <c r="Q8276" s="13">
        <v>-64.72</v>
      </c>
      <c r="R8276" s="36" t="s">
        <v>1737</v>
      </c>
      <c r="S8276" s="7">
        <f t="shared" si="723"/>
        <v>0</v>
      </c>
      <c r="T8276" s="15" t="str">
        <f>VLOOKUP(R8276,产品分类!$C$2:$D$1278,2,0)</f>
        <v>数码电子</v>
      </c>
    </row>
    <row r="8277" spans="1:20">
      <c r="A8277" s="8">
        <f t="shared" si="725"/>
        <v>41247</v>
      </c>
      <c r="B8277" s="8">
        <f t="shared" si="725"/>
        <v>41247</v>
      </c>
      <c r="C8277" s="9" t="s">
        <v>1272</v>
      </c>
      <c r="D8277">
        <v>10021679808</v>
      </c>
      <c r="E8277" t="s">
        <v>47</v>
      </c>
      <c r="F8277" t="s">
        <v>177</v>
      </c>
      <c r="G8277" t="s">
        <v>178</v>
      </c>
      <c r="H8277" t="s">
        <v>2645</v>
      </c>
      <c r="I8277" t="s">
        <v>2646</v>
      </c>
      <c r="J8277" t="s">
        <v>52</v>
      </c>
      <c r="K8277" s="3">
        <v>100830138942</v>
      </c>
      <c r="L8277" s="10">
        <v>41249</v>
      </c>
      <c r="M8277">
        <v>214.23</v>
      </c>
      <c r="N8277" s="11">
        <v>41</v>
      </c>
      <c r="O8277" s="12">
        <v>4.86</v>
      </c>
      <c r="P8277" s="12">
        <v>7.1</v>
      </c>
      <c r="Q8277" s="13">
        <v>-165.42</v>
      </c>
      <c r="R8277" s="36" t="s">
        <v>100</v>
      </c>
      <c r="S8277" s="7">
        <f t="shared" si="723"/>
        <v>2</v>
      </c>
      <c r="T8277" s="15" t="str">
        <f>VLOOKUP(R8277,产品分类!$C$2:$D$1278,2,0)</f>
        <v>数码电子</v>
      </c>
    </row>
    <row r="8278" spans="1:20">
      <c r="A8278" s="8">
        <f t="shared" si="725"/>
        <v>41247</v>
      </c>
      <c r="B8278" s="8">
        <f t="shared" si="725"/>
        <v>41247</v>
      </c>
      <c r="C8278" s="9" t="s">
        <v>1414</v>
      </c>
      <c r="D8278">
        <v>10021437128</v>
      </c>
      <c r="E8278" t="s">
        <v>47</v>
      </c>
      <c r="F8278" t="s">
        <v>97</v>
      </c>
      <c r="G8278" t="s">
        <v>98</v>
      </c>
      <c r="H8278" t="s">
        <v>99</v>
      </c>
      <c r="I8278" t="s">
        <v>98</v>
      </c>
      <c r="J8278" t="s">
        <v>52</v>
      </c>
      <c r="K8278" s="3">
        <v>100131771957</v>
      </c>
      <c r="L8278" s="10">
        <v>41248</v>
      </c>
      <c r="M8278">
        <v>214.19</v>
      </c>
      <c r="N8278" s="11">
        <v>41</v>
      </c>
      <c r="O8278" s="12">
        <v>4.98</v>
      </c>
      <c r="P8278" s="12">
        <v>4.7</v>
      </c>
      <c r="Q8278" s="13">
        <v>-66.06</v>
      </c>
      <c r="R8278" s="36" t="s">
        <v>471</v>
      </c>
      <c r="S8278" s="7">
        <f t="shared" si="723"/>
        <v>1</v>
      </c>
      <c r="T8278" s="15" t="str">
        <f>VLOOKUP(R8278,产品分类!$C$2:$D$1278,2,0)</f>
        <v>办公用品</v>
      </c>
    </row>
    <row r="8279" spans="1:20">
      <c r="A8279" s="8">
        <f>DATE(2012,12,31)-124</f>
        <v>41150</v>
      </c>
      <c r="B8279" s="8">
        <f>DATE(2012,12,31)-124</f>
        <v>41150</v>
      </c>
      <c r="C8279" s="9" t="s">
        <v>1443</v>
      </c>
      <c r="D8279">
        <v>10021458123</v>
      </c>
      <c r="E8279" t="s">
        <v>47</v>
      </c>
      <c r="F8279" t="s">
        <v>97</v>
      </c>
      <c r="G8279" t="s">
        <v>98</v>
      </c>
      <c r="H8279" t="s">
        <v>99</v>
      </c>
      <c r="I8279" t="s">
        <v>98</v>
      </c>
      <c r="J8279" t="s">
        <v>52</v>
      </c>
      <c r="K8279" s="3">
        <v>100932983221</v>
      </c>
      <c r="L8279" s="10">
        <v>41152</v>
      </c>
      <c r="M8279">
        <v>1008.34</v>
      </c>
      <c r="N8279" s="11">
        <v>45</v>
      </c>
      <c r="O8279" s="12">
        <v>23.99</v>
      </c>
      <c r="P8279" s="12">
        <v>6.3</v>
      </c>
      <c r="Q8279" s="13">
        <v>218.65</v>
      </c>
      <c r="R8279" s="36" t="s">
        <v>902</v>
      </c>
      <c r="S8279" s="7">
        <f t="shared" si="723"/>
        <v>2</v>
      </c>
      <c r="T8279" s="15" t="str">
        <f>VLOOKUP(R8279,产品分类!$C$2:$D$1278,2,0)</f>
        <v>办公用品</v>
      </c>
    </row>
    <row r="8280" spans="1:20">
      <c r="A8280" s="8">
        <f>DATE(2012,12,31)-1339</f>
        <v>39935</v>
      </c>
      <c r="B8280" s="8">
        <f>DATE(2012,12,31)-1339</f>
        <v>39935</v>
      </c>
      <c r="C8280" s="9" t="s">
        <v>1564</v>
      </c>
      <c r="D8280">
        <v>10021779963</v>
      </c>
      <c r="E8280" t="s">
        <v>47</v>
      </c>
      <c r="F8280" t="s">
        <v>132</v>
      </c>
      <c r="G8280" t="s">
        <v>133</v>
      </c>
      <c r="H8280" t="s">
        <v>134</v>
      </c>
      <c r="I8280" t="s">
        <v>133</v>
      </c>
      <c r="J8280" t="s">
        <v>52</v>
      </c>
      <c r="K8280" s="3">
        <v>100133398158</v>
      </c>
      <c r="L8280" s="10">
        <v>39935</v>
      </c>
      <c r="M8280">
        <v>158.91</v>
      </c>
      <c r="N8280" s="11">
        <v>24</v>
      </c>
      <c r="O8280" s="12">
        <v>6.68</v>
      </c>
      <c r="P8280" s="12">
        <v>5.2</v>
      </c>
      <c r="Q8280" s="13">
        <v>-38.57</v>
      </c>
      <c r="R8280" s="36" t="s">
        <v>1763</v>
      </c>
      <c r="S8280" s="7">
        <f t="shared" si="723"/>
        <v>0</v>
      </c>
      <c r="T8280" s="15" t="str">
        <f>VLOOKUP(R8280,产品分类!$C$2:$D$1278,2,0)</f>
        <v>数码电子</v>
      </c>
    </row>
    <row r="8281" spans="1:20">
      <c r="A8281" s="8">
        <f>DATE(2012,12,31)-1120</f>
        <v>40154</v>
      </c>
      <c r="B8281" s="8">
        <f>DATE(2012,12,31)-1120</f>
        <v>40154</v>
      </c>
      <c r="C8281" s="9" t="s">
        <v>1564</v>
      </c>
      <c r="D8281">
        <v>10021549703</v>
      </c>
      <c r="E8281" t="s">
        <v>47</v>
      </c>
      <c r="F8281" t="s">
        <v>208</v>
      </c>
      <c r="G8281" t="s">
        <v>209</v>
      </c>
      <c r="H8281" t="s">
        <v>2635</v>
      </c>
      <c r="I8281" t="s">
        <v>2636</v>
      </c>
      <c r="J8281" t="s">
        <v>52</v>
      </c>
      <c r="K8281" s="3">
        <v>10075890765</v>
      </c>
      <c r="L8281" s="10">
        <v>40156</v>
      </c>
      <c r="M8281">
        <v>534.3</v>
      </c>
      <c r="N8281" s="11">
        <v>1</v>
      </c>
      <c r="O8281" s="12">
        <v>535.64</v>
      </c>
      <c r="P8281" s="12">
        <v>14.7</v>
      </c>
      <c r="Q8281" s="13">
        <v>-1220.9145</v>
      </c>
      <c r="R8281" s="36" t="s">
        <v>499</v>
      </c>
      <c r="S8281" s="7">
        <f t="shared" si="723"/>
        <v>2</v>
      </c>
      <c r="T8281" s="15" t="str">
        <f>VLOOKUP(R8281,产品分类!$C$2:$D$1278,2,0)</f>
        <v>办公用品</v>
      </c>
    </row>
    <row r="8282" spans="1:20">
      <c r="A8282" s="8">
        <f>DATE(2012,12,31)-919</f>
        <v>40355</v>
      </c>
      <c r="B8282" s="8">
        <f>DATE(2012,12,31)-919</f>
        <v>40355</v>
      </c>
      <c r="C8282" s="9" t="s">
        <v>1268</v>
      </c>
      <c r="D8282">
        <v>10021644047</v>
      </c>
      <c r="E8282" t="s">
        <v>47</v>
      </c>
      <c r="F8282" t="s">
        <v>527</v>
      </c>
      <c r="G8282" t="s">
        <v>528</v>
      </c>
      <c r="H8282" t="s">
        <v>2624</v>
      </c>
      <c r="I8282" t="s">
        <v>2625</v>
      </c>
      <c r="J8282" t="s">
        <v>52</v>
      </c>
      <c r="K8282" s="3">
        <v>100914844361</v>
      </c>
      <c r="L8282" s="10">
        <v>40356</v>
      </c>
      <c r="M8282">
        <v>39.42</v>
      </c>
      <c r="N8282" s="11">
        <v>19</v>
      </c>
      <c r="O8282" s="12">
        <v>2.12</v>
      </c>
      <c r="P8282" s="12">
        <v>1.99</v>
      </c>
      <c r="Q8282" s="13">
        <v>-29.02</v>
      </c>
      <c r="R8282" s="36" t="s">
        <v>2010</v>
      </c>
      <c r="S8282" s="7">
        <f t="shared" si="723"/>
        <v>1</v>
      </c>
      <c r="T8282" s="15" t="str">
        <f>VLOOKUP(R8282,产品分类!$C$2:$D$1278,2,0)</f>
        <v>办公用品</v>
      </c>
    </row>
    <row r="8283" spans="1:20">
      <c r="A8283" s="8">
        <f>DATE(2012,12,31)-919</f>
        <v>40355</v>
      </c>
      <c r="B8283" s="8">
        <f>DATE(2012,12,31)-919</f>
        <v>40355</v>
      </c>
      <c r="C8283" s="9" t="s">
        <v>1268</v>
      </c>
      <c r="D8283">
        <v>10021309735</v>
      </c>
      <c r="E8283" t="s">
        <v>47</v>
      </c>
      <c r="F8283" t="s">
        <v>177</v>
      </c>
      <c r="G8283" t="s">
        <v>178</v>
      </c>
      <c r="H8283" t="s">
        <v>2645</v>
      </c>
      <c r="I8283" t="s">
        <v>2646</v>
      </c>
      <c r="J8283" t="s">
        <v>52</v>
      </c>
      <c r="K8283" s="3">
        <v>100131264068</v>
      </c>
      <c r="L8283" s="10">
        <v>40357</v>
      </c>
      <c r="M8283">
        <v>1305.31</v>
      </c>
      <c r="N8283" s="11">
        <v>45</v>
      </c>
      <c r="O8283" s="12">
        <v>28.48</v>
      </c>
      <c r="P8283" s="12">
        <v>1.99</v>
      </c>
      <c r="Q8283" s="13">
        <v>589.2</v>
      </c>
      <c r="R8283" s="36" t="s">
        <v>834</v>
      </c>
      <c r="S8283" s="7">
        <f t="shared" si="723"/>
        <v>2</v>
      </c>
      <c r="T8283" s="15" t="str">
        <f>VLOOKUP(R8283,产品分类!$C$2:$D$1278,2,0)</f>
        <v>家具产品</v>
      </c>
    </row>
    <row r="8284" spans="1:20">
      <c r="A8284" s="8">
        <f>DATE(2012,12,31)-772</f>
        <v>40502</v>
      </c>
      <c r="B8284" s="8">
        <f>DATE(2012,12,31)-772</f>
        <v>40502</v>
      </c>
      <c r="C8284" s="9" t="s">
        <v>477</v>
      </c>
      <c r="D8284">
        <v>10021632580</v>
      </c>
      <c r="E8284" t="s">
        <v>47</v>
      </c>
      <c r="F8284" t="s">
        <v>183</v>
      </c>
      <c r="G8284" t="s">
        <v>184</v>
      </c>
      <c r="H8284" t="s">
        <v>2643</v>
      </c>
      <c r="I8284" t="s">
        <v>2644</v>
      </c>
      <c r="J8284" t="s">
        <v>52</v>
      </c>
      <c r="K8284" s="3">
        <v>10091711911</v>
      </c>
      <c r="L8284" s="10">
        <v>40503</v>
      </c>
      <c r="M8284">
        <v>398.76</v>
      </c>
      <c r="N8284" s="11">
        <v>34</v>
      </c>
      <c r="O8284" s="12">
        <v>11.58</v>
      </c>
      <c r="P8284" s="12">
        <v>6.97</v>
      </c>
      <c r="Q8284" s="13">
        <v>0.82</v>
      </c>
      <c r="R8284" s="36" t="s">
        <v>1416</v>
      </c>
      <c r="S8284" s="7">
        <f t="shared" si="723"/>
        <v>1</v>
      </c>
      <c r="T8284" s="15" t="str">
        <f>VLOOKUP(R8284,产品分类!$C$2:$D$1278,2,0)</f>
        <v>数码电子</v>
      </c>
    </row>
    <row r="8285" spans="1:20">
      <c r="A8285" s="8">
        <f>DATE(2012,12,31)-253</f>
        <v>41021</v>
      </c>
      <c r="B8285" s="8">
        <f>DATE(2012,12,31)-253</f>
        <v>41021</v>
      </c>
      <c r="C8285" s="9" t="s">
        <v>477</v>
      </c>
      <c r="D8285">
        <v>10021652612</v>
      </c>
      <c r="E8285" t="s">
        <v>47</v>
      </c>
      <c r="F8285" t="s">
        <v>61</v>
      </c>
      <c r="G8285" t="s">
        <v>62</v>
      </c>
      <c r="H8285" t="s">
        <v>2647</v>
      </c>
      <c r="I8285" t="s">
        <v>2648</v>
      </c>
      <c r="J8285" t="s">
        <v>52</v>
      </c>
      <c r="K8285" s="3">
        <v>100730711945</v>
      </c>
      <c r="L8285" s="10">
        <v>41023</v>
      </c>
      <c r="M8285">
        <v>963.3</v>
      </c>
      <c r="N8285" s="11">
        <v>20</v>
      </c>
      <c r="O8285" s="12">
        <v>48.04</v>
      </c>
      <c r="P8285" s="12">
        <v>7.23</v>
      </c>
      <c r="Q8285" s="13">
        <v>367.12</v>
      </c>
      <c r="R8285" s="36" t="s">
        <v>947</v>
      </c>
      <c r="S8285" s="7">
        <f t="shared" si="723"/>
        <v>2</v>
      </c>
      <c r="T8285" s="15" t="str">
        <f>VLOOKUP(R8285,产品分类!$C$2:$D$1278,2,0)</f>
        <v>办公用品</v>
      </c>
    </row>
    <row r="8286" spans="1:20">
      <c r="A8286" s="8">
        <f>DATE(2012,12,31)-1143</f>
        <v>40131</v>
      </c>
      <c r="B8286" s="8">
        <f>DATE(2012,12,31)-1143</f>
        <v>40131</v>
      </c>
      <c r="C8286" s="9" t="s">
        <v>477</v>
      </c>
      <c r="D8286">
        <v>10021473732</v>
      </c>
      <c r="E8286" t="s">
        <v>47</v>
      </c>
      <c r="F8286" t="s">
        <v>61</v>
      </c>
      <c r="G8286" t="s">
        <v>62</v>
      </c>
      <c r="H8286" t="s">
        <v>2647</v>
      </c>
      <c r="I8286" t="s">
        <v>2648</v>
      </c>
      <c r="J8286" t="s">
        <v>52</v>
      </c>
      <c r="K8286" s="3">
        <v>100131134017</v>
      </c>
      <c r="L8286" s="10">
        <v>40133</v>
      </c>
      <c r="M8286">
        <v>5930.34</v>
      </c>
      <c r="N8286" s="11">
        <v>41</v>
      </c>
      <c r="O8286" s="12">
        <v>152.48</v>
      </c>
      <c r="P8286" s="12">
        <v>6.5</v>
      </c>
      <c r="Q8286" s="13">
        <v>427.68</v>
      </c>
      <c r="R8286" s="36" t="s">
        <v>1053</v>
      </c>
      <c r="S8286" s="7">
        <f t="shared" si="723"/>
        <v>2</v>
      </c>
      <c r="T8286" s="15" t="str">
        <f>VLOOKUP(R8286,产品分类!$C$2:$D$1278,2,0)</f>
        <v>家具产品</v>
      </c>
    </row>
    <row r="8287" spans="1:20">
      <c r="A8287" s="8">
        <f>DATE(2012,12,31)-228</f>
        <v>41046</v>
      </c>
      <c r="B8287" s="8">
        <f>DATE(2012,12,31)-228</f>
        <v>41046</v>
      </c>
      <c r="C8287" s="9" t="s">
        <v>826</v>
      </c>
      <c r="D8287">
        <v>10021399206</v>
      </c>
      <c r="E8287" t="s">
        <v>47</v>
      </c>
      <c r="F8287" t="s">
        <v>61</v>
      </c>
      <c r="G8287" t="s">
        <v>62</v>
      </c>
      <c r="H8287" t="s">
        <v>2647</v>
      </c>
      <c r="I8287" t="s">
        <v>2648</v>
      </c>
      <c r="J8287" t="s">
        <v>52</v>
      </c>
      <c r="K8287" s="3">
        <v>100332868779</v>
      </c>
      <c r="L8287" s="10">
        <v>41048</v>
      </c>
      <c r="M8287">
        <v>2094.12</v>
      </c>
      <c r="N8287" s="11">
        <v>24</v>
      </c>
      <c r="O8287" s="12">
        <v>83.1</v>
      </c>
      <c r="P8287" s="12">
        <v>6.13</v>
      </c>
      <c r="Q8287" s="13">
        <v>717.12</v>
      </c>
      <c r="R8287" s="36" t="s">
        <v>1335</v>
      </c>
      <c r="S8287" s="7">
        <f t="shared" si="723"/>
        <v>2</v>
      </c>
      <c r="T8287" s="15" t="str">
        <f>VLOOKUP(R8287,产品分类!$C$2:$D$1278,2,0)</f>
        <v>数码电子</v>
      </c>
    </row>
    <row r="8288" spans="1:20">
      <c r="A8288" s="16">
        <f>DATE(2012,12,31)-228</f>
        <v>41046</v>
      </c>
      <c r="B8288" s="16">
        <f>DATE(2012,12,31)-228</f>
        <v>41046</v>
      </c>
      <c r="C8288" s="9" t="s">
        <v>826</v>
      </c>
      <c r="D8288">
        <v>10021492986</v>
      </c>
      <c r="E8288" t="s">
        <v>47</v>
      </c>
      <c r="F8288" t="s">
        <v>61</v>
      </c>
      <c r="G8288" t="s">
        <v>62</v>
      </c>
      <c r="H8288" t="s">
        <v>2647</v>
      </c>
      <c r="I8288" t="s">
        <v>2648</v>
      </c>
      <c r="J8288" t="s">
        <v>52</v>
      </c>
      <c r="K8288" s="3">
        <v>100833056382</v>
      </c>
      <c r="L8288" s="10">
        <v>41049</v>
      </c>
      <c r="M8288">
        <v>1714.02</v>
      </c>
      <c r="N8288" s="17">
        <v>46</v>
      </c>
      <c r="O8288" s="5">
        <v>37.94</v>
      </c>
      <c r="P8288" s="5">
        <v>5.08</v>
      </c>
      <c r="Q8288" s="6">
        <v>741.27</v>
      </c>
      <c r="R8288" s="37" t="s">
        <v>1687</v>
      </c>
      <c r="S8288" s="7">
        <f t="shared" si="723"/>
        <v>3</v>
      </c>
      <c r="T8288" s="15" t="str">
        <f>VLOOKUP(R8288,产品分类!$C$2:$D$1278,2,0)</f>
        <v>办公用品</v>
      </c>
    </row>
    <row r="8289" spans="1:20">
      <c r="A8289" s="8">
        <f>DATE(2012,12,31)-844</f>
        <v>40430</v>
      </c>
      <c r="B8289" s="8">
        <f>DATE(2012,12,31)-844</f>
        <v>40430</v>
      </c>
      <c r="C8289" s="9" t="s">
        <v>425</v>
      </c>
      <c r="D8289">
        <v>10021552429</v>
      </c>
      <c r="E8289" t="s">
        <v>47</v>
      </c>
      <c r="F8289" t="s">
        <v>72</v>
      </c>
      <c r="G8289" t="s">
        <v>73</v>
      </c>
      <c r="H8289" t="s">
        <v>2606</v>
      </c>
      <c r="I8289" t="s">
        <v>2607</v>
      </c>
      <c r="J8289" t="s">
        <v>52</v>
      </c>
      <c r="K8289" s="3">
        <v>100320404479</v>
      </c>
      <c r="L8289" s="10">
        <v>40431</v>
      </c>
      <c r="M8289">
        <v>3602.12</v>
      </c>
      <c r="N8289" s="11">
        <v>36</v>
      </c>
      <c r="O8289" s="12">
        <v>100.98</v>
      </c>
      <c r="P8289" s="12">
        <v>45</v>
      </c>
      <c r="Q8289" s="13">
        <v>-728.18</v>
      </c>
      <c r="R8289" s="36" t="s">
        <v>1923</v>
      </c>
      <c r="S8289" s="7">
        <f t="shared" si="723"/>
        <v>1</v>
      </c>
      <c r="T8289" s="15" t="str">
        <f>VLOOKUP(R8289,产品分类!$C$2:$D$1278,2,0)</f>
        <v>数码电子</v>
      </c>
    </row>
    <row r="8290" spans="1:20">
      <c r="A8290" s="8">
        <f>DATE(2012,12,31)-844</f>
        <v>40430</v>
      </c>
      <c r="B8290" s="8">
        <f>DATE(2012,12,31)-844</f>
        <v>40430</v>
      </c>
      <c r="C8290" s="9" t="s">
        <v>121</v>
      </c>
      <c r="D8290">
        <v>10021701303</v>
      </c>
      <c r="E8290" t="s">
        <v>47</v>
      </c>
      <c r="F8290" t="s">
        <v>230</v>
      </c>
      <c r="G8290" t="s">
        <v>231</v>
      </c>
      <c r="H8290" t="s">
        <v>2602</v>
      </c>
      <c r="I8290" t="s">
        <v>2603</v>
      </c>
      <c r="J8290" t="s">
        <v>52</v>
      </c>
      <c r="K8290" s="3">
        <v>100915002481</v>
      </c>
      <c r="L8290" s="10">
        <v>40430</v>
      </c>
      <c r="M8290">
        <v>1174.94</v>
      </c>
      <c r="N8290" s="11">
        <v>43</v>
      </c>
      <c r="O8290" s="12">
        <v>27.42</v>
      </c>
      <c r="P8290" s="12">
        <v>19.46</v>
      </c>
      <c r="Q8290" s="13">
        <v>-125.79</v>
      </c>
      <c r="R8290" s="36" t="s">
        <v>395</v>
      </c>
      <c r="S8290" s="7">
        <f t="shared" si="723"/>
        <v>0</v>
      </c>
      <c r="T8290" s="15" t="str">
        <f>VLOOKUP(R8290,产品分类!$C$2:$D$1278,2,0)</f>
        <v>数码电子</v>
      </c>
    </row>
    <row r="8291" spans="1:20">
      <c r="A8291" s="16">
        <f>DATE(2012,12,31)-358</f>
        <v>40916</v>
      </c>
      <c r="B8291" s="16">
        <f>DATE(2012,12,31)-358</f>
        <v>40916</v>
      </c>
      <c r="C8291" s="9" t="s">
        <v>759</v>
      </c>
      <c r="D8291">
        <v>10021637134</v>
      </c>
      <c r="E8291" t="s">
        <v>47</v>
      </c>
      <c r="F8291" t="s">
        <v>122</v>
      </c>
      <c r="G8291" t="s">
        <v>123</v>
      </c>
      <c r="H8291" t="s">
        <v>2458</v>
      </c>
      <c r="I8291" t="s">
        <v>2459</v>
      </c>
      <c r="J8291" t="s">
        <v>52</v>
      </c>
      <c r="K8291" s="3">
        <v>100917183551</v>
      </c>
      <c r="L8291" s="10">
        <v>40916</v>
      </c>
      <c r="M8291">
        <v>182.92</v>
      </c>
      <c r="N8291" s="17">
        <v>30</v>
      </c>
      <c r="O8291" s="5">
        <v>4.48</v>
      </c>
      <c r="P8291" s="5">
        <v>49</v>
      </c>
      <c r="Q8291" s="6">
        <v>-1367.72</v>
      </c>
      <c r="R8291" s="37" t="s">
        <v>751</v>
      </c>
      <c r="S8291" s="7">
        <f t="shared" si="723"/>
        <v>0</v>
      </c>
      <c r="T8291" s="15" t="str">
        <f>VLOOKUP(R8291,产品分类!$C$2:$D$1278,2,0)</f>
        <v>办公用品</v>
      </c>
    </row>
    <row r="8292" spans="1:20">
      <c r="A8292" s="8">
        <f>DATE(2012,12,31)-1426</f>
        <v>39848</v>
      </c>
      <c r="B8292" s="8">
        <f>DATE(2012,12,31)-1426</f>
        <v>39848</v>
      </c>
      <c r="C8292" s="9" t="s">
        <v>948</v>
      </c>
      <c r="D8292">
        <v>10021700617</v>
      </c>
      <c r="E8292" t="s">
        <v>47</v>
      </c>
      <c r="F8292" t="s">
        <v>61</v>
      </c>
      <c r="G8292" t="s">
        <v>62</v>
      </c>
      <c r="H8292" t="s">
        <v>2647</v>
      </c>
      <c r="I8292" t="s">
        <v>2648</v>
      </c>
      <c r="J8292" t="s">
        <v>52</v>
      </c>
      <c r="K8292" s="3">
        <v>10075471085</v>
      </c>
      <c r="L8292" s="10">
        <v>39849</v>
      </c>
      <c r="M8292">
        <v>69.66</v>
      </c>
      <c r="N8292" s="11">
        <v>40</v>
      </c>
      <c r="O8292" s="12">
        <v>1.7</v>
      </c>
      <c r="P8292" s="12">
        <v>1.99</v>
      </c>
      <c r="Q8292" s="13">
        <v>-51.42</v>
      </c>
      <c r="R8292" s="36" t="s">
        <v>471</v>
      </c>
      <c r="S8292" s="7">
        <f t="shared" si="723"/>
        <v>1</v>
      </c>
      <c r="T8292" s="15" t="str">
        <f>VLOOKUP(R8292,产品分类!$C$2:$D$1278,2,0)</f>
        <v>办公用品</v>
      </c>
    </row>
    <row r="8293" spans="1:20">
      <c r="A8293" s="8">
        <f t="shared" ref="A8293:B8296" si="726">DATE(2012,12,31)-282</f>
        <v>40992</v>
      </c>
      <c r="B8293" s="8">
        <f t="shared" si="726"/>
        <v>40992</v>
      </c>
      <c r="C8293" s="9" t="s">
        <v>948</v>
      </c>
      <c r="D8293">
        <v>10021362108</v>
      </c>
      <c r="E8293" t="s">
        <v>47</v>
      </c>
      <c r="F8293" t="s">
        <v>61</v>
      </c>
      <c r="G8293" t="s">
        <v>62</v>
      </c>
      <c r="H8293" t="s">
        <v>2647</v>
      </c>
      <c r="I8293" t="s">
        <v>2648</v>
      </c>
      <c r="J8293" t="s">
        <v>52</v>
      </c>
      <c r="K8293" s="3">
        <v>100131134017</v>
      </c>
      <c r="L8293" s="10">
        <v>40993</v>
      </c>
      <c r="M8293">
        <v>32.31</v>
      </c>
      <c r="N8293" s="11">
        <v>8</v>
      </c>
      <c r="O8293" s="12">
        <v>3.58</v>
      </c>
      <c r="P8293" s="12">
        <v>5.47</v>
      </c>
      <c r="Q8293" s="13">
        <v>-33.5915</v>
      </c>
      <c r="R8293" s="36" t="s">
        <v>298</v>
      </c>
      <c r="S8293" s="7">
        <f t="shared" si="723"/>
        <v>1</v>
      </c>
      <c r="T8293" s="15" t="str">
        <f>VLOOKUP(R8293,产品分类!$C$2:$D$1278,2,0)</f>
        <v>办公用品</v>
      </c>
    </row>
    <row r="8294" spans="1:20">
      <c r="A8294" s="8">
        <f t="shared" si="726"/>
        <v>40992</v>
      </c>
      <c r="B8294" s="8">
        <f t="shared" si="726"/>
        <v>40992</v>
      </c>
      <c r="C8294" s="9" t="s">
        <v>1126</v>
      </c>
      <c r="D8294">
        <v>10021672506</v>
      </c>
      <c r="E8294" t="s">
        <v>47</v>
      </c>
      <c r="F8294" t="s">
        <v>132</v>
      </c>
      <c r="G8294" t="s">
        <v>133</v>
      </c>
      <c r="H8294" t="s">
        <v>134</v>
      </c>
      <c r="I8294" t="s">
        <v>133</v>
      </c>
      <c r="J8294" t="s">
        <v>52</v>
      </c>
      <c r="K8294" s="3">
        <v>100431343673</v>
      </c>
      <c r="L8294" s="10">
        <v>40992</v>
      </c>
      <c r="M8294">
        <v>57.9</v>
      </c>
      <c r="N8294" s="11">
        <v>6</v>
      </c>
      <c r="O8294" s="12">
        <v>7.38</v>
      </c>
      <c r="P8294" s="12">
        <v>11.51</v>
      </c>
      <c r="Q8294" s="13">
        <v>-48.139</v>
      </c>
      <c r="R8294" s="36" t="s">
        <v>2367</v>
      </c>
      <c r="S8294" s="7">
        <f t="shared" si="723"/>
        <v>0</v>
      </c>
      <c r="T8294" s="15" t="str">
        <f>VLOOKUP(R8294,产品分类!$C$2:$D$1278,2,0)</f>
        <v>家具产品</v>
      </c>
    </row>
    <row r="8295" spans="1:20">
      <c r="A8295" s="8">
        <f t="shared" si="726"/>
        <v>40992</v>
      </c>
      <c r="B8295" s="8">
        <f t="shared" si="726"/>
        <v>40992</v>
      </c>
      <c r="C8295" s="9" t="s">
        <v>1126</v>
      </c>
      <c r="D8295">
        <v>10021494727</v>
      </c>
      <c r="E8295" t="s">
        <v>47</v>
      </c>
      <c r="F8295" t="s">
        <v>48</v>
      </c>
      <c r="G8295" t="s">
        <v>49</v>
      </c>
      <c r="H8295" t="s">
        <v>2641</v>
      </c>
      <c r="I8295" t="s">
        <v>2642</v>
      </c>
      <c r="J8295" t="s">
        <v>52</v>
      </c>
      <c r="K8295" s="3">
        <v>10099918121</v>
      </c>
      <c r="L8295" s="10">
        <v>40994</v>
      </c>
      <c r="M8295">
        <v>562.95</v>
      </c>
      <c r="N8295" s="11">
        <v>46</v>
      </c>
      <c r="O8295" s="12">
        <v>12.22</v>
      </c>
      <c r="P8295" s="12">
        <v>2.85</v>
      </c>
      <c r="Q8295" s="13">
        <v>147.12</v>
      </c>
      <c r="R8295" s="36" t="s">
        <v>1170</v>
      </c>
      <c r="S8295" s="7">
        <f t="shared" si="723"/>
        <v>2</v>
      </c>
      <c r="T8295" s="15" t="str">
        <f>VLOOKUP(R8295,产品分类!$C$2:$D$1278,2,0)</f>
        <v>数码电子</v>
      </c>
    </row>
    <row r="8296" spans="1:20">
      <c r="A8296" s="8">
        <f t="shared" si="726"/>
        <v>40992</v>
      </c>
      <c r="B8296" s="8">
        <f t="shared" si="726"/>
        <v>40992</v>
      </c>
      <c r="C8296" s="9" t="s">
        <v>802</v>
      </c>
      <c r="D8296">
        <v>10021674959</v>
      </c>
      <c r="E8296" t="s">
        <v>47</v>
      </c>
      <c r="F8296" t="s">
        <v>152</v>
      </c>
      <c r="G8296" t="s">
        <v>153</v>
      </c>
      <c r="H8296" t="s">
        <v>154</v>
      </c>
      <c r="I8296" t="s">
        <v>155</v>
      </c>
      <c r="J8296" t="s">
        <v>52</v>
      </c>
      <c r="K8296" s="3">
        <v>100432201714</v>
      </c>
      <c r="L8296" s="10">
        <v>40995</v>
      </c>
      <c r="M8296">
        <v>12470.31</v>
      </c>
      <c r="N8296" s="11">
        <v>31</v>
      </c>
      <c r="O8296" s="12">
        <v>387.99</v>
      </c>
      <c r="P8296" s="12">
        <v>19.99</v>
      </c>
      <c r="Q8296" s="13">
        <v>5528.502</v>
      </c>
      <c r="R8296" s="36" t="s">
        <v>983</v>
      </c>
      <c r="S8296" s="7">
        <f t="shared" si="723"/>
        <v>3</v>
      </c>
      <c r="T8296" s="15" t="str">
        <f>VLOOKUP(R8296,产品分类!$C$2:$D$1278,2,0)</f>
        <v>办公用品</v>
      </c>
    </row>
    <row r="8297" spans="1:20">
      <c r="A8297" s="16">
        <f>DATE(2012,12,31)-61</f>
        <v>41213</v>
      </c>
      <c r="B8297" s="16">
        <f>DATE(2012,12,31)-61</f>
        <v>41213</v>
      </c>
      <c r="C8297" s="9" t="s">
        <v>1612</v>
      </c>
      <c r="D8297">
        <v>10021656985</v>
      </c>
      <c r="E8297" t="s">
        <v>47</v>
      </c>
      <c r="F8297" t="s">
        <v>66</v>
      </c>
      <c r="G8297" t="s">
        <v>67</v>
      </c>
      <c r="H8297" t="s">
        <v>2584</v>
      </c>
      <c r="I8297" t="s">
        <v>2585</v>
      </c>
      <c r="J8297" t="s">
        <v>52</v>
      </c>
      <c r="K8297" s="3">
        <v>10044839024</v>
      </c>
      <c r="L8297" s="10">
        <v>41214</v>
      </c>
      <c r="M8297">
        <v>170.4</v>
      </c>
      <c r="N8297" s="17">
        <v>25</v>
      </c>
      <c r="O8297" s="5">
        <v>6.48</v>
      </c>
      <c r="P8297" s="5">
        <v>10.05</v>
      </c>
      <c r="Q8297" s="6">
        <v>-153.75</v>
      </c>
      <c r="R8297" s="37" t="s">
        <v>2321</v>
      </c>
      <c r="S8297" s="7">
        <f t="shared" si="723"/>
        <v>1</v>
      </c>
      <c r="T8297" s="15" t="str">
        <f>VLOOKUP(R8297,产品分类!$C$2:$D$1278,2,0)</f>
        <v>数码电子</v>
      </c>
    </row>
    <row r="8298" spans="1:20">
      <c r="A8298" s="8">
        <f>DATE(2012,12,31)-780</f>
        <v>40494</v>
      </c>
      <c r="B8298" s="8">
        <f>DATE(2012,12,31)-780</f>
        <v>40494</v>
      </c>
      <c r="C8298" s="9" t="s">
        <v>1612</v>
      </c>
      <c r="D8298">
        <v>10021792726</v>
      </c>
      <c r="E8298" t="s">
        <v>47</v>
      </c>
      <c r="F8298" t="s">
        <v>97</v>
      </c>
      <c r="G8298" t="s">
        <v>98</v>
      </c>
      <c r="H8298" t="s">
        <v>99</v>
      </c>
      <c r="I8298" t="s">
        <v>98</v>
      </c>
      <c r="J8298" t="s">
        <v>52</v>
      </c>
      <c r="K8298" s="3">
        <v>100332947609</v>
      </c>
      <c r="L8298" s="10">
        <v>40495</v>
      </c>
      <c r="M8298">
        <v>171.57</v>
      </c>
      <c r="N8298" s="11">
        <v>15</v>
      </c>
      <c r="O8298" s="12">
        <v>11.34</v>
      </c>
      <c r="P8298" s="12">
        <v>5.01</v>
      </c>
      <c r="Q8298" s="13">
        <v>12.5</v>
      </c>
      <c r="R8298" s="36" t="s">
        <v>1067</v>
      </c>
      <c r="S8298" s="7">
        <f t="shared" si="723"/>
        <v>1</v>
      </c>
      <c r="T8298" s="15" t="str">
        <f>VLOOKUP(R8298,产品分类!$C$2:$D$1278,2,0)</f>
        <v>办公用品</v>
      </c>
    </row>
    <row r="8299" spans="1:20">
      <c r="A8299" s="8">
        <f>DATE(2012,12,31)-780</f>
        <v>40494</v>
      </c>
      <c r="B8299" s="8">
        <f>DATE(2012,12,31)-780</f>
        <v>40494</v>
      </c>
      <c r="C8299" s="9" t="s">
        <v>1612</v>
      </c>
      <c r="D8299">
        <v>10021340805</v>
      </c>
      <c r="E8299" t="s">
        <v>47</v>
      </c>
      <c r="F8299" t="s">
        <v>152</v>
      </c>
      <c r="G8299" t="s">
        <v>153</v>
      </c>
      <c r="H8299" t="s">
        <v>154</v>
      </c>
      <c r="I8299" t="s">
        <v>155</v>
      </c>
      <c r="J8299" t="s">
        <v>52</v>
      </c>
      <c r="K8299" s="3">
        <v>100926740741</v>
      </c>
      <c r="L8299" s="10">
        <v>40496</v>
      </c>
      <c r="M8299">
        <v>2170.305</v>
      </c>
      <c r="N8299" s="11">
        <v>42</v>
      </c>
      <c r="O8299" s="12">
        <v>65.99</v>
      </c>
      <c r="P8299" s="12">
        <v>8.99</v>
      </c>
      <c r="Q8299" s="13">
        <v>264.321</v>
      </c>
      <c r="R8299" s="36" t="s">
        <v>860</v>
      </c>
      <c r="S8299" s="7">
        <f t="shared" si="723"/>
        <v>2</v>
      </c>
      <c r="T8299" s="15" t="str">
        <f>VLOOKUP(R8299,产品分类!$C$2:$D$1278,2,0)</f>
        <v>办公用品</v>
      </c>
    </row>
    <row r="8300" spans="1:20">
      <c r="A8300" s="8">
        <f>DATE(2012,12,31)-412</f>
        <v>40862</v>
      </c>
      <c r="B8300" s="8">
        <f>DATE(2012,12,31)-412</f>
        <v>40862</v>
      </c>
      <c r="C8300" s="9" t="s">
        <v>1612</v>
      </c>
      <c r="D8300">
        <v>10021348150</v>
      </c>
      <c r="E8300" t="s">
        <v>47</v>
      </c>
      <c r="F8300" t="s">
        <v>66</v>
      </c>
      <c r="G8300" t="s">
        <v>67</v>
      </c>
      <c r="H8300" t="s">
        <v>2584</v>
      </c>
      <c r="I8300" t="s">
        <v>2585</v>
      </c>
      <c r="J8300" t="s">
        <v>52</v>
      </c>
      <c r="K8300" s="3">
        <v>100830789472</v>
      </c>
      <c r="L8300" s="10">
        <v>40863</v>
      </c>
      <c r="M8300">
        <v>718.6</v>
      </c>
      <c r="N8300" s="11">
        <v>40</v>
      </c>
      <c r="O8300" s="12">
        <v>17.98</v>
      </c>
      <c r="P8300" s="12">
        <v>4</v>
      </c>
      <c r="Q8300" s="13">
        <v>-81.49</v>
      </c>
      <c r="R8300" s="36" t="s">
        <v>451</v>
      </c>
      <c r="S8300" s="7">
        <f t="shared" si="723"/>
        <v>1</v>
      </c>
      <c r="T8300" s="15" t="str">
        <f>VLOOKUP(R8300,产品分类!$C$2:$D$1278,2,0)</f>
        <v>家具产品</v>
      </c>
    </row>
    <row r="8301" spans="1:20">
      <c r="A8301" s="16">
        <f>DATE(2012,12,31)-1112</f>
        <v>40162</v>
      </c>
      <c r="B8301" s="16">
        <f>DATE(2012,12,31)-1112</f>
        <v>40162</v>
      </c>
      <c r="C8301" s="9" t="s">
        <v>899</v>
      </c>
      <c r="D8301">
        <v>10021661068</v>
      </c>
      <c r="E8301" t="s">
        <v>47</v>
      </c>
      <c r="F8301" t="s">
        <v>152</v>
      </c>
      <c r="G8301" t="s">
        <v>153</v>
      </c>
      <c r="H8301" t="s">
        <v>154</v>
      </c>
      <c r="I8301" t="s">
        <v>155</v>
      </c>
      <c r="J8301" t="s">
        <v>52</v>
      </c>
      <c r="K8301" s="3">
        <v>100716066335</v>
      </c>
      <c r="L8301" s="10">
        <v>40164</v>
      </c>
      <c r="M8301">
        <v>43.46</v>
      </c>
      <c r="N8301" s="17">
        <v>27</v>
      </c>
      <c r="O8301" s="5">
        <v>1.48</v>
      </c>
      <c r="P8301" s="5">
        <v>0.7</v>
      </c>
      <c r="Q8301" s="6">
        <v>6.81</v>
      </c>
      <c r="R8301" s="37" t="s">
        <v>676</v>
      </c>
      <c r="S8301" s="7">
        <f t="shared" si="723"/>
        <v>2</v>
      </c>
      <c r="T8301" s="15" t="str">
        <f>VLOOKUP(R8301,产品分类!$C$2:$D$1278,2,0)</f>
        <v>办公用品</v>
      </c>
    </row>
    <row r="8302" spans="1:20">
      <c r="A8302" s="8">
        <f>DATE(2012,12,31)-1112</f>
        <v>40162</v>
      </c>
      <c r="B8302" s="8">
        <f>DATE(2012,12,31)-1112</f>
        <v>40162</v>
      </c>
      <c r="C8302" s="9" t="s">
        <v>899</v>
      </c>
      <c r="D8302">
        <v>10021444582</v>
      </c>
      <c r="E8302" t="s">
        <v>47</v>
      </c>
      <c r="F8302" t="s">
        <v>152</v>
      </c>
      <c r="G8302" t="s">
        <v>153</v>
      </c>
      <c r="H8302" t="s">
        <v>154</v>
      </c>
      <c r="I8302" t="s">
        <v>155</v>
      </c>
      <c r="J8302" t="s">
        <v>52</v>
      </c>
      <c r="K8302" s="3">
        <v>10049793174</v>
      </c>
      <c r="L8302" s="10">
        <v>40163</v>
      </c>
      <c r="M8302">
        <v>927.9875</v>
      </c>
      <c r="N8302" s="11">
        <v>5</v>
      </c>
      <c r="O8302" s="12">
        <v>205.99</v>
      </c>
      <c r="P8302" s="12">
        <v>8.99</v>
      </c>
      <c r="Q8302" s="13">
        <v>-615.912</v>
      </c>
      <c r="R8302" s="36" t="s">
        <v>918</v>
      </c>
      <c r="S8302" s="7">
        <f t="shared" si="723"/>
        <v>1</v>
      </c>
      <c r="T8302" s="15" t="str">
        <f>VLOOKUP(R8302,产品分类!$C$2:$D$1278,2,0)</f>
        <v>数码电子</v>
      </c>
    </row>
    <row r="8303" spans="1:20">
      <c r="A8303" s="8">
        <f>DATE(2012,12,31)-168</f>
        <v>41106</v>
      </c>
      <c r="B8303" s="8">
        <f>DATE(2012,12,31)-168</f>
        <v>41106</v>
      </c>
      <c r="C8303" s="9" t="s">
        <v>809</v>
      </c>
      <c r="D8303">
        <v>10021574701</v>
      </c>
      <c r="E8303" t="s">
        <v>47</v>
      </c>
      <c r="F8303" t="s">
        <v>66</v>
      </c>
      <c r="G8303" t="s">
        <v>67</v>
      </c>
      <c r="H8303" t="s">
        <v>2584</v>
      </c>
      <c r="I8303" t="s">
        <v>2585</v>
      </c>
      <c r="J8303" t="s">
        <v>52</v>
      </c>
      <c r="K8303" s="3">
        <v>10084340342</v>
      </c>
      <c r="L8303" s="10">
        <v>41109</v>
      </c>
      <c r="M8303">
        <v>94.56</v>
      </c>
      <c r="N8303" s="11">
        <v>34</v>
      </c>
      <c r="O8303" s="12">
        <v>2.61</v>
      </c>
      <c r="P8303" s="12">
        <v>0.5</v>
      </c>
      <c r="Q8303" s="13">
        <v>37.73</v>
      </c>
      <c r="R8303" s="36" t="s">
        <v>1626</v>
      </c>
      <c r="S8303" s="7">
        <f t="shared" si="723"/>
        <v>3</v>
      </c>
      <c r="T8303" s="15" t="str">
        <f>VLOOKUP(R8303,产品分类!$C$2:$D$1278,2,0)</f>
        <v>办公用品</v>
      </c>
    </row>
    <row r="8304" spans="1:20">
      <c r="A8304" s="8">
        <f>DATE(2012,12,31)-836</f>
        <v>40438</v>
      </c>
      <c r="B8304" s="8">
        <f>DATE(2012,12,31)-836</f>
        <v>40438</v>
      </c>
      <c r="C8304" s="9" t="s">
        <v>1941</v>
      </c>
      <c r="D8304">
        <v>10021261970</v>
      </c>
      <c r="E8304" t="s">
        <v>47</v>
      </c>
      <c r="F8304" t="s">
        <v>66</v>
      </c>
      <c r="G8304" t="s">
        <v>67</v>
      </c>
      <c r="H8304" t="s">
        <v>2584</v>
      </c>
      <c r="I8304" t="s">
        <v>2585</v>
      </c>
      <c r="J8304" t="s">
        <v>52</v>
      </c>
      <c r="K8304" s="3">
        <v>100129756407</v>
      </c>
      <c r="L8304" s="10">
        <v>40438</v>
      </c>
      <c r="M8304">
        <v>397.17</v>
      </c>
      <c r="N8304" s="11">
        <v>30</v>
      </c>
      <c r="O8304" s="12">
        <v>14.34</v>
      </c>
      <c r="P8304" s="12">
        <v>5</v>
      </c>
      <c r="Q8304" s="13">
        <v>7.69</v>
      </c>
      <c r="R8304" s="36" t="s">
        <v>878</v>
      </c>
      <c r="S8304" s="7">
        <f t="shared" si="723"/>
        <v>0</v>
      </c>
      <c r="T8304" s="15" t="str">
        <f>VLOOKUP(R8304,产品分类!$C$2:$D$1278,2,0)</f>
        <v>数码电子</v>
      </c>
    </row>
    <row r="8305" spans="1:20">
      <c r="A8305" s="8">
        <f>DATE(2012,12,31)-948</f>
        <v>40326</v>
      </c>
      <c r="B8305" s="8">
        <f>DATE(2012,12,31)-948</f>
        <v>40326</v>
      </c>
      <c r="C8305" s="9" t="s">
        <v>1941</v>
      </c>
      <c r="D8305">
        <v>10021751378</v>
      </c>
      <c r="E8305" t="s">
        <v>47</v>
      </c>
      <c r="F8305" t="s">
        <v>66</v>
      </c>
      <c r="G8305" t="s">
        <v>67</v>
      </c>
      <c r="H8305" t="s">
        <v>2584</v>
      </c>
      <c r="I8305" t="s">
        <v>2585</v>
      </c>
      <c r="J8305" t="s">
        <v>52</v>
      </c>
      <c r="K8305" s="3">
        <v>100131671408</v>
      </c>
      <c r="L8305" s="10">
        <v>40327</v>
      </c>
      <c r="M8305">
        <v>336.84</v>
      </c>
      <c r="N8305" s="11">
        <v>3</v>
      </c>
      <c r="O8305" s="12">
        <v>100.98</v>
      </c>
      <c r="P8305" s="12">
        <v>35.84</v>
      </c>
      <c r="Q8305" s="13">
        <v>-160.46</v>
      </c>
      <c r="R8305" s="36" t="s">
        <v>368</v>
      </c>
      <c r="S8305" s="7">
        <f t="shared" si="723"/>
        <v>1</v>
      </c>
      <c r="T8305" s="15" t="str">
        <f>VLOOKUP(R8305,产品分类!$C$2:$D$1278,2,0)</f>
        <v>办公用品</v>
      </c>
    </row>
    <row r="8306" spans="1:20">
      <c r="A8306" s="8">
        <f>DATE(2012,12,31)-948</f>
        <v>40326</v>
      </c>
      <c r="B8306" s="8">
        <f>DATE(2012,12,31)-948</f>
        <v>40326</v>
      </c>
      <c r="C8306" s="9" t="s">
        <v>1941</v>
      </c>
      <c r="D8306">
        <v>10021676906</v>
      </c>
      <c r="E8306" t="s">
        <v>47</v>
      </c>
      <c r="F8306" t="s">
        <v>66</v>
      </c>
      <c r="G8306" t="s">
        <v>67</v>
      </c>
      <c r="H8306" t="s">
        <v>2584</v>
      </c>
      <c r="I8306" t="s">
        <v>2585</v>
      </c>
      <c r="J8306" t="s">
        <v>52</v>
      </c>
      <c r="K8306" s="3">
        <v>100132863666</v>
      </c>
      <c r="L8306" s="10">
        <v>40326</v>
      </c>
      <c r="M8306">
        <v>1120.27</v>
      </c>
      <c r="N8306" s="11">
        <v>7</v>
      </c>
      <c r="O8306" s="12">
        <v>150.98</v>
      </c>
      <c r="P8306" s="12">
        <v>13.99</v>
      </c>
      <c r="Q8306" s="13">
        <v>16.81</v>
      </c>
      <c r="R8306" s="36" t="s">
        <v>2487</v>
      </c>
      <c r="S8306" s="7">
        <f t="shared" si="723"/>
        <v>0</v>
      </c>
      <c r="T8306" s="15" t="str">
        <f>VLOOKUP(R8306,产品分类!$C$2:$D$1278,2,0)</f>
        <v>办公用品</v>
      </c>
    </row>
    <row r="8307" spans="1:20">
      <c r="A8307" s="8">
        <f>DATE(2012,12,31)-100</f>
        <v>41174</v>
      </c>
      <c r="B8307" s="8">
        <f>DATE(2012,12,31)-100</f>
        <v>41174</v>
      </c>
      <c r="C8307" s="9" t="s">
        <v>1941</v>
      </c>
      <c r="D8307">
        <v>10021578216</v>
      </c>
      <c r="E8307" t="s">
        <v>47</v>
      </c>
      <c r="F8307" t="s">
        <v>48</v>
      </c>
      <c r="G8307" t="s">
        <v>49</v>
      </c>
      <c r="H8307" t="s">
        <v>2641</v>
      </c>
      <c r="I8307" t="s">
        <v>2642</v>
      </c>
      <c r="J8307" t="s">
        <v>52</v>
      </c>
      <c r="K8307" s="3">
        <v>10098640021</v>
      </c>
      <c r="L8307" s="10">
        <v>41175</v>
      </c>
      <c r="M8307">
        <v>712.04</v>
      </c>
      <c r="N8307" s="11">
        <v>45</v>
      </c>
      <c r="O8307" s="12">
        <v>15.99</v>
      </c>
      <c r="P8307" s="12">
        <v>9.4</v>
      </c>
      <c r="Q8307" s="13">
        <v>-110.925</v>
      </c>
      <c r="R8307" s="36" t="s">
        <v>1648</v>
      </c>
      <c r="S8307" s="7">
        <f t="shared" si="723"/>
        <v>1</v>
      </c>
      <c r="T8307" s="15" t="str">
        <f>VLOOKUP(R8307,产品分类!$C$2:$D$1278,2,0)</f>
        <v>办公用品</v>
      </c>
    </row>
    <row r="8308" spans="1:20">
      <c r="A8308" s="8">
        <f>DATE(2012,12,31)-299</f>
        <v>40975</v>
      </c>
      <c r="B8308" s="8">
        <f>DATE(2012,12,31)-299</f>
        <v>40975</v>
      </c>
      <c r="C8308" s="9" t="s">
        <v>1900</v>
      </c>
      <c r="D8308">
        <v>10021665323</v>
      </c>
      <c r="E8308" t="s">
        <v>47</v>
      </c>
      <c r="F8308" t="s">
        <v>66</v>
      </c>
      <c r="G8308" t="s">
        <v>67</v>
      </c>
      <c r="H8308" t="s">
        <v>2584</v>
      </c>
      <c r="I8308" t="s">
        <v>2585</v>
      </c>
      <c r="J8308" t="s">
        <v>52</v>
      </c>
      <c r="K8308" s="3">
        <v>100311662329</v>
      </c>
      <c r="L8308" s="10">
        <v>40979</v>
      </c>
      <c r="M8308">
        <v>167.23</v>
      </c>
      <c r="N8308" s="11">
        <v>25</v>
      </c>
      <c r="O8308" s="12">
        <v>6.68</v>
      </c>
      <c r="P8308" s="12">
        <v>5.41</v>
      </c>
      <c r="Q8308" s="13">
        <v>-43.17</v>
      </c>
      <c r="R8308" s="36" t="s">
        <v>1267</v>
      </c>
      <c r="S8308" s="7">
        <f t="shared" si="723"/>
        <v>4</v>
      </c>
      <c r="T8308" s="15" t="str">
        <f>VLOOKUP(R8308,产品分类!$C$2:$D$1278,2,0)</f>
        <v>数码电子</v>
      </c>
    </row>
    <row r="8309" spans="1:20">
      <c r="A8309" s="8">
        <f>DATE(2012,12,31)-264</f>
        <v>41010</v>
      </c>
      <c r="B8309" s="8">
        <f>DATE(2012,12,31)-264</f>
        <v>41010</v>
      </c>
      <c r="C8309" s="9" t="s">
        <v>970</v>
      </c>
      <c r="D8309">
        <v>10021267084</v>
      </c>
      <c r="E8309" t="s">
        <v>47</v>
      </c>
      <c r="F8309" t="s">
        <v>72</v>
      </c>
      <c r="G8309" t="s">
        <v>73</v>
      </c>
      <c r="H8309" t="s">
        <v>2606</v>
      </c>
      <c r="I8309" t="s">
        <v>2607</v>
      </c>
      <c r="J8309" t="s">
        <v>52</v>
      </c>
      <c r="K8309" s="3">
        <v>100432076453</v>
      </c>
      <c r="L8309" s="10">
        <v>41010</v>
      </c>
      <c r="M8309">
        <v>1610.26</v>
      </c>
      <c r="N8309" s="11">
        <v>25</v>
      </c>
      <c r="O8309" s="12">
        <v>64.98</v>
      </c>
      <c r="P8309" s="12">
        <v>6.88</v>
      </c>
      <c r="Q8309" s="13">
        <v>122.42</v>
      </c>
      <c r="R8309" s="36" t="s">
        <v>1377</v>
      </c>
      <c r="S8309" s="7">
        <f t="shared" si="723"/>
        <v>0</v>
      </c>
      <c r="T8309" s="15" t="str">
        <f>VLOOKUP(R8309,产品分类!$C$2:$D$1278,2,0)</f>
        <v>办公用品</v>
      </c>
    </row>
    <row r="8310" spans="1:20">
      <c r="A8310" s="8">
        <f>DATE(2012,12,31)-1179</f>
        <v>40095</v>
      </c>
      <c r="B8310" s="8">
        <f>DATE(2012,12,31)-1179</f>
        <v>40095</v>
      </c>
      <c r="C8310" s="9" t="s">
        <v>1559</v>
      </c>
      <c r="D8310">
        <v>10021663085</v>
      </c>
      <c r="E8310" t="s">
        <v>47</v>
      </c>
      <c r="F8310" t="s">
        <v>72</v>
      </c>
      <c r="G8310" t="s">
        <v>73</v>
      </c>
      <c r="H8310" t="s">
        <v>2606</v>
      </c>
      <c r="I8310" t="s">
        <v>2607</v>
      </c>
      <c r="J8310" t="s">
        <v>52</v>
      </c>
      <c r="K8310" s="3">
        <v>100423349883</v>
      </c>
      <c r="L8310" s="10">
        <v>40096</v>
      </c>
      <c r="M8310">
        <v>3361.84</v>
      </c>
      <c r="N8310" s="11">
        <v>34</v>
      </c>
      <c r="O8310" s="12">
        <v>100.97</v>
      </c>
      <c r="P8310" s="12">
        <v>14</v>
      </c>
      <c r="Q8310" s="13">
        <v>1211.76</v>
      </c>
      <c r="R8310" s="36" t="s">
        <v>590</v>
      </c>
      <c r="S8310" s="7">
        <f t="shared" si="723"/>
        <v>1</v>
      </c>
      <c r="T8310" s="15" t="str">
        <f>VLOOKUP(R8310,产品分类!$C$2:$D$1278,2,0)</f>
        <v>办公用品</v>
      </c>
    </row>
    <row r="8311" spans="1:20">
      <c r="A8311" s="8">
        <f>DATE(2012,12,31)-1179</f>
        <v>40095</v>
      </c>
      <c r="B8311" s="8">
        <f>DATE(2012,12,31)-1179</f>
        <v>40095</v>
      </c>
      <c r="C8311" s="9" t="s">
        <v>119</v>
      </c>
      <c r="D8311">
        <v>10021509661</v>
      </c>
      <c r="E8311" t="s">
        <v>47</v>
      </c>
      <c r="F8311" t="s">
        <v>72</v>
      </c>
      <c r="G8311" t="s">
        <v>73</v>
      </c>
      <c r="H8311" t="s">
        <v>2606</v>
      </c>
      <c r="I8311" t="s">
        <v>2607</v>
      </c>
      <c r="J8311" t="s">
        <v>52</v>
      </c>
      <c r="K8311" s="3">
        <v>100332384109</v>
      </c>
      <c r="L8311" s="10">
        <v>40097</v>
      </c>
      <c r="M8311">
        <v>195.82</v>
      </c>
      <c r="N8311" s="11">
        <v>29</v>
      </c>
      <c r="O8311" s="12">
        <v>6.48</v>
      </c>
      <c r="P8311" s="12">
        <v>7.07</v>
      </c>
      <c r="Q8311" s="13">
        <v>-91.7</v>
      </c>
      <c r="R8311" s="36" t="s">
        <v>698</v>
      </c>
      <c r="S8311" s="7">
        <f t="shared" si="723"/>
        <v>2</v>
      </c>
      <c r="T8311" s="15" t="str">
        <f>VLOOKUP(R8311,产品分类!$C$2:$D$1278,2,0)</f>
        <v>办公用品</v>
      </c>
    </row>
    <row r="8312" spans="1:20">
      <c r="A8312" s="8">
        <f>DATE(2012,12,31)-1052</f>
        <v>40222</v>
      </c>
      <c r="B8312" s="8">
        <f>DATE(2012,12,31)-1052</f>
        <v>40222</v>
      </c>
      <c r="C8312" s="9" t="s">
        <v>119</v>
      </c>
      <c r="D8312">
        <v>10021667201</v>
      </c>
      <c r="E8312" t="s">
        <v>47</v>
      </c>
      <c r="F8312" t="s">
        <v>72</v>
      </c>
      <c r="G8312" t="s">
        <v>73</v>
      </c>
      <c r="H8312" t="s">
        <v>2606</v>
      </c>
      <c r="I8312" t="s">
        <v>2607</v>
      </c>
      <c r="J8312" t="s">
        <v>52</v>
      </c>
      <c r="K8312" s="3">
        <v>100828133102</v>
      </c>
      <c r="L8312" s="10">
        <v>40224</v>
      </c>
      <c r="M8312">
        <v>225.4</v>
      </c>
      <c r="N8312" s="11">
        <v>35</v>
      </c>
      <c r="O8312" s="12">
        <v>6.48</v>
      </c>
      <c r="P8312" s="12">
        <v>8.4</v>
      </c>
      <c r="Q8312" s="13">
        <v>-165.48</v>
      </c>
      <c r="R8312" s="36" t="s">
        <v>409</v>
      </c>
      <c r="S8312" s="7">
        <f t="shared" si="723"/>
        <v>2</v>
      </c>
      <c r="T8312" s="15" t="str">
        <f>VLOOKUP(R8312,产品分类!$C$2:$D$1278,2,0)</f>
        <v>办公用品</v>
      </c>
    </row>
    <row r="8313" spans="1:20">
      <c r="A8313" s="16">
        <f>DATE(2012,12,31)-1052</f>
        <v>40222</v>
      </c>
      <c r="B8313" s="16">
        <f>DATE(2012,12,31)-1052</f>
        <v>40222</v>
      </c>
      <c r="C8313" s="9" t="s">
        <v>2075</v>
      </c>
      <c r="D8313">
        <v>10021621889</v>
      </c>
      <c r="E8313" t="s">
        <v>47</v>
      </c>
      <c r="F8313" t="s">
        <v>78</v>
      </c>
      <c r="G8313" t="s">
        <v>79</v>
      </c>
      <c r="H8313" t="s">
        <v>80</v>
      </c>
      <c r="I8313" t="s">
        <v>81</v>
      </c>
      <c r="J8313" t="s">
        <v>52</v>
      </c>
      <c r="K8313" s="3">
        <v>100911991721</v>
      </c>
      <c r="L8313" s="10">
        <v>40224</v>
      </c>
      <c r="M8313">
        <v>76.04</v>
      </c>
      <c r="N8313" s="17">
        <v>12</v>
      </c>
      <c r="O8313" s="5">
        <v>5.98</v>
      </c>
      <c r="P8313" s="5">
        <v>7.15</v>
      </c>
      <c r="Q8313" s="6">
        <v>-47.55</v>
      </c>
      <c r="R8313" s="37" t="s">
        <v>1022</v>
      </c>
      <c r="S8313" s="7">
        <f t="shared" si="723"/>
        <v>2</v>
      </c>
      <c r="T8313" s="15" t="str">
        <f>VLOOKUP(R8313,产品分类!$C$2:$D$1278,2,0)</f>
        <v>办公用品</v>
      </c>
    </row>
    <row r="8314" spans="1:20">
      <c r="A8314" s="8">
        <f>DATE(2012,12,31)-956</f>
        <v>40318</v>
      </c>
      <c r="B8314" s="8">
        <f>DATE(2012,12,31)-956</f>
        <v>40318</v>
      </c>
      <c r="C8314" s="9" t="s">
        <v>2067</v>
      </c>
      <c r="D8314">
        <v>10021592391</v>
      </c>
      <c r="E8314" t="s">
        <v>47</v>
      </c>
      <c r="F8314" t="s">
        <v>72</v>
      </c>
      <c r="G8314" t="s">
        <v>73</v>
      </c>
      <c r="H8314" t="s">
        <v>2606</v>
      </c>
      <c r="I8314" t="s">
        <v>2607</v>
      </c>
      <c r="J8314" t="s">
        <v>52</v>
      </c>
      <c r="K8314" s="3">
        <v>100432109933</v>
      </c>
      <c r="L8314" s="10">
        <v>40320</v>
      </c>
      <c r="M8314">
        <v>283.21</v>
      </c>
      <c r="N8314" s="11">
        <v>36</v>
      </c>
      <c r="O8314" s="12">
        <v>8.04</v>
      </c>
      <c r="P8314" s="12">
        <v>8.94</v>
      </c>
      <c r="Q8314" s="13">
        <v>-196.0635</v>
      </c>
      <c r="R8314" s="36" t="s">
        <v>936</v>
      </c>
      <c r="S8314" s="7">
        <f t="shared" si="723"/>
        <v>2</v>
      </c>
      <c r="T8314" s="15" t="str">
        <f>VLOOKUP(R8314,产品分类!$C$2:$D$1278,2,0)</f>
        <v>办公用品</v>
      </c>
    </row>
    <row r="8315" spans="1:20">
      <c r="A8315" s="8">
        <f>DATE(2012,12,31)-956</f>
        <v>40318</v>
      </c>
      <c r="B8315" s="8">
        <f>DATE(2012,12,31)-956</f>
        <v>40318</v>
      </c>
      <c r="C8315" s="9" t="s">
        <v>1849</v>
      </c>
      <c r="D8315">
        <v>10021495315</v>
      </c>
      <c r="E8315" t="s">
        <v>47</v>
      </c>
      <c r="F8315" t="s">
        <v>72</v>
      </c>
      <c r="G8315" t="s">
        <v>73</v>
      </c>
      <c r="H8315" t="s">
        <v>2606</v>
      </c>
      <c r="I8315" t="s">
        <v>2607</v>
      </c>
      <c r="J8315" t="s">
        <v>52</v>
      </c>
      <c r="K8315" s="3">
        <v>10036403629</v>
      </c>
      <c r="L8315" s="10">
        <v>40320</v>
      </c>
      <c r="M8315">
        <v>45.8</v>
      </c>
      <c r="N8315" s="11">
        <v>18</v>
      </c>
      <c r="O8315" s="12">
        <v>2.23</v>
      </c>
      <c r="P8315" s="12">
        <v>4.57</v>
      </c>
      <c r="Q8315" s="13">
        <v>-52.92</v>
      </c>
      <c r="R8315" s="36" t="s">
        <v>505</v>
      </c>
      <c r="S8315" s="7">
        <f t="shared" si="723"/>
        <v>2</v>
      </c>
      <c r="T8315" s="15" t="str">
        <f>VLOOKUP(R8315,产品分类!$C$2:$D$1278,2,0)</f>
        <v>家具产品</v>
      </c>
    </row>
    <row r="8316" spans="1:20">
      <c r="A8316" s="8">
        <f>DATE(2012,12,31)-704</f>
        <v>40570</v>
      </c>
      <c r="B8316" s="8">
        <f>DATE(2012,12,31)-704</f>
        <v>40570</v>
      </c>
      <c r="C8316" s="9" t="s">
        <v>865</v>
      </c>
      <c r="D8316">
        <v>10021352208</v>
      </c>
      <c r="E8316" t="s">
        <v>47</v>
      </c>
      <c r="F8316" t="s">
        <v>72</v>
      </c>
      <c r="G8316" t="s">
        <v>73</v>
      </c>
      <c r="H8316" t="s">
        <v>2606</v>
      </c>
      <c r="I8316" t="s">
        <v>2607</v>
      </c>
      <c r="J8316" t="s">
        <v>52</v>
      </c>
      <c r="K8316" s="3">
        <v>100132515888</v>
      </c>
      <c r="L8316" s="10">
        <v>40572</v>
      </c>
      <c r="M8316">
        <v>312.035</v>
      </c>
      <c r="N8316" s="11">
        <v>17</v>
      </c>
      <c r="O8316" s="12">
        <v>20.99</v>
      </c>
      <c r="P8316" s="12">
        <v>0.99</v>
      </c>
      <c r="Q8316" s="13">
        <v>-55.935</v>
      </c>
      <c r="R8316" s="36" t="s">
        <v>1148</v>
      </c>
      <c r="S8316" s="7">
        <f t="shared" si="723"/>
        <v>2</v>
      </c>
      <c r="T8316" s="15" t="str">
        <f>VLOOKUP(R8316,产品分类!$C$2:$D$1278,2,0)</f>
        <v>家具产品</v>
      </c>
    </row>
    <row r="8317" spans="1:20">
      <c r="A8317" s="8">
        <f>DATE(2012,12,31)-196</f>
        <v>41078</v>
      </c>
      <c r="B8317" s="8">
        <f>DATE(2012,12,31)-196</f>
        <v>41078</v>
      </c>
      <c r="C8317" s="9" t="s">
        <v>865</v>
      </c>
      <c r="D8317">
        <v>10021249267</v>
      </c>
      <c r="E8317" t="s">
        <v>47</v>
      </c>
      <c r="F8317" t="s">
        <v>78</v>
      </c>
      <c r="G8317" t="s">
        <v>79</v>
      </c>
      <c r="H8317" t="s">
        <v>80</v>
      </c>
      <c r="I8317" t="s">
        <v>81</v>
      </c>
      <c r="J8317" t="s">
        <v>52</v>
      </c>
      <c r="K8317" s="3">
        <v>10095056301</v>
      </c>
      <c r="L8317" s="10">
        <v>41079</v>
      </c>
      <c r="M8317">
        <v>17.77</v>
      </c>
      <c r="N8317" s="11">
        <v>15</v>
      </c>
      <c r="O8317" s="12">
        <v>0.99</v>
      </c>
      <c r="P8317" s="12">
        <v>2.96</v>
      </c>
      <c r="Q8317" s="13">
        <v>-37.67</v>
      </c>
      <c r="R8317" s="36" t="s">
        <v>947</v>
      </c>
      <c r="S8317" s="7">
        <f t="shared" si="723"/>
        <v>1</v>
      </c>
      <c r="T8317" s="15" t="str">
        <f>VLOOKUP(R8317,产品分类!$C$2:$D$1278,2,0)</f>
        <v>办公用品</v>
      </c>
    </row>
    <row r="8318" spans="1:20">
      <c r="A8318" s="16">
        <f>DATE(2012,12,31)-1299</f>
        <v>39975</v>
      </c>
      <c r="B8318" s="16">
        <f>DATE(2012,12,31)-1299</f>
        <v>39975</v>
      </c>
      <c r="C8318" s="9" t="s">
        <v>615</v>
      </c>
      <c r="D8318">
        <v>10021348030</v>
      </c>
      <c r="E8318" t="s">
        <v>47</v>
      </c>
      <c r="F8318" t="s">
        <v>78</v>
      </c>
      <c r="G8318" t="s">
        <v>79</v>
      </c>
      <c r="H8318" t="s">
        <v>80</v>
      </c>
      <c r="I8318" t="s">
        <v>81</v>
      </c>
      <c r="J8318" t="s">
        <v>52</v>
      </c>
      <c r="K8318" s="3">
        <v>100411180063</v>
      </c>
      <c r="L8318" s="10">
        <v>39977</v>
      </c>
      <c r="M8318">
        <v>224.34</v>
      </c>
      <c r="N8318" s="17">
        <v>23</v>
      </c>
      <c r="O8318" s="5">
        <v>8.6</v>
      </c>
      <c r="P8318" s="5">
        <v>6.19</v>
      </c>
      <c r="Q8318" s="6">
        <v>-11.9485</v>
      </c>
      <c r="R8318" s="37" t="s">
        <v>2412</v>
      </c>
      <c r="S8318" s="7">
        <f t="shared" si="723"/>
        <v>2</v>
      </c>
      <c r="T8318" s="15" t="str">
        <f>VLOOKUP(R8318,产品分类!$C$2:$D$1278,2,0)</f>
        <v>家具产品</v>
      </c>
    </row>
    <row r="8319" spans="1:20">
      <c r="A8319" s="8">
        <f>DATE(2012,12,31)-79</f>
        <v>41195</v>
      </c>
      <c r="B8319" s="8">
        <f>DATE(2012,12,31)-79</f>
        <v>41195</v>
      </c>
      <c r="C8319" s="9" t="s">
        <v>615</v>
      </c>
      <c r="D8319">
        <v>10021768045</v>
      </c>
      <c r="E8319" t="s">
        <v>47</v>
      </c>
      <c r="F8319" t="s">
        <v>72</v>
      </c>
      <c r="G8319" t="s">
        <v>73</v>
      </c>
      <c r="H8319" t="s">
        <v>2606</v>
      </c>
      <c r="I8319" t="s">
        <v>2607</v>
      </c>
      <c r="J8319" t="s">
        <v>52</v>
      </c>
      <c r="K8319" s="3">
        <v>100313200969</v>
      </c>
      <c r="L8319" s="10">
        <v>41196</v>
      </c>
      <c r="M8319">
        <v>191.36</v>
      </c>
      <c r="N8319" s="11">
        <v>37</v>
      </c>
      <c r="O8319" s="12">
        <v>4.91</v>
      </c>
      <c r="P8319" s="12">
        <v>4.97</v>
      </c>
      <c r="Q8319" s="13">
        <v>-82.087</v>
      </c>
      <c r="R8319" s="36" t="s">
        <v>1345</v>
      </c>
      <c r="S8319" s="7">
        <f t="shared" si="723"/>
        <v>1</v>
      </c>
      <c r="T8319" s="15" t="str">
        <f>VLOOKUP(R8319,产品分类!$C$2:$D$1278,2,0)</f>
        <v>家具产品</v>
      </c>
    </row>
    <row r="8320" spans="1:20">
      <c r="A8320" s="16">
        <f t="shared" ref="A8320:B8323" si="727">DATE(2012,12,31)-733</f>
        <v>40541</v>
      </c>
      <c r="B8320" s="16">
        <f t="shared" si="727"/>
        <v>40541</v>
      </c>
      <c r="C8320" s="9" t="s">
        <v>1757</v>
      </c>
      <c r="D8320">
        <v>10021675939</v>
      </c>
      <c r="E8320" t="s">
        <v>47</v>
      </c>
      <c r="F8320" t="s">
        <v>72</v>
      </c>
      <c r="G8320" t="s">
        <v>73</v>
      </c>
      <c r="H8320" t="s">
        <v>2606</v>
      </c>
      <c r="I8320" t="s">
        <v>2607</v>
      </c>
      <c r="J8320" t="s">
        <v>52</v>
      </c>
      <c r="K8320" s="3">
        <v>100432523663</v>
      </c>
      <c r="L8320" s="10">
        <v>40558</v>
      </c>
      <c r="M8320">
        <v>9059.9</v>
      </c>
      <c r="N8320" s="17">
        <v>50</v>
      </c>
      <c r="O8320" s="5">
        <v>180.98</v>
      </c>
      <c r="P8320" s="5">
        <v>55.24</v>
      </c>
      <c r="Q8320" s="6">
        <v>778.01</v>
      </c>
      <c r="R8320" s="37" t="s">
        <v>337</v>
      </c>
      <c r="S8320" s="7">
        <f t="shared" si="723"/>
        <v>17</v>
      </c>
      <c r="T8320" s="15" t="str">
        <f>VLOOKUP(R8320,产品分类!$C$2:$D$1278,2,0)</f>
        <v>数码电子</v>
      </c>
    </row>
    <row r="8321" spans="1:20">
      <c r="A8321" s="8">
        <f t="shared" si="727"/>
        <v>40541</v>
      </c>
      <c r="B8321" s="8">
        <f t="shared" si="727"/>
        <v>40541</v>
      </c>
      <c r="C8321" s="9" t="s">
        <v>953</v>
      </c>
      <c r="D8321">
        <v>10021581479</v>
      </c>
      <c r="E8321" t="s">
        <v>47</v>
      </c>
      <c r="F8321" t="s">
        <v>72</v>
      </c>
      <c r="G8321" t="s">
        <v>73</v>
      </c>
      <c r="H8321" t="s">
        <v>2606</v>
      </c>
      <c r="I8321" t="s">
        <v>2607</v>
      </c>
      <c r="J8321" t="s">
        <v>52</v>
      </c>
      <c r="K8321" s="3">
        <v>100424408273</v>
      </c>
      <c r="L8321" s="10">
        <v>40559</v>
      </c>
      <c r="M8321">
        <v>368.17</v>
      </c>
      <c r="N8321" s="11">
        <v>41</v>
      </c>
      <c r="O8321" s="12">
        <v>8.32</v>
      </c>
      <c r="P8321" s="12">
        <v>2.38</v>
      </c>
      <c r="Q8321" s="13">
        <v>-15.12</v>
      </c>
      <c r="R8321" s="36" t="s">
        <v>1962</v>
      </c>
      <c r="S8321" s="7">
        <f t="shared" si="723"/>
        <v>18</v>
      </c>
      <c r="T8321" s="15" t="str">
        <f>VLOOKUP(R8321,产品分类!$C$2:$D$1278,2,0)</f>
        <v>数码电子</v>
      </c>
    </row>
    <row r="8322" spans="1:20">
      <c r="A8322" s="8">
        <f t="shared" si="727"/>
        <v>40541</v>
      </c>
      <c r="B8322" s="8">
        <f t="shared" si="727"/>
        <v>40541</v>
      </c>
      <c r="C8322" s="9" t="s">
        <v>2346</v>
      </c>
      <c r="D8322">
        <v>10021656674</v>
      </c>
      <c r="E8322" t="s">
        <v>47</v>
      </c>
      <c r="F8322" t="s">
        <v>72</v>
      </c>
      <c r="G8322" t="s">
        <v>73</v>
      </c>
      <c r="H8322" t="s">
        <v>2606</v>
      </c>
      <c r="I8322" t="s">
        <v>2607</v>
      </c>
      <c r="J8322" t="s">
        <v>52</v>
      </c>
      <c r="K8322" s="3">
        <v>10092686711</v>
      </c>
      <c r="L8322" s="10">
        <v>40560</v>
      </c>
      <c r="M8322">
        <v>14.46</v>
      </c>
      <c r="N8322" s="11">
        <v>3</v>
      </c>
      <c r="O8322" s="12">
        <v>4.2</v>
      </c>
      <c r="P8322" s="12">
        <v>2.26</v>
      </c>
      <c r="Q8322" s="13">
        <v>-5.26</v>
      </c>
      <c r="R8322" s="36" t="s">
        <v>320</v>
      </c>
      <c r="S8322" s="7">
        <f t="shared" si="723"/>
        <v>19</v>
      </c>
      <c r="T8322" s="15" t="str">
        <f>VLOOKUP(R8322,产品分类!$C$2:$D$1278,2,0)</f>
        <v>办公用品</v>
      </c>
    </row>
    <row r="8323" spans="1:20">
      <c r="A8323" s="8">
        <f t="shared" si="727"/>
        <v>40541</v>
      </c>
      <c r="B8323" s="8">
        <f t="shared" si="727"/>
        <v>40541</v>
      </c>
      <c r="C8323" s="9" t="s">
        <v>2346</v>
      </c>
      <c r="D8323">
        <v>10021426639</v>
      </c>
      <c r="E8323" t="s">
        <v>47</v>
      </c>
      <c r="F8323" t="s">
        <v>78</v>
      </c>
      <c r="G8323" t="s">
        <v>79</v>
      </c>
      <c r="H8323" t="s">
        <v>80</v>
      </c>
      <c r="I8323" t="s">
        <v>81</v>
      </c>
      <c r="J8323" t="s">
        <v>52</v>
      </c>
      <c r="K8323" s="3">
        <v>100430247004</v>
      </c>
      <c r="L8323" s="10">
        <v>40542</v>
      </c>
      <c r="M8323">
        <v>168.39</v>
      </c>
      <c r="N8323" s="11">
        <v>25</v>
      </c>
      <c r="O8323" s="12">
        <v>6.48</v>
      </c>
      <c r="P8323" s="12">
        <v>9.68</v>
      </c>
      <c r="Q8323" s="13">
        <v>-144.89</v>
      </c>
      <c r="R8323" s="36" t="s">
        <v>1739</v>
      </c>
      <c r="S8323" s="7">
        <f t="shared" ref="S8323:S8386" si="728">+L8323-B8323</f>
        <v>1</v>
      </c>
      <c r="T8323" s="15" t="str">
        <f>VLOOKUP(R8323,产品分类!$C$2:$D$1278,2,0)</f>
        <v>家具产品</v>
      </c>
    </row>
    <row r="8324" spans="1:20">
      <c r="A8324" s="8">
        <f>DATE(2012,12,31)-21</f>
        <v>41253</v>
      </c>
      <c r="B8324" s="8">
        <f>DATE(2012,12,31)-21</f>
        <v>41253</v>
      </c>
      <c r="C8324" s="9" t="s">
        <v>2346</v>
      </c>
      <c r="D8324">
        <v>10021338111</v>
      </c>
      <c r="E8324" t="s">
        <v>47</v>
      </c>
      <c r="F8324" t="s">
        <v>72</v>
      </c>
      <c r="G8324" t="s">
        <v>73</v>
      </c>
      <c r="H8324" t="s">
        <v>2652</v>
      </c>
      <c r="I8324" t="s">
        <v>2653</v>
      </c>
      <c r="J8324" t="s">
        <v>52</v>
      </c>
      <c r="K8324" s="3">
        <v>100923032541</v>
      </c>
      <c r="L8324" s="10">
        <v>41255</v>
      </c>
      <c r="M8324">
        <v>505.2</v>
      </c>
      <c r="N8324" s="11">
        <v>12</v>
      </c>
      <c r="O8324" s="12">
        <v>40.98</v>
      </c>
      <c r="P8324" s="12">
        <v>5.33</v>
      </c>
      <c r="Q8324" s="13">
        <v>78.98</v>
      </c>
      <c r="R8324" s="36" t="s">
        <v>1125</v>
      </c>
      <c r="S8324" s="7">
        <f t="shared" si="728"/>
        <v>2</v>
      </c>
      <c r="T8324" s="15" t="str">
        <f>VLOOKUP(R8324,产品分类!$C$2:$D$1278,2,0)</f>
        <v>家具产品</v>
      </c>
    </row>
    <row r="8325" spans="1:20">
      <c r="A8325" s="8">
        <f>DATE(2012,12,31)-21</f>
        <v>41253</v>
      </c>
      <c r="B8325" s="8">
        <f>DATE(2012,12,31)-21</f>
        <v>41253</v>
      </c>
      <c r="C8325" s="9" t="s">
        <v>2346</v>
      </c>
      <c r="D8325">
        <v>10021702370</v>
      </c>
      <c r="E8325" t="s">
        <v>47</v>
      </c>
      <c r="F8325" t="s">
        <v>230</v>
      </c>
      <c r="G8325" t="s">
        <v>231</v>
      </c>
      <c r="H8325" t="s">
        <v>2602</v>
      </c>
      <c r="I8325" t="s">
        <v>2603</v>
      </c>
      <c r="J8325" t="s">
        <v>52</v>
      </c>
      <c r="K8325" s="3">
        <v>10014012418</v>
      </c>
      <c r="L8325" s="10">
        <v>41254</v>
      </c>
      <c r="M8325">
        <v>562.91</v>
      </c>
      <c r="N8325" s="11">
        <v>46</v>
      </c>
      <c r="O8325" s="12">
        <v>12.99</v>
      </c>
      <c r="P8325" s="12">
        <v>14.37</v>
      </c>
      <c r="Q8325" s="13">
        <v>-560.29</v>
      </c>
      <c r="R8325" s="36" t="s">
        <v>1742</v>
      </c>
      <c r="S8325" s="7">
        <f t="shared" si="728"/>
        <v>1</v>
      </c>
      <c r="T8325" s="15" t="str">
        <f>VLOOKUP(R8325,产品分类!$C$2:$D$1278,2,0)</f>
        <v>家具产品</v>
      </c>
    </row>
    <row r="8326" spans="1:20">
      <c r="A8326" s="8">
        <f>DATE(2012,12,31)-664</f>
        <v>40610</v>
      </c>
      <c r="B8326" s="8">
        <f>DATE(2012,12,31)-664</f>
        <v>40610</v>
      </c>
      <c r="C8326" s="9" t="s">
        <v>1234</v>
      </c>
      <c r="D8326">
        <v>10021661453</v>
      </c>
      <c r="E8326" t="s">
        <v>47</v>
      </c>
      <c r="F8326" t="s">
        <v>230</v>
      </c>
      <c r="G8326" t="s">
        <v>231</v>
      </c>
      <c r="H8326" t="s">
        <v>2602</v>
      </c>
      <c r="I8326" t="s">
        <v>2603</v>
      </c>
      <c r="J8326" t="s">
        <v>52</v>
      </c>
      <c r="K8326" s="3">
        <v>100717874625</v>
      </c>
      <c r="L8326" s="10">
        <v>40615</v>
      </c>
      <c r="M8326">
        <v>243.37</v>
      </c>
      <c r="N8326" s="11">
        <v>41</v>
      </c>
      <c r="O8326" s="12">
        <v>5.8</v>
      </c>
      <c r="P8326" s="12">
        <v>5.59</v>
      </c>
      <c r="Q8326" s="13">
        <v>-106.421</v>
      </c>
      <c r="R8326" s="36" t="s">
        <v>215</v>
      </c>
      <c r="S8326" s="7">
        <f t="shared" si="728"/>
        <v>5</v>
      </c>
      <c r="T8326" s="15" t="str">
        <f>VLOOKUP(R8326,产品分类!$C$2:$D$1278,2,0)</f>
        <v>数码电子</v>
      </c>
    </row>
    <row r="8327" spans="1:20">
      <c r="A8327" s="8">
        <f>DATE(2012,12,31)-930</f>
        <v>40344</v>
      </c>
      <c r="B8327" s="8">
        <f>DATE(2012,12,31)-930</f>
        <v>40344</v>
      </c>
      <c r="C8327" s="9" t="s">
        <v>1804</v>
      </c>
      <c r="D8327">
        <v>10021248537</v>
      </c>
      <c r="E8327" t="s">
        <v>47</v>
      </c>
      <c r="F8327" t="s">
        <v>230</v>
      </c>
      <c r="G8327" t="s">
        <v>231</v>
      </c>
      <c r="H8327" t="s">
        <v>2602</v>
      </c>
      <c r="I8327" t="s">
        <v>2603</v>
      </c>
      <c r="J8327" t="s">
        <v>52</v>
      </c>
      <c r="K8327" s="3">
        <v>10032695819</v>
      </c>
      <c r="L8327" s="10">
        <v>40346</v>
      </c>
      <c r="M8327">
        <v>67.58</v>
      </c>
      <c r="N8327" s="11">
        <v>25</v>
      </c>
      <c r="O8327" s="12">
        <v>2.62</v>
      </c>
      <c r="P8327" s="12">
        <v>0.8</v>
      </c>
      <c r="Q8327" s="13">
        <v>16.8</v>
      </c>
      <c r="R8327" s="36" t="s">
        <v>665</v>
      </c>
      <c r="S8327" s="7">
        <f t="shared" si="728"/>
        <v>2</v>
      </c>
      <c r="T8327" s="15" t="str">
        <f>VLOOKUP(R8327,产品分类!$C$2:$D$1278,2,0)</f>
        <v>数码电子</v>
      </c>
    </row>
    <row r="8328" spans="1:20">
      <c r="A8328" s="8">
        <f>DATE(2012,12,31)-749</f>
        <v>40525</v>
      </c>
      <c r="B8328" s="8">
        <f>DATE(2012,12,31)-749</f>
        <v>40525</v>
      </c>
      <c r="C8328" s="9" t="s">
        <v>1130</v>
      </c>
      <c r="D8328">
        <v>10021660190</v>
      </c>
      <c r="E8328" t="s">
        <v>47</v>
      </c>
      <c r="F8328" t="s">
        <v>230</v>
      </c>
      <c r="G8328" t="s">
        <v>231</v>
      </c>
      <c r="H8328" t="s">
        <v>2602</v>
      </c>
      <c r="I8328" t="s">
        <v>2603</v>
      </c>
      <c r="J8328" t="s">
        <v>52</v>
      </c>
      <c r="K8328" s="3">
        <v>100917090671</v>
      </c>
      <c r="L8328" s="10">
        <v>40527</v>
      </c>
      <c r="M8328">
        <v>9225.65</v>
      </c>
      <c r="N8328" s="11">
        <v>26</v>
      </c>
      <c r="O8328" s="12">
        <v>349.45</v>
      </c>
      <c r="P8328" s="12">
        <v>60</v>
      </c>
      <c r="Q8328" s="13">
        <v>1656.46215</v>
      </c>
      <c r="R8328" s="36" t="s">
        <v>1504</v>
      </c>
      <c r="S8328" s="7">
        <f t="shared" si="728"/>
        <v>2</v>
      </c>
      <c r="T8328" s="15" t="str">
        <f>VLOOKUP(R8328,产品分类!$C$2:$D$1278,2,0)</f>
        <v>家具产品</v>
      </c>
    </row>
    <row r="8329" spans="1:20">
      <c r="A8329" s="16">
        <f>DATE(2012,12,31)-1352</f>
        <v>39922</v>
      </c>
      <c r="B8329" s="16">
        <f>DATE(2012,12,31)-1352</f>
        <v>39922</v>
      </c>
      <c r="C8329" s="9" t="s">
        <v>1130</v>
      </c>
      <c r="D8329">
        <v>10021498783</v>
      </c>
      <c r="E8329" t="s">
        <v>47</v>
      </c>
      <c r="F8329" t="s">
        <v>78</v>
      </c>
      <c r="G8329" t="s">
        <v>79</v>
      </c>
      <c r="H8329" t="s">
        <v>80</v>
      </c>
      <c r="I8329" t="s">
        <v>81</v>
      </c>
      <c r="J8329" t="s">
        <v>52</v>
      </c>
      <c r="K8329" s="3">
        <v>100123492578</v>
      </c>
      <c r="L8329" s="10">
        <v>39924</v>
      </c>
      <c r="M8329">
        <v>18092.66</v>
      </c>
      <c r="N8329" s="17">
        <v>36</v>
      </c>
      <c r="O8329" s="5">
        <v>525.98</v>
      </c>
      <c r="P8329" s="5">
        <v>19.99</v>
      </c>
      <c r="Q8329" s="6">
        <v>7917.7585</v>
      </c>
      <c r="R8329" s="37" t="s">
        <v>730</v>
      </c>
      <c r="S8329" s="7">
        <f t="shared" si="728"/>
        <v>2</v>
      </c>
      <c r="T8329" s="15" t="str">
        <f>VLOOKUP(R8329,产品分类!$C$2:$D$1278,2,0)</f>
        <v>办公用品</v>
      </c>
    </row>
    <row r="8330" spans="1:20">
      <c r="A8330" s="16">
        <f>DATE(2012,12,31)-906</f>
        <v>40368</v>
      </c>
      <c r="B8330" s="16">
        <f>DATE(2012,12,31)-906</f>
        <v>40368</v>
      </c>
      <c r="C8330" s="9" t="s">
        <v>1794</v>
      </c>
      <c r="D8330">
        <v>10021420097</v>
      </c>
      <c r="E8330" t="s">
        <v>47</v>
      </c>
      <c r="F8330" t="s">
        <v>230</v>
      </c>
      <c r="G8330" t="s">
        <v>231</v>
      </c>
      <c r="H8330" t="s">
        <v>2602</v>
      </c>
      <c r="I8330" t="s">
        <v>2603</v>
      </c>
      <c r="J8330" t="s">
        <v>52</v>
      </c>
      <c r="K8330" s="3">
        <v>100124613257</v>
      </c>
      <c r="L8330" s="10">
        <v>40372</v>
      </c>
      <c r="M8330">
        <v>223.59</v>
      </c>
      <c r="N8330" s="17">
        <v>34</v>
      </c>
      <c r="O8330" s="5">
        <v>6.48</v>
      </c>
      <c r="P8330" s="5">
        <v>5.74</v>
      </c>
      <c r="Q8330" s="6">
        <v>-66.05</v>
      </c>
      <c r="R8330" s="37" t="s">
        <v>1584</v>
      </c>
      <c r="S8330" s="7">
        <f t="shared" si="728"/>
        <v>4</v>
      </c>
      <c r="T8330" s="15" t="str">
        <f>VLOOKUP(R8330,产品分类!$C$2:$D$1278,2,0)</f>
        <v>办公用品</v>
      </c>
    </row>
    <row r="8331" spans="1:20">
      <c r="A8331" s="16">
        <f>DATE(2012,12,31)-1393</f>
        <v>39881</v>
      </c>
      <c r="B8331" s="16">
        <f>DATE(2012,12,31)-1393</f>
        <v>39881</v>
      </c>
      <c r="C8331" s="9" t="s">
        <v>2446</v>
      </c>
      <c r="D8331">
        <v>10021660804</v>
      </c>
      <c r="E8331" t="s">
        <v>47</v>
      </c>
      <c r="F8331" t="s">
        <v>230</v>
      </c>
      <c r="G8331" t="s">
        <v>231</v>
      </c>
      <c r="H8331" t="s">
        <v>2602</v>
      </c>
      <c r="I8331" t="s">
        <v>2603</v>
      </c>
      <c r="J8331" t="s">
        <v>52</v>
      </c>
      <c r="K8331" s="3">
        <v>100412583074</v>
      </c>
      <c r="L8331" s="10">
        <v>39885</v>
      </c>
      <c r="M8331">
        <v>285.01</v>
      </c>
      <c r="N8331" s="17">
        <v>35</v>
      </c>
      <c r="O8331" s="5">
        <v>7.64</v>
      </c>
      <c r="P8331" s="5">
        <v>1.39</v>
      </c>
      <c r="Q8331" s="6">
        <v>124.82</v>
      </c>
      <c r="R8331" s="37" t="s">
        <v>1220</v>
      </c>
      <c r="S8331" s="7">
        <f t="shared" si="728"/>
        <v>4</v>
      </c>
      <c r="T8331" s="15" t="str">
        <f>VLOOKUP(R8331,产品分类!$C$2:$D$1278,2,0)</f>
        <v>家具产品</v>
      </c>
    </row>
    <row r="8332" spans="1:20">
      <c r="A8332" s="8">
        <f>DATE(2012,12,31)-1393</f>
        <v>39881</v>
      </c>
      <c r="B8332" s="8">
        <f>DATE(2012,12,31)-1393</f>
        <v>39881</v>
      </c>
      <c r="C8332" s="9" t="s">
        <v>2446</v>
      </c>
      <c r="D8332">
        <v>10021465435</v>
      </c>
      <c r="E8332" t="s">
        <v>47</v>
      </c>
      <c r="F8332" t="s">
        <v>2517</v>
      </c>
      <c r="G8332" t="s">
        <v>2518</v>
      </c>
      <c r="H8332" t="s">
        <v>2619</v>
      </c>
      <c r="I8332" t="s">
        <v>2620</v>
      </c>
      <c r="J8332" t="s">
        <v>52</v>
      </c>
      <c r="K8332" s="3">
        <v>100115869966</v>
      </c>
      <c r="L8332" s="10">
        <v>39885</v>
      </c>
      <c r="M8332">
        <v>12215.43</v>
      </c>
      <c r="N8332" s="11">
        <v>33</v>
      </c>
      <c r="O8332" s="12">
        <v>400.97</v>
      </c>
      <c r="P8332" s="12">
        <v>48.26</v>
      </c>
      <c r="Q8332" s="13">
        <v>5255.45</v>
      </c>
      <c r="R8332" s="36" t="s">
        <v>1543</v>
      </c>
      <c r="S8332" s="7">
        <f t="shared" si="728"/>
        <v>4</v>
      </c>
      <c r="T8332" s="15" t="str">
        <f>VLOOKUP(R8332,产品分类!$C$2:$D$1278,2,0)</f>
        <v>家具产品</v>
      </c>
    </row>
    <row r="8333" spans="1:20">
      <c r="A8333" s="8">
        <f>DATE(2012,12,31)-750</f>
        <v>40524</v>
      </c>
      <c r="B8333" s="8">
        <f>DATE(2012,12,31)-750</f>
        <v>40524</v>
      </c>
      <c r="C8333" s="9" t="s">
        <v>1201</v>
      </c>
      <c r="D8333">
        <v>10021496237</v>
      </c>
      <c r="E8333" t="s">
        <v>47</v>
      </c>
      <c r="F8333" t="s">
        <v>434</v>
      </c>
      <c r="G8333" t="s">
        <v>435</v>
      </c>
      <c r="H8333" t="s">
        <v>436</v>
      </c>
      <c r="I8333" t="s">
        <v>437</v>
      </c>
      <c r="J8333" t="s">
        <v>52</v>
      </c>
      <c r="K8333" s="3">
        <v>10047690693</v>
      </c>
      <c r="L8333" s="10">
        <v>40525</v>
      </c>
      <c r="M8333">
        <v>917.31</v>
      </c>
      <c r="N8333" s="11">
        <v>19</v>
      </c>
      <c r="O8333" s="12">
        <v>49.99</v>
      </c>
      <c r="P8333" s="12">
        <v>19.99</v>
      </c>
      <c r="Q8333" s="13">
        <v>-139.86</v>
      </c>
      <c r="R8333" s="36" t="s">
        <v>624</v>
      </c>
      <c r="S8333" s="7">
        <f t="shared" si="728"/>
        <v>1</v>
      </c>
      <c r="T8333" s="15" t="str">
        <f>VLOOKUP(R8333,产品分类!$C$2:$D$1278,2,0)</f>
        <v>数码电子</v>
      </c>
    </row>
    <row r="8334" spans="1:20">
      <c r="A8334" s="8">
        <f>DATE(2012,12,31)-1324</f>
        <v>39950</v>
      </c>
      <c r="B8334" s="8">
        <f>DATE(2012,12,31)-1324</f>
        <v>39950</v>
      </c>
      <c r="C8334" s="9" t="s">
        <v>2346</v>
      </c>
      <c r="D8334">
        <v>10021678529</v>
      </c>
      <c r="E8334" t="s">
        <v>47</v>
      </c>
      <c r="F8334" t="s">
        <v>2517</v>
      </c>
      <c r="G8334" t="s">
        <v>2518</v>
      </c>
      <c r="H8334" t="s">
        <v>2654</v>
      </c>
      <c r="I8334" t="s">
        <v>2655</v>
      </c>
      <c r="J8334" t="s">
        <v>52</v>
      </c>
      <c r="K8334" s="3">
        <v>100832938212</v>
      </c>
      <c r="L8334" s="10">
        <v>39957</v>
      </c>
      <c r="M8334">
        <v>3575.23</v>
      </c>
      <c r="N8334" s="11">
        <v>30</v>
      </c>
      <c r="O8334" s="12">
        <v>113.98</v>
      </c>
      <c r="P8334" s="12">
        <v>30</v>
      </c>
      <c r="Q8334" s="13">
        <v>87.88</v>
      </c>
      <c r="R8334" s="36" t="s">
        <v>298</v>
      </c>
      <c r="S8334" s="7">
        <f t="shared" si="728"/>
        <v>7</v>
      </c>
      <c r="T8334" s="15" t="str">
        <f>VLOOKUP(R8334,产品分类!$C$2:$D$1278,2,0)</f>
        <v>办公用品</v>
      </c>
    </row>
    <row r="8335" spans="1:20">
      <c r="A8335" s="8">
        <f>DATE(2012,12,31)-1045</f>
        <v>40229</v>
      </c>
      <c r="B8335" s="8">
        <f>DATE(2012,12,31)-1045</f>
        <v>40229</v>
      </c>
      <c r="C8335" s="9" t="s">
        <v>1517</v>
      </c>
      <c r="D8335">
        <v>10021259660</v>
      </c>
      <c r="E8335" t="s">
        <v>47</v>
      </c>
      <c r="F8335" t="s">
        <v>473</v>
      </c>
      <c r="G8335" t="s">
        <v>474</v>
      </c>
      <c r="H8335" t="s">
        <v>2639</v>
      </c>
      <c r="I8335" t="s">
        <v>2640</v>
      </c>
      <c r="J8335" t="s">
        <v>52</v>
      </c>
      <c r="K8335" s="3">
        <v>100728019785</v>
      </c>
      <c r="L8335" s="10">
        <v>40229</v>
      </c>
      <c r="M8335">
        <v>6776.92</v>
      </c>
      <c r="N8335" s="11">
        <v>21</v>
      </c>
      <c r="O8335" s="12">
        <v>306.14</v>
      </c>
      <c r="P8335" s="12">
        <v>26.53</v>
      </c>
      <c r="Q8335" s="13">
        <v>1395.02</v>
      </c>
      <c r="R8335" s="36" t="s">
        <v>471</v>
      </c>
      <c r="S8335" s="7">
        <f t="shared" si="728"/>
        <v>0</v>
      </c>
      <c r="T8335" s="15" t="str">
        <f>VLOOKUP(R8335,产品分类!$C$2:$D$1278,2,0)</f>
        <v>办公用品</v>
      </c>
    </row>
    <row r="8336" spans="1:20">
      <c r="A8336" s="8">
        <f t="shared" ref="A8336:B8340" si="729">DATE(2012,12,31)-19</f>
        <v>41255</v>
      </c>
      <c r="B8336" s="8">
        <f t="shared" si="729"/>
        <v>41255</v>
      </c>
      <c r="C8336" s="9" t="s">
        <v>1517</v>
      </c>
      <c r="D8336">
        <v>10021460081</v>
      </c>
      <c r="E8336" t="s">
        <v>47</v>
      </c>
      <c r="F8336" t="s">
        <v>55</v>
      </c>
      <c r="G8336" t="s">
        <v>56</v>
      </c>
      <c r="H8336" t="s">
        <v>2656</v>
      </c>
      <c r="I8336" t="s">
        <v>2657</v>
      </c>
      <c r="J8336" t="s">
        <v>52</v>
      </c>
      <c r="K8336" s="3">
        <v>10088894902</v>
      </c>
      <c r="L8336" s="10">
        <v>41257</v>
      </c>
      <c r="M8336">
        <v>1837.94</v>
      </c>
      <c r="N8336" s="11">
        <v>18</v>
      </c>
      <c r="O8336" s="12">
        <v>99.23</v>
      </c>
      <c r="P8336" s="12">
        <v>8.99</v>
      </c>
      <c r="Q8336" s="13">
        <v>1249.43</v>
      </c>
      <c r="R8336" s="36" t="s">
        <v>126</v>
      </c>
      <c r="S8336" s="7">
        <f t="shared" si="728"/>
        <v>2</v>
      </c>
      <c r="T8336" s="15" t="str">
        <f>VLOOKUP(R8336,产品分类!$C$2:$D$1278,2,0)</f>
        <v>家具产品</v>
      </c>
    </row>
    <row r="8337" spans="1:20">
      <c r="A8337" s="8">
        <f t="shared" si="729"/>
        <v>41255</v>
      </c>
      <c r="B8337" s="8">
        <f t="shared" si="729"/>
        <v>41255</v>
      </c>
      <c r="C8337" s="9" t="s">
        <v>773</v>
      </c>
      <c r="D8337">
        <v>10021574836</v>
      </c>
      <c r="E8337" t="s">
        <v>47</v>
      </c>
      <c r="F8337" t="s">
        <v>122</v>
      </c>
      <c r="G8337" t="s">
        <v>123</v>
      </c>
      <c r="H8337" t="s">
        <v>2458</v>
      </c>
      <c r="I8337" t="s">
        <v>2459</v>
      </c>
      <c r="J8337" t="s">
        <v>52</v>
      </c>
      <c r="K8337" s="3">
        <v>10016697778</v>
      </c>
      <c r="L8337" s="10">
        <v>41256</v>
      </c>
      <c r="M8337">
        <v>4408.27</v>
      </c>
      <c r="N8337" s="11">
        <v>24</v>
      </c>
      <c r="O8337" s="12">
        <v>180.98</v>
      </c>
      <c r="P8337" s="12">
        <v>30</v>
      </c>
      <c r="Q8337" s="13">
        <v>329.28</v>
      </c>
      <c r="R8337" s="36" t="s">
        <v>349</v>
      </c>
      <c r="S8337" s="7">
        <f t="shared" si="728"/>
        <v>1</v>
      </c>
      <c r="T8337" s="15" t="str">
        <f>VLOOKUP(R8337,产品分类!$C$2:$D$1278,2,0)</f>
        <v>数码电子</v>
      </c>
    </row>
    <row r="8338" spans="1:20">
      <c r="A8338" s="8">
        <f t="shared" si="729"/>
        <v>41255</v>
      </c>
      <c r="B8338" s="8">
        <f t="shared" si="729"/>
        <v>41255</v>
      </c>
      <c r="C8338" s="9" t="s">
        <v>1621</v>
      </c>
      <c r="D8338">
        <v>10021414609</v>
      </c>
      <c r="E8338" t="s">
        <v>47</v>
      </c>
      <c r="F8338" t="s">
        <v>91</v>
      </c>
      <c r="G8338" t="s">
        <v>92</v>
      </c>
      <c r="H8338" t="s">
        <v>2621</v>
      </c>
      <c r="I8338" t="s">
        <v>2622</v>
      </c>
      <c r="J8338" t="s">
        <v>52</v>
      </c>
      <c r="K8338" s="3">
        <v>10095346481</v>
      </c>
      <c r="L8338" s="10">
        <v>41256</v>
      </c>
      <c r="M8338">
        <v>24391.16</v>
      </c>
      <c r="N8338" s="11">
        <v>28</v>
      </c>
      <c r="O8338" s="12">
        <v>880.98</v>
      </c>
      <c r="P8338" s="12">
        <v>44.55</v>
      </c>
      <c r="Q8338" s="13">
        <v>-9611.91</v>
      </c>
      <c r="R8338" s="36" t="s">
        <v>289</v>
      </c>
      <c r="S8338" s="7">
        <f t="shared" si="728"/>
        <v>1</v>
      </c>
      <c r="T8338" s="15" t="str">
        <f>VLOOKUP(R8338,产品分类!$C$2:$D$1278,2,0)</f>
        <v>办公用品</v>
      </c>
    </row>
    <row r="8339" spans="1:20">
      <c r="A8339" s="16">
        <f t="shared" si="729"/>
        <v>41255</v>
      </c>
      <c r="B8339" s="16">
        <f t="shared" si="729"/>
        <v>41255</v>
      </c>
      <c r="C8339" s="9" t="s">
        <v>1934</v>
      </c>
      <c r="D8339">
        <v>10021496326</v>
      </c>
      <c r="E8339" t="s">
        <v>47</v>
      </c>
      <c r="F8339" t="s">
        <v>122</v>
      </c>
      <c r="G8339" t="s">
        <v>123</v>
      </c>
      <c r="H8339" t="s">
        <v>2458</v>
      </c>
      <c r="I8339" t="s">
        <v>2459</v>
      </c>
      <c r="J8339" t="s">
        <v>52</v>
      </c>
      <c r="K8339" s="3">
        <v>10018536477</v>
      </c>
      <c r="L8339" s="10">
        <v>41256</v>
      </c>
      <c r="M8339">
        <v>262.13</v>
      </c>
      <c r="N8339" s="17">
        <v>43</v>
      </c>
      <c r="O8339" s="5">
        <v>5.58</v>
      </c>
      <c r="P8339" s="5">
        <v>5.3</v>
      </c>
      <c r="Q8339" s="6">
        <v>-60.91</v>
      </c>
      <c r="R8339" s="37" t="s">
        <v>765</v>
      </c>
      <c r="S8339" s="7">
        <f t="shared" si="728"/>
        <v>1</v>
      </c>
      <c r="T8339" s="15" t="str">
        <f>VLOOKUP(R8339,产品分类!$C$2:$D$1278,2,0)</f>
        <v>办公用品</v>
      </c>
    </row>
    <row r="8340" spans="1:20">
      <c r="A8340" s="8">
        <f t="shared" si="729"/>
        <v>41255</v>
      </c>
      <c r="B8340" s="8">
        <f t="shared" si="729"/>
        <v>41255</v>
      </c>
      <c r="C8340" s="9" t="s">
        <v>1761</v>
      </c>
      <c r="D8340">
        <v>10021672719</v>
      </c>
      <c r="E8340" t="s">
        <v>47</v>
      </c>
      <c r="F8340" t="s">
        <v>91</v>
      </c>
      <c r="G8340" t="s">
        <v>92</v>
      </c>
      <c r="H8340" t="s">
        <v>2621</v>
      </c>
      <c r="I8340" t="s">
        <v>2622</v>
      </c>
      <c r="J8340" t="s">
        <v>52</v>
      </c>
      <c r="K8340" s="3">
        <v>100331582939</v>
      </c>
      <c r="L8340" s="10">
        <v>41256</v>
      </c>
      <c r="M8340">
        <v>173.12</v>
      </c>
      <c r="N8340" s="11">
        <v>24</v>
      </c>
      <c r="O8340" s="12">
        <v>7.28</v>
      </c>
      <c r="P8340" s="12">
        <v>11.15</v>
      </c>
      <c r="Q8340" s="13">
        <v>-166.41</v>
      </c>
      <c r="R8340" s="36" t="s">
        <v>1706</v>
      </c>
      <c r="S8340" s="7">
        <f t="shared" si="728"/>
        <v>1</v>
      </c>
      <c r="T8340" s="15" t="str">
        <f>VLOOKUP(R8340,产品分类!$C$2:$D$1278,2,0)</f>
        <v>办公用品</v>
      </c>
    </row>
    <row r="8341" spans="1:20">
      <c r="A8341" s="8">
        <f>DATE(2012,12,31)-865</f>
        <v>40409</v>
      </c>
      <c r="B8341" s="8">
        <f>DATE(2012,12,31)-865</f>
        <v>40409</v>
      </c>
      <c r="C8341" s="9" t="s">
        <v>1761</v>
      </c>
      <c r="D8341">
        <v>10021576749</v>
      </c>
      <c r="E8341" t="s">
        <v>47</v>
      </c>
      <c r="F8341" t="s">
        <v>91</v>
      </c>
      <c r="G8341" t="s">
        <v>92</v>
      </c>
      <c r="H8341" t="s">
        <v>2621</v>
      </c>
      <c r="I8341" t="s">
        <v>2622</v>
      </c>
      <c r="J8341" t="s">
        <v>52</v>
      </c>
      <c r="K8341" s="3">
        <v>100716099285</v>
      </c>
      <c r="L8341" s="10">
        <v>40414</v>
      </c>
      <c r="M8341">
        <v>77.43</v>
      </c>
      <c r="N8341" s="11">
        <v>36</v>
      </c>
      <c r="O8341" s="12">
        <v>2.08</v>
      </c>
      <c r="P8341" s="12">
        <v>2.56</v>
      </c>
      <c r="Q8341" s="13">
        <v>-60.07</v>
      </c>
      <c r="R8341" s="36" t="s">
        <v>2658</v>
      </c>
      <c r="S8341" s="7">
        <f t="shared" si="728"/>
        <v>5</v>
      </c>
      <c r="T8341" s="15" t="str">
        <f>VLOOKUP(R8341,产品分类!$C$2:$D$1278,2,0)</f>
        <v>办公用品</v>
      </c>
    </row>
    <row r="8342" spans="1:20">
      <c r="A8342" s="8">
        <f>DATE(2012,12,31)-664</f>
        <v>40610</v>
      </c>
      <c r="B8342" s="8">
        <f>DATE(2012,12,31)-664</f>
        <v>40610</v>
      </c>
      <c r="C8342" s="9" t="s">
        <v>396</v>
      </c>
      <c r="D8342">
        <v>10021318614</v>
      </c>
      <c r="E8342" t="s">
        <v>47</v>
      </c>
      <c r="F8342" t="s">
        <v>122</v>
      </c>
      <c r="G8342" t="s">
        <v>123</v>
      </c>
      <c r="H8342" t="s">
        <v>2458</v>
      </c>
      <c r="I8342" t="s">
        <v>2459</v>
      </c>
      <c r="J8342" t="s">
        <v>52</v>
      </c>
      <c r="K8342" s="3">
        <v>10012440866</v>
      </c>
      <c r="L8342" s="10">
        <v>40612</v>
      </c>
      <c r="M8342">
        <v>138.67</v>
      </c>
      <c r="N8342" s="11">
        <v>12</v>
      </c>
      <c r="O8342" s="12">
        <v>11.7</v>
      </c>
      <c r="P8342" s="12">
        <v>5.63</v>
      </c>
      <c r="Q8342" s="13">
        <v>-9.7175</v>
      </c>
      <c r="R8342" s="36" t="s">
        <v>767</v>
      </c>
      <c r="S8342" s="7">
        <f t="shared" si="728"/>
        <v>2</v>
      </c>
      <c r="T8342" s="15" t="str">
        <f>VLOOKUP(R8342,产品分类!$C$2:$D$1278,2,0)</f>
        <v>家具产品</v>
      </c>
    </row>
    <row r="8343" spans="1:20">
      <c r="A8343" s="8">
        <f>DATE(2012,12,31)-664</f>
        <v>40610</v>
      </c>
      <c r="B8343" s="8">
        <f>DATE(2012,12,31)-664</f>
        <v>40610</v>
      </c>
      <c r="C8343" s="9" t="s">
        <v>396</v>
      </c>
      <c r="D8343">
        <v>10021596320</v>
      </c>
      <c r="E8343" t="s">
        <v>47</v>
      </c>
      <c r="F8343" t="s">
        <v>122</v>
      </c>
      <c r="G8343" t="s">
        <v>123</v>
      </c>
      <c r="H8343" t="s">
        <v>2458</v>
      </c>
      <c r="I8343" t="s">
        <v>2459</v>
      </c>
      <c r="J8343" t="s">
        <v>52</v>
      </c>
      <c r="K8343" s="3">
        <v>100432843974</v>
      </c>
      <c r="L8343" s="10">
        <v>40611</v>
      </c>
      <c r="M8343">
        <v>506.84</v>
      </c>
      <c r="N8343" s="11">
        <v>16</v>
      </c>
      <c r="O8343" s="12">
        <v>30.98</v>
      </c>
      <c r="P8343" s="12">
        <v>6.5</v>
      </c>
      <c r="Q8343" s="13">
        <v>-38.32</v>
      </c>
      <c r="R8343" s="36" t="s">
        <v>640</v>
      </c>
      <c r="S8343" s="7">
        <f t="shared" si="728"/>
        <v>1</v>
      </c>
      <c r="T8343" s="15" t="str">
        <f>VLOOKUP(R8343,产品分类!$C$2:$D$1278,2,0)</f>
        <v>办公用品</v>
      </c>
    </row>
    <row r="8344" spans="1:20">
      <c r="A8344" s="8">
        <f>DATE(2012,12,31)-558</f>
        <v>40716</v>
      </c>
      <c r="B8344" s="8">
        <f>DATE(2012,12,31)-558</f>
        <v>40716</v>
      </c>
      <c r="C8344" s="9" t="s">
        <v>1682</v>
      </c>
      <c r="D8344">
        <v>10021263684</v>
      </c>
      <c r="E8344" t="s">
        <v>47</v>
      </c>
      <c r="F8344" t="s">
        <v>122</v>
      </c>
      <c r="G8344" t="s">
        <v>123</v>
      </c>
      <c r="H8344" t="s">
        <v>2458</v>
      </c>
      <c r="I8344" t="s">
        <v>2459</v>
      </c>
      <c r="J8344" t="s">
        <v>52</v>
      </c>
      <c r="K8344" s="3">
        <v>100130824887</v>
      </c>
      <c r="L8344" s="10">
        <v>40716</v>
      </c>
      <c r="M8344">
        <v>9261.24</v>
      </c>
      <c r="N8344" s="11">
        <v>46</v>
      </c>
      <c r="O8344" s="12">
        <v>193.17</v>
      </c>
      <c r="P8344" s="12">
        <v>19.99</v>
      </c>
      <c r="Q8344" s="13">
        <v>1646.43</v>
      </c>
      <c r="R8344" s="36" t="s">
        <v>1042</v>
      </c>
      <c r="S8344" s="7">
        <f t="shared" si="728"/>
        <v>0</v>
      </c>
      <c r="T8344" s="15" t="str">
        <f>VLOOKUP(R8344,产品分类!$C$2:$D$1278,2,0)</f>
        <v>家具产品</v>
      </c>
    </row>
    <row r="8345" spans="1:20">
      <c r="A8345" s="8">
        <f>DATE(2012,12,31)-558</f>
        <v>40716</v>
      </c>
      <c r="B8345" s="8">
        <f>DATE(2012,12,31)-558</f>
        <v>40716</v>
      </c>
      <c r="C8345" s="9" t="s">
        <v>1682</v>
      </c>
      <c r="D8345">
        <v>10021338550</v>
      </c>
      <c r="E8345" t="s">
        <v>47</v>
      </c>
      <c r="F8345" t="s">
        <v>55</v>
      </c>
      <c r="G8345" t="s">
        <v>56</v>
      </c>
      <c r="H8345" t="s">
        <v>2656</v>
      </c>
      <c r="I8345" t="s">
        <v>2657</v>
      </c>
      <c r="J8345" t="s">
        <v>52</v>
      </c>
      <c r="K8345" s="3">
        <v>100123976436</v>
      </c>
      <c r="L8345" s="10">
        <v>40717</v>
      </c>
      <c r="M8345">
        <v>28.98</v>
      </c>
      <c r="N8345" s="11">
        <v>2</v>
      </c>
      <c r="O8345" s="12">
        <v>12.64</v>
      </c>
      <c r="P8345" s="12">
        <v>4.98</v>
      </c>
      <c r="Q8345" s="13">
        <v>-18.39</v>
      </c>
      <c r="R8345" s="36" t="s">
        <v>1314</v>
      </c>
      <c r="S8345" s="7">
        <f t="shared" si="728"/>
        <v>1</v>
      </c>
      <c r="T8345" s="15" t="str">
        <f>VLOOKUP(R8345,产品分类!$C$2:$D$1278,2,0)</f>
        <v>家具产品</v>
      </c>
    </row>
    <row r="8346" spans="1:20">
      <c r="A8346" s="8">
        <f>DATE(2012,12,31)-747</f>
        <v>40527</v>
      </c>
      <c r="B8346" s="8">
        <f>DATE(2012,12,31)-747</f>
        <v>40527</v>
      </c>
      <c r="C8346" s="9" t="s">
        <v>2065</v>
      </c>
      <c r="D8346">
        <v>10021676234</v>
      </c>
      <c r="E8346" t="s">
        <v>47</v>
      </c>
      <c r="F8346" t="s">
        <v>91</v>
      </c>
      <c r="G8346" t="s">
        <v>92</v>
      </c>
      <c r="H8346" t="s">
        <v>2621</v>
      </c>
      <c r="I8346" t="s">
        <v>2622</v>
      </c>
      <c r="J8346" t="s">
        <v>52</v>
      </c>
      <c r="K8346" s="3">
        <v>100832545452</v>
      </c>
      <c r="L8346" s="10">
        <v>40529</v>
      </c>
      <c r="M8346">
        <v>51.56</v>
      </c>
      <c r="N8346" s="11">
        <v>14</v>
      </c>
      <c r="O8346" s="12">
        <v>3.71</v>
      </c>
      <c r="P8346" s="12">
        <v>1.93</v>
      </c>
      <c r="Q8346" s="13">
        <v>-1.06</v>
      </c>
      <c r="R8346" s="36" t="s">
        <v>1915</v>
      </c>
      <c r="S8346" s="7">
        <f t="shared" si="728"/>
        <v>2</v>
      </c>
      <c r="T8346" s="15" t="str">
        <f>VLOOKUP(R8346,产品分类!$C$2:$D$1278,2,0)</f>
        <v>办公用品</v>
      </c>
    </row>
    <row r="8347" spans="1:20">
      <c r="A8347" s="8">
        <f>DATE(2012,12,31)-1105</f>
        <v>40169</v>
      </c>
      <c r="B8347" s="8">
        <f>DATE(2012,12,31)-1105</f>
        <v>40169</v>
      </c>
      <c r="C8347" s="9" t="s">
        <v>1935</v>
      </c>
      <c r="D8347">
        <v>10021522321</v>
      </c>
      <c r="E8347" t="s">
        <v>47</v>
      </c>
      <c r="F8347" t="s">
        <v>91</v>
      </c>
      <c r="G8347" t="s">
        <v>92</v>
      </c>
      <c r="H8347" t="s">
        <v>2621</v>
      </c>
      <c r="I8347" t="s">
        <v>2622</v>
      </c>
      <c r="J8347" t="s">
        <v>52</v>
      </c>
      <c r="K8347" s="3">
        <v>10044646433</v>
      </c>
      <c r="L8347" s="10">
        <v>40173</v>
      </c>
      <c r="M8347">
        <v>200.1</v>
      </c>
      <c r="N8347" s="11">
        <v>42</v>
      </c>
      <c r="O8347" s="12">
        <v>4.71</v>
      </c>
      <c r="P8347" s="12">
        <v>0.7</v>
      </c>
      <c r="Q8347" s="13">
        <v>3.02</v>
      </c>
      <c r="R8347" s="36" t="s">
        <v>2586</v>
      </c>
      <c r="S8347" s="7">
        <f t="shared" si="728"/>
        <v>4</v>
      </c>
      <c r="T8347" s="15" t="str">
        <f>VLOOKUP(R8347,产品分类!$C$2:$D$1278,2,0)</f>
        <v>数码电子</v>
      </c>
    </row>
    <row r="8348" spans="1:20">
      <c r="A8348" s="8">
        <f>DATE(2012,12,31)-1105</f>
        <v>40169</v>
      </c>
      <c r="B8348" s="8">
        <f>DATE(2012,12,31)-1105</f>
        <v>40169</v>
      </c>
      <c r="C8348" s="9" t="s">
        <v>1054</v>
      </c>
      <c r="D8348">
        <v>10021595682</v>
      </c>
      <c r="E8348" t="s">
        <v>47</v>
      </c>
      <c r="F8348" t="s">
        <v>91</v>
      </c>
      <c r="G8348" t="s">
        <v>92</v>
      </c>
      <c r="H8348" t="s">
        <v>2621</v>
      </c>
      <c r="I8348" t="s">
        <v>2622</v>
      </c>
      <c r="J8348" t="s">
        <v>52</v>
      </c>
      <c r="K8348" s="3">
        <v>100132812888</v>
      </c>
      <c r="L8348" s="10">
        <v>40174</v>
      </c>
      <c r="M8348">
        <v>120.54</v>
      </c>
      <c r="N8348" s="11">
        <v>28</v>
      </c>
      <c r="O8348" s="12">
        <v>4.2</v>
      </c>
      <c r="P8348" s="12">
        <v>2.26</v>
      </c>
      <c r="Q8348" s="13">
        <v>6.52</v>
      </c>
      <c r="R8348" s="36" t="s">
        <v>443</v>
      </c>
      <c r="S8348" s="7">
        <f t="shared" si="728"/>
        <v>5</v>
      </c>
      <c r="T8348" s="15" t="str">
        <f>VLOOKUP(R8348,产品分类!$C$2:$D$1278,2,0)</f>
        <v>办公用品</v>
      </c>
    </row>
    <row r="8349" spans="1:20">
      <c r="A8349" s="8">
        <f>DATE(2012,12,31)-217</f>
        <v>41057</v>
      </c>
      <c r="B8349" s="8">
        <f>DATE(2012,12,31)-217</f>
        <v>41057</v>
      </c>
      <c r="C8349" s="9" t="s">
        <v>1678</v>
      </c>
      <c r="D8349">
        <v>10021506714</v>
      </c>
      <c r="E8349" t="s">
        <v>47</v>
      </c>
      <c r="F8349" t="s">
        <v>55</v>
      </c>
      <c r="G8349" t="s">
        <v>56</v>
      </c>
      <c r="H8349" t="s">
        <v>2656</v>
      </c>
      <c r="I8349" t="s">
        <v>2657</v>
      </c>
      <c r="J8349" t="s">
        <v>52</v>
      </c>
      <c r="K8349" s="3">
        <v>100331491219</v>
      </c>
      <c r="L8349" s="10">
        <v>41058</v>
      </c>
      <c r="M8349">
        <v>112.4</v>
      </c>
      <c r="N8349" s="11">
        <v>6</v>
      </c>
      <c r="O8349" s="12">
        <v>17.98</v>
      </c>
      <c r="P8349" s="12">
        <v>8.51</v>
      </c>
      <c r="Q8349" s="13">
        <v>-46.7451</v>
      </c>
      <c r="R8349" s="36" t="s">
        <v>2133</v>
      </c>
      <c r="S8349" s="7">
        <f t="shared" si="728"/>
        <v>1</v>
      </c>
      <c r="T8349" s="15" t="str">
        <f>VLOOKUP(R8349,产品分类!$C$2:$D$1278,2,0)</f>
        <v>数码电子</v>
      </c>
    </row>
    <row r="8350" spans="1:20">
      <c r="A8350" s="8">
        <f>DATE(2012,12,31)-217</f>
        <v>41057</v>
      </c>
      <c r="B8350" s="8">
        <f>DATE(2012,12,31)-217</f>
        <v>41057</v>
      </c>
      <c r="C8350" s="9" t="s">
        <v>319</v>
      </c>
      <c r="D8350">
        <v>10021578197</v>
      </c>
      <c r="E8350" t="s">
        <v>47</v>
      </c>
      <c r="F8350" t="s">
        <v>91</v>
      </c>
      <c r="G8350" t="s">
        <v>92</v>
      </c>
      <c r="H8350" t="s">
        <v>2621</v>
      </c>
      <c r="I8350" t="s">
        <v>2622</v>
      </c>
      <c r="J8350" t="s">
        <v>52</v>
      </c>
      <c r="K8350" s="3">
        <v>10038524119</v>
      </c>
      <c r="L8350" s="10">
        <v>41058</v>
      </c>
      <c r="M8350">
        <v>249.64</v>
      </c>
      <c r="N8350" s="11">
        <v>23</v>
      </c>
      <c r="O8350" s="12">
        <v>10.9</v>
      </c>
      <c r="P8350" s="12">
        <v>7.46</v>
      </c>
      <c r="Q8350" s="13">
        <v>-91.65</v>
      </c>
      <c r="R8350" s="36" t="s">
        <v>1499</v>
      </c>
      <c r="S8350" s="7">
        <f t="shared" si="728"/>
        <v>1</v>
      </c>
      <c r="T8350" s="15" t="str">
        <f>VLOOKUP(R8350,产品分类!$C$2:$D$1278,2,0)</f>
        <v>办公用品</v>
      </c>
    </row>
    <row r="8351" spans="1:20">
      <c r="A8351" s="8">
        <f>DATE(2012,12,31)-1393</f>
        <v>39881</v>
      </c>
      <c r="B8351" s="8">
        <f>DATE(2012,12,31)-1393</f>
        <v>39881</v>
      </c>
      <c r="C8351" s="9" t="s">
        <v>319</v>
      </c>
      <c r="D8351">
        <v>10021500945</v>
      </c>
      <c r="E8351" t="s">
        <v>47</v>
      </c>
      <c r="F8351" t="s">
        <v>55</v>
      </c>
      <c r="G8351" t="s">
        <v>56</v>
      </c>
      <c r="H8351" t="s">
        <v>2656</v>
      </c>
      <c r="I8351" t="s">
        <v>2657</v>
      </c>
      <c r="J8351" t="s">
        <v>52</v>
      </c>
      <c r="K8351" s="3">
        <v>100926880691</v>
      </c>
      <c r="L8351" s="10">
        <v>39883</v>
      </c>
      <c r="M8351">
        <v>987.3175</v>
      </c>
      <c r="N8351" s="11">
        <v>33</v>
      </c>
      <c r="O8351" s="12">
        <v>35.99</v>
      </c>
      <c r="P8351" s="12">
        <v>3.3</v>
      </c>
      <c r="Q8351" s="13">
        <v>368.559</v>
      </c>
      <c r="R8351" s="36" t="s">
        <v>920</v>
      </c>
      <c r="S8351" s="7">
        <f t="shared" si="728"/>
        <v>2</v>
      </c>
      <c r="T8351" s="15" t="str">
        <f>VLOOKUP(R8351,产品分类!$C$2:$D$1278,2,0)</f>
        <v>家具产品</v>
      </c>
    </row>
    <row r="8352" spans="1:20">
      <c r="A8352" s="8">
        <f t="shared" ref="A8352:B8354" si="730">DATE(2012,12,31)-261</f>
        <v>41013</v>
      </c>
      <c r="B8352" s="8">
        <f t="shared" si="730"/>
        <v>41013</v>
      </c>
      <c r="C8352" s="9" t="s">
        <v>319</v>
      </c>
      <c r="D8352">
        <v>10021581089</v>
      </c>
      <c r="E8352" t="s">
        <v>47</v>
      </c>
      <c r="F8352" t="s">
        <v>55</v>
      </c>
      <c r="G8352" t="s">
        <v>56</v>
      </c>
      <c r="H8352" t="s">
        <v>2656</v>
      </c>
      <c r="I8352" t="s">
        <v>2657</v>
      </c>
      <c r="J8352" t="s">
        <v>52</v>
      </c>
      <c r="K8352" s="3">
        <v>100119394356</v>
      </c>
      <c r="L8352" s="10">
        <v>41015</v>
      </c>
      <c r="M8352">
        <v>159.24</v>
      </c>
      <c r="N8352" s="11">
        <v>19</v>
      </c>
      <c r="O8352" s="12">
        <v>8.5</v>
      </c>
      <c r="P8352" s="12">
        <v>1.99</v>
      </c>
      <c r="Q8352" s="13">
        <v>8.3</v>
      </c>
      <c r="R8352" s="36" t="s">
        <v>2445</v>
      </c>
      <c r="S8352" s="7">
        <f t="shared" si="728"/>
        <v>2</v>
      </c>
      <c r="T8352" s="15" t="str">
        <f>VLOOKUP(R8352,产品分类!$C$2:$D$1278,2,0)</f>
        <v>办公用品</v>
      </c>
    </row>
    <row r="8353" spans="1:20">
      <c r="A8353" s="8">
        <f t="shared" si="730"/>
        <v>41013</v>
      </c>
      <c r="B8353" s="8">
        <f t="shared" si="730"/>
        <v>41013</v>
      </c>
      <c r="C8353" s="9" t="s">
        <v>319</v>
      </c>
      <c r="D8353">
        <v>10021508116</v>
      </c>
      <c r="E8353" t="s">
        <v>47</v>
      </c>
      <c r="F8353" t="s">
        <v>91</v>
      </c>
      <c r="G8353" t="s">
        <v>92</v>
      </c>
      <c r="H8353" t="s">
        <v>2621</v>
      </c>
      <c r="I8353" t="s">
        <v>2622</v>
      </c>
      <c r="J8353" t="s">
        <v>52</v>
      </c>
      <c r="K8353" s="3">
        <v>100732045925</v>
      </c>
      <c r="L8353" s="10">
        <v>41015</v>
      </c>
      <c r="M8353">
        <v>48.77</v>
      </c>
      <c r="N8353" s="11">
        <v>6</v>
      </c>
      <c r="O8353" s="12">
        <v>7.4</v>
      </c>
      <c r="P8353" s="12">
        <v>1.71</v>
      </c>
      <c r="Q8353" s="13">
        <v>5.95</v>
      </c>
      <c r="R8353" s="36" t="s">
        <v>1905</v>
      </c>
      <c r="S8353" s="7">
        <f t="shared" si="728"/>
        <v>2</v>
      </c>
      <c r="T8353" s="15" t="str">
        <f>VLOOKUP(R8353,产品分类!$C$2:$D$1278,2,0)</f>
        <v>数码电子</v>
      </c>
    </row>
    <row r="8354" spans="1:20">
      <c r="A8354" s="8">
        <f t="shared" si="730"/>
        <v>41013</v>
      </c>
      <c r="B8354" s="8">
        <f t="shared" si="730"/>
        <v>41013</v>
      </c>
      <c r="C8354" s="9" t="s">
        <v>1795</v>
      </c>
      <c r="D8354">
        <v>10021717980</v>
      </c>
      <c r="E8354" t="s">
        <v>47</v>
      </c>
      <c r="F8354" t="s">
        <v>91</v>
      </c>
      <c r="G8354" t="s">
        <v>92</v>
      </c>
      <c r="H8354" t="s">
        <v>2621</v>
      </c>
      <c r="I8354" t="s">
        <v>2622</v>
      </c>
      <c r="J8354" t="s">
        <v>52</v>
      </c>
      <c r="K8354" s="3">
        <v>10073819685</v>
      </c>
      <c r="L8354" s="10">
        <v>41014</v>
      </c>
      <c r="M8354">
        <v>26.5</v>
      </c>
      <c r="N8354" s="11">
        <v>5</v>
      </c>
      <c r="O8354" s="12">
        <v>4.26</v>
      </c>
      <c r="P8354" s="12">
        <v>1.2</v>
      </c>
      <c r="Q8354" s="13">
        <v>2.61</v>
      </c>
      <c r="R8354" s="36" t="s">
        <v>625</v>
      </c>
      <c r="S8354" s="7">
        <f t="shared" si="728"/>
        <v>1</v>
      </c>
      <c r="T8354" s="15" t="str">
        <f>VLOOKUP(R8354,产品分类!$C$2:$D$1278,2,0)</f>
        <v>办公用品</v>
      </c>
    </row>
    <row r="8355" spans="1:20">
      <c r="A8355" s="8">
        <f>DATE(2012,12,31)-956</f>
        <v>40318</v>
      </c>
      <c r="B8355" s="8">
        <f>DATE(2012,12,31)-956</f>
        <v>40318</v>
      </c>
      <c r="C8355" s="9" t="s">
        <v>1795</v>
      </c>
      <c r="D8355">
        <v>10021709194</v>
      </c>
      <c r="E8355" t="s">
        <v>47</v>
      </c>
      <c r="F8355" t="s">
        <v>91</v>
      </c>
      <c r="G8355" t="s">
        <v>92</v>
      </c>
      <c r="H8355" t="s">
        <v>2621</v>
      </c>
      <c r="I8355" t="s">
        <v>2622</v>
      </c>
      <c r="J8355" t="s">
        <v>52</v>
      </c>
      <c r="K8355" s="3">
        <v>100921174951</v>
      </c>
      <c r="L8355" s="10">
        <v>40320</v>
      </c>
      <c r="M8355">
        <v>284.92</v>
      </c>
      <c r="N8355" s="11">
        <v>32</v>
      </c>
      <c r="O8355" s="12">
        <v>9.11</v>
      </c>
      <c r="P8355" s="12">
        <v>2.15</v>
      </c>
      <c r="Q8355" s="13">
        <v>81.29</v>
      </c>
      <c r="R8355" s="36" t="s">
        <v>1790</v>
      </c>
      <c r="S8355" s="7">
        <f t="shared" si="728"/>
        <v>2</v>
      </c>
      <c r="T8355" s="15" t="str">
        <f>VLOOKUP(R8355,产品分类!$C$2:$D$1278,2,0)</f>
        <v>办公用品</v>
      </c>
    </row>
    <row r="8356" spans="1:20">
      <c r="A8356" s="8">
        <f>DATE(2012,12,31)-148</f>
        <v>41126</v>
      </c>
      <c r="B8356" s="8">
        <f>DATE(2012,12,31)-148</f>
        <v>41126</v>
      </c>
      <c r="C8356" s="9" t="s">
        <v>2285</v>
      </c>
      <c r="D8356">
        <v>10021678300</v>
      </c>
      <c r="E8356" t="s">
        <v>47</v>
      </c>
      <c r="F8356" t="s">
        <v>55</v>
      </c>
      <c r="G8356" t="s">
        <v>56</v>
      </c>
      <c r="H8356" t="s">
        <v>2656</v>
      </c>
      <c r="I8356" t="s">
        <v>2657</v>
      </c>
      <c r="J8356" t="s">
        <v>52</v>
      </c>
      <c r="K8356" s="3">
        <v>100912637651</v>
      </c>
      <c r="L8356" s="10">
        <v>41128</v>
      </c>
      <c r="M8356">
        <v>1255.48</v>
      </c>
      <c r="N8356" s="11">
        <v>11</v>
      </c>
      <c r="O8356" s="12">
        <v>115.99</v>
      </c>
      <c r="P8356" s="12">
        <v>56.14</v>
      </c>
      <c r="Q8356" s="13">
        <v>-292.6506</v>
      </c>
      <c r="R8356" s="36" t="s">
        <v>1053</v>
      </c>
      <c r="S8356" s="7">
        <f t="shared" si="728"/>
        <v>2</v>
      </c>
      <c r="T8356" s="15" t="str">
        <f>VLOOKUP(R8356,产品分类!$C$2:$D$1278,2,0)</f>
        <v>家具产品</v>
      </c>
    </row>
    <row r="8357" spans="1:20">
      <c r="A8357" s="8">
        <f>DATE(2012,12,31)-148</f>
        <v>41126</v>
      </c>
      <c r="B8357" s="8">
        <f>DATE(2012,12,31)-148</f>
        <v>41126</v>
      </c>
      <c r="C8357" s="9" t="s">
        <v>197</v>
      </c>
      <c r="D8357">
        <v>10021260569</v>
      </c>
      <c r="E8357" t="s">
        <v>47</v>
      </c>
      <c r="F8357" t="s">
        <v>122</v>
      </c>
      <c r="G8357" t="s">
        <v>123</v>
      </c>
      <c r="H8357" t="s">
        <v>2458</v>
      </c>
      <c r="I8357" t="s">
        <v>2459</v>
      </c>
      <c r="J8357" t="s">
        <v>52</v>
      </c>
      <c r="K8357" s="3">
        <v>100928661981</v>
      </c>
      <c r="L8357" s="10">
        <v>41133</v>
      </c>
      <c r="M8357">
        <v>411.56</v>
      </c>
      <c r="N8357" s="11">
        <v>46</v>
      </c>
      <c r="O8357" s="12">
        <v>9.38</v>
      </c>
      <c r="P8357" s="12">
        <v>7.28</v>
      </c>
      <c r="Q8357" s="13">
        <v>-188.02</v>
      </c>
      <c r="R8357" s="36" t="s">
        <v>960</v>
      </c>
      <c r="S8357" s="7">
        <f t="shared" si="728"/>
        <v>7</v>
      </c>
      <c r="T8357" s="15" t="str">
        <f>VLOOKUP(R8357,产品分类!$C$2:$D$1278,2,0)</f>
        <v>家具产品</v>
      </c>
    </row>
    <row r="8358" spans="1:20">
      <c r="A8358" s="8">
        <f>DATE(2012,12,31)-379</f>
        <v>40895</v>
      </c>
      <c r="B8358" s="8">
        <f>DATE(2012,12,31)-379</f>
        <v>40895</v>
      </c>
      <c r="C8358" s="9" t="s">
        <v>742</v>
      </c>
      <c r="D8358">
        <v>10021267848</v>
      </c>
      <c r="E8358" t="s">
        <v>47</v>
      </c>
      <c r="F8358" t="s">
        <v>55</v>
      </c>
      <c r="G8358" t="s">
        <v>56</v>
      </c>
      <c r="H8358" t="s">
        <v>2656</v>
      </c>
      <c r="I8358" t="s">
        <v>2657</v>
      </c>
      <c r="J8358" t="s">
        <v>52</v>
      </c>
      <c r="K8358" s="3">
        <v>100432116403</v>
      </c>
      <c r="L8358" s="10">
        <v>40896</v>
      </c>
      <c r="M8358">
        <v>10.59</v>
      </c>
      <c r="N8358" s="11">
        <v>1</v>
      </c>
      <c r="O8358" s="12">
        <v>9.11</v>
      </c>
      <c r="P8358" s="12">
        <v>2.15</v>
      </c>
      <c r="Q8358" s="13">
        <v>-4.31</v>
      </c>
      <c r="R8358" s="36" t="s">
        <v>1081</v>
      </c>
      <c r="S8358" s="7">
        <f t="shared" si="728"/>
        <v>1</v>
      </c>
      <c r="T8358" s="15" t="str">
        <f>VLOOKUP(R8358,产品分类!$C$2:$D$1278,2,0)</f>
        <v>办公用品</v>
      </c>
    </row>
    <row r="8359" spans="1:20">
      <c r="A8359" s="8">
        <f>DATE(2012,12,31)-1099</f>
        <v>40175</v>
      </c>
      <c r="B8359" s="8">
        <f>DATE(2012,12,31)-1099</f>
        <v>40175</v>
      </c>
      <c r="C8359" s="9" t="s">
        <v>586</v>
      </c>
      <c r="D8359">
        <v>10021522269</v>
      </c>
      <c r="E8359" t="s">
        <v>47</v>
      </c>
      <c r="F8359" t="s">
        <v>91</v>
      </c>
      <c r="G8359" t="s">
        <v>92</v>
      </c>
      <c r="H8359" t="s">
        <v>2621</v>
      </c>
      <c r="I8359" t="s">
        <v>2622</v>
      </c>
      <c r="J8359" t="s">
        <v>52</v>
      </c>
      <c r="K8359" s="3">
        <v>10032523909</v>
      </c>
      <c r="L8359" s="10">
        <v>40176</v>
      </c>
      <c r="M8359">
        <v>235.98</v>
      </c>
      <c r="N8359" s="11">
        <v>7</v>
      </c>
      <c r="O8359" s="12">
        <v>30.98</v>
      </c>
      <c r="P8359" s="12">
        <v>17.08</v>
      </c>
      <c r="Q8359" s="13">
        <v>-32.28</v>
      </c>
      <c r="R8359" s="36" t="s">
        <v>1133</v>
      </c>
      <c r="S8359" s="7">
        <f t="shared" si="728"/>
        <v>1</v>
      </c>
      <c r="T8359" s="15" t="str">
        <f>VLOOKUP(R8359,产品分类!$C$2:$D$1278,2,0)</f>
        <v>家具产品</v>
      </c>
    </row>
    <row r="8360" spans="1:20">
      <c r="A8360" s="8">
        <f>DATE(2012,12,31)-852</f>
        <v>40422</v>
      </c>
      <c r="B8360" s="8">
        <f>DATE(2012,12,31)-852</f>
        <v>40422</v>
      </c>
      <c r="C8360" s="9" t="s">
        <v>2043</v>
      </c>
      <c r="D8360">
        <v>10021336346</v>
      </c>
      <c r="E8360" t="s">
        <v>47</v>
      </c>
      <c r="F8360" t="s">
        <v>55</v>
      </c>
      <c r="G8360" t="s">
        <v>56</v>
      </c>
      <c r="H8360" t="s">
        <v>2656</v>
      </c>
      <c r="I8360" t="s">
        <v>2657</v>
      </c>
      <c r="J8360" t="s">
        <v>52</v>
      </c>
      <c r="K8360" s="3">
        <v>100417867704</v>
      </c>
      <c r="L8360" s="10">
        <v>40422</v>
      </c>
      <c r="M8360">
        <v>130.96</v>
      </c>
      <c r="N8360" s="11">
        <v>42</v>
      </c>
      <c r="O8360" s="12">
        <v>3.14</v>
      </c>
      <c r="P8360" s="12">
        <v>1.92</v>
      </c>
      <c r="Q8360" s="13">
        <v>-66.74</v>
      </c>
      <c r="R8360" s="36" t="s">
        <v>1644</v>
      </c>
      <c r="S8360" s="7">
        <f t="shared" si="728"/>
        <v>0</v>
      </c>
      <c r="T8360" s="15" t="str">
        <f>VLOOKUP(R8360,产品分类!$C$2:$D$1278,2,0)</f>
        <v>数码电子</v>
      </c>
    </row>
    <row r="8361" spans="1:20">
      <c r="A8361" s="8">
        <f>DATE(2012,12,31)-1422</f>
        <v>39852</v>
      </c>
      <c r="B8361" s="8">
        <f>DATE(2012,12,31)-1422</f>
        <v>39852</v>
      </c>
      <c r="C8361" s="9" t="s">
        <v>781</v>
      </c>
      <c r="D8361">
        <v>10021595182</v>
      </c>
      <c r="E8361" t="s">
        <v>47</v>
      </c>
      <c r="F8361" t="s">
        <v>55</v>
      </c>
      <c r="G8361" t="s">
        <v>56</v>
      </c>
      <c r="H8361" t="s">
        <v>2656</v>
      </c>
      <c r="I8361" t="s">
        <v>2657</v>
      </c>
      <c r="J8361" t="s">
        <v>52</v>
      </c>
      <c r="K8361" s="3">
        <v>100132783926</v>
      </c>
      <c r="L8361" s="10">
        <v>39854</v>
      </c>
      <c r="M8361">
        <v>714.46</v>
      </c>
      <c r="N8361" s="11">
        <v>47</v>
      </c>
      <c r="O8361" s="12">
        <v>15.98</v>
      </c>
      <c r="P8361" s="12">
        <v>8.99</v>
      </c>
      <c r="Q8361" s="13">
        <v>-268.65</v>
      </c>
      <c r="R8361" s="36" t="s">
        <v>1338</v>
      </c>
      <c r="S8361" s="7">
        <f t="shared" si="728"/>
        <v>2</v>
      </c>
      <c r="T8361" s="15" t="str">
        <f>VLOOKUP(R8361,产品分类!$C$2:$D$1278,2,0)</f>
        <v>办公用品</v>
      </c>
    </row>
    <row r="8362" spans="1:20">
      <c r="A8362" s="8">
        <f>DATE(2012,12,31)-936</f>
        <v>40338</v>
      </c>
      <c r="B8362" s="8">
        <f>DATE(2012,12,31)-936</f>
        <v>40338</v>
      </c>
      <c r="C8362" s="9" t="s">
        <v>781</v>
      </c>
      <c r="D8362">
        <v>10021750258</v>
      </c>
      <c r="E8362" t="s">
        <v>47</v>
      </c>
      <c r="F8362" t="s">
        <v>171</v>
      </c>
      <c r="G8362" t="s">
        <v>172</v>
      </c>
      <c r="H8362" t="s">
        <v>2486</v>
      </c>
      <c r="I8362" t="s">
        <v>2310</v>
      </c>
      <c r="J8362" t="s">
        <v>52</v>
      </c>
      <c r="K8362" s="3">
        <v>100131068976</v>
      </c>
      <c r="L8362" s="10">
        <v>40339</v>
      </c>
      <c r="M8362">
        <v>679.65</v>
      </c>
      <c r="N8362" s="11">
        <v>43</v>
      </c>
      <c r="O8362" s="12">
        <v>15.01</v>
      </c>
      <c r="P8362" s="12">
        <v>8.4</v>
      </c>
      <c r="Q8362" s="13">
        <v>31.2035</v>
      </c>
      <c r="R8362" s="36" t="s">
        <v>2058</v>
      </c>
      <c r="S8362" s="7">
        <f t="shared" si="728"/>
        <v>1</v>
      </c>
      <c r="T8362" s="15" t="str">
        <f>VLOOKUP(R8362,产品分类!$C$2:$D$1278,2,0)</f>
        <v>数码电子</v>
      </c>
    </row>
    <row r="8363" spans="1:20">
      <c r="A8363" s="8">
        <f>DATE(2012,12,31)-355</f>
        <v>40919</v>
      </c>
      <c r="B8363" s="8">
        <f>DATE(2012,12,31)-355</f>
        <v>40919</v>
      </c>
      <c r="C8363" s="9" t="s">
        <v>270</v>
      </c>
      <c r="D8363">
        <v>10021752828</v>
      </c>
      <c r="E8363" t="s">
        <v>47</v>
      </c>
      <c r="F8363" t="s">
        <v>177</v>
      </c>
      <c r="G8363" t="s">
        <v>178</v>
      </c>
      <c r="H8363" t="s">
        <v>2645</v>
      </c>
      <c r="I8363" t="s">
        <v>2646</v>
      </c>
      <c r="J8363" t="s">
        <v>52</v>
      </c>
      <c r="K8363" s="3">
        <v>100332248399</v>
      </c>
      <c r="L8363" s="10">
        <v>40921</v>
      </c>
      <c r="M8363">
        <v>437.73</v>
      </c>
      <c r="N8363" s="11">
        <v>42</v>
      </c>
      <c r="O8363" s="12">
        <v>9.9</v>
      </c>
      <c r="P8363" s="12">
        <v>1.39</v>
      </c>
      <c r="Q8363" s="13">
        <v>205.7</v>
      </c>
      <c r="R8363" s="36" t="s">
        <v>1328</v>
      </c>
      <c r="S8363" s="7">
        <f t="shared" si="728"/>
        <v>2</v>
      </c>
      <c r="T8363" s="15" t="str">
        <f>VLOOKUP(R8363,产品分类!$C$2:$D$1278,2,0)</f>
        <v>家具产品</v>
      </c>
    </row>
    <row r="8364" spans="1:20">
      <c r="A8364" s="8">
        <f>DATE(2012,12,31)-355</f>
        <v>40919</v>
      </c>
      <c r="B8364" s="8">
        <f>DATE(2012,12,31)-355</f>
        <v>40919</v>
      </c>
      <c r="C8364" s="9" t="s">
        <v>391</v>
      </c>
      <c r="D8364">
        <v>10021387903</v>
      </c>
      <c r="E8364" t="s">
        <v>47</v>
      </c>
      <c r="F8364" t="s">
        <v>132</v>
      </c>
      <c r="G8364" t="s">
        <v>133</v>
      </c>
      <c r="H8364" t="s">
        <v>134</v>
      </c>
      <c r="I8364" t="s">
        <v>133</v>
      </c>
      <c r="J8364" t="s">
        <v>52</v>
      </c>
      <c r="K8364" s="3">
        <v>100116524048</v>
      </c>
      <c r="L8364" s="10">
        <v>40920</v>
      </c>
      <c r="M8364">
        <v>275.01</v>
      </c>
      <c r="N8364" s="11">
        <v>16</v>
      </c>
      <c r="O8364" s="12">
        <v>15.7</v>
      </c>
      <c r="P8364" s="12">
        <v>11.25</v>
      </c>
      <c r="Q8364" s="13">
        <v>-87.11</v>
      </c>
      <c r="R8364" s="36" t="s">
        <v>556</v>
      </c>
      <c r="S8364" s="7">
        <f t="shared" si="728"/>
        <v>1</v>
      </c>
      <c r="T8364" s="15" t="str">
        <f>VLOOKUP(R8364,产品分类!$C$2:$D$1278,2,0)</f>
        <v>办公用品</v>
      </c>
    </row>
    <row r="8365" spans="1:20">
      <c r="A8365" s="8">
        <f t="shared" ref="A8365:B8367" si="731">DATE(2012,12,31)-580</f>
        <v>40694</v>
      </c>
      <c r="B8365" s="8">
        <f t="shared" si="731"/>
        <v>40694</v>
      </c>
      <c r="C8365" s="9" t="s">
        <v>264</v>
      </c>
      <c r="D8365">
        <v>10021667041</v>
      </c>
      <c r="E8365" t="s">
        <v>47</v>
      </c>
      <c r="F8365" t="s">
        <v>132</v>
      </c>
      <c r="G8365" t="s">
        <v>133</v>
      </c>
      <c r="H8365" t="s">
        <v>134</v>
      </c>
      <c r="I8365" t="s">
        <v>133</v>
      </c>
      <c r="J8365" t="s">
        <v>52</v>
      </c>
      <c r="K8365" s="3">
        <v>100827655032</v>
      </c>
      <c r="L8365" s="10">
        <v>40696</v>
      </c>
      <c r="M8365">
        <v>437.77</v>
      </c>
      <c r="N8365" s="11">
        <v>26</v>
      </c>
      <c r="O8365" s="12">
        <v>15.98</v>
      </c>
      <c r="P8365" s="12">
        <v>8.99</v>
      </c>
      <c r="Q8365" s="13">
        <v>-125.8</v>
      </c>
      <c r="R8365" s="36" t="s">
        <v>1483</v>
      </c>
      <c r="S8365" s="7">
        <f t="shared" si="728"/>
        <v>2</v>
      </c>
      <c r="T8365" s="15" t="str">
        <f>VLOOKUP(R8365,产品分类!$C$2:$D$1278,2,0)</f>
        <v>办公用品</v>
      </c>
    </row>
    <row r="8366" spans="1:20">
      <c r="A8366" s="8">
        <f t="shared" si="731"/>
        <v>40694</v>
      </c>
      <c r="B8366" s="8">
        <f t="shared" si="731"/>
        <v>40694</v>
      </c>
      <c r="C8366" s="9" t="s">
        <v>1480</v>
      </c>
      <c r="D8366">
        <v>10021256896</v>
      </c>
      <c r="E8366" t="s">
        <v>47</v>
      </c>
      <c r="F8366" t="s">
        <v>132</v>
      </c>
      <c r="G8366" t="s">
        <v>133</v>
      </c>
      <c r="H8366" t="s">
        <v>134</v>
      </c>
      <c r="I8366" t="s">
        <v>133</v>
      </c>
      <c r="J8366" t="s">
        <v>52</v>
      </c>
      <c r="K8366" s="3">
        <v>100925716541</v>
      </c>
      <c r="L8366" s="10">
        <v>40696</v>
      </c>
      <c r="M8366">
        <v>514.86</v>
      </c>
      <c r="N8366" s="11">
        <v>45</v>
      </c>
      <c r="O8366" s="12">
        <v>12.28</v>
      </c>
      <c r="P8366" s="12">
        <v>6.47</v>
      </c>
      <c r="Q8366" s="13">
        <v>-10.84</v>
      </c>
      <c r="R8366" s="36" t="s">
        <v>1484</v>
      </c>
      <c r="S8366" s="7">
        <f t="shared" si="728"/>
        <v>2</v>
      </c>
      <c r="T8366" s="15" t="str">
        <f>VLOOKUP(R8366,产品分类!$C$2:$D$1278,2,0)</f>
        <v>数码电子</v>
      </c>
    </row>
    <row r="8367" spans="1:20">
      <c r="A8367" s="8">
        <f t="shared" si="731"/>
        <v>40694</v>
      </c>
      <c r="B8367" s="8">
        <f t="shared" si="731"/>
        <v>40694</v>
      </c>
      <c r="C8367" s="9" t="s">
        <v>1480</v>
      </c>
      <c r="D8367">
        <v>10021251961</v>
      </c>
      <c r="E8367" t="s">
        <v>47</v>
      </c>
      <c r="F8367" t="s">
        <v>97</v>
      </c>
      <c r="G8367" t="s">
        <v>98</v>
      </c>
      <c r="H8367" t="s">
        <v>99</v>
      </c>
      <c r="I8367" t="s">
        <v>98</v>
      </c>
      <c r="J8367" t="s">
        <v>52</v>
      </c>
      <c r="K8367" s="3">
        <v>100416760334</v>
      </c>
      <c r="L8367" s="10">
        <v>40696</v>
      </c>
      <c r="M8367">
        <v>356.27</v>
      </c>
      <c r="N8367" s="11">
        <v>12</v>
      </c>
      <c r="O8367" s="12">
        <v>30.98</v>
      </c>
      <c r="P8367" s="12">
        <v>5.09</v>
      </c>
      <c r="Q8367" s="13">
        <v>84.53</v>
      </c>
      <c r="R8367" s="36" t="s">
        <v>1627</v>
      </c>
      <c r="S8367" s="7">
        <f t="shared" si="728"/>
        <v>2</v>
      </c>
      <c r="T8367" s="15" t="str">
        <f>VLOOKUP(R8367,产品分类!$C$2:$D$1278,2,0)</f>
        <v>办公用品</v>
      </c>
    </row>
    <row r="8368" spans="1:20">
      <c r="A8368" s="8">
        <f>DATE(2012,12,31)-412</f>
        <v>40862</v>
      </c>
      <c r="B8368" s="8">
        <f>DATE(2012,12,31)-412</f>
        <v>40862</v>
      </c>
      <c r="C8368" s="9" t="s">
        <v>1480</v>
      </c>
      <c r="D8368">
        <v>10021416542</v>
      </c>
      <c r="E8368" t="s">
        <v>47</v>
      </c>
      <c r="F8368" t="s">
        <v>208</v>
      </c>
      <c r="G8368" t="s">
        <v>209</v>
      </c>
      <c r="H8368" t="s">
        <v>2635</v>
      </c>
      <c r="I8368" t="s">
        <v>2636</v>
      </c>
      <c r="J8368" t="s">
        <v>52</v>
      </c>
      <c r="K8368" s="3">
        <v>10048343093</v>
      </c>
      <c r="L8368" s="10">
        <v>40862</v>
      </c>
      <c r="M8368">
        <v>11039.75</v>
      </c>
      <c r="N8368" s="11">
        <v>29</v>
      </c>
      <c r="O8368" s="12">
        <v>400.97</v>
      </c>
      <c r="P8368" s="12">
        <v>14.7</v>
      </c>
      <c r="Q8368" s="13">
        <v>2148.97</v>
      </c>
      <c r="R8368" s="36" t="s">
        <v>706</v>
      </c>
      <c r="S8368" s="7">
        <f t="shared" si="728"/>
        <v>0</v>
      </c>
      <c r="T8368" s="15" t="str">
        <f>VLOOKUP(R8368,产品分类!$C$2:$D$1278,2,0)</f>
        <v>办公用品</v>
      </c>
    </row>
    <row r="8369" spans="1:20">
      <c r="A8369" s="8">
        <f>DATE(2012,12,31)-412</f>
        <v>40862</v>
      </c>
      <c r="B8369" s="8">
        <f>DATE(2012,12,31)-412</f>
        <v>40862</v>
      </c>
      <c r="C8369" s="9" t="s">
        <v>1480</v>
      </c>
      <c r="D8369">
        <v>10021591549</v>
      </c>
      <c r="E8369" t="s">
        <v>47</v>
      </c>
      <c r="F8369" t="s">
        <v>102</v>
      </c>
      <c r="G8369" t="s">
        <v>103</v>
      </c>
      <c r="H8369" t="s">
        <v>2617</v>
      </c>
      <c r="I8369" t="s">
        <v>2618</v>
      </c>
      <c r="J8369" t="s">
        <v>52</v>
      </c>
      <c r="K8369" s="3">
        <v>100131810476</v>
      </c>
      <c r="L8369" s="10">
        <v>40866</v>
      </c>
      <c r="M8369">
        <v>4982.944</v>
      </c>
      <c r="N8369" s="11">
        <v>30</v>
      </c>
      <c r="O8369" s="12">
        <v>217.85</v>
      </c>
      <c r="P8369" s="12">
        <v>29.1</v>
      </c>
      <c r="Q8369" s="13">
        <v>693.69</v>
      </c>
      <c r="R8369" s="36" t="s">
        <v>892</v>
      </c>
      <c r="S8369" s="7">
        <f t="shared" si="728"/>
        <v>4</v>
      </c>
      <c r="T8369" s="15" t="str">
        <f>VLOOKUP(R8369,产品分类!$C$2:$D$1278,2,0)</f>
        <v>家具产品</v>
      </c>
    </row>
    <row r="8370" spans="1:20">
      <c r="A8370" s="8">
        <f>DATE(2012,12,31)-261</f>
        <v>41013</v>
      </c>
      <c r="B8370" s="8">
        <f>DATE(2012,12,31)-261</f>
        <v>41013</v>
      </c>
      <c r="C8370" s="9" t="s">
        <v>1480</v>
      </c>
      <c r="D8370">
        <v>10021623259</v>
      </c>
      <c r="E8370" t="s">
        <v>47</v>
      </c>
      <c r="F8370" t="s">
        <v>102</v>
      </c>
      <c r="G8370" t="s">
        <v>103</v>
      </c>
      <c r="H8370" t="s">
        <v>2617</v>
      </c>
      <c r="I8370" t="s">
        <v>2618</v>
      </c>
      <c r="J8370" t="s">
        <v>52</v>
      </c>
      <c r="K8370" s="3">
        <v>100321410949</v>
      </c>
      <c r="L8370" s="10">
        <v>41014</v>
      </c>
      <c r="M8370">
        <v>26.5</v>
      </c>
      <c r="N8370" s="11">
        <v>5</v>
      </c>
      <c r="O8370" s="12">
        <v>4.26</v>
      </c>
      <c r="P8370" s="12">
        <v>1.2</v>
      </c>
      <c r="Q8370" s="13">
        <v>2.61</v>
      </c>
      <c r="R8370" s="36" t="s">
        <v>1394</v>
      </c>
      <c r="S8370" s="7">
        <f t="shared" si="728"/>
        <v>1</v>
      </c>
      <c r="T8370" s="15" t="str">
        <f>VLOOKUP(R8370,产品分类!$C$2:$D$1278,2,0)</f>
        <v>办公用品</v>
      </c>
    </row>
    <row r="8371" spans="1:20">
      <c r="A8371" s="8">
        <f>DATE(2012,12,31)-956</f>
        <v>40318</v>
      </c>
      <c r="B8371" s="8">
        <f>DATE(2012,12,31)-956</f>
        <v>40318</v>
      </c>
      <c r="C8371" s="9" t="s">
        <v>697</v>
      </c>
      <c r="D8371">
        <v>10021575528</v>
      </c>
      <c r="E8371" t="s">
        <v>47</v>
      </c>
      <c r="F8371" t="s">
        <v>102</v>
      </c>
      <c r="G8371" t="s">
        <v>103</v>
      </c>
      <c r="H8371" t="s">
        <v>2617</v>
      </c>
      <c r="I8371" t="s">
        <v>2618</v>
      </c>
      <c r="J8371" t="s">
        <v>52</v>
      </c>
      <c r="K8371" s="3">
        <v>10019996287</v>
      </c>
      <c r="L8371" s="10">
        <v>40320</v>
      </c>
      <c r="M8371">
        <v>284.92</v>
      </c>
      <c r="N8371" s="11">
        <v>32</v>
      </c>
      <c r="O8371" s="12">
        <v>9.11</v>
      </c>
      <c r="P8371" s="12">
        <v>2.15</v>
      </c>
      <c r="Q8371" s="13">
        <v>81.29</v>
      </c>
      <c r="R8371" s="36" t="s">
        <v>59</v>
      </c>
      <c r="S8371" s="7">
        <f t="shared" si="728"/>
        <v>2</v>
      </c>
      <c r="T8371" s="15" t="str">
        <f>VLOOKUP(R8371,产品分类!$C$2:$D$1278,2,0)</f>
        <v>数码电子</v>
      </c>
    </row>
    <row r="8372" spans="1:20">
      <c r="A8372" s="8">
        <f>DATE(2012,12,31)-148</f>
        <v>41126</v>
      </c>
      <c r="B8372" s="8">
        <f>DATE(2012,12,31)-148</f>
        <v>41126</v>
      </c>
      <c r="C8372" s="9" t="s">
        <v>897</v>
      </c>
      <c r="D8372">
        <v>10021301031</v>
      </c>
      <c r="E8372" t="s">
        <v>47</v>
      </c>
      <c r="F8372" t="s">
        <v>102</v>
      </c>
      <c r="G8372" t="s">
        <v>103</v>
      </c>
      <c r="H8372" t="s">
        <v>2617</v>
      </c>
      <c r="I8372" t="s">
        <v>2618</v>
      </c>
      <c r="J8372" t="s">
        <v>52</v>
      </c>
      <c r="K8372" s="3">
        <v>100729867855</v>
      </c>
      <c r="L8372" s="10">
        <v>41128</v>
      </c>
      <c r="M8372">
        <v>1255.48</v>
      </c>
      <c r="N8372" s="11">
        <v>11</v>
      </c>
      <c r="O8372" s="12">
        <v>115.99</v>
      </c>
      <c r="P8372" s="12">
        <v>56.14</v>
      </c>
      <c r="Q8372" s="13">
        <v>-292.6506</v>
      </c>
      <c r="R8372" s="36" t="s">
        <v>348</v>
      </c>
      <c r="S8372" s="7">
        <f t="shared" si="728"/>
        <v>2</v>
      </c>
      <c r="T8372" s="15" t="str">
        <f>VLOOKUP(R8372,产品分类!$C$2:$D$1278,2,0)</f>
        <v>办公用品</v>
      </c>
    </row>
    <row r="8373" spans="1:20">
      <c r="A8373" s="8">
        <f>DATE(2012,12,31)-148</f>
        <v>41126</v>
      </c>
      <c r="B8373" s="8">
        <f>DATE(2012,12,31)-148</f>
        <v>41126</v>
      </c>
      <c r="C8373" s="9" t="s">
        <v>897</v>
      </c>
      <c r="D8373">
        <v>10021319266</v>
      </c>
      <c r="E8373" t="s">
        <v>47</v>
      </c>
      <c r="F8373" t="s">
        <v>304</v>
      </c>
      <c r="G8373" t="s">
        <v>305</v>
      </c>
      <c r="H8373" t="s">
        <v>2527</v>
      </c>
      <c r="I8373" t="s">
        <v>2528</v>
      </c>
      <c r="J8373" t="s">
        <v>52</v>
      </c>
      <c r="K8373" s="3">
        <v>10018405148</v>
      </c>
      <c r="L8373" s="10">
        <v>41133</v>
      </c>
      <c r="M8373">
        <v>411.56</v>
      </c>
      <c r="N8373" s="11">
        <v>46</v>
      </c>
      <c r="O8373" s="12">
        <v>9.38</v>
      </c>
      <c r="P8373" s="12">
        <v>7.28</v>
      </c>
      <c r="Q8373" s="13">
        <v>-188.02</v>
      </c>
      <c r="R8373" s="36" t="s">
        <v>744</v>
      </c>
      <c r="S8373" s="7">
        <f t="shared" si="728"/>
        <v>7</v>
      </c>
      <c r="T8373" s="15" t="str">
        <f>VLOOKUP(R8373,产品分类!$C$2:$D$1278,2,0)</f>
        <v>家具产品</v>
      </c>
    </row>
    <row r="8374" spans="1:20">
      <c r="A8374" s="8">
        <f>DATE(2012,12,31)-379</f>
        <v>40895</v>
      </c>
      <c r="B8374" s="8">
        <f>DATE(2012,12,31)-379</f>
        <v>40895</v>
      </c>
      <c r="C8374" s="9" t="s">
        <v>937</v>
      </c>
      <c r="D8374">
        <v>10021583835</v>
      </c>
      <c r="E8374" t="s">
        <v>47</v>
      </c>
      <c r="F8374" t="s">
        <v>208</v>
      </c>
      <c r="G8374" t="s">
        <v>209</v>
      </c>
      <c r="H8374" t="s">
        <v>2635</v>
      </c>
      <c r="I8374" t="s">
        <v>2636</v>
      </c>
      <c r="J8374" t="s">
        <v>52</v>
      </c>
      <c r="K8374" s="3">
        <v>100926967731</v>
      </c>
      <c r="L8374" s="10">
        <v>40896</v>
      </c>
      <c r="M8374">
        <v>10.59</v>
      </c>
      <c r="N8374" s="11">
        <v>1</v>
      </c>
      <c r="O8374" s="12">
        <v>9.11</v>
      </c>
      <c r="P8374" s="12">
        <v>2.15</v>
      </c>
      <c r="Q8374" s="13">
        <v>-4.31</v>
      </c>
      <c r="R8374" s="36" t="s">
        <v>212</v>
      </c>
      <c r="S8374" s="7">
        <f t="shared" si="728"/>
        <v>1</v>
      </c>
      <c r="T8374" s="15" t="str">
        <f>VLOOKUP(R8374,产品分类!$C$2:$D$1278,2,0)</f>
        <v>家具产品</v>
      </c>
    </row>
    <row r="8375" spans="1:20">
      <c r="A8375" s="8">
        <f>DATE(2012,12,31)-1099</f>
        <v>40175</v>
      </c>
      <c r="B8375" s="8">
        <f>DATE(2012,12,31)-1099</f>
        <v>40175</v>
      </c>
      <c r="C8375" s="9" t="s">
        <v>937</v>
      </c>
      <c r="D8375">
        <v>10021498254</v>
      </c>
      <c r="E8375" t="s">
        <v>47</v>
      </c>
      <c r="F8375" t="s">
        <v>102</v>
      </c>
      <c r="G8375" t="s">
        <v>103</v>
      </c>
      <c r="H8375" t="s">
        <v>2659</v>
      </c>
      <c r="I8375" t="s">
        <v>2660</v>
      </c>
      <c r="J8375" t="s">
        <v>52</v>
      </c>
      <c r="K8375" s="3">
        <v>100920693811</v>
      </c>
      <c r="L8375" s="10">
        <v>40176</v>
      </c>
      <c r="M8375">
        <v>235.98</v>
      </c>
      <c r="N8375" s="11">
        <v>7</v>
      </c>
      <c r="O8375" s="12">
        <v>30.98</v>
      </c>
      <c r="P8375" s="12">
        <v>17.08</v>
      </c>
      <c r="Q8375" s="13">
        <v>-32.28</v>
      </c>
      <c r="R8375" s="36" t="s">
        <v>181</v>
      </c>
      <c r="S8375" s="7">
        <f t="shared" si="728"/>
        <v>1</v>
      </c>
      <c r="T8375" s="15" t="str">
        <f>VLOOKUP(R8375,产品分类!$C$2:$D$1278,2,0)</f>
        <v>数码电子</v>
      </c>
    </row>
    <row r="8376" spans="1:20">
      <c r="A8376" s="8">
        <f>DATE(2012,12,31)-852</f>
        <v>40422</v>
      </c>
      <c r="B8376" s="8">
        <f>DATE(2012,12,31)-852</f>
        <v>40422</v>
      </c>
      <c r="C8376" s="9" t="s">
        <v>785</v>
      </c>
      <c r="D8376">
        <v>10021577533</v>
      </c>
      <c r="E8376" t="s">
        <v>47</v>
      </c>
      <c r="F8376" t="s">
        <v>102</v>
      </c>
      <c r="G8376" t="s">
        <v>103</v>
      </c>
      <c r="H8376" t="s">
        <v>2659</v>
      </c>
      <c r="I8376" t="s">
        <v>2660</v>
      </c>
      <c r="J8376" t="s">
        <v>52</v>
      </c>
      <c r="K8376" s="3">
        <v>100411076834</v>
      </c>
      <c r="L8376" s="10">
        <v>40422</v>
      </c>
      <c r="M8376">
        <v>130.96</v>
      </c>
      <c r="N8376" s="11">
        <v>42</v>
      </c>
      <c r="O8376" s="12">
        <v>3.14</v>
      </c>
      <c r="P8376" s="12">
        <v>1.92</v>
      </c>
      <c r="Q8376" s="13">
        <v>-66.74</v>
      </c>
      <c r="R8376" s="36" t="s">
        <v>1451</v>
      </c>
      <c r="S8376" s="7">
        <f t="shared" si="728"/>
        <v>0</v>
      </c>
      <c r="T8376" s="15" t="str">
        <f>VLOOKUP(R8376,产品分类!$C$2:$D$1278,2,0)</f>
        <v>办公用品</v>
      </c>
    </row>
    <row r="8377" spans="1:20">
      <c r="A8377" s="8">
        <f>DATE(2012,12,31)-1422</f>
        <v>39852</v>
      </c>
      <c r="B8377" s="8">
        <f>DATE(2012,12,31)-1422</f>
        <v>39852</v>
      </c>
      <c r="C8377" s="9" t="s">
        <v>540</v>
      </c>
      <c r="D8377">
        <v>10021256361</v>
      </c>
      <c r="E8377" t="s">
        <v>47</v>
      </c>
      <c r="F8377" t="s">
        <v>208</v>
      </c>
      <c r="G8377" t="s">
        <v>209</v>
      </c>
      <c r="H8377" t="s">
        <v>2661</v>
      </c>
      <c r="I8377" t="s">
        <v>2557</v>
      </c>
      <c r="J8377" t="s">
        <v>52</v>
      </c>
      <c r="K8377" s="3">
        <v>100824966652</v>
      </c>
      <c r="L8377" s="10">
        <v>39854</v>
      </c>
      <c r="M8377">
        <v>714.46</v>
      </c>
      <c r="N8377" s="11">
        <v>47</v>
      </c>
      <c r="O8377" s="12">
        <v>15.98</v>
      </c>
      <c r="P8377" s="12">
        <v>8.99</v>
      </c>
      <c r="Q8377" s="13">
        <v>-268.65</v>
      </c>
      <c r="R8377" s="36" t="s">
        <v>487</v>
      </c>
      <c r="S8377" s="7">
        <f t="shared" si="728"/>
        <v>2</v>
      </c>
      <c r="T8377" s="15" t="str">
        <f>VLOOKUP(R8377,产品分类!$C$2:$D$1278,2,0)</f>
        <v>家具产品</v>
      </c>
    </row>
    <row r="8378" spans="1:20">
      <c r="A8378" s="8">
        <f>DATE(2012,12,31)-936</f>
        <v>40338</v>
      </c>
      <c r="B8378" s="8">
        <f>DATE(2012,12,31)-936</f>
        <v>40338</v>
      </c>
      <c r="C8378" s="9" t="s">
        <v>540</v>
      </c>
      <c r="D8378">
        <v>10021695409</v>
      </c>
      <c r="E8378" t="s">
        <v>47</v>
      </c>
      <c r="F8378" t="s">
        <v>102</v>
      </c>
      <c r="G8378" t="s">
        <v>103</v>
      </c>
      <c r="H8378" t="s">
        <v>2659</v>
      </c>
      <c r="I8378" t="s">
        <v>2660</v>
      </c>
      <c r="J8378" t="s">
        <v>52</v>
      </c>
      <c r="K8378" s="3">
        <v>100432036763</v>
      </c>
      <c r="L8378" s="10">
        <v>40339</v>
      </c>
      <c r="M8378">
        <v>679.65</v>
      </c>
      <c r="N8378" s="11">
        <v>43</v>
      </c>
      <c r="O8378" s="12">
        <v>15.01</v>
      </c>
      <c r="P8378" s="12">
        <v>8.4</v>
      </c>
      <c r="Q8378" s="13">
        <v>31.2035</v>
      </c>
      <c r="R8378" s="36" t="s">
        <v>2445</v>
      </c>
      <c r="S8378" s="7">
        <f t="shared" si="728"/>
        <v>1</v>
      </c>
      <c r="T8378" s="15" t="str">
        <f>VLOOKUP(R8378,产品分类!$C$2:$D$1278,2,0)</f>
        <v>办公用品</v>
      </c>
    </row>
    <row r="8379" spans="1:20">
      <c r="A8379" s="8">
        <f>DATE(2012,12,31)-355</f>
        <v>40919</v>
      </c>
      <c r="B8379" s="8">
        <f>DATE(2012,12,31)-355</f>
        <v>40919</v>
      </c>
      <c r="C8379" s="9" t="s">
        <v>2224</v>
      </c>
      <c r="D8379">
        <v>10021431489</v>
      </c>
      <c r="E8379" t="s">
        <v>47</v>
      </c>
      <c r="F8379" t="s">
        <v>102</v>
      </c>
      <c r="G8379" t="s">
        <v>103</v>
      </c>
      <c r="H8379" t="s">
        <v>2659</v>
      </c>
      <c r="I8379" t="s">
        <v>2660</v>
      </c>
      <c r="J8379" t="s">
        <v>52</v>
      </c>
      <c r="K8379" s="3">
        <v>100732237355</v>
      </c>
      <c r="L8379" s="10">
        <v>40921</v>
      </c>
      <c r="M8379">
        <v>437.73</v>
      </c>
      <c r="N8379" s="11">
        <v>42</v>
      </c>
      <c r="O8379" s="12">
        <v>9.9</v>
      </c>
      <c r="P8379" s="12">
        <v>1.39</v>
      </c>
      <c r="Q8379" s="13">
        <v>205.7</v>
      </c>
      <c r="R8379" s="36" t="s">
        <v>1430</v>
      </c>
      <c r="S8379" s="7">
        <f t="shared" si="728"/>
        <v>2</v>
      </c>
      <c r="T8379" s="15" t="str">
        <f>VLOOKUP(R8379,产品分类!$C$2:$D$1278,2,0)</f>
        <v>办公用品</v>
      </c>
    </row>
    <row r="8380" spans="1:20">
      <c r="A8380" s="8">
        <f>DATE(2012,12,31)-355</f>
        <v>40919</v>
      </c>
      <c r="B8380" s="8">
        <f>DATE(2012,12,31)-355</f>
        <v>40919</v>
      </c>
      <c r="C8380" s="9" t="s">
        <v>2224</v>
      </c>
      <c r="D8380">
        <v>10021497246</v>
      </c>
      <c r="E8380" t="s">
        <v>47</v>
      </c>
      <c r="F8380" t="s">
        <v>55</v>
      </c>
      <c r="G8380" t="s">
        <v>56</v>
      </c>
      <c r="H8380" t="s">
        <v>2656</v>
      </c>
      <c r="I8380" t="s">
        <v>2657</v>
      </c>
      <c r="J8380" t="s">
        <v>52</v>
      </c>
      <c r="K8380" s="3">
        <v>100414571084</v>
      </c>
      <c r="L8380" s="10">
        <v>40920</v>
      </c>
      <c r="M8380">
        <v>275.01</v>
      </c>
      <c r="N8380" s="11">
        <v>16</v>
      </c>
      <c r="O8380" s="12">
        <v>15.7</v>
      </c>
      <c r="P8380" s="12">
        <v>11.25</v>
      </c>
      <c r="Q8380" s="13">
        <v>-87.11</v>
      </c>
      <c r="R8380" s="36" t="s">
        <v>985</v>
      </c>
      <c r="S8380" s="7">
        <f t="shared" si="728"/>
        <v>1</v>
      </c>
      <c r="T8380" s="15" t="str">
        <f>VLOOKUP(R8380,产品分类!$C$2:$D$1278,2,0)</f>
        <v>数码电子</v>
      </c>
    </row>
    <row r="8381" spans="1:20">
      <c r="A8381" s="8">
        <f t="shared" ref="A8381:B8383" si="732">DATE(2012,12,31)-580</f>
        <v>40694</v>
      </c>
      <c r="B8381" s="8">
        <f t="shared" si="732"/>
        <v>40694</v>
      </c>
      <c r="C8381" s="9" t="s">
        <v>2403</v>
      </c>
      <c r="D8381">
        <v>10021625444</v>
      </c>
      <c r="E8381" t="s">
        <v>47</v>
      </c>
      <c r="F8381" t="s">
        <v>177</v>
      </c>
      <c r="G8381" t="s">
        <v>178</v>
      </c>
      <c r="H8381" t="s">
        <v>2645</v>
      </c>
      <c r="I8381" t="s">
        <v>2646</v>
      </c>
      <c r="J8381" t="s">
        <v>52</v>
      </c>
      <c r="K8381" s="3">
        <v>100326889089</v>
      </c>
      <c r="L8381" s="10">
        <v>40696</v>
      </c>
      <c r="M8381">
        <v>437.77</v>
      </c>
      <c r="N8381" s="11">
        <v>26</v>
      </c>
      <c r="O8381" s="12">
        <v>15.98</v>
      </c>
      <c r="P8381" s="12">
        <v>8.99</v>
      </c>
      <c r="Q8381" s="13">
        <v>-125.8</v>
      </c>
      <c r="R8381" s="36" t="s">
        <v>1817</v>
      </c>
      <c r="S8381" s="7">
        <f t="shared" si="728"/>
        <v>2</v>
      </c>
      <c r="T8381" s="15" t="str">
        <f>VLOOKUP(R8381,产品分类!$C$2:$D$1278,2,0)</f>
        <v>数码电子</v>
      </c>
    </row>
    <row r="8382" spans="1:20">
      <c r="A8382" s="8">
        <f t="shared" si="732"/>
        <v>40694</v>
      </c>
      <c r="B8382" s="8">
        <f t="shared" si="732"/>
        <v>40694</v>
      </c>
      <c r="C8382" s="9" t="s">
        <v>1145</v>
      </c>
      <c r="D8382">
        <v>10021424604</v>
      </c>
      <c r="E8382" t="s">
        <v>47</v>
      </c>
      <c r="F8382" t="s">
        <v>171</v>
      </c>
      <c r="G8382" t="s">
        <v>172</v>
      </c>
      <c r="H8382" t="s">
        <v>2486</v>
      </c>
      <c r="I8382" t="s">
        <v>2310</v>
      </c>
      <c r="J8382" t="s">
        <v>52</v>
      </c>
      <c r="K8382" s="3">
        <v>100728856335</v>
      </c>
      <c r="L8382" s="10">
        <v>40696</v>
      </c>
      <c r="M8382">
        <v>514.86</v>
      </c>
      <c r="N8382" s="11">
        <v>45</v>
      </c>
      <c r="O8382" s="12">
        <v>12.28</v>
      </c>
      <c r="P8382" s="12">
        <v>6.47</v>
      </c>
      <c r="Q8382" s="13">
        <v>-10.84</v>
      </c>
      <c r="R8382" s="36" t="s">
        <v>973</v>
      </c>
      <c r="S8382" s="7">
        <f t="shared" si="728"/>
        <v>2</v>
      </c>
      <c r="T8382" s="15" t="str">
        <f>VLOOKUP(R8382,产品分类!$C$2:$D$1278,2,0)</f>
        <v>办公用品</v>
      </c>
    </row>
    <row r="8383" spans="1:20">
      <c r="A8383" s="8">
        <f t="shared" si="732"/>
        <v>40694</v>
      </c>
      <c r="B8383" s="8">
        <f t="shared" si="732"/>
        <v>40694</v>
      </c>
      <c r="C8383" s="9" t="s">
        <v>1145</v>
      </c>
      <c r="D8383">
        <v>10021387860</v>
      </c>
      <c r="E8383" t="s">
        <v>47</v>
      </c>
      <c r="F8383" t="s">
        <v>171</v>
      </c>
      <c r="G8383" t="s">
        <v>172</v>
      </c>
      <c r="H8383" t="s">
        <v>2486</v>
      </c>
      <c r="I8383" t="s">
        <v>2310</v>
      </c>
      <c r="J8383" t="s">
        <v>52</v>
      </c>
      <c r="K8383" s="3">
        <v>100111854597</v>
      </c>
      <c r="L8383" s="10">
        <v>40696</v>
      </c>
      <c r="M8383">
        <v>356.27</v>
      </c>
      <c r="N8383" s="11">
        <v>12</v>
      </c>
      <c r="O8383" s="12">
        <v>30.98</v>
      </c>
      <c r="P8383" s="12">
        <v>5.09</v>
      </c>
      <c r="Q8383" s="13">
        <v>84.53</v>
      </c>
      <c r="R8383" s="36" t="s">
        <v>1645</v>
      </c>
      <c r="S8383" s="7">
        <f t="shared" si="728"/>
        <v>2</v>
      </c>
      <c r="T8383" s="15" t="str">
        <f>VLOOKUP(R8383,产品分类!$C$2:$D$1278,2,0)</f>
        <v>办公用品</v>
      </c>
    </row>
    <row r="8384" spans="1:20">
      <c r="A8384" s="8">
        <f>DATE(2012,12,31)-412</f>
        <v>40862</v>
      </c>
      <c r="B8384" s="8">
        <f>DATE(2012,12,31)-412</f>
        <v>40862</v>
      </c>
      <c r="C8384" s="9" t="s">
        <v>1145</v>
      </c>
      <c r="D8384">
        <v>10021385863</v>
      </c>
      <c r="E8384" t="s">
        <v>47</v>
      </c>
      <c r="F8384" t="s">
        <v>527</v>
      </c>
      <c r="G8384" t="s">
        <v>528</v>
      </c>
      <c r="H8384" t="s">
        <v>2624</v>
      </c>
      <c r="I8384" t="s">
        <v>2625</v>
      </c>
      <c r="J8384" t="s">
        <v>52</v>
      </c>
      <c r="K8384" s="3">
        <v>10071742015</v>
      </c>
      <c r="L8384" s="10">
        <v>40862</v>
      </c>
      <c r="M8384">
        <v>11039.75</v>
      </c>
      <c r="N8384" s="11">
        <v>29</v>
      </c>
      <c r="O8384" s="12">
        <v>400.97</v>
      </c>
      <c r="P8384" s="12">
        <v>14.7</v>
      </c>
      <c r="Q8384" s="13">
        <v>2148.97</v>
      </c>
      <c r="R8384" s="36" t="s">
        <v>340</v>
      </c>
      <c r="S8384" s="7">
        <f t="shared" si="728"/>
        <v>0</v>
      </c>
      <c r="T8384" s="15" t="str">
        <f>VLOOKUP(R8384,产品分类!$C$2:$D$1278,2,0)</f>
        <v>办公用品</v>
      </c>
    </row>
    <row r="8385" spans="1:20">
      <c r="A8385" s="8">
        <f>DATE(2012,12,31)-412</f>
        <v>40862</v>
      </c>
      <c r="B8385" s="8">
        <f>DATE(2012,12,31)-412</f>
        <v>40862</v>
      </c>
      <c r="C8385" s="9" t="s">
        <v>2122</v>
      </c>
      <c r="D8385">
        <v>10021345935</v>
      </c>
      <c r="E8385" t="s">
        <v>47</v>
      </c>
      <c r="F8385" t="s">
        <v>171</v>
      </c>
      <c r="G8385" t="s">
        <v>172</v>
      </c>
      <c r="H8385" t="s">
        <v>2486</v>
      </c>
      <c r="I8385" t="s">
        <v>2310</v>
      </c>
      <c r="J8385" t="s">
        <v>52</v>
      </c>
      <c r="K8385" s="3">
        <v>100130528507</v>
      </c>
      <c r="L8385" s="10">
        <v>40866</v>
      </c>
      <c r="M8385">
        <v>4982.944</v>
      </c>
      <c r="N8385" s="11">
        <v>30</v>
      </c>
      <c r="O8385" s="12">
        <v>217.85</v>
      </c>
      <c r="P8385" s="12">
        <v>29.1</v>
      </c>
      <c r="Q8385" s="13">
        <v>693.69</v>
      </c>
      <c r="R8385" s="36" t="s">
        <v>1449</v>
      </c>
      <c r="S8385" s="7">
        <f t="shared" si="728"/>
        <v>4</v>
      </c>
      <c r="T8385" s="15" t="str">
        <f>VLOOKUP(R8385,产品分类!$C$2:$D$1278,2,0)</f>
        <v>家具产品</v>
      </c>
    </row>
    <row r="8386" spans="1:20">
      <c r="A8386" s="8">
        <f>DATE(2012,12,31)-261</f>
        <v>41013</v>
      </c>
      <c r="B8386" s="8">
        <f>DATE(2012,12,31)-261</f>
        <v>41013</v>
      </c>
      <c r="C8386" s="9" t="s">
        <v>835</v>
      </c>
      <c r="D8386">
        <v>10021366794</v>
      </c>
      <c r="E8386" t="s">
        <v>47</v>
      </c>
      <c r="F8386" t="s">
        <v>171</v>
      </c>
      <c r="G8386" t="s">
        <v>172</v>
      </c>
      <c r="H8386" t="s">
        <v>2486</v>
      </c>
      <c r="I8386" t="s">
        <v>2310</v>
      </c>
      <c r="J8386" t="s">
        <v>52</v>
      </c>
      <c r="K8386" s="3">
        <v>100126168737</v>
      </c>
      <c r="L8386" s="10">
        <v>41014</v>
      </c>
      <c r="M8386">
        <v>26.5</v>
      </c>
      <c r="N8386" s="11">
        <v>5</v>
      </c>
      <c r="O8386" s="12">
        <v>4.26</v>
      </c>
      <c r="P8386" s="12">
        <v>1.2</v>
      </c>
      <c r="Q8386" s="13">
        <v>2.61</v>
      </c>
      <c r="R8386" s="36" t="s">
        <v>329</v>
      </c>
      <c r="S8386" s="7">
        <f t="shared" si="728"/>
        <v>1</v>
      </c>
      <c r="T8386" s="15" t="str">
        <f>VLOOKUP(R8386,产品分类!$C$2:$D$1278,2,0)</f>
        <v>办公用品</v>
      </c>
    </row>
    <row r="8387" spans="1:20">
      <c r="A8387" s="8">
        <f>DATE(2012,12,31)-956</f>
        <v>40318</v>
      </c>
      <c r="B8387" s="8">
        <f>DATE(2012,12,31)-956</f>
        <v>40318</v>
      </c>
      <c r="C8387" s="9" t="s">
        <v>835</v>
      </c>
      <c r="D8387">
        <v>10021592443</v>
      </c>
      <c r="E8387" t="s">
        <v>47</v>
      </c>
      <c r="F8387" t="s">
        <v>167</v>
      </c>
      <c r="G8387" t="s">
        <v>168</v>
      </c>
      <c r="H8387" t="s">
        <v>169</v>
      </c>
      <c r="I8387" t="s">
        <v>168</v>
      </c>
      <c r="J8387" t="s">
        <v>52</v>
      </c>
      <c r="K8387" s="3">
        <v>100432113073</v>
      </c>
      <c r="L8387" s="10">
        <v>40320</v>
      </c>
      <c r="M8387">
        <v>284.92</v>
      </c>
      <c r="N8387" s="11">
        <v>32</v>
      </c>
      <c r="O8387" s="12">
        <v>9.11</v>
      </c>
      <c r="P8387" s="12">
        <v>2.15</v>
      </c>
      <c r="Q8387" s="13">
        <v>81.29</v>
      </c>
      <c r="R8387" s="36" t="s">
        <v>1970</v>
      </c>
      <c r="S8387" s="7">
        <f t="shared" ref="S8387:S8450" si="733">+L8387-B8387</f>
        <v>2</v>
      </c>
      <c r="T8387" s="15" t="str">
        <f>VLOOKUP(R8387,产品分类!$C$2:$D$1278,2,0)</f>
        <v>办公用品</v>
      </c>
    </row>
    <row r="8388" spans="1:20">
      <c r="A8388" s="8">
        <f>DATE(2012,12,31)-148</f>
        <v>41126</v>
      </c>
      <c r="B8388" s="8">
        <f>DATE(2012,12,31)-148</f>
        <v>41126</v>
      </c>
      <c r="C8388" s="9" t="s">
        <v>1181</v>
      </c>
      <c r="D8388">
        <v>10021522828</v>
      </c>
      <c r="E8388" t="s">
        <v>47</v>
      </c>
      <c r="F8388" t="s">
        <v>127</v>
      </c>
      <c r="G8388" t="s">
        <v>128</v>
      </c>
      <c r="H8388" t="s">
        <v>2608</v>
      </c>
      <c r="I8388" t="s">
        <v>2609</v>
      </c>
      <c r="J8388" t="s">
        <v>52</v>
      </c>
      <c r="K8388" s="3">
        <v>100810897852</v>
      </c>
      <c r="L8388" s="10">
        <v>41128</v>
      </c>
      <c r="M8388">
        <v>1255.48</v>
      </c>
      <c r="N8388" s="11">
        <v>11</v>
      </c>
      <c r="O8388" s="12">
        <v>115.99</v>
      </c>
      <c r="P8388" s="12">
        <v>56.14</v>
      </c>
      <c r="Q8388" s="13">
        <v>-292.6506</v>
      </c>
      <c r="R8388" s="36" t="s">
        <v>1449</v>
      </c>
      <c r="S8388" s="7">
        <f t="shared" si="733"/>
        <v>2</v>
      </c>
      <c r="T8388" s="15" t="str">
        <f>VLOOKUP(R8388,产品分类!$C$2:$D$1278,2,0)</f>
        <v>家具产品</v>
      </c>
    </row>
    <row r="8389" spans="1:20">
      <c r="A8389" s="8">
        <f>DATE(2012,12,31)-148</f>
        <v>41126</v>
      </c>
      <c r="B8389" s="8">
        <f>DATE(2012,12,31)-148</f>
        <v>41126</v>
      </c>
      <c r="C8389" s="9" t="s">
        <v>928</v>
      </c>
      <c r="D8389">
        <v>10021767970</v>
      </c>
      <c r="E8389" t="s">
        <v>47</v>
      </c>
      <c r="F8389" t="s">
        <v>177</v>
      </c>
      <c r="G8389" t="s">
        <v>178</v>
      </c>
      <c r="H8389" t="s">
        <v>2645</v>
      </c>
      <c r="I8389" t="s">
        <v>2646</v>
      </c>
      <c r="J8389" t="s">
        <v>52</v>
      </c>
      <c r="K8389" s="3">
        <v>100112980596</v>
      </c>
      <c r="L8389" s="10">
        <v>41133</v>
      </c>
      <c r="M8389">
        <v>411.56</v>
      </c>
      <c r="N8389" s="11">
        <v>46</v>
      </c>
      <c r="O8389" s="12">
        <v>9.38</v>
      </c>
      <c r="P8389" s="12">
        <v>7.28</v>
      </c>
      <c r="Q8389" s="13">
        <v>-188.02</v>
      </c>
      <c r="R8389" s="36" t="s">
        <v>1977</v>
      </c>
      <c r="S8389" s="7">
        <f t="shared" si="733"/>
        <v>7</v>
      </c>
      <c r="T8389" s="15" t="str">
        <f>VLOOKUP(R8389,产品分类!$C$2:$D$1278,2,0)</f>
        <v>数码电子</v>
      </c>
    </row>
    <row r="8390" spans="1:20">
      <c r="A8390" s="8">
        <f>DATE(2012,12,31)-379</f>
        <v>40895</v>
      </c>
      <c r="B8390" s="8">
        <f>DATE(2012,12,31)-379</f>
        <v>40895</v>
      </c>
      <c r="C8390" s="9" t="s">
        <v>1419</v>
      </c>
      <c r="D8390">
        <v>10021588796</v>
      </c>
      <c r="E8390" t="s">
        <v>47</v>
      </c>
      <c r="F8390" t="s">
        <v>183</v>
      </c>
      <c r="G8390" t="s">
        <v>184</v>
      </c>
      <c r="H8390" t="s">
        <v>2643</v>
      </c>
      <c r="I8390" t="s">
        <v>2644</v>
      </c>
      <c r="J8390" t="s">
        <v>52</v>
      </c>
      <c r="K8390" s="3">
        <v>100830817632</v>
      </c>
      <c r="L8390" s="10">
        <v>40896</v>
      </c>
      <c r="M8390">
        <v>10.59</v>
      </c>
      <c r="N8390" s="11">
        <v>1</v>
      </c>
      <c r="O8390" s="12">
        <v>9.11</v>
      </c>
      <c r="P8390" s="12">
        <v>2.15</v>
      </c>
      <c r="Q8390" s="13">
        <v>-4.31</v>
      </c>
      <c r="R8390" s="36" t="s">
        <v>157</v>
      </c>
      <c r="S8390" s="7">
        <f t="shared" si="733"/>
        <v>1</v>
      </c>
      <c r="T8390" s="15" t="str">
        <f>VLOOKUP(R8390,产品分类!$C$2:$D$1278,2,0)</f>
        <v>数码电子</v>
      </c>
    </row>
    <row r="8391" spans="1:20">
      <c r="A8391" s="8">
        <f>DATE(2012,12,31)-1099</f>
        <v>40175</v>
      </c>
      <c r="B8391" s="8">
        <f>DATE(2012,12,31)-1099</f>
        <v>40175</v>
      </c>
      <c r="C8391" s="9" t="s">
        <v>1041</v>
      </c>
      <c r="D8391">
        <v>10021740999</v>
      </c>
      <c r="E8391" t="s">
        <v>47</v>
      </c>
      <c r="F8391" t="s">
        <v>253</v>
      </c>
      <c r="G8391" t="s">
        <v>254</v>
      </c>
      <c r="H8391" t="s">
        <v>2649</v>
      </c>
      <c r="I8391" t="s">
        <v>2650</v>
      </c>
      <c r="J8391" t="s">
        <v>52</v>
      </c>
      <c r="K8391" s="3">
        <v>100822030832</v>
      </c>
      <c r="L8391" s="10">
        <v>40176</v>
      </c>
      <c r="M8391">
        <v>235.98</v>
      </c>
      <c r="N8391" s="11">
        <v>7</v>
      </c>
      <c r="O8391" s="12">
        <v>30.98</v>
      </c>
      <c r="P8391" s="12">
        <v>17.08</v>
      </c>
      <c r="Q8391" s="13">
        <v>-32.28</v>
      </c>
      <c r="R8391" s="36" t="s">
        <v>1256</v>
      </c>
      <c r="S8391" s="7">
        <f t="shared" si="733"/>
        <v>1</v>
      </c>
      <c r="T8391" s="15" t="str">
        <f>VLOOKUP(R8391,产品分类!$C$2:$D$1278,2,0)</f>
        <v>家具产品</v>
      </c>
    </row>
    <row r="8392" spans="1:20">
      <c r="A8392" s="8">
        <f>DATE(2012,12,31)-852</f>
        <v>40422</v>
      </c>
      <c r="B8392" s="8">
        <f>DATE(2012,12,31)-852</f>
        <v>40422</v>
      </c>
      <c r="C8392" s="9" t="s">
        <v>428</v>
      </c>
      <c r="D8392">
        <v>10021319936</v>
      </c>
      <c r="E8392" t="s">
        <v>47</v>
      </c>
      <c r="F8392" t="s">
        <v>342</v>
      </c>
      <c r="G8392" t="s">
        <v>343</v>
      </c>
      <c r="H8392" t="s">
        <v>2637</v>
      </c>
      <c r="I8392" t="s">
        <v>2638</v>
      </c>
      <c r="J8392" t="s">
        <v>52</v>
      </c>
      <c r="K8392" s="3">
        <v>100117172138</v>
      </c>
      <c r="L8392" s="10">
        <v>40422</v>
      </c>
      <c r="M8392">
        <v>130.96</v>
      </c>
      <c r="N8392" s="11">
        <v>42</v>
      </c>
      <c r="O8392" s="12">
        <v>3.14</v>
      </c>
      <c r="P8392" s="12">
        <v>1.92</v>
      </c>
      <c r="Q8392" s="13">
        <v>-66.74</v>
      </c>
      <c r="R8392" s="36" t="s">
        <v>1374</v>
      </c>
      <c r="S8392" s="7">
        <f t="shared" si="733"/>
        <v>0</v>
      </c>
      <c r="T8392" s="15" t="str">
        <f>VLOOKUP(R8392,产品分类!$C$2:$D$1278,2,0)</f>
        <v>办公用品</v>
      </c>
    </row>
    <row r="8393" spans="1:20">
      <c r="A8393" s="8">
        <f>DATE(2012,12,31)-1422</f>
        <v>39852</v>
      </c>
      <c r="B8393" s="8">
        <f>DATE(2012,12,31)-1422</f>
        <v>39852</v>
      </c>
      <c r="C8393" s="9" t="s">
        <v>421</v>
      </c>
      <c r="D8393">
        <v>10021347926</v>
      </c>
      <c r="E8393" t="s">
        <v>47</v>
      </c>
      <c r="F8393" t="s">
        <v>61</v>
      </c>
      <c r="G8393" t="s">
        <v>62</v>
      </c>
      <c r="H8393" t="s">
        <v>2647</v>
      </c>
      <c r="I8393" t="s">
        <v>2648</v>
      </c>
      <c r="J8393" t="s">
        <v>52</v>
      </c>
      <c r="K8393" s="3">
        <v>100931323431</v>
      </c>
      <c r="L8393" s="10">
        <v>39854</v>
      </c>
      <c r="M8393">
        <v>714.46</v>
      </c>
      <c r="N8393" s="11">
        <v>47</v>
      </c>
      <c r="O8393" s="12">
        <v>15.98</v>
      </c>
      <c r="P8393" s="12">
        <v>8.99</v>
      </c>
      <c r="Q8393" s="13">
        <v>-268.65</v>
      </c>
      <c r="R8393" s="36" t="s">
        <v>203</v>
      </c>
      <c r="S8393" s="7">
        <f t="shared" si="733"/>
        <v>2</v>
      </c>
      <c r="T8393" s="15" t="str">
        <f>VLOOKUP(R8393,产品分类!$C$2:$D$1278,2,0)</f>
        <v>办公用品</v>
      </c>
    </row>
    <row r="8394" spans="1:20">
      <c r="A8394" s="8">
        <f>DATE(2012,12,31)-936</f>
        <v>40338</v>
      </c>
      <c r="B8394" s="8">
        <f>DATE(2012,12,31)-936</f>
        <v>40338</v>
      </c>
      <c r="C8394" s="9" t="s">
        <v>421</v>
      </c>
      <c r="D8394">
        <v>10021352363</v>
      </c>
      <c r="E8394" t="s">
        <v>47</v>
      </c>
      <c r="F8394" t="s">
        <v>61</v>
      </c>
      <c r="G8394" t="s">
        <v>62</v>
      </c>
      <c r="H8394" t="s">
        <v>2647</v>
      </c>
      <c r="I8394" t="s">
        <v>2648</v>
      </c>
      <c r="J8394" t="s">
        <v>52</v>
      </c>
      <c r="K8394" s="3">
        <v>100732521575</v>
      </c>
      <c r="L8394" s="10">
        <v>40339</v>
      </c>
      <c r="M8394">
        <v>679.65</v>
      </c>
      <c r="N8394" s="11">
        <v>43</v>
      </c>
      <c r="O8394" s="12">
        <v>15.01</v>
      </c>
      <c r="P8394" s="12">
        <v>8.4</v>
      </c>
      <c r="Q8394" s="13">
        <v>31.2035</v>
      </c>
      <c r="R8394" s="36" t="s">
        <v>261</v>
      </c>
      <c r="S8394" s="7">
        <f t="shared" si="733"/>
        <v>1</v>
      </c>
      <c r="T8394" s="15" t="str">
        <f>VLOOKUP(R8394,产品分类!$C$2:$D$1278,2,0)</f>
        <v>家具产品</v>
      </c>
    </row>
    <row r="8395" spans="1:20">
      <c r="A8395" s="8">
        <f>DATE(2012,12,31)-780</f>
        <v>40494</v>
      </c>
      <c r="B8395" s="8">
        <f>DATE(2012,12,31)-780</f>
        <v>40494</v>
      </c>
      <c r="C8395" s="9" t="s">
        <v>158</v>
      </c>
      <c r="D8395">
        <v>10021605347</v>
      </c>
      <c r="E8395" t="s">
        <v>47</v>
      </c>
      <c r="F8395" t="s">
        <v>61</v>
      </c>
      <c r="G8395" t="s">
        <v>62</v>
      </c>
      <c r="H8395" t="s">
        <v>2647</v>
      </c>
      <c r="I8395" t="s">
        <v>2648</v>
      </c>
      <c r="J8395" t="s">
        <v>52</v>
      </c>
      <c r="K8395" s="3">
        <v>10015563227</v>
      </c>
      <c r="L8395" s="10">
        <v>40496</v>
      </c>
      <c r="M8395">
        <v>2170.305</v>
      </c>
      <c r="N8395" s="11">
        <v>42</v>
      </c>
      <c r="O8395" s="12">
        <v>65.99</v>
      </c>
      <c r="P8395" s="12">
        <v>8.99</v>
      </c>
      <c r="Q8395" s="13">
        <v>264.321</v>
      </c>
      <c r="R8395" s="36" t="s">
        <v>1256</v>
      </c>
      <c r="S8395" s="7">
        <f t="shared" si="733"/>
        <v>2</v>
      </c>
      <c r="T8395" s="15" t="str">
        <f>VLOOKUP(R8395,产品分类!$C$2:$D$1278,2,0)</f>
        <v>家具产品</v>
      </c>
    </row>
    <row r="8396" spans="1:20">
      <c r="A8396" s="8">
        <f>DATE(2012,12,31)-412</f>
        <v>40862</v>
      </c>
      <c r="B8396" s="8">
        <f>DATE(2012,12,31)-412</f>
        <v>40862</v>
      </c>
      <c r="C8396" s="9" t="s">
        <v>158</v>
      </c>
      <c r="D8396">
        <v>10021387809</v>
      </c>
      <c r="E8396" t="s">
        <v>47</v>
      </c>
      <c r="F8396" t="s">
        <v>61</v>
      </c>
      <c r="G8396" t="s">
        <v>62</v>
      </c>
      <c r="H8396" t="s">
        <v>2647</v>
      </c>
      <c r="I8396" t="s">
        <v>2648</v>
      </c>
      <c r="J8396" t="s">
        <v>52</v>
      </c>
      <c r="K8396" s="3">
        <v>10015709856</v>
      </c>
      <c r="L8396" s="10">
        <v>40863</v>
      </c>
      <c r="M8396">
        <v>718.6</v>
      </c>
      <c r="N8396" s="11">
        <v>40</v>
      </c>
      <c r="O8396" s="12">
        <v>17.98</v>
      </c>
      <c r="P8396" s="12">
        <v>4</v>
      </c>
      <c r="Q8396" s="13">
        <v>-81.49</v>
      </c>
      <c r="R8396" s="36" t="s">
        <v>874</v>
      </c>
      <c r="S8396" s="7">
        <f t="shared" si="733"/>
        <v>1</v>
      </c>
      <c r="T8396" s="15" t="str">
        <f>VLOOKUP(R8396,产品分类!$C$2:$D$1278,2,0)</f>
        <v>办公用品</v>
      </c>
    </row>
    <row r="8397" spans="1:20">
      <c r="A8397" s="8">
        <f>DATE(2012,12,31)-1112</f>
        <v>40162</v>
      </c>
      <c r="B8397" s="8">
        <f>DATE(2012,12,31)-1112</f>
        <v>40162</v>
      </c>
      <c r="C8397" s="9" t="s">
        <v>158</v>
      </c>
      <c r="D8397">
        <v>10021262222</v>
      </c>
      <c r="E8397" t="s">
        <v>47</v>
      </c>
      <c r="F8397" t="s">
        <v>61</v>
      </c>
      <c r="G8397" t="s">
        <v>62</v>
      </c>
      <c r="H8397" t="s">
        <v>2647</v>
      </c>
      <c r="I8397" t="s">
        <v>2648</v>
      </c>
      <c r="J8397" t="s">
        <v>52</v>
      </c>
      <c r="K8397" s="3">
        <v>100729787935</v>
      </c>
      <c r="L8397" s="10">
        <v>40164</v>
      </c>
      <c r="M8397">
        <v>43.46</v>
      </c>
      <c r="N8397" s="11">
        <v>27</v>
      </c>
      <c r="O8397" s="12">
        <v>1.48</v>
      </c>
      <c r="P8397" s="12">
        <v>0.7</v>
      </c>
      <c r="Q8397" s="13">
        <v>6.81</v>
      </c>
      <c r="R8397" s="36" t="s">
        <v>1461</v>
      </c>
      <c r="S8397" s="7">
        <f t="shared" si="733"/>
        <v>2</v>
      </c>
      <c r="T8397" s="15" t="str">
        <f>VLOOKUP(R8397,产品分类!$C$2:$D$1278,2,0)</f>
        <v>办公用品</v>
      </c>
    </row>
    <row r="8398" spans="1:20">
      <c r="A8398" s="8">
        <f>DATE(2012,12,31)-1112</f>
        <v>40162</v>
      </c>
      <c r="B8398" s="8">
        <f>DATE(2012,12,31)-1112</f>
        <v>40162</v>
      </c>
      <c r="C8398" s="9" t="s">
        <v>1455</v>
      </c>
      <c r="D8398">
        <v>10021578727</v>
      </c>
      <c r="E8398" t="s">
        <v>47</v>
      </c>
      <c r="F8398" t="s">
        <v>61</v>
      </c>
      <c r="G8398" t="s">
        <v>62</v>
      </c>
      <c r="H8398" t="s">
        <v>2647</v>
      </c>
      <c r="I8398" t="s">
        <v>2648</v>
      </c>
      <c r="J8398" t="s">
        <v>52</v>
      </c>
      <c r="K8398" s="3">
        <v>100715526795</v>
      </c>
      <c r="L8398" s="10">
        <v>40163</v>
      </c>
      <c r="M8398">
        <v>927.9875</v>
      </c>
      <c r="N8398" s="11">
        <v>5</v>
      </c>
      <c r="O8398" s="12">
        <v>205.99</v>
      </c>
      <c r="P8398" s="12">
        <v>8.99</v>
      </c>
      <c r="Q8398" s="13">
        <v>-615.912</v>
      </c>
      <c r="R8398" s="36" t="s">
        <v>2304</v>
      </c>
      <c r="S8398" s="7">
        <f t="shared" si="733"/>
        <v>1</v>
      </c>
      <c r="T8398" s="15" t="str">
        <f>VLOOKUP(R8398,产品分类!$C$2:$D$1278,2,0)</f>
        <v>数码电子</v>
      </c>
    </row>
    <row r="8399" spans="1:20">
      <c r="A8399" s="8">
        <f>DATE(2012,12,31)-168</f>
        <v>41106</v>
      </c>
      <c r="B8399" s="8">
        <f>DATE(2012,12,31)-168</f>
        <v>41106</v>
      </c>
      <c r="C8399" s="9" t="s">
        <v>1455</v>
      </c>
      <c r="D8399">
        <v>10021578261</v>
      </c>
      <c r="E8399" t="s">
        <v>47</v>
      </c>
      <c r="F8399" t="s">
        <v>61</v>
      </c>
      <c r="G8399" t="s">
        <v>62</v>
      </c>
      <c r="H8399" t="s">
        <v>2647</v>
      </c>
      <c r="I8399" t="s">
        <v>2648</v>
      </c>
      <c r="J8399" t="s">
        <v>52</v>
      </c>
      <c r="K8399" s="3">
        <v>100910395381</v>
      </c>
      <c r="L8399" s="10">
        <v>41109</v>
      </c>
      <c r="M8399">
        <v>94.56</v>
      </c>
      <c r="N8399" s="11">
        <v>34</v>
      </c>
      <c r="O8399" s="12">
        <v>2.61</v>
      </c>
      <c r="P8399" s="12">
        <v>0.5</v>
      </c>
      <c r="Q8399" s="13">
        <v>37.73</v>
      </c>
      <c r="R8399" s="36" t="s">
        <v>2542</v>
      </c>
      <c r="S8399" s="7">
        <f t="shared" si="733"/>
        <v>3</v>
      </c>
      <c r="T8399" s="15" t="str">
        <f>VLOOKUP(R8399,产品分类!$C$2:$D$1278,2,0)</f>
        <v>办公用品</v>
      </c>
    </row>
    <row r="8400" spans="1:20">
      <c r="A8400" s="8">
        <f>DATE(2012,12,31)-836</f>
        <v>40438</v>
      </c>
      <c r="B8400" s="8">
        <f>DATE(2012,12,31)-836</f>
        <v>40438</v>
      </c>
      <c r="C8400" s="19" t="s">
        <v>1609</v>
      </c>
      <c r="D8400">
        <v>10021752048</v>
      </c>
      <c r="E8400" t="s">
        <v>47</v>
      </c>
      <c r="F8400" t="s">
        <v>61</v>
      </c>
      <c r="G8400" t="s">
        <v>62</v>
      </c>
      <c r="H8400" t="s">
        <v>2647</v>
      </c>
      <c r="I8400" t="s">
        <v>2648</v>
      </c>
      <c r="J8400" t="s">
        <v>52</v>
      </c>
      <c r="K8400" s="3">
        <v>100431937584</v>
      </c>
      <c r="L8400" s="10">
        <v>40438</v>
      </c>
      <c r="M8400">
        <v>397.17</v>
      </c>
      <c r="N8400" s="11">
        <v>30</v>
      </c>
      <c r="O8400" s="12">
        <v>14.34</v>
      </c>
      <c r="P8400" s="12">
        <v>5</v>
      </c>
      <c r="Q8400" s="13">
        <v>7.69</v>
      </c>
      <c r="R8400" s="38" t="s">
        <v>298</v>
      </c>
      <c r="S8400" s="7">
        <f t="shared" si="733"/>
        <v>0</v>
      </c>
      <c r="T8400" s="15" t="str">
        <f>VLOOKUP(R8400,产品分类!$C$2:$D$1278,2,0)</f>
        <v>办公用品</v>
      </c>
    </row>
    <row r="8401" spans="1:20">
      <c r="A8401" s="8">
        <f>DATE(2012,12,31)-948</f>
        <v>40326</v>
      </c>
      <c r="B8401" s="8">
        <f>DATE(2012,12,31)-948</f>
        <v>40326</v>
      </c>
      <c r="C8401" s="19" t="s">
        <v>1609</v>
      </c>
      <c r="D8401">
        <v>10021252602</v>
      </c>
      <c r="E8401" t="s">
        <v>47</v>
      </c>
      <c r="F8401" t="s">
        <v>61</v>
      </c>
      <c r="G8401" t="s">
        <v>62</v>
      </c>
      <c r="H8401" t="s">
        <v>2647</v>
      </c>
      <c r="I8401" t="s">
        <v>2648</v>
      </c>
      <c r="J8401" t="s">
        <v>52</v>
      </c>
      <c r="K8401" s="3">
        <v>100912269631</v>
      </c>
      <c r="L8401" s="10">
        <v>40327</v>
      </c>
      <c r="M8401">
        <v>336.84</v>
      </c>
      <c r="N8401" s="11">
        <v>3</v>
      </c>
      <c r="O8401" s="12">
        <v>100.98</v>
      </c>
      <c r="P8401" s="12">
        <v>35.84</v>
      </c>
      <c r="Q8401" s="13">
        <v>-160.46</v>
      </c>
      <c r="R8401" s="38" t="s">
        <v>471</v>
      </c>
      <c r="S8401" s="7">
        <f t="shared" si="733"/>
        <v>1</v>
      </c>
      <c r="T8401" s="15" t="str">
        <f>VLOOKUP(R8401,产品分类!$C$2:$D$1278,2,0)</f>
        <v>办公用品</v>
      </c>
    </row>
    <row r="8402" spans="1:20">
      <c r="A8402" s="8">
        <f>DATE(2012,12,31)-948</f>
        <v>40326</v>
      </c>
      <c r="B8402" s="8">
        <f>DATE(2012,12,31)-948</f>
        <v>40326</v>
      </c>
      <c r="C8402" s="19" t="s">
        <v>1609</v>
      </c>
      <c r="D8402">
        <v>10021394818</v>
      </c>
      <c r="E8402" t="s">
        <v>47</v>
      </c>
      <c r="F8402" t="s">
        <v>61</v>
      </c>
      <c r="G8402" t="s">
        <v>62</v>
      </c>
      <c r="H8402" t="s">
        <v>2647</v>
      </c>
      <c r="I8402" t="s">
        <v>2648</v>
      </c>
      <c r="J8402" t="s">
        <v>52</v>
      </c>
      <c r="K8402" s="3">
        <v>10091396001</v>
      </c>
      <c r="L8402" s="10">
        <v>40326</v>
      </c>
      <c r="M8402">
        <v>1120.27</v>
      </c>
      <c r="N8402" s="11">
        <v>7</v>
      </c>
      <c r="O8402" s="12">
        <v>150.98</v>
      </c>
      <c r="P8402" s="12">
        <v>13.99</v>
      </c>
      <c r="Q8402" s="13">
        <v>16.81</v>
      </c>
      <c r="R8402" s="38" t="s">
        <v>126</v>
      </c>
      <c r="S8402" s="7">
        <f t="shared" si="733"/>
        <v>0</v>
      </c>
      <c r="T8402" s="15" t="str">
        <f>VLOOKUP(R8402,产品分类!$C$2:$D$1278,2,0)</f>
        <v>家具产品</v>
      </c>
    </row>
    <row r="8403" spans="1:20">
      <c r="A8403" s="8">
        <f>DATE(2012,12,31)-100</f>
        <v>41174</v>
      </c>
      <c r="B8403" s="8">
        <f>DATE(2012,12,31)-100</f>
        <v>41174</v>
      </c>
      <c r="C8403" s="19" t="s">
        <v>1609</v>
      </c>
      <c r="D8403">
        <v>10021496093</v>
      </c>
      <c r="E8403" t="s">
        <v>47</v>
      </c>
      <c r="F8403" t="s">
        <v>253</v>
      </c>
      <c r="G8403" t="s">
        <v>254</v>
      </c>
      <c r="H8403" t="s">
        <v>2649</v>
      </c>
      <c r="I8403" t="s">
        <v>2650</v>
      </c>
      <c r="J8403" t="s">
        <v>52</v>
      </c>
      <c r="K8403" s="3">
        <v>100915732571</v>
      </c>
      <c r="L8403" s="10">
        <v>41175</v>
      </c>
      <c r="M8403">
        <v>712.04</v>
      </c>
      <c r="N8403" s="11">
        <v>45</v>
      </c>
      <c r="O8403" s="12">
        <v>15.99</v>
      </c>
      <c r="P8403" s="12">
        <v>9.4</v>
      </c>
      <c r="Q8403" s="13">
        <v>-110.925</v>
      </c>
      <c r="R8403" s="38" t="s">
        <v>2662</v>
      </c>
      <c r="S8403" s="7">
        <f t="shared" si="733"/>
        <v>1</v>
      </c>
      <c r="T8403" s="15" t="str">
        <f>VLOOKUP(R8403,产品分类!$C$2:$D$1278,2,0)</f>
        <v>办公用品</v>
      </c>
    </row>
    <row r="8404" spans="1:20">
      <c r="A8404" s="8">
        <f>DATE(2012,12,31)-299</f>
        <v>40975</v>
      </c>
      <c r="B8404" s="8">
        <f>DATE(2012,12,31)-299</f>
        <v>40975</v>
      </c>
      <c r="C8404" s="19" t="s">
        <v>1609</v>
      </c>
      <c r="D8404">
        <v>10021509311</v>
      </c>
      <c r="E8404" t="s">
        <v>47</v>
      </c>
      <c r="F8404" t="s">
        <v>61</v>
      </c>
      <c r="G8404" t="s">
        <v>62</v>
      </c>
      <c r="H8404" t="s">
        <v>2647</v>
      </c>
      <c r="I8404" t="s">
        <v>2648</v>
      </c>
      <c r="J8404" t="s">
        <v>52</v>
      </c>
      <c r="K8404" s="3">
        <v>100732355435</v>
      </c>
      <c r="L8404" s="10">
        <v>40979</v>
      </c>
      <c r="M8404">
        <v>167.23</v>
      </c>
      <c r="N8404" s="11">
        <v>25</v>
      </c>
      <c r="O8404" s="12">
        <v>6.68</v>
      </c>
      <c r="P8404" s="12">
        <v>5.41</v>
      </c>
      <c r="Q8404" s="13">
        <v>-43.17</v>
      </c>
      <c r="R8404" s="38" t="s">
        <v>289</v>
      </c>
      <c r="S8404" s="7">
        <f t="shared" si="733"/>
        <v>4</v>
      </c>
      <c r="T8404" s="15" t="str">
        <f>VLOOKUP(R8404,产品分类!$C$2:$D$1278,2,0)</f>
        <v>办公用品</v>
      </c>
    </row>
    <row r="8405" spans="1:20">
      <c r="A8405" s="8">
        <f>DATE(2012,12,31)-264</f>
        <v>41010</v>
      </c>
      <c r="B8405" s="8">
        <f>DATE(2012,12,31)-264</f>
        <v>41010</v>
      </c>
      <c r="C8405" s="19" t="s">
        <v>1609</v>
      </c>
      <c r="D8405">
        <v>10021461603</v>
      </c>
      <c r="E8405" t="s">
        <v>47</v>
      </c>
      <c r="F8405" t="s">
        <v>61</v>
      </c>
      <c r="G8405" t="s">
        <v>62</v>
      </c>
      <c r="H8405" t="s">
        <v>2647</v>
      </c>
      <c r="I8405" t="s">
        <v>2648</v>
      </c>
      <c r="J8405" t="s">
        <v>52</v>
      </c>
      <c r="K8405" s="3">
        <v>100115881638</v>
      </c>
      <c r="L8405" s="10">
        <v>41010</v>
      </c>
      <c r="M8405">
        <v>1610.26</v>
      </c>
      <c r="N8405" s="11">
        <v>25</v>
      </c>
      <c r="O8405" s="12">
        <v>64.98</v>
      </c>
      <c r="P8405" s="12">
        <v>6.88</v>
      </c>
      <c r="Q8405" s="13">
        <v>122.42</v>
      </c>
      <c r="R8405" s="38" t="s">
        <v>2663</v>
      </c>
      <c r="S8405" s="7">
        <f t="shared" si="733"/>
        <v>0</v>
      </c>
      <c r="T8405" s="15" t="str">
        <f>VLOOKUP(R8405,产品分类!$C$2:$D$1278,2,0)</f>
        <v>办公用品</v>
      </c>
    </row>
    <row r="8406" spans="1:20">
      <c r="A8406" s="8">
        <f>DATE(2012,12,31)-1179</f>
        <v>40095</v>
      </c>
      <c r="B8406" s="8">
        <f>DATE(2012,12,31)-1179</f>
        <v>40095</v>
      </c>
      <c r="C8406" s="19" t="s">
        <v>1609</v>
      </c>
      <c r="D8406">
        <v>10021526486</v>
      </c>
      <c r="E8406" t="s">
        <v>47</v>
      </c>
      <c r="F8406" t="s">
        <v>61</v>
      </c>
      <c r="G8406" t="s">
        <v>62</v>
      </c>
      <c r="H8406" t="s">
        <v>2647</v>
      </c>
      <c r="I8406" t="s">
        <v>2648</v>
      </c>
      <c r="J8406" t="s">
        <v>52</v>
      </c>
      <c r="K8406" s="3">
        <v>100324709639</v>
      </c>
      <c r="L8406" s="10">
        <v>40096</v>
      </c>
      <c r="M8406">
        <v>3361.84</v>
      </c>
      <c r="N8406" s="11">
        <v>34</v>
      </c>
      <c r="O8406" s="12">
        <v>100.97</v>
      </c>
      <c r="P8406" s="12">
        <v>14</v>
      </c>
      <c r="Q8406" s="13">
        <v>1211.76</v>
      </c>
      <c r="R8406" s="38" t="s">
        <v>1706</v>
      </c>
      <c r="S8406" s="7">
        <f t="shared" si="733"/>
        <v>1</v>
      </c>
      <c r="T8406" s="15" t="str">
        <f>VLOOKUP(R8406,产品分类!$C$2:$D$1278,2,0)</f>
        <v>办公用品</v>
      </c>
    </row>
    <row r="8407" spans="1:20">
      <c r="A8407" s="8">
        <f>DATE(2012,12,31)-1179</f>
        <v>40095</v>
      </c>
      <c r="B8407" s="8">
        <f>DATE(2012,12,31)-1179</f>
        <v>40095</v>
      </c>
      <c r="C8407" s="19" t="s">
        <v>1609</v>
      </c>
      <c r="D8407">
        <v>10021249927</v>
      </c>
      <c r="E8407" t="s">
        <v>47</v>
      </c>
      <c r="F8407" t="s">
        <v>61</v>
      </c>
      <c r="G8407" t="s">
        <v>62</v>
      </c>
      <c r="H8407" t="s">
        <v>2647</v>
      </c>
      <c r="I8407" t="s">
        <v>2648</v>
      </c>
      <c r="J8407" t="s">
        <v>52</v>
      </c>
      <c r="K8407" s="3">
        <v>100712412415</v>
      </c>
      <c r="L8407" s="10">
        <v>40097</v>
      </c>
      <c r="M8407">
        <v>195.82</v>
      </c>
      <c r="N8407" s="11">
        <v>29</v>
      </c>
      <c r="O8407" s="12">
        <v>6.48</v>
      </c>
      <c r="P8407" s="12">
        <v>7.07</v>
      </c>
      <c r="Q8407" s="13">
        <v>-91.7</v>
      </c>
      <c r="R8407" s="38" t="s">
        <v>2658</v>
      </c>
      <c r="S8407" s="7">
        <f t="shared" si="733"/>
        <v>2</v>
      </c>
      <c r="T8407" s="15" t="str">
        <f>VLOOKUP(R8407,产品分类!$C$2:$D$1278,2,0)</f>
        <v>办公用品</v>
      </c>
    </row>
    <row r="8408" spans="1:20">
      <c r="A8408" s="8">
        <f>DATE(2012,12,31)-1052</f>
        <v>40222</v>
      </c>
      <c r="B8408" s="8">
        <f>DATE(2012,12,31)-1052</f>
        <v>40222</v>
      </c>
      <c r="C8408" s="19" t="s">
        <v>1609</v>
      </c>
      <c r="D8408">
        <v>10021294503</v>
      </c>
      <c r="E8408" t="s">
        <v>47</v>
      </c>
      <c r="F8408" t="s">
        <v>61</v>
      </c>
      <c r="G8408" t="s">
        <v>62</v>
      </c>
      <c r="H8408" t="s">
        <v>2647</v>
      </c>
      <c r="I8408" t="s">
        <v>2648</v>
      </c>
      <c r="J8408" t="s">
        <v>52</v>
      </c>
      <c r="K8408" s="3">
        <v>100914310731</v>
      </c>
      <c r="L8408" s="10">
        <v>40224</v>
      </c>
      <c r="M8408">
        <v>225.4</v>
      </c>
      <c r="N8408" s="11">
        <v>35</v>
      </c>
      <c r="O8408" s="12">
        <v>6.48</v>
      </c>
      <c r="P8408" s="12">
        <v>8.4</v>
      </c>
      <c r="Q8408" s="13">
        <v>-165.48</v>
      </c>
      <c r="R8408" s="38" t="s">
        <v>767</v>
      </c>
      <c r="S8408" s="7">
        <f t="shared" si="733"/>
        <v>2</v>
      </c>
      <c r="T8408" s="15" t="str">
        <f>VLOOKUP(R8408,产品分类!$C$2:$D$1278,2,0)</f>
        <v>家具产品</v>
      </c>
    </row>
    <row r="8409" spans="1:20">
      <c r="A8409" s="8">
        <f>DATE(2012,12,31)-1052</f>
        <v>40222</v>
      </c>
      <c r="B8409" s="8">
        <f>DATE(2012,12,31)-1052</f>
        <v>40222</v>
      </c>
      <c r="C8409" s="19" t="s">
        <v>1609</v>
      </c>
      <c r="D8409">
        <v>10021432817</v>
      </c>
      <c r="E8409" t="s">
        <v>47</v>
      </c>
      <c r="F8409" t="s">
        <v>61</v>
      </c>
      <c r="G8409" t="s">
        <v>62</v>
      </c>
      <c r="H8409" t="s">
        <v>2647</v>
      </c>
      <c r="I8409" t="s">
        <v>2648</v>
      </c>
      <c r="J8409" t="s">
        <v>52</v>
      </c>
      <c r="K8409" s="3">
        <v>100132581128</v>
      </c>
      <c r="L8409" s="10">
        <v>40224</v>
      </c>
      <c r="M8409">
        <v>76.04</v>
      </c>
      <c r="N8409" s="11">
        <v>12</v>
      </c>
      <c r="O8409" s="12">
        <v>5.98</v>
      </c>
      <c r="P8409" s="12">
        <v>7.15</v>
      </c>
      <c r="Q8409" s="13">
        <v>-47.55</v>
      </c>
      <c r="R8409" s="38" t="s">
        <v>640</v>
      </c>
      <c r="S8409" s="7">
        <f t="shared" si="733"/>
        <v>2</v>
      </c>
      <c r="T8409" s="15" t="str">
        <f>VLOOKUP(R8409,产品分类!$C$2:$D$1278,2,0)</f>
        <v>办公用品</v>
      </c>
    </row>
    <row r="8410" spans="1:20">
      <c r="A8410" s="8">
        <f>DATE(2012,12,31)-956</f>
        <v>40318</v>
      </c>
      <c r="B8410" s="8">
        <f>DATE(2012,12,31)-956</f>
        <v>40318</v>
      </c>
      <c r="C8410" s="19" t="s">
        <v>431</v>
      </c>
      <c r="D8410">
        <v>10021416530</v>
      </c>
      <c r="E8410" t="s">
        <v>47</v>
      </c>
      <c r="F8410" t="s">
        <v>61</v>
      </c>
      <c r="G8410" t="s">
        <v>62</v>
      </c>
      <c r="H8410" t="s">
        <v>2647</v>
      </c>
      <c r="I8410" t="s">
        <v>2648</v>
      </c>
      <c r="J8410" t="s">
        <v>52</v>
      </c>
      <c r="K8410" s="3">
        <v>10098158431</v>
      </c>
      <c r="L8410" s="10">
        <v>40320</v>
      </c>
      <c r="M8410">
        <v>283.21</v>
      </c>
      <c r="N8410" s="11">
        <v>36</v>
      </c>
      <c r="O8410" s="12">
        <v>8.04</v>
      </c>
      <c r="P8410" s="12">
        <v>8.94</v>
      </c>
      <c r="Q8410" s="13">
        <v>-196.0635</v>
      </c>
      <c r="R8410" s="38" t="s">
        <v>2664</v>
      </c>
      <c r="S8410" s="7">
        <f t="shared" si="733"/>
        <v>2</v>
      </c>
      <c r="T8410" s="15" t="str">
        <f>VLOOKUP(R8410,产品分类!$C$2:$D$1278,2,0)</f>
        <v>家具产品</v>
      </c>
    </row>
    <row r="8411" spans="1:20">
      <c r="A8411" s="8">
        <f>DATE(2012,12,31)-956</f>
        <v>40318</v>
      </c>
      <c r="B8411" s="8">
        <f>DATE(2012,12,31)-956</f>
        <v>40318</v>
      </c>
      <c r="C8411" s="19" t="s">
        <v>431</v>
      </c>
      <c r="D8411">
        <v>10021364895</v>
      </c>
      <c r="E8411" t="s">
        <v>47</v>
      </c>
      <c r="F8411" t="s">
        <v>253</v>
      </c>
      <c r="G8411" t="s">
        <v>254</v>
      </c>
      <c r="H8411" t="s">
        <v>2649</v>
      </c>
      <c r="I8411" t="s">
        <v>2650</v>
      </c>
      <c r="J8411" t="s">
        <v>52</v>
      </c>
      <c r="K8411" s="3">
        <v>100917296411</v>
      </c>
      <c r="L8411" s="10">
        <v>40320</v>
      </c>
      <c r="M8411">
        <v>45.8</v>
      </c>
      <c r="N8411" s="11">
        <v>18</v>
      </c>
      <c r="O8411" s="12">
        <v>2.23</v>
      </c>
      <c r="P8411" s="12">
        <v>4.57</v>
      </c>
      <c r="Q8411" s="13">
        <v>-52.92</v>
      </c>
      <c r="R8411" s="38" t="s">
        <v>1314</v>
      </c>
      <c r="S8411" s="7">
        <f t="shared" si="733"/>
        <v>2</v>
      </c>
      <c r="T8411" s="15" t="str">
        <f>VLOOKUP(R8411,产品分类!$C$2:$D$1278,2,0)</f>
        <v>家具产品</v>
      </c>
    </row>
    <row r="8412" spans="1:20">
      <c r="A8412" s="8">
        <f>DATE(2012,12,31)-704</f>
        <v>40570</v>
      </c>
      <c r="B8412" s="8">
        <f>DATE(2012,12,31)-704</f>
        <v>40570</v>
      </c>
      <c r="C8412" s="19" t="s">
        <v>431</v>
      </c>
      <c r="D8412">
        <v>10021462936</v>
      </c>
      <c r="E8412" t="s">
        <v>47</v>
      </c>
      <c r="F8412" t="s">
        <v>61</v>
      </c>
      <c r="G8412" t="s">
        <v>62</v>
      </c>
      <c r="H8412" t="s">
        <v>2647</v>
      </c>
      <c r="I8412" t="s">
        <v>2648</v>
      </c>
      <c r="J8412" t="s">
        <v>52</v>
      </c>
      <c r="K8412" s="3">
        <v>100923207881</v>
      </c>
      <c r="L8412" s="10">
        <v>40572</v>
      </c>
      <c r="M8412">
        <v>312.035</v>
      </c>
      <c r="N8412" s="11">
        <v>17</v>
      </c>
      <c r="O8412" s="12">
        <v>20.99</v>
      </c>
      <c r="P8412" s="12">
        <v>0.99</v>
      </c>
      <c r="Q8412" s="13">
        <v>-55.935</v>
      </c>
      <c r="R8412" s="38" t="s">
        <v>1915</v>
      </c>
      <c r="S8412" s="7">
        <f t="shared" si="733"/>
        <v>2</v>
      </c>
      <c r="T8412" s="15" t="str">
        <f>VLOOKUP(R8412,产品分类!$C$2:$D$1278,2,0)</f>
        <v>办公用品</v>
      </c>
    </row>
    <row r="8413" spans="1:20">
      <c r="A8413" s="8">
        <f>DATE(2012,12,31)-196</f>
        <v>41078</v>
      </c>
      <c r="B8413" s="8">
        <f>DATE(2012,12,31)-196</f>
        <v>41078</v>
      </c>
      <c r="C8413" s="19" t="s">
        <v>431</v>
      </c>
      <c r="D8413">
        <v>10021684359</v>
      </c>
      <c r="E8413" t="s">
        <v>47</v>
      </c>
      <c r="F8413" t="s">
        <v>152</v>
      </c>
      <c r="G8413" t="s">
        <v>153</v>
      </c>
      <c r="H8413" t="s">
        <v>154</v>
      </c>
      <c r="I8413" t="s">
        <v>155</v>
      </c>
      <c r="J8413" t="s">
        <v>52</v>
      </c>
      <c r="K8413" s="3">
        <v>100133282318</v>
      </c>
      <c r="L8413" s="10">
        <v>41079</v>
      </c>
      <c r="M8413">
        <v>17.77</v>
      </c>
      <c r="N8413" s="11">
        <v>15</v>
      </c>
      <c r="O8413" s="12">
        <v>0.99</v>
      </c>
      <c r="P8413" s="12">
        <v>2.96</v>
      </c>
      <c r="Q8413" s="13">
        <v>-37.67</v>
      </c>
      <c r="R8413" s="38" t="s">
        <v>2586</v>
      </c>
      <c r="S8413" s="7">
        <f t="shared" si="733"/>
        <v>1</v>
      </c>
      <c r="T8413" s="15" t="str">
        <f>VLOOKUP(R8413,产品分类!$C$2:$D$1278,2,0)</f>
        <v>数码电子</v>
      </c>
    </row>
    <row r="8414" spans="1:20">
      <c r="A8414" s="8">
        <f>DATE(2012,12,31)-1299</f>
        <v>39975</v>
      </c>
      <c r="B8414" s="8">
        <f>DATE(2012,12,31)-1299</f>
        <v>39975</v>
      </c>
      <c r="C8414" s="19" t="s">
        <v>431</v>
      </c>
      <c r="D8414">
        <v>10021538429</v>
      </c>
      <c r="E8414" t="s">
        <v>47</v>
      </c>
      <c r="F8414" t="s">
        <v>83</v>
      </c>
      <c r="G8414" t="s">
        <v>84</v>
      </c>
      <c r="H8414" t="s">
        <v>2577</v>
      </c>
      <c r="I8414" t="s">
        <v>2578</v>
      </c>
      <c r="J8414" t="s">
        <v>52</v>
      </c>
      <c r="K8414" s="3">
        <v>100733098395</v>
      </c>
      <c r="L8414" s="10">
        <v>39977</v>
      </c>
      <c r="M8414">
        <v>224.34</v>
      </c>
      <c r="N8414" s="11">
        <v>23</v>
      </c>
      <c r="O8414" s="12">
        <v>8.6</v>
      </c>
      <c r="P8414" s="12">
        <v>6.19</v>
      </c>
      <c r="Q8414" s="13">
        <v>-11.9485</v>
      </c>
      <c r="R8414" s="38" t="s">
        <v>443</v>
      </c>
      <c r="S8414" s="7">
        <f t="shared" si="733"/>
        <v>2</v>
      </c>
      <c r="T8414" s="15" t="str">
        <f>VLOOKUP(R8414,产品分类!$C$2:$D$1278,2,0)</f>
        <v>办公用品</v>
      </c>
    </row>
    <row r="8415" spans="1:20">
      <c r="A8415" s="8">
        <f>DATE(2012,12,31)-79</f>
        <v>41195</v>
      </c>
      <c r="B8415" s="8">
        <f>DATE(2012,12,31)-79</f>
        <v>41195</v>
      </c>
      <c r="C8415" s="19" t="s">
        <v>431</v>
      </c>
      <c r="D8415">
        <v>10021724852</v>
      </c>
      <c r="E8415" t="s">
        <v>47</v>
      </c>
      <c r="F8415" t="s">
        <v>66</v>
      </c>
      <c r="G8415" t="s">
        <v>67</v>
      </c>
      <c r="H8415" t="s">
        <v>2584</v>
      </c>
      <c r="I8415" t="s">
        <v>2585</v>
      </c>
      <c r="J8415" t="s">
        <v>52</v>
      </c>
      <c r="K8415" s="3">
        <v>100833331502</v>
      </c>
      <c r="L8415" s="10">
        <v>41196</v>
      </c>
      <c r="M8415">
        <v>191.36</v>
      </c>
      <c r="N8415" s="11">
        <v>37</v>
      </c>
      <c r="O8415" s="12">
        <v>4.91</v>
      </c>
      <c r="P8415" s="12">
        <v>4.97</v>
      </c>
      <c r="Q8415" s="13">
        <v>-82.087</v>
      </c>
      <c r="R8415" s="38" t="s">
        <v>2133</v>
      </c>
      <c r="S8415" s="7">
        <f t="shared" si="733"/>
        <v>1</v>
      </c>
      <c r="T8415" s="15" t="str">
        <f>VLOOKUP(R8415,产品分类!$C$2:$D$1278,2,0)</f>
        <v>数码电子</v>
      </c>
    </row>
    <row r="8416" spans="1:20">
      <c r="A8416" s="8">
        <f>DATE(2012,12,31)-780</f>
        <v>40494</v>
      </c>
      <c r="B8416" s="8">
        <f>DATE(2012,12,31)-780</f>
        <v>40494</v>
      </c>
      <c r="C8416" s="19" t="s">
        <v>431</v>
      </c>
      <c r="D8416">
        <v>10021563561</v>
      </c>
      <c r="E8416" t="s">
        <v>47</v>
      </c>
      <c r="F8416" t="s">
        <v>66</v>
      </c>
      <c r="G8416" t="s">
        <v>67</v>
      </c>
      <c r="H8416" t="s">
        <v>2584</v>
      </c>
      <c r="I8416" t="s">
        <v>2585</v>
      </c>
      <c r="J8416" t="s">
        <v>52</v>
      </c>
      <c r="K8416" s="3">
        <v>100133131496</v>
      </c>
      <c r="L8416" s="10">
        <v>40496</v>
      </c>
      <c r="M8416">
        <v>2170.305</v>
      </c>
      <c r="N8416" s="11">
        <v>42</v>
      </c>
      <c r="O8416" s="12">
        <v>65.99</v>
      </c>
      <c r="P8416" s="12">
        <v>8.99</v>
      </c>
      <c r="Q8416" s="13">
        <v>264.321</v>
      </c>
      <c r="R8416" s="38" t="s">
        <v>730</v>
      </c>
      <c r="S8416" s="7">
        <f t="shared" si="733"/>
        <v>2</v>
      </c>
      <c r="T8416" s="15" t="str">
        <f>VLOOKUP(R8416,产品分类!$C$2:$D$1278,2,0)</f>
        <v>办公用品</v>
      </c>
    </row>
    <row r="8417" spans="1:20">
      <c r="A8417" s="8">
        <f>DATE(2012,12,31)-412</f>
        <v>40862</v>
      </c>
      <c r="B8417" s="8">
        <f>DATE(2012,12,31)-412</f>
        <v>40862</v>
      </c>
      <c r="C8417" s="19" t="s">
        <v>431</v>
      </c>
      <c r="D8417">
        <v>10021570717</v>
      </c>
      <c r="E8417" t="s">
        <v>47</v>
      </c>
      <c r="F8417" t="s">
        <v>72</v>
      </c>
      <c r="G8417" t="s">
        <v>73</v>
      </c>
      <c r="H8417" t="s">
        <v>2652</v>
      </c>
      <c r="I8417" t="s">
        <v>2653</v>
      </c>
      <c r="J8417" t="s">
        <v>52</v>
      </c>
      <c r="K8417" s="3">
        <v>100933152791</v>
      </c>
      <c r="L8417" s="10">
        <v>40863</v>
      </c>
      <c r="M8417">
        <v>718.6</v>
      </c>
      <c r="N8417" s="11">
        <v>40</v>
      </c>
      <c r="O8417" s="12">
        <v>17.98</v>
      </c>
      <c r="P8417" s="12">
        <v>4</v>
      </c>
      <c r="Q8417" s="13">
        <v>-81.49</v>
      </c>
      <c r="R8417" s="38" t="s">
        <v>1584</v>
      </c>
      <c r="S8417" s="7">
        <f t="shared" si="733"/>
        <v>1</v>
      </c>
      <c r="T8417" s="15" t="str">
        <f>VLOOKUP(R8417,产品分类!$C$2:$D$1278,2,0)</f>
        <v>办公用品</v>
      </c>
    </row>
    <row r="8418" spans="1:20">
      <c r="A8418" s="8">
        <f>DATE(2012,12,31)-1112</f>
        <v>40162</v>
      </c>
      <c r="B8418" s="8">
        <f>DATE(2012,12,31)-1112</f>
        <v>40162</v>
      </c>
      <c r="C8418" s="19" t="s">
        <v>431</v>
      </c>
      <c r="D8418">
        <v>10021385351</v>
      </c>
      <c r="E8418" t="s">
        <v>47</v>
      </c>
      <c r="F8418" t="s">
        <v>72</v>
      </c>
      <c r="G8418" t="s">
        <v>73</v>
      </c>
      <c r="H8418" t="s">
        <v>2652</v>
      </c>
      <c r="I8418" t="s">
        <v>2653</v>
      </c>
      <c r="J8418" t="s">
        <v>52</v>
      </c>
      <c r="K8418" s="3">
        <v>100732907865</v>
      </c>
      <c r="L8418" s="10">
        <v>40164</v>
      </c>
      <c r="M8418">
        <v>43.46</v>
      </c>
      <c r="N8418" s="11">
        <v>27</v>
      </c>
      <c r="O8418" s="12">
        <v>1.48</v>
      </c>
      <c r="P8418" s="12">
        <v>0.7</v>
      </c>
      <c r="Q8418" s="13">
        <v>6.81</v>
      </c>
      <c r="R8418" s="38" t="s">
        <v>1220</v>
      </c>
      <c r="S8418" s="7">
        <f t="shared" si="733"/>
        <v>2</v>
      </c>
      <c r="T8418" s="15" t="str">
        <f>VLOOKUP(R8418,产品分类!$C$2:$D$1278,2,0)</f>
        <v>家具产品</v>
      </c>
    </row>
    <row r="8419" spans="1:20">
      <c r="A8419" s="8">
        <f>DATE(2012,12,31)-1112</f>
        <v>40162</v>
      </c>
      <c r="B8419" s="8">
        <f>DATE(2012,12,31)-1112</f>
        <v>40162</v>
      </c>
      <c r="C8419" s="19" t="s">
        <v>431</v>
      </c>
      <c r="D8419">
        <v>10021279354</v>
      </c>
      <c r="E8419" t="s">
        <v>47</v>
      </c>
      <c r="F8419" t="s">
        <v>473</v>
      </c>
      <c r="G8419" t="s">
        <v>474</v>
      </c>
      <c r="H8419" t="s">
        <v>2639</v>
      </c>
      <c r="I8419" t="s">
        <v>2640</v>
      </c>
      <c r="J8419" t="s">
        <v>52</v>
      </c>
      <c r="K8419" s="3">
        <v>100732781775</v>
      </c>
      <c r="L8419" s="10">
        <v>40163</v>
      </c>
      <c r="M8419">
        <v>927.9875</v>
      </c>
      <c r="N8419" s="11">
        <v>5</v>
      </c>
      <c r="O8419" s="12">
        <v>205.99</v>
      </c>
      <c r="P8419" s="12">
        <v>8.99</v>
      </c>
      <c r="Q8419" s="13">
        <v>-615.912</v>
      </c>
      <c r="R8419" s="38" t="s">
        <v>1543</v>
      </c>
      <c r="S8419" s="7">
        <f t="shared" si="733"/>
        <v>1</v>
      </c>
      <c r="T8419" s="15" t="str">
        <f>VLOOKUP(R8419,产品分类!$C$2:$D$1278,2,0)</f>
        <v>家具产品</v>
      </c>
    </row>
    <row r="8420" spans="1:20">
      <c r="A8420" s="8">
        <f>DATE(2012,12,31)-168</f>
        <v>41106</v>
      </c>
      <c r="B8420" s="8">
        <f>DATE(2012,12,31)-168</f>
        <v>41106</v>
      </c>
      <c r="C8420" s="19" t="s">
        <v>431</v>
      </c>
      <c r="D8420">
        <v>10021478393</v>
      </c>
      <c r="E8420" t="s">
        <v>47</v>
      </c>
      <c r="F8420" t="s">
        <v>102</v>
      </c>
      <c r="G8420" t="s">
        <v>103</v>
      </c>
      <c r="H8420" t="s">
        <v>2659</v>
      </c>
      <c r="I8420" t="s">
        <v>2660</v>
      </c>
      <c r="J8420" t="s">
        <v>52</v>
      </c>
      <c r="K8420" s="3">
        <v>100733017475</v>
      </c>
      <c r="L8420" s="10">
        <v>41109</v>
      </c>
      <c r="M8420">
        <v>94.56</v>
      </c>
      <c r="N8420" s="11">
        <v>34</v>
      </c>
      <c r="O8420" s="12">
        <v>2.61</v>
      </c>
      <c r="P8420" s="12">
        <v>0.5</v>
      </c>
      <c r="Q8420" s="13">
        <v>37.73</v>
      </c>
      <c r="R8420" s="38" t="s">
        <v>624</v>
      </c>
      <c r="S8420" s="7">
        <f t="shared" si="733"/>
        <v>3</v>
      </c>
      <c r="T8420" s="15" t="str">
        <f>VLOOKUP(R8420,产品分类!$C$2:$D$1278,2,0)</f>
        <v>数码电子</v>
      </c>
    </row>
    <row r="8421" spans="1:20">
      <c r="A8421" s="8">
        <f>DATE(2012,12,31)-836</f>
        <v>40438</v>
      </c>
      <c r="B8421" s="8">
        <f>DATE(2012,12,31)-836</f>
        <v>40438</v>
      </c>
      <c r="C8421" s="19" t="s">
        <v>1546</v>
      </c>
      <c r="D8421">
        <v>10021404558</v>
      </c>
      <c r="E8421" t="s">
        <v>47</v>
      </c>
      <c r="F8421" t="s">
        <v>102</v>
      </c>
      <c r="G8421" t="s">
        <v>103</v>
      </c>
      <c r="H8421" t="s">
        <v>2659</v>
      </c>
      <c r="I8421" t="s">
        <v>2660</v>
      </c>
      <c r="J8421" t="s">
        <v>52</v>
      </c>
      <c r="K8421" s="3">
        <v>100932936421</v>
      </c>
      <c r="L8421" s="10">
        <v>40438</v>
      </c>
      <c r="M8421">
        <v>397.17</v>
      </c>
      <c r="N8421" s="11">
        <v>30</v>
      </c>
      <c r="O8421" s="12">
        <v>14.34</v>
      </c>
      <c r="P8421" s="12">
        <v>5</v>
      </c>
      <c r="Q8421" s="13">
        <v>7.69</v>
      </c>
      <c r="R8421" s="38" t="s">
        <v>298</v>
      </c>
      <c r="S8421" s="7">
        <f t="shared" si="733"/>
        <v>0</v>
      </c>
      <c r="T8421" s="15" t="str">
        <f>VLOOKUP(R8421,产品分类!$C$2:$D$1278,2,0)</f>
        <v>办公用品</v>
      </c>
    </row>
    <row r="8422" spans="1:20">
      <c r="A8422" s="8">
        <f>DATE(2012,12,31)-948</f>
        <v>40326</v>
      </c>
      <c r="B8422" s="8">
        <f>DATE(2012,12,31)-948</f>
        <v>40326</v>
      </c>
      <c r="C8422" s="19" t="s">
        <v>1546</v>
      </c>
      <c r="D8422">
        <v>10021777768</v>
      </c>
      <c r="E8422" t="s">
        <v>47</v>
      </c>
      <c r="F8422" t="s">
        <v>61</v>
      </c>
      <c r="G8422" t="s">
        <v>62</v>
      </c>
      <c r="H8422" t="s">
        <v>2647</v>
      </c>
      <c r="I8422" t="s">
        <v>2648</v>
      </c>
      <c r="J8422" t="s">
        <v>52</v>
      </c>
      <c r="K8422" s="3">
        <v>100133389978</v>
      </c>
      <c r="L8422" s="10">
        <v>40327</v>
      </c>
      <c r="M8422">
        <v>336.84</v>
      </c>
      <c r="N8422" s="11">
        <v>3</v>
      </c>
      <c r="O8422" s="12">
        <v>100.98</v>
      </c>
      <c r="P8422" s="12">
        <v>35.84</v>
      </c>
      <c r="Q8422" s="13">
        <v>-160.46</v>
      </c>
      <c r="R8422" s="38" t="s">
        <v>471</v>
      </c>
      <c r="S8422" s="7">
        <f t="shared" si="733"/>
        <v>1</v>
      </c>
      <c r="T8422" s="15" t="str">
        <f>VLOOKUP(R8422,产品分类!$C$2:$D$1278,2,0)</f>
        <v>办公用品</v>
      </c>
    </row>
    <row r="8423" spans="1:20">
      <c r="A8423" s="8">
        <f>DATE(2012,12,31)-948</f>
        <v>40326</v>
      </c>
      <c r="B8423" s="8">
        <f>DATE(2012,12,31)-948</f>
        <v>40326</v>
      </c>
      <c r="C8423" s="19" t="s">
        <v>1546</v>
      </c>
      <c r="D8423">
        <v>10021278921</v>
      </c>
      <c r="E8423" t="s">
        <v>47</v>
      </c>
      <c r="F8423" t="s">
        <v>83</v>
      </c>
      <c r="G8423" t="s">
        <v>84</v>
      </c>
      <c r="H8423" t="s">
        <v>2577</v>
      </c>
      <c r="I8423" t="s">
        <v>2578</v>
      </c>
      <c r="J8423" t="s">
        <v>52</v>
      </c>
      <c r="K8423" s="3">
        <v>100132780037</v>
      </c>
      <c r="L8423" s="10">
        <v>40326</v>
      </c>
      <c r="M8423">
        <v>1120.27</v>
      </c>
      <c r="N8423" s="11">
        <v>7</v>
      </c>
      <c r="O8423" s="12">
        <v>150.98</v>
      </c>
      <c r="P8423" s="12">
        <v>13.99</v>
      </c>
      <c r="Q8423" s="13">
        <v>16.81</v>
      </c>
      <c r="R8423" s="38" t="s">
        <v>126</v>
      </c>
      <c r="S8423" s="7">
        <f t="shared" si="733"/>
        <v>0</v>
      </c>
      <c r="T8423" s="15" t="str">
        <f>VLOOKUP(R8423,产品分类!$C$2:$D$1278,2,0)</f>
        <v>家具产品</v>
      </c>
    </row>
    <row r="8424" spans="1:20">
      <c r="A8424" s="8">
        <f>DATE(2012,12,31)-100</f>
        <v>41174</v>
      </c>
      <c r="B8424" s="8">
        <f>DATE(2012,12,31)-100</f>
        <v>41174</v>
      </c>
      <c r="C8424" s="19" t="s">
        <v>1546</v>
      </c>
      <c r="D8424">
        <v>10021411198</v>
      </c>
      <c r="E8424" t="s">
        <v>47</v>
      </c>
      <c r="F8424" t="s">
        <v>102</v>
      </c>
      <c r="G8424" t="s">
        <v>103</v>
      </c>
      <c r="H8424" t="s">
        <v>2659</v>
      </c>
      <c r="I8424" t="s">
        <v>2660</v>
      </c>
      <c r="J8424" t="s">
        <v>52</v>
      </c>
      <c r="K8424" s="3">
        <v>100732954665</v>
      </c>
      <c r="L8424" s="10">
        <v>41175</v>
      </c>
      <c r="M8424">
        <v>712.04</v>
      </c>
      <c r="N8424" s="11">
        <v>45</v>
      </c>
      <c r="O8424" s="12">
        <v>15.99</v>
      </c>
      <c r="P8424" s="12">
        <v>9.4</v>
      </c>
      <c r="Q8424" s="13">
        <v>-110.925</v>
      </c>
      <c r="R8424" s="38" t="s">
        <v>2662</v>
      </c>
      <c r="S8424" s="7">
        <f t="shared" si="733"/>
        <v>1</v>
      </c>
      <c r="T8424" s="15" t="str">
        <f>VLOOKUP(R8424,产品分类!$C$2:$D$1278,2,0)</f>
        <v>办公用品</v>
      </c>
    </row>
    <row r="8425" spans="1:20">
      <c r="A8425" s="8">
        <f>DATE(2012,12,31)-299</f>
        <v>40975</v>
      </c>
      <c r="B8425" s="8">
        <f>DATE(2012,12,31)-299</f>
        <v>40975</v>
      </c>
      <c r="C8425" s="19" t="s">
        <v>1546</v>
      </c>
      <c r="D8425">
        <v>10021437936</v>
      </c>
      <c r="E8425" t="s">
        <v>47</v>
      </c>
      <c r="F8425" t="s">
        <v>304</v>
      </c>
      <c r="G8425" t="s">
        <v>305</v>
      </c>
      <c r="H8425" t="s">
        <v>2527</v>
      </c>
      <c r="I8425" t="s">
        <v>2528</v>
      </c>
      <c r="J8425" t="s">
        <v>52</v>
      </c>
      <c r="K8425" s="3">
        <v>100932970991</v>
      </c>
      <c r="L8425" s="10">
        <v>40979</v>
      </c>
      <c r="M8425">
        <v>167.23</v>
      </c>
      <c r="N8425" s="11">
        <v>25</v>
      </c>
      <c r="O8425" s="12">
        <v>6.68</v>
      </c>
      <c r="P8425" s="12">
        <v>5.41</v>
      </c>
      <c r="Q8425" s="13">
        <v>-43.17</v>
      </c>
      <c r="R8425" s="38" t="s">
        <v>289</v>
      </c>
      <c r="S8425" s="7">
        <f t="shared" si="733"/>
        <v>4</v>
      </c>
      <c r="T8425" s="15" t="str">
        <f>VLOOKUP(R8425,产品分类!$C$2:$D$1278,2,0)</f>
        <v>办公用品</v>
      </c>
    </row>
    <row r="8426" spans="1:20">
      <c r="A8426" s="8">
        <f>DATE(2012,12,31)-264</f>
        <v>41010</v>
      </c>
      <c r="B8426" s="8">
        <f>DATE(2012,12,31)-264</f>
        <v>41010</v>
      </c>
      <c r="C8426" s="19" t="s">
        <v>1546</v>
      </c>
      <c r="D8426">
        <v>10021358233</v>
      </c>
      <c r="E8426" t="s">
        <v>47</v>
      </c>
      <c r="F8426" t="s">
        <v>208</v>
      </c>
      <c r="G8426" t="s">
        <v>209</v>
      </c>
      <c r="H8426" t="s">
        <v>2661</v>
      </c>
      <c r="I8426" t="s">
        <v>2557</v>
      </c>
      <c r="J8426" t="s">
        <v>52</v>
      </c>
      <c r="K8426" s="3">
        <v>100832877012</v>
      </c>
      <c r="L8426" s="10">
        <v>41010</v>
      </c>
      <c r="M8426">
        <v>1610.26</v>
      </c>
      <c r="N8426" s="11">
        <v>25</v>
      </c>
      <c r="O8426" s="12">
        <v>64.98</v>
      </c>
      <c r="P8426" s="12">
        <v>6.88</v>
      </c>
      <c r="Q8426" s="13">
        <v>122.42</v>
      </c>
      <c r="R8426" s="38" t="s">
        <v>2663</v>
      </c>
      <c r="S8426" s="7">
        <f t="shared" si="733"/>
        <v>0</v>
      </c>
      <c r="T8426" s="15" t="str">
        <f>VLOOKUP(R8426,产品分类!$C$2:$D$1278,2,0)</f>
        <v>办公用品</v>
      </c>
    </row>
    <row r="8427" spans="1:20">
      <c r="A8427" s="8">
        <f>DATE(2012,12,31)-1179</f>
        <v>40095</v>
      </c>
      <c r="B8427" s="8">
        <f>DATE(2012,12,31)-1179</f>
        <v>40095</v>
      </c>
      <c r="C8427" s="19" t="s">
        <v>1546</v>
      </c>
      <c r="D8427">
        <v>10021732787</v>
      </c>
      <c r="E8427" t="s">
        <v>47</v>
      </c>
      <c r="F8427" t="s">
        <v>61</v>
      </c>
      <c r="G8427" t="s">
        <v>62</v>
      </c>
      <c r="H8427" t="s">
        <v>2647</v>
      </c>
      <c r="I8427" t="s">
        <v>2648</v>
      </c>
      <c r="J8427" t="s">
        <v>52</v>
      </c>
      <c r="K8427" s="3">
        <v>100133350556</v>
      </c>
      <c r="L8427" s="10">
        <v>40096</v>
      </c>
      <c r="M8427">
        <v>3361.84</v>
      </c>
      <c r="N8427" s="11">
        <v>34</v>
      </c>
      <c r="O8427" s="12">
        <v>100.97</v>
      </c>
      <c r="P8427" s="12">
        <v>14</v>
      </c>
      <c r="Q8427" s="13">
        <v>1211.76</v>
      </c>
      <c r="R8427" s="38" t="s">
        <v>1706</v>
      </c>
      <c r="S8427" s="7">
        <f t="shared" si="733"/>
        <v>1</v>
      </c>
      <c r="T8427" s="15" t="str">
        <f>VLOOKUP(R8427,产品分类!$C$2:$D$1278,2,0)</f>
        <v>办公用品</v>
      </c>
    </row>
    <row r="8428" spans="1:20">
      <c r="A8428" s="8">
        <f>DATE(2012,12,31)-1179</f>
        <v>40095</v>
      </c>
      <c r="B8428" s="8">
        <f>DATE(2012,12,31)-1179</f>
        <v>40095</v>
      </c>
      <c r="C8428" s="19" t="s">
        <v>1546</v>
      </c>
      <c r="D8428">
        <v>10021457448</v>
      </c>
      <c r="E8428" t="s">
        <v>47</v>
      </c>
      <c r="F8428" t="s">
        <v>66</v>
      </c>
      <c r="G8428" t="s">
        <v>67</v>
      </c>
      <c r="H8428" t="s">
        <v>2584</v>
      </c>
      <c r="I8428" t="s">
        <v>2585</v>
      </c>
      <c r="J8428" t="s">
        <v>52</v>
      </c>
      <c r="K8428" s="3">
        <v>100329677009</v>
      </c>
      <c r="L8428" s="10">
        <v>40097</v>
      </c>
      <c r="M8428">
        <v>195.82</v>
      </c>
      <c r="N8428" s="11">
        <v>29</v>
      </c>
      <c r="O8428" s="12">
        <v>6.48</v>
      </c>
      <c r="P8428" s="12">
        <v>7.07</v>
      </c>
      <c r="Q8428" s="13">
        <v>-91.7</v>
      </c>
      <c r="R8428" s="38" t="s">
        <v>2658</v>
      </c>
      <c r="S8428" s="7">
        <f t="shared" si="733"/>
        <v>2</v>
      </c>
      <c r="T8428" s="15" t="str">
        <f>VLOOKUP(R8428,产品分类!$C$2:$D$1278,2,0)</f>
        <v>办公用品</v>
      </c>
    </row>
    <row r="8429" spans="1:20">
      <c r="A8429" s="8">
        <f>DATE(2012,12,31)-510</f>
        <v>40764</v>
      </c>
      <c r="B8429" s="8">
        <f>DATE(2012,12,31)-510</f>
        <v>40764</v>
      </c>
      <c r="C8429" s="19" t="s">
        <v>1546</v>
      </c>
      <c r="D8429">
        <v>10021636111</v>
      </c>
      <c r="E8429" t="s">
        <v>47</v>
      </c>
      <c r="F8429" t="s">
        <v>61</v>
      </c>
      <c r="G8429" t="s">
        <v>62</v>
      </c>
      <c r="H8429" t="s">
        <v>2647</v>
      </c>
      <c r="I8429" t="s">
        <v>2648</v>
      </c>
      <c r="J8429" t="s">
        <v>52</v>
      </c>
      <c r="K8429" s="3">
        <v>100132396287</v>
      </c>
      <c r="L8429" s="10">
        <v>40767</v>
      </c>
      <c r="M8429">
        <v>42.29</v>
      </c>
      <c r="N8429" s="11">
        <v>17</v>
      </c>
      <c r="O8429" s="12">
        <v>2.16</v>
      </c>
      <c r="P8429" s="12">
        <v>6.05</v>
      </c>
      <c r="Q8429" s="13">
        <v>-85.2725</v>
      </c>
      <c r="R8429" s="38" t="s">
        <v>507</v>
      </c>
      <c r="S8429" s="7">
        <f t="shared" si="733"/>
        <v>3</v>
      </c>
      <c r="T8429" s="15" t="str">
        <f>VLOOKUP(R8429,产品分类!$C$2:$D$1278,2,0)</f>
        <v>家具产品</v>
      </c>
    </row>
    <row r="8430" spans="1:20">
      <c r="A8430" s="8">
        <f>DATE(2012,12,31)-139</f>
        <v>41135</v>
      </c>
      <c r="B8430" s="8">
        <f>DATE(2012,12,31)-139</f>
        <v>41135</v>
      </c>
      <c r="C8430" s="19" t="s">
        <v>1546</v>
      </c>
      <c r="D8430">
        <v>10021433982</v>
      </c>
      <c r="E8430" t="s">
        <v>47</v>
      </c>
      <c r="F8430" t="s">
        <v>127</v>
      </c>
      <c r="G8430" t="s">
        <v>128</v>
      </c>
      <c r="H8430" t="s">
        <v>2608</v>
      </c>
      <c r="I8430" t="s">
        <v>2609</v>
      </c>
      <c r="J8430" t="s">
        <v>52</v>
      </c>
      <c r="K8430" s="3">
        <v>100732641815</v>
      </c>
      <c r="L8430" s="10">
        <v>41136</v>
      </c>
      <c r="M8430">
        <v>197.36</v>
      </c>
      <c r="N8430" s="11">
        <v>50</v>
      </c>
      <c r="O8430" s="12">
        <v>4.18</v>
      </c>
      <c r="P8430" s="12">
        <v>2.99</v>
      </c>
      <c r="Q8430" s="13">
        <v>-43.5045</v>
      </c>
      <c r="R8430" s="38" t="s">
        <v>1531</v>
      </c>
      <c r="S8430" s="7">
        <f t="shared" si="733"/>
        <v>1</v>
      </c>
      <c r="T8430" s="15" t="str">
        <f>VLOOKUP(R8430,产品分类!$C$2:$D$1278,2,0)</f>
        <v>办公用品</v>
      </c>
    </row>
    <row r="8431" spans="1:20">
      <c r="A8431" s="8">
        <f>DATE(2012,12,31)-1078</f>
        <v>40196</v>
      </c>
      <c r="B8431" s="8">
        <f>DATE(2012,12,31)-1078</f>
        <v>40196</v>
      </c>
      <c r="C8431" s="19" t="s">
        <v>1546</v>
      </c>
      <c r="D8431">
        <v>10021510526</v>
      </c>
      <c r="E8431" t="s">
        <v>47</v>
      </c>
      <c r="F8431" t="s">
        <v>97</v>
      </c>
      <c r="G8431" t="s">
        <v>98</v>
      </c>
      <c r="H8431" t="s">
        <v>99</v>
      </c>
      <c r="I8431" t="s">
        <v>98</v>
      </c>
      <c r="J8431" t="s">
        <v>52</v>
      </c>
      <c r="K8431" s="3">
        <v>100132684296</v>
      </c>
      <c r="L8431" s="10">
        <v>40198</v>
      </c>
      <c r="M8431">
        <v>883.31</v>
      </c>
      <c r="N8431" s="11">
        <v>4</v>
      </c>
      <c r="O8431" s="12">
        <v>200.98</v>
      </c>
      <c r="P8431" s="12">
        <v>23.76</v>
      </c>
      <c r="Q8431" s="13">
        <v>-79.96</v>
      </c>
      <c r="R8431" s="38" t="s">
        <v>2665</v>
      </c>
      <c r="S8431" s="7">
        <f t="shared" si="733"/>
        <v>2</v>
      </c>
      <c r="T8431" s="15" t="str">
        <f>VLOOKUP(R8431,产品分类!$C$2:$D$1278,2,0)</f>
        <v>数码电子</v>
      </c>
    </row>
    <row r="8432" spans="1:20">
      <c r="A8432" s="8">
        <f t="shared" ref="A8432:B8434" si="734">DATE(2012,12,31)-168</f>
        <v>41106</v>
      </c>
      <c r="B8432" s="8">
        <f t="shared" si="734"/>
        <v>41106</v>
      </c>
      <c r="C8432" s="19" t="s">
        <v>1546</v>
      </c>
      <c r="D8432">
        <v>10021581871</v>
      </c>
      <c r="E8432" t="s">
        <v>47</v>
      </c>
      <c r="F8432" t="s">
        <v>61</v>
      </c>
      <c r="G8432" t="s">
        <v>62</v>
      </c>
      <c r="H8432" t="s">
        <v>2647</v>
      </c>
      <c r="I8432" t="s">
        <v>2648</v>
      </c>
      <c r="J8432" t="s">
        <v>52</v>
      </c>
      <c r="K8432" s="3">
        <v>100124955447</v>
      </c>
      <c r="L8432" s="10">
        <v>41115</v>
      </c>
      <c r="M8432">
        <v>9695.84</v>
      </c>
      <c r="N8432" s="11">
        <v>16</v>
      </c>
      <c r="O8432" s="12">
        <v>599.99</v>
      </c>
      <c r="P8432" s="12">
        <v>24.49</v>
      </c>
      <c r="Q8432" s="13">
        <v>2752.11</v>
      </c>
      <c r="R8432" s="38" t="s">
        <v>634</v>
      </c>
      <c r="S8432" s="7">
        <f t="shared" si="733"/>
        <v>9</v>
      </c>
      <c r="T8432" s="15" t="str">
        <f>VLOOKUP(R8432,产品分类!$C$2:$D$1278,2,0)</f>
        <v>办公用品</v>
      </c>
    </row>
    <row r="8433" spans="1:20">
      <c r="A8433" s="8">
        <f t="shared" si="734"/>
        <v>41106</v>
      </c>
      <c r="B8433" s="8">
        <f t="shared" si="734"/>
        <v>41106</v>
      </c>
      <c r="C8433" s="19" t="s">
        <v>681</v>
      </c>
      <c r="D8433">
        <v>10021756194</v>
      </c>
      <c r="E8433" t="s">
        <v>47</v>
      </c>
      <c r="F8433" t="s">
        <v>61</v>
      </c>
      <c r="G8433" t="s">
        <v>62</v>
      </c>
      <c r="H8433" t="s">
        <v>2647</v>
      </c>
      <c r="I8433" t="s">
        <v>2648</v>
      </c>
      <c r="J8433" t="s">
        <v>52</v>
      </c>
      <c r="K8433" s="3">
        <v>100133003876</v>
      </c>
      <c r="L8433" s="10">
        <v>41115</v>
      </c>
      <c r="M8433">
        <v>246.79</v>
      </c>
      <c r="N8433" s="11">
        <v>36</v>
      </c>
      <c r="O8433" s="12">
        <v>6.48</v>
      </c>
      <c r="P8433" s="12">
        <v>6.6</v>
      </c>
      <c r="Q8433" s="13">
        <v>-90.08</v>
      </c>
      <c r="R8433" s="38" t="s">
        <v>784</v>
      </c>
      <c r="S8433" s="7">
        <f t="shared" si="733"/>
        <v>9</v>
      </c>
      <c r="T8433" s="15" t="str">
        <f>VLOOKUP(R8433,产品分类!$C$2:$D$1278,2,0)</f>
        <v>数码电子</v>
      </c>
    </row>
    <row r="8434" spans="1:20">
      <c r="A8434" s="8">
        <f t="shared" si="734"/>
        <v>41106</v>
      </c>
      <c r="B8434" s="8">
        <f t="shared" si="734"/>
        <v>41106</v>
      </c>
      <c r="C8434" s="19" t="s">
        <v>681</v>
      </c>
      <c r="D8434">
        <v>10021760775</v>
      </c>
      <c r="E8434" t="s">
        <v>47</v>
      </c>
      <c r="F8434" t="s">
        <v>66</v>
      </c>
      <c r="G8434" t="s">
        <v>67</v>
      </c>
      <c r="H8434" t="s">
        <v>2584</v>
      </c>
      <c r="I8434" t="s">
        <v>2585</v>
      </c>
      <c r="J8434" t="s">
        <v>52</v>
      </c>
      <c r="K8434" s="3">
        <v>100331348029</v>
      </c>
      <c r="L8434" s="10">
        <v>41115</v>
      </c>
      <c r="M8434">
        <v>777.78</v>
      </c>
      <c r="N8434" s="11">
        <v>39</v>
      </c>
      <c r="O8434" s="12">
        <v>19.84</v>
      </c>
      <c r="P8434" s="12">
        <v>4.1</v>
      </c>
      <c r="Q8434" s="13">
        <v>237.75</v>
      </c>
      <c r="R8434" s="38" t="s">
        <v>2666</v>
      </c>
      <c r="S8434" s="7">
        <f t="shared" si="733"/>
        <v>9</v>
      </c>
      <c r="T8434" s="15" t="str">
        <f>VLOOKUP(R8434,产品分类!$C$2:$D$1278,2,0)</f>
        <v>数码电子</v>
      </c>
    </row>
    <row r="8435" spans="1:20">
      <c r="A8435" s="8">
        <f>DATE(2012,12,31)-1136</f>
        <v>40138</v>
      </c>
      <c r="B8435" s="8">
        <f>DATE(2012,12,31)-1136</f>
        <v>40138</v>
      </c>
      <c r="C8435" s="19" t="s">
        <v>681</v>
      </c>
      <c r="D8435">
        <v>10021362234</v>
      </c>
      <c r="E8435" t="s">
        <v>47</v>
      </c>
      <c r="F8435" t="s">
        <v>152</v>
      </c>
      <c r="G8435" t="s">
        <v>153</v>
      </c>
      <c r="H8435" t="s">
        <v>154</v>
      </c>
      <c r="I8435" t="s">
        <v>155</v>
      </c>
      <c r="J8435" t="s">
        <v>52</v>
      </c>
      <c r="K8435" s="3">
        <v>100832715732</v>
      </c>
      <c r="L8435" s="10">
        <v>40145</v>
      </c>
      <c r="M8435">
        <v>1644.59</v>
      </c>
      <c r="N8435" s="11">
        <v>33</v>
      </c>
      <c r="O8435" s="12">
        <v>50.98</v>
      </c>
      <c r="P8435" s="12">
        <v>6.5</v>
      </c>
      <c r="Q8435" s="13">
        <v>-52.92</v>
      </c>
      <c r="R8435" s="38" t="s">
        <v>1501</v>
      </c>
      <c r="S8435" s="7">
        <f t="shared" si="733"/>
        <v>7</v>
      </c>
      <c r="T8435" s="15" t="str">
        <f>VLOOKUP(R8435,产品分类!$C$2:$D$1278,2,0)</f>
        <v>家具产品</v>
      </c>
    </row>
    <row r="8436" spans="1:20">
      <c r="A8436" s="8">
        <f>DATE(2012,12,31)-702</f>
        <v>40572</v>
      </c>
      <c r="B8436" s="8">
        <f>DATE(2012,12,31)-702</f>
        <v>40572</v>
      </c>
      <c r="C8436" s="19" t="s">
        <v>681</v>
      </c>
      <c r="D8436">
        <v>10021765273</v>
      </c>
      <c r="E8436" t="s">
        <v>47</v>
      </c>
      <c r="F8436" t="s">
        <v>66</v>
      </c>
      <c r="G8436" t="s">
        <v>67</v>
      </c>
      <c r="H8436" t="s">
        <v>2584</v>
      </c>
      <c r="I8436" t="s">
        <v>2585</v>
      </c>
      <c r="J8436" t="s">
        <v>52</v>
      </c>
      <c r="K8436" s="3">
        <v>100732626245</v>
      </c>
      <c r="L8436" s="10">
        <v>40573</v>
      </c>
      <c r="M8436">
        <v>1379.98</v>
      </c>
      <c r="N8436" s="11">
        <v>12</v>
      </c>
      <c r="O8436" s="12">
        <v>113.98</v>
      </c>
      <c r="P8436" s="12">
        <v>30</v>
      </c>
      <c r="Q8436" s="13">
        <v>-151.73</v>
      </c>
      <c r="R8436" s="38" t="s">
        <v>556</v>
      </c>
      <c r="S8436" s="7">
        <f t="shared" si="733"/>
        <v>1</v>
      </c>
      <c r="T8436" s="15" t="str">
        <f>VLOOKUP(R8436,产品分类!$C$2:$D$1278,2,0)</f>
        <v>办公用品</v>
      </c>
    </row>
    <row r="8437" spans="1:20">
      <c r="A8437" s="8">
        <f>DATE(2012,12,31)-246</f>
        <v>41028</v>
      </c>
      <c r="B8437" s="8">
        <f>DATE(2012,12,31)-246</f>
        <v>41028</v>
      </c>
      <c r="C8437" s="19" t="s">
        <v>681</v>
      </c>
      <c r="D8437">
        <v>10021491318</v>
      </c>
      <c r="E8437" t="s">
        <v>47</v>
      </c>
      <c r="F8437" t="s">
        <v>152</v>
      </c>
      <c r="G8437" t="s">
        <v>153</v>
      </c>
      <c r="H8437" t="s">
        <v>154</v>
      </c>
      <c r="I8437" t="s">
        <v>155</v>
      </c>
      <c r="J8437" t="s">
        <v>52</v>
      </c>
      <c r="K8437" s="3">
        <v>100332854909</v>
      </c>
      <c r="L8437" s="10">
        <v>41030</v>
      </c>
      <c r="M8437">
        <v>2368.168</v>
      </c>
      <c r="N8437" s="11">
        <v>30</v>
      </c>
      <c r="O8437" s="12">
        <v>85.99</v>
      </c>
      <c r="P8437" s="12">
        <v>1.25</v>
      </c>
      <c r="Q8437" s="13">
        <v>1181.295</v>
      </c>
      <c r="R8437" s="38" t="s">
        <v>723</v>
      </c>
      <c r="S8437" s="7">
        <f t="shared" si="733"/>
        <v>2</v>
      </c>
      <c r="T8437" s="15" t="str">
        <f>VLOOKUP(R8437,产品分类!$C$2:$D$1278,2,0)</f>
        <v>办公用品</v>
      </c>
    </row>
    <row r="8438" spans="1:20">
      <c r="A8438" s="8">
        <f>DATE(2012,12,31)-1252</f>
        <v>40022</v>
      </c>
      <c r="B8438" s="8">
        <f>DATE(2012,12,31)-1252</f>
        <v>40022</v>
      </c>
      <c r="C8438" s="19" t="s">
        <v>681</v>
      </c>
      <c r="D8438">
        <v>10021321719</v>
      </c>
      <c r="E8438" t="s">
        <v>47</v>
      </c>
      <c r="F8438" t="s">
        <v>72</v>
      </c>
      <c r="G8438" t="s">
        <v>73</v>
      </c>
      <c r="H8438" t="s">
        <v>2652</v>
      </c>
      <c r="I8438" t="s">
        <v>2653</v>
      </c>
      <c r="J8438" t="s">
        <v>52</v>
      </c>
      <c r="K8438" s="3">
        <v>100832479582</v>
      </c>
      <c r="L8438" s="10">
        <v>40024</v>
      </c>
      <c r="M8438">
        <v>2550.12</v>
      </c>
      <c r="N8438" s="11">
        <v>40</v>
      </c>
      <c r="O8438" s="12">
        <v>60.97</v>
      </c>
      <c r="P8438" s="12">
        <v>4.5</v>
      </c>
      <c r="Q8438" s="13">
        <v>882.45</v>
      </c>
      <c r="R8438" s="38" t="s">
        <v>2667</v>
      </c>
      <c r="S8438" s="7">
        <f t="shared" si="733"/>
        <v>2</v>
      </c>
      <c r="T8438" s="15" t="str">
        <f>VLOOKUP(R8438,产品分类!$C$2:$D$1278,2,0)</f>
        <v>家具产品</v>
      </c>
    </row>
    <row r="8439" spans="1:20">
      <c r="A8439" s="8">
        <f>DATE(2012,12,31)-1252</f>
        <v>40022</v>
      </c>
      <c r="B8439" s="8">
        <f>DATE(2012,12,31)-1252</f>
        <v>40022</v>
      </c>
      <c r="C8439" s="19" t="s">
        <v>681</v>
      </c>
      <c r="D8439">
        <v>10021373133</v>
      </c>
      <c r="E8439" t="s">
        <v>47</v>
      </c>
      <c r="F8439" t="s">
        <v>72</v>
      </c>
      <c r="G8439" t="s">
        <v>73</v>
      </c>
      <c r="H8439" t="s">
        <v>2652</v>
      </c>
      <c r="I8439" t="s">
        <v>2653</v>
      </c>
      <c r="J8439" t="s">
        <v>52</v>
      </c>
      <c r="K8439" s="3">
        <v>100932849131</v>
      </c>
      <c r="L8439" s="10">
        <v>40023</v>
      </c>
      <c r="M8439">
        <v>5897.47</v>
      </c>
      <c r="N8439" s="11">
        <v>46</v>
      </c>
      <c r="O8439" s="12">
        <v>122.99</v>
      </c>
      <c r="P8439" s="12">
        <v>70.2</v>
      </c>
      <c r="Q8439" s="13">
        <v>-1764.29</v>
      </c>
      <c r="R8439" s="38" t="s">
        <v>2668</v>
      </c>
      <c r="S8439" s="7">
        <f t="shared" si="733"/>
        <v>1</v>
      </c>
      <c r="T8439" s="15" t="str">
        <f>VLOOKUP(R8439,产品分类!$C$2:$D$1278,2,0)</f>
        <v>数码电子</v>
      </c>
    </row>
    <row r="8440" spans="1:20">
      <c r="A8440" s="8">
        <f>DATE(2012,12,31)-626</f>
        <v>40648</v>
      </c>
      <c r="B8440" s="8">
        <f>DATE(2012,12,31)-626</f>
        <v>40648</v>
      </c>
      <c r="C8440" s="19" t="s">
        <v>681</v>
      </c>
      <c r="D8440">
        <v>10021309981</v>
      </c>
      <c r="E8440" t="s">
        <v>47</v>
      </c>
      <c r="F8440" t="s">
        <v>78</v>
      </c>
      <c r="G8440" t="s">
        <v>79</v>
      </c>
      <c r="H8440" t="s">
        <v>80</v>
      </c>
      <c r="I8440" t="s">
        <v>81</v>
      </c>
      <c r="J8440" t="s">
        <v>52</v>
      </c>
      <c r="K8440" s="3">
        <v>100414549593</v>
      </c>
      <c r="L8440" s="10">
        <v>40649</v>
      </c>
      <c r="M8440">
        <v>662.51</v>
      </c>
      <c r="N8440" s="11">
        <v>46</v>
      </c>
      <c r="O8440" s="12">
        <v>15.67</v>
      </c>
      <c r="P8440" s="12">
        <v>1.39</v>
      </c>
      <c r="Q8440" s="13">
        <v>293.32</v>
      </c>
      <c r="R8440" s="38" t="s">
        <v>1012</v>
      </c>
      <c r="S8440" s="7">
        <f t="shared" si="733"/>
        <v>1</v>
      </c>
      <c r="T8440" s="15" t="str">
        <f>VLOOKUP(R8440,产品分类!$C$2:$D$1278,2,0)</f>
        <v>家具产品</v>
      </c>
    </row>
    <row r="8441" spans="1:20">
      <c r="A8441" s="8">
        <f>DATE(2012,12,31)-626</f>
        <v>40648</v>
      </c>
      <c r="B8441" s="8">
        <f>DATE(2012,12,31)-626</f>
        <v>40648</v>
      </c>
      <c r="C8441" s="19" t="s">
        <v>681</v>
      </c>
      <c r="D8441">
        <v>10021762636</v>
      </c>
      <c r="E8441" t="s">
        <v>47</v>
      </c>
      <c r="F8441" t="s">
        <v>78</v>
      </c>
      <c r="G8441" t="s">
        <v>79</v>
      </c>
      <c r="H8441" t="s">
        <v>80</v>
      </c>
      <c r="I8441" t="s">
        <v>81</v>
      </c>
      <c r="J8441" t="s">
        <v>52</v>
      </c>
      <c r="K8441" s="3">
        <v>100120213066</v>
      </c>
      <c r="L8441" s="10">
        <v>40650</v>
      </c>
      <c r="M8441">
        <v>61.18</v>
      </c>
      <c r="N8441" s="11">
        <v>21</v>
      </c>
      <c r="O8441" s="12">
        <v>2.88</v>
      </c>
      <c r="P8441" s="12">
        <v>0.7</v>
      </c>
      <c r="Q8441" s="13">
        <v>6.85</v>
      </c>
      <c r="R8441" s="38" t="s">
        <v>100</v>
      </c>
      <c r="S8441" s="7">
        <f t="shared" si="733"/>
        <v>2</v>
      </c>
      <c r="T8441" s="15" t="str">
        <f>VLOOKUP(R8441,产品分类!$C$2:$D$1278,2,0)</f>
        <v>数码电子</v>
      </c>
    </row>
    <row r="8442" spans="1:20">
      <c r="A8442" s="8">
        <f>DATE(2012,12,31)-1306</f>
        <v>39968</v>
      </c>
      <c r="B8442" s="8">
        <f>DATE(2012,12,31)-1306</f>
        <v>39968</v>
      </c>
      <c r="C8442" s="19" t="s">
        <v>681</v>
      </c>
      <c r="D8442">
        <v>10021644152</v>
      </c>
      <c r="E8442" t="s">
        <v>47</v>
      </c>
      <c r="F8442" t="s">
        <v>78</v>
      </c>
      <c r="G8442" t="s">
        <v>79</v>
      </c>
      <c r="H8442" t="s">
        <v>80</v>
      </c>
      <c r="I8442" t="s">
        <v>81</v>
      </c>
      <c r="J8442" t="s">
        <v>52</v>
      </c>
      <c r="K8442" s="3">
        <v>10042295174</v>
      </c>
      <c r="L8442" s="10">
        <v>39970</v>
      </c>
      <c r="M8442">
        <v>3029.97</v>
      </c>
      <c r="N8442" s="11">
        <v>3</v>
      </c>
      <c r="O8442" s="12">
        <v>999.99</v>
      </c>
      <c r="P8442" s="12">
        <v>13.99</v>
      </c>
      <c r="Q8442" s="13">
        <v>-1819.9965</v>
      </c>
      <c r="R8442" s="38" t="s">
        <v>1576</v>
      </c>
      <c r="S8442" s="7">
        <f t="shared" si="733"/>
        <v>2</v>
      </c>
      <c r="T8442" s="15" t="str">
        <f>VLOOKUP(R8442,产品分类!$C$2:$D$1278,2,0)</f>
        <v>办公用品</v>
      </c>
    </row>
    <row r="8443" spans="1:20">
      <c r="A8443" s="8">
        <f>DATE(2012,12,31)-1306</f>
        <v>39968</v>
      </c>
      <c r="B8443" s="8">
        <f>DATE(2012,12,31)-1306</f>
        <v>39968</v>
      </c>
      <c r="C8443" s="19" t="s">
        <v>681</v>
      </c>
      <c r="D8443">
        <v>10021519875</v>
      </c>
      <c r="E8443" t="s">
        <v>47</v>
      </c>
      <c r="F8443" t="s">
        <v>55</v>
      </c>
      <c r="G8443" t="s">
        <v>56</v>
      </c>
      <c r="H8443" t="s">
        <v>2656</v>
      </c>
      <c r="I8443" t="s">
        <v>2657</v>
      </c>
      <c r="J8443" t="s">
        <v>52</v>
      </c>
      <c r="K8443" s="3">
        <v>100932528191</v>
      </c>
      <c r="L8443" s="10">
        <v>39969</v>
      </c>
      <c r="M8443">
        <v>241.04</v>
      </c>
      <c r="N8443" s="11">
        <v>34</v>
      </c>
      <c r="O8443" s="12">
        <v>6.48</v>
      </c>
      <c r="P8443" s="12">
        <v>5.14</v>
      </c>
      <c r="Q8443" s="13">
        <v>-28.2</v>
      </c>
      <c r="R8443" s="38" t="s">
        <v>325</v>
      </c>
      <c r="S8443" s="7">
        <f t="shared" si="733"/>
        <v>1</v>
      </c>
      <c r="T8443" s="15" t="str">
        <f>VLOOKUP(R8443,产品分类!$C$2:$D$1278,2,0)</f>
        <v>数码电子</v>
      </c>
    </row>
    <row r="8444" spans="1:20">
      <c r="A8444" s="8">
        <f t="shared" ref="A8444:B8446" si="735">DATE(2012,12,31)-289</f>
        <v>40985</v>
      </c>
      <c r="B8444" s="8">
        <f t="shared" si="735"/>
        <v>40985</v>
      </c>
      <c r="C8444" s="19" t="s">
        <v>681</v>
      </c>
      <c r="D8444">
        <v>10021377155</v>
      </c>
      <c r="E8444" t="s">
        <v>47</v>
      </c>
      <c r="F8444" t="s">
        <v>122</v>
      </c>
      <c r="G8444" t="s">
        <v>123</v>
      </c>
      <c r="H8444" t="s">
        <v>2458</v>
      </c>
      <c r="I8444" t="s">
        <v>2459</v>
      </c>
      <c r="J8444" t="s">
        <v>52</v>
      </c>
      <c r="K8444" s="3">
        <v>100432888894</v>
      </c>
      <c r="L8444" s="10">
        <v>40988</v>
      </c>
      <c r="M8444">
        <v>44.17</v>
      </c>
      <c r="N8444" s="11">
        <v>5</v>
      </c>
      <c r="O8444" s="12">
        <v>7.59</v>
      </c>
      <c r="P8444" s="12">
        <v>4</v>
      </c>
      <c r="Q8444" s="13">
        <v>23.41</v>
      </c>
      <c r="R8444" s="38" t="s">
        <v>2669</v>
      </c>
      <c r="S8444" s="7">
        <f t="shared" si="733"/>
        <v>3</v>
      </c>
      <c r="T8444" s="15" t="str">
        <f>VLOOKUP(R8444,产品分类!$C$2:$D$1278,2,0)</f>
        <v>办公用品</v>
      </c>
    </row>
    <row r="8445" spans="1:20">
      <c r="A8445" s="8">
        <f t="shared" si="735"/>
        <v>40985</v>
      </c>
      <c r="B8445" s="8">
        <f t="shared" si="735"/>
        <v>40985</v>
      </c>
      <c r="C8445" s="19" t="s">
        <v>681</v>
      </c>
      <c r="D8445">
        <v>10021564538</v>
      </c>
      <c r="E8445" t="s">
        <v>47</v>
      </c>
      <c r="F8445" t="s">
        <v>91</v>
      </c>
      <c r="G8445" t="s">
        <v>92</v>
      </c>
      <c r="H8445" t="s">
        <v>2621</v>
      </c>
      <c r="I8445" t="s">
        <v>2622</v>
      </c>
      <c r="J8445" t="s">
        <v>52</v>
      </c>
      <c r="K8445" s="3">
        <v>100332831869</v>
      </c>
      <c r="L8445" s="10">
        <v>40987</v>
      </c>
      <c r="M8445">
        <v>192.92</v>
      </c>
      <c r="N8445" s="11">
        <v>37</v>
      </c>
      <c r="O8445" s="12">
        <v>5.43</v>
      </c>
      <c r="P8445" s="12">
        <v>0.95</v>
      </c>
      <c r="Q8445" s="13">
        <v>74.58</v>
      </c>
      <c r="R8445" s="38" t="s">
        <v>1308</v>
      </c>
      <c r="S8445" s="7">
        <f t="shared" si="733"/>
        <v>2</v>
      </c>
      <c r="T8445" s="15" t="str">
        <f>VLOOKUP(R8445,产品分类!$C$2:$D$1278,2,0)</f>
        <v>办公用品</v>
      </c>
    </row>
    <row r="8446" spans="1:20">
      <c r="A8446" s="8">
        <f t="shared" si="735"/>
        <v>40985</v>
      </c>
      <c r="B8446" s="8">
        <f t="shared" si="735"/>
        <v>40985</v>
      </c>
      <c r="C8446" s="19" t="s">
        <v>681</v>
      </c>
      <c r="D8446">
        <v>10021563704</v>
      </c>
      <c r="E8446" t="s">
        <v>47</v>
      </c>
      <c r="F8446" t="s">
        <v>55</v>
      </c>
      <c r="G8446" t="s">
        <v>56</v>
      </c>
      <c r="H8446" t="s">
        <v>2656</v>
      </c>
      <c r="I8446" t="s">
        <v>2657</v>
      </c>
      <c r="J8446" t="s">
        <v>52</v>
      </c>
      <c r="K8446" s="3">
        <v>100119065757</v>
      </c>
      <c r="L8446" s="10">
        <v>40987</v>
      </c>
      <c r="M8446">
        <v>10532.94</v>
      </c>
      <c r="N8446" s="11">
        <v>37</v>
      </c>
      <c r="O8446" s="12">
        <v>279.48</v>
      </c>
      <c r="P8446" s="12">
        <v>35</v>
      </c>
      <c r="Q8446" s="13">
        <v>406.37</v>
      </c>
      <c r="R8446" s="38" t="s">
        <v>950</v>
      </c>
      <c r="S8446" s="7">
        <f t="shared" si="733"/>
        <v>2</v>
      </c>
      <c r="T8446" s="15" t="str">
        <f>VLOOKUP(R8446,产品分类!$C$2:$D$1278,2,0)</f>
        <v>数码电子</v>
      </c>
    </row>
    <row r="8447" spans="1:20">
      <c r="A8447" s="8">
        <f>DATE(2012,12,31)-301</f>
        <v>40973</v>
      </c>
      <c r="B8447" s="8">
        <f>DATE(2012,12,31)-301</f>
        <v>40973</v>
      </c>
      <c r="C8447" s="19" t="s">
        <v>681</v>
      </c>
      <c r="D8447">
        <v>10021401766</v>
      </c>
      <c r="E8447" t="s">
        <v>47</v>
      </c>
      <c r="F8447" t="s">
        <v>132</v>
      </c>
      <c r="G8447" t="s">
        <v>133</v>
      </c>
      <c r="H8447" t="s">
        <v>134</v>
      </c>
      <c r="I8447" t="s">
        <v>133</v>
      </c>
      <c r="J8447" t="s">
        <v>52</v>
      </c>
      <c r="K8447" s="3">
        <v>100730328905</v>
      </c>
      <c r="L8447" s="10">
        <v>40975</v>
      </c>
      <c r="M8447">
        <v>364.4</v>
      </c>
      <c r="N8447" s="11">
        <v>44</v>
      </c>
      <c r="O8447" s="12">
        <v>8.5</v>
      </c>
      <c r="P8447" s="12">
        <v>1.99</v>
      </c>
      <c r="Q8447" s="13">
        <v>51.08</v>
      </c>
      <c r="R8447" s="38" t="s">
        <v>973</v>
      </c>
      <c r="S8447" s="7">
        <f t="shared" si="733"/>
        <v>2</v>
      </c>
      <c r="T8447" s="15" t="str">
        <f>VLOOKUP(R8447,产品分类!$C$2:$D$1278,2,0)</f>
        <v>办公用品</v>
      </c>
    </row>
    <row r="8448" spans="1:20">
      <c r="A8448" s="8">
        <f>DATE(2012,12,31)-604</f>
        <v>40670</v>
      </c>
      <c r="B8448" s="8">
        <f>DATE(2012,12,31)-604</f>
        <v>40670</v>
      </c>
      <c r="C8448" s="19" t="s">
        <v>681</v>
      </c>
      <c r="D8448">
        <v>10021781239</v>
      </c>
      <c r="E8448" t="s">
        <v>47</v>
      </c>
      <c r="F8448" t="s">
        <v>66</v>
      </c>
      <c r="G8448" t="s">
        <v>67</v>
      </c>
      <c r="H8448" t="s">
        <v>2584</v>
      </c>
      <c r="I8448" t="s">
        <v>2585</v>
      </c>
      <c r="J8448" t="s">
        <v>52</v>
      </c>
      <c r="K8448" s="3">
        <v>100714141135</v>
      </c>
      <c r="L8448" s="10">
        <v>40671</v>
      </c>
      <c r="M8448">
        <v>33.99</v>
      </c>
      <c r="N8448" s="11">
        <v>7</v>
      </c>
      <c r="O8448" s="12">
        <v>4.77</v>
      </c>
      <c r="P8448" s="12">
        <v>2.39</v>
      </c>
      <c r="Q8448" s="13">
        <v>-25.86</v>
      </c>
      <c r="R8448" s="38" t="s">
        <v>2670</v>
      </c>
      <c r="S8448" s="7">
        <f t="shared" si="733"/>
        <v>1</v>
      </c>
      <c r="T8448" s="15" t="str">
        <f>VLOOKUP(R8448,产品分类!$C$2:$D$1278,2,0)</f>
        <v>办公用品</v>
      </c>
    </row>
    <row r="8449" spans="1:20">
      <c r="A8449" s="8">
        <f>DATE(2012,12,31)-473</f>
        <v>40801</v>
      </c>
      <c r="B8449" s="8">
        <f>DATE(2012,12,31)-473</f>
        <v>40801</v>
      </c>
      <c r="C8449" s="19" t="s">
        <v>681</v>
      </c>
      <c r="D8449">
        <v>10021314880</v>
      </c>
      <c r="E8449" t="s">
        <v>47</v>
      </c>
      <c r="F8449" t="s">
        <v>208</v>
      </c>
      <c r="G8449" t="s">
        <v>209</v>
      </c>
      <c r="H8449" t="s">
        <v>2661</v>
      </c>
      <c r="I8449" t="s">
        <v>2557</v>
      </c>
      <c r="J8449" t="s">
        <v>52</v>
      </c>
      <c r="K8449" s="3">
        <v>10044058184</v>
      </c>
      <c r="L8449" s="10">
        <v>40803</v>
      </c>
      <c r="M8449">
        <v>260.51</v>
      </c>
      <c r="N8449" s="11">
        <v>34</v>
      </c>
      <c r="O8449" s="12">
        <v>7.3</v>
      </c>
      <c r="P8449" s="12">
        <v>7.72</v>
      </c>
      <c r="Q8449" s="13">
        <v>-127.5235</v>
      </c>
      <c r="R8449" s="38" t="s">
        <v>295</v>
      </c>
      <c r="S8449" s="7">
        <f t="shared" si="733"/>
        <v>2</v>
      </c>
      <c r="T8449" s="15" t="str">
        <f>VLOOKUP(R8449,产品分类!$C$2:$D$1278,2,0)</f>
        <v>办公用品</v>
      </c>
    </row>
    <row r="8450" spans="1:20">
      <c r="A8450" s="8">
        <f>DATE(2012,12,31)-473</f>
        <v>40801</v>
      </c>
      <c r="B8450" s="8">
        <f>DATE(2012,12,31)-473</f>
        <v>40801</v>
      </c>
      <c r="C8450" s="19" t="s">
        <v>681</v>
      </c>
      <c r="D8450">
        <v>10021727344</v>
      </c>
      <c r="E8450" t="s">
        <v>47</v>
      </c>
      <c r="F8450" t="s">
        <v>208</v>
      </c>
      <c r="G8450" t="s">
        <v>209</v>
      </c>
      <c r="H8450" t="s">
        <v>2661</v>
      </c>
      <c r="I8450" t="s">
        <v>2557</v>
      </c>
      <c r="J8450" t="s">
        <v>52</v>
      </c>
      <c r="K8450" s="3">
        <v>100320732899</v>
      </c>
      <c r="L8450" s="10">
        <v>40803</v>
      </c>
      <c r="M8450">
        <v>466.28</v>
      </c>
      <c r="N8450" s="11">
        <v>15</v>
      </c>
      <c r="O8450" s="12">
        <v>29.89</v>
      </c>
      <c r="P8450" s="12">
        <v>1.99</v>
      </c>
      <c r="Q8450" s="13">
        <v>92.7</v>
      </c>
      <c r="R8450" s="38" t="s">
        <v>866</v>
      </c>
      <c r="S8450" s="7">
        <f t="shared" si="733"/>
        <v>2</v>
      </c>
      <c r="T8450" s="15" t="str">
        <f>VLOOKUP(R8450,产品分类!$C$2:$D$1278,2,0)</f>
        <v>办公用品</v>
      </c>
    </row>
    <row r="8451" spans="1:20">
      <c r="A8451" s="8">
        <f>DATE(2012,12,31)-296</f>
        <v>40978</v>
      </c>
      <c r="B8451" s="8">
        <f>DATE(2012,12,31)-296</f>
        <v>40978</v>
      </c>
      <c r="C8451" s="19" t="s">
        <v>681</v>
      </c>
      <c r="D8451">
        <v>10021377242</v>
      </c>
      <c r="E8451" t="s">
        <v>47</v>
      </c>
      <c r="F8451" t="s">
        <v>527</v>
      </c>
      <c r="G8451" t="s">
        <v>528</v>
      </c>
      <c r="H8451" t="s">
        <v>2624</v>
      </c>
      <c r="I8451" t="s">
        <v>2625</v>
      </c>
      <c r="J8451" t="s">
        <v>52</v>
      </c>
      <c r="K8451" s="3">
        <v>10011269868</v>
      </c>
      <c r="L8451" s="10">
        <v>40979</v>
      </c>
      <c r="M8451">
        <v>1961.39</v>
      </c>
      <c r="N8451" s="11">
        <v>14</v>
      </c>
      <c r="O8451" s="12">
        <v>136.98</v>
      </c>
      <c r="P8451" s="12">
        <v>24.49</v>
      </c>
      <c r="Q8451" s="13">
        <v>761.04</v>
      </c>
      <c r="R8451" s="38" t="s">
        <v>594</v>
      </c>
      <c r="S8451" s="7">
        <f t="shared" ref="S8451:S8514" si="736">+L8451-B8451</f>
        <v>1</v>
      </c>
      <c r="T8451" s="15" t="str">
        <f>VLOOKUP(R8451,产品分类!$C$2:$D$1278,2,0)</f>
        <v>数码电子</v>
      </c>
    </row>
    <row r="8452" spans="1:20">
      <c r="A8452" s="8">
        <f>DATE(2012,12,31)-296</f>
        <v>40978</v>
      </c>
      <c r="B8452" s="8">
        <f>DATE(2012,12,31)-296</f>
        <v>40978</v>
      </c>
      <c r="C8452" s="19" t="s">
        <v>681</v>
      </c>
      <c r="D8452">
        <v>10021516266</v>
      </c>
      <c r="E8452" t="s">
        <v>47</v>
      </c>
      <c r="F8452" t="s">
        <v>127</v>
      </c>
      <c r="G8452" t="s">
        <v>128</v>
      </c>
      <c r="H8452" t="s">
        <v>2608</v>
      </c>
      <c r="I8452" t="s">
        <v>2609</v>
      </c>
      <c r="J8452" t="s">
        <v>52</v>
      </c>
      <c r="K8452" s="3">
        <v>100718279715</v>
      </c>
      <c r="L8452" s="10">
        <v>40980</v>
      </c>
      <c r="M8452">
        <v>4.94</v>
      </c>
      <c r="N8452" s="11">
        <v>3</v>
      </c>
      <c r="O8452" s="12">
        <v>1.48</v>
      </c>
      <c r="P8452" s="12">
        <v>0.7</v>
      </c>
      <c r="Q8452" s="13">
        <v>-1.76</v>
      </c>
      <c r="R8452" s="38" t="s">
        <v>1220</v>
      </c>
      <c r="S8452" s="7">
        <f t="shared" si="736"/>
        <v>2</v>
      </c>
      <c r="T8452" s="15" t="str">
        <f>VLOOKUP(R8452,产品分类!$C$2:$D$1278,2,0)</f>
        <v>家具产品</v>
      </c>
    </row>
    <row r="8453" spans="1:20">
      <c r="A8453" s="8">
        <f>DATE(2012,12,31)-823</f>
        <v>40451</v>
      </c>
      <c r="B8453" s="8">
        <f>DATE(2012,12,31)-823</f>
        <v>40451</v>
      </c>
      <c r="C8453" s="19" t="s">
        <v>681</v>
      </c>
      <c r="D8453">
        <v>10021777780</v>
      </c>
      <c r="E8453" t="s">
        <v>47</v>
      </c>
      <c r="F8453" t="s">
        <v>167</v>
      </c>
      <c r="G8453" t="s">
        <v>168</v>
      </c>
      <c r="H8453" t="s">
        <v>169</v>
      </c>
      <c r="I8453" t="s">
        <v>168</v>
      </c>
      <c r="J8453" t="s">
        <v>52</v>
      </c>
      <c r="K8453" s="3">
        <v>100910584291</v>
      </c>
      <c r="L8453" s="10">
        <v>40455</v>
      </c>
      <c r="M8453">
        <v>22.06</v>
      </c>
      <c r="N8453" s="11">
        <v>3</v>
      </c>
      <c r="O8453" s="12">
        <v>4.98</v>
      </c>
      <c r="P8453" s="12">
        <v>7.44</v>
      </c>
      <c r="Q8453" s="13">
        <v>-15.6</v>
      </c>
      <c r="R8453" s="38" t="s">
        <v>287</v>
      </c>
      <c r="S8453" s="7">
        <f t="shared" si="736"/>
        <v>4</v>
      </c>
      <c r="T8453" s="15" t="str">
        <f>VLOOKUP(R8453,产品分类!$C$2:$D$1278,2,0)</f>
        <v>办公用品</v>
      </c>
    </row>
    <row r="8454" spans="1:20">
      <c r="A8454" s="8">
        <f>DATE(2012,12,31)-1121</f>
        <v>40153</v>
      </c>
      <c r="B8454" s="8">
        <f>DATE(2012,12,31)-1121</f>
        <v>40153</v>
      </c>
      <c r="C8454" s="19" t="s">
        <v>681</v>
      </c>
      <c r="D8454">
        <v>10021655309</v>
      </c>
      <c r="E8454" t="s">
        <v>47</v>
      </c>
      <c r="F8454" t="s">
        <v>167</v>
      </c>
      <c r="G8454" t="s">
        <v>168</v>
      </c>
      <c r="H8454" t="s">
        <v>169</v>
      </c>
      <c r="I8454" t="s">
        <v>168</v>
      </c>
      <c r="J8454" t="s">
        <v>52</v>
      </c>
      <c r="K8454" s="3">
        <v>10099782041</v>
      </c>
      <c r="L8454" s="10">
        <v>40156</v>
      </c>
      <c r="M8454">
        <v>549.92</v>
      </c>
      <c r="N8454" s="11">
        <v>3</v>
      </c>
      <c r="O8454" s="12">
        <v>180.98</v>
      </c>
      <c r="P8454" s="12">
        <v>26.2</v>
      </c>
      <c r="Q8454" s="13">
        <v>-210.97</v>
      </c>
      <c r="R8454" s="38" t="s">
        <v>2671</v>
      </c>
      <c r="S8454" s="7">
        <f t="shared" si="736"/>
        <v>3</v>
      </c>
      <c r="T8454" s="15" t="str">
        <f>VLOOKUP(R8454,产品分类!$C$2:$D$1278,2,0)</f>
        <v>家具产品</v>
      </c>
    </row>
    <row r="8455" spans="1:20">
      <c r="A8455" s="8">
        <f>DATE(2012,12,31)-1121</f>
        <v>40153</v>
      </c>
      <c r="B8455" s="8">
        <f>DATE(2012,12,31)-1121</f>
        <v>40153</v>
      </c>
      <c r="C8455" s="19" t="s">
        <v>681</v>
      </c>
      <c r="D8455">
        <v>10021731934</v>
      </c>
      <c r="E8455" t="s">
        <v>47</v>
      </c>
      <c r="F8455" t="s">
        <v>342</v>
      </c>
      <c r="G8455" t="s">
        <v>343</v>
      </c>
      <c r="H8455" t="s">
        <v>2637</v>
      </c>
      <c r="I8455" t="s">
        <v>2638</v>
      </c>
      <c r="J8455" t="s">
        <v>52</v>
      </c>
      <c r="K8455" s="3">
        <v>10099301251</v>
      </c>
      <c r="L8455" s="10">
        <v>40154</v>
      </c>
      <c r="M8455">
        <v>182.09</v>
      </c>
      <c r="N8455" s="11">
        <v>26</v>
      </c>
      <c r="O8455" s="12">
        <v>6.48</v>
      </c>
      <c r="P8455" s="12">
        <v>5.19</v>
      </c>
      <c r="Q8455" s="13">
        <v>-28.15</v>
      </c>
      <c r="R8455" s="38" t="s">
        <v>2199</v>
      </c>
      <c r="S8455" s="7">
        <f t="shared" si="736"/>
        <v>1</v>
      </c>
      <c r="T8455" s="15" t="str">
        <f>VLOOKUP(R8455,产品分类!$C$2:$D$1278,2,0)</f>
        <v>办公用品</v>
      </c>
    </row>
    <row r="8456" spans="1:20">
      <c r="A8456" s="8">
        <f>DATE(2012,12,31)-1086</f>
        <v>40188</v>
      </c>
      <c r="B8456" s="8">
        <f>DATE(2012,12,31)-1086</f>
        <v>40188</v>
      </c>
      <c r="C8456" s="19" t="s">
        <v>681</v>
      </c>
      <c r="D8456">
        <v>10021400677</v>
      </c>
      <c r="E8456" t="s">
        <v>47</v>
      </c>
      <c r="F8456" t="s">
        <v>167</v>
      </c>
      <c r="G8456" t="s">
        <v>168</v>
      </c>
      <c r="H8456" t="s">
        <v>169</v>
      </c>
      <c r="I8456" t="s">
        <v>168</v>
      </c>
      <c r="J8456" t="s">
        <v>52</v>
      </c>
      <c r="K8456" s="3">
        <v>100930564741</v>
      </c>
      <c r="L8456" s="10">
        <v>40189</v>
      </c>
      <c r="M8456">
        <v>1091.47</v>
      </c>
      <c r="N8456" s="11">
        <v>11</v>
      </c>
      <c r="O8456" s="12">
        <v>92.23</v>
      </c>
      <c r="P8456" s="12">
        <v>39.61</v>
      </c>
      <c r="Q8456" s="13">
        <v>160.48</v>
      </c>
      <c r="R8456" s="38" t="s">
        <v>2672</v>
      </c>
      <c r="S8456" s="7">
        <f t="shared" si="736"/>
        <v>1</v>
      </c>
      <c r="T8456" s="15" t="str">
        <f>VLOOKUP(R8456,产品分类!$C$2:$D$1278,2,0)</f>
        <v>办公用品</v>
      </c>
    </row>
    <row r="8457" spans="1:20">
      <c r="A8457" s="8">
        <f>DATE(2012,12,31)-1086</f>
        <v>40188</v>
      </c>
      <c r="B8457" s="8">
        <f>DATE(2012,12,31)-1086</f>
        <v>40188</v>
      </c>
      <c r="C8457" s="19" t="s">
        <v>681</v>
      </c>
      <c r="D8457">
        <v>10021481483</v>
      </c>
      <c r="E8457" t="s">
        <v>47</v>
      </c>
      <c r="F8457" t="s">
        <v>253</v>
      </c>
      <c r="G8457" t="s">
        <v>254</v>
      </c>
      <c r="H8457" t="s">
        <v>2649</v>
      </c>
      <c r="I8457" t="s">
        <v>2650</v>
      </c>
      <c r="J8457" t="s">
        <v>52</v>
      </c>
      <c r="K8457" s="3">
        <v>100932300841</v>
      </c>
      <c r="L8457" s="10">
        <v>40188</v>
      </c>
      <c r="M8457">
        <v>112.59</v>
      </c>
      <c r="N8457" s="11">
        <v>35</v>
      </c>
      <c r="O8457" s="12">
        <v>3.28</v>
      </c>
      <c r="P8457" s="12">
        <v>5</v>
      </c>
      <c r="Q8457" s="13">
        <v>-126.7</v>
      </c>
      <c r="R8457" s="38" t="s">
        <v>906</v>
      </c>
      <c r="S8457" s="7">
        <f t="shared" si="736"/>
        <v>0</v>
      </c>
      <c r="T8457" s="15" t="str">
        <f>VLOOKUP(R8457,产品分类!$C$2:$D$1278,2,0)</f>
        <v>数码电子</v>
      </c>
    </row>
    <row r="8458" spans="1:20">
      <c r="A8458" s="8">
        <f>DATE(2012,12,31)-186</f>
        <v>41088</v>
      </c>
      <c r="B8458" s="8">
        <f>DATE(2012,12,31)-186</f>
        <v>41088</v>
      </c>
      <c r="C8458" s="19" t="s">
        <v>681</v>
      </c>
      <c r="D8458">
        <v>10021801053</v>
      </c>
      <c r="E8458" t="s">
        <v>47</v>
      </c>
      <c r="F8458" t="s">
        <v>61</v>
      </c>
      <c r="G8458" t="s">
        <v>62</v>
      </c>
      <c r="H8458" t="s">
        <v>2647</v>
      </c>
      <c r="I8458" t="s">
        <v>2648</v>
      </c>
      <c r="J8458" t="s">
        <v>52</v>
      </c>
      <c r="K8458" s="3">
        <v>100133285838</v>
      </c>
      <c r="L8458" s="10">
        <v>41095</v>
      </c>
      <c r="M8458">
        <v>9633.59</v>
      </c>
      <c r="N8458" s="11">
        <v>47</v>
      </c>
      <c r="O8458" s="12">
        <v>216.6</v>
      </c>
      <c r="P8458" s="12">
        <v>64.2</v>
      </c>
      <c r="Q8458" s="13">
        <v>176.67</v>
      </c>
      <c r="R8458" s="38" t="s">
        <v>898</v>
      </c>
      <c r="S8458" s="7">
        <f t="shared" si="736"/>
        <v>7</v>
      </c>
      <c r="T8458" s="15" t="str">
        <f>VLOOKUP(R8458,产品分类!$C$2:$D$1278,2,0)</f>
        <v>数码电子</v>
      </c>
    </row>
    <row r="8459" spans="1:20">
      <c r="A8459" s="8">
        <f>DATE(2012,12,31)-186</f>
        <v>41088</v>
      </c>
      <c r="B8459" s="8">
        <f>DATE(2012,12,31)-186</f>
        <v>41088</v>
      </c>
      <c r="C8459" s="19" t="s">
        <v>681</v>
      </c>
      <c r="D8459">
        <v>10021721442</v>
      </c>
      <c r="E8459" t="s">
        <v>47</v>
      </c>
      <c r="F8459" t="s">
        <v>253</v>
      </c>
      <c r="G8459" t="s">
        <v>254</v>
      </c>
      <c r="H8459" t="s">
        <v>2649</v>
      </c>
      <c r="I8459" t="s">
        <v>2650</v>
      </c>
      <c r="J8459" t="s">
        <v>52</v>
      </c>
      <c r="K8459" s="3">
        <v>100117518378</v>
      </c>
      <c r="L8459" s="10">
        <v>41093</v>
      </c>
      <c r="M8459">
        <v>3758.77</v>
      </c>
      <c r="N8459" s="11">
        <v>26</v>
      </c>
      <c r="O8459" s="12">
        <v>140.81</v>
      </c>
      <c r="P8459" s="12">
        <v>24.49</v>
      </c>
      <c r="Q8459" s="13">
        <v>753.61</v>
      </c>
      <c r="R8459" s="38" t="s">
        <v>1469</v>
      </c>
      <c r="S8459" s="7">
        <f t="shared" si="736"/>
        <v>5</v>
      </c>
      <c r="T8459" s="15" t="str">
        <f>VLOOKUP(R8459,产品分类!$C$2:$D$1278,2,0)</f>
        <v>办公用品</v>
      </c>
    </row>
    <row r="8460" spans="1:20">
      <c r="A8460" s="8">
        <f>DATE(2012,12,31)-318</f>
        <v>40956</v>
      </c>
      <c r="B8460" s="8">
        <f>DATE(2012,12,31)-318</f>
        <v>40956</v>
      </c>
      <c r="C8460" s="19" t="s">
        <v>681</v>
      </c>
      <c r="D8460">
        <v>10021762442</v>
      </c>
      <c r="E8460" t="s">
        <v>47</v>
      </c>
      <c r="F8460" t="s">
        <v>83</v>
      </c>
      <c r="G8460" t="s">
        <v>84</v>
      </c>
      <c r="H8460" t="s">
        <v>2577</v>
      </c>
      <c r="I8460" t="s">
        <v>2578</v>
      </c>
      <c r="J8460" t="s">
        <v>52</v>
      </c>
      <c r="K8460" s="3">
        <v>10013025028</v>
      </c>
      <c r="L8460" s="10">
        <v>40958</v>
      </c>
      <c r="M8460">
        <v>1616.66</v>
      </c>
      <c r="N8460" s="11">
        <v>15</v>
      </c>
      <c r="O8460" s="12">
        <v>100.98</v>
      </c>
      <c r="P8460" s="12">
        <v>56.22</v>
      </c>
      <c r="Q8460" s="13">
        <v>112.58</v>
      </c>
      <c r="R8460" s="38" t="s">
        <v>424</v>
      </c>
      <c r="S8460" s="7">
        <f t="shared" si="736"/>
        <v>2</v>
      </c>
      <c r="T8460" s="15" t="str">
        <f>VLOOKUP(R8460,产品分类!$C$2:$D$1278,2,0)</f>
        <v>数码电子</v>
      </c>
    </row>
    <row r="8461" spans="1:20">
      <c r="A8461" s="8">
        <f>DATE(2012,12,31)-318</f>
        <v>40956</v>
      </c>
      <c r="B8461" s="8">
        <f>DATE(2012,12,31)-318</f>
        <v>40956</v>
      </c>
      <c r="C8461" s="19" t="s">
        <v>681</v>
      </c>
      <c r="D8461">
        <v>10021454741</v>
      </c>
      <c r="E8461" t="s">
        <v>47</v>
      </c>
      <c r="F8461" t="s">
        <v>61</v>
      </c>
      <c r="G8461" t="s">
        <v>62</v>
      </c>
      <c r="H8461" t="s">
        <v>2647</v>
      </c>
      <c r="I8461" t="s">
        <v>2648</v>
      </c>
      <c r="J8461" t="s">
        <v>52</v>
      </c>
      <c r="K8461" s="3">
        <v>100131495927</v>
      </c>
      <c r="L8461" s="10">
        <v>40957</v>
      </c>
      <c r="M8461">
        <v>96.21</v>
      </c>
      <c r="N8461" s="11">
        <v>6</v>
      </c>
      <c r="O8461" s="12">
        <v>14.58</v>
      </c>
      <c r="P8461" s="12">
        <v>57.4</v>
      </c>
      <c r="Q8461" s="13">
        <v>-19.34</v>
      </c>
      <c r="R8461" s="38" t="s">
        <v>379</v>
      </c>
      <c r="S8461" s="7">
        <f t="shared" si="736"/>
        <v>1</v>
      </c>
      <c r="T8461" s="15" t="str">
        <f>VLOOKUP(R8461,产品分类!$C$2:$D$1278,2,0)</f>
        <v>数码电子</v>
      </c>
    </row>
    <row r="8462" spans="1:20">
      <c r="A8462" s="8">
        <f t="shared" ref="A8462:B8464" si="737">DATE(2012,12,31)-46</f>
        <v>41228</v>
      </c>
      <c r="B8462" s="8">
        <f t="shared" si="737"/>
        <v>41228</v>
      </c>
      <c r="C8462" s="19" t="s">
        <v>681</v>
      </c>
      <c r="D8462">
        <v>10021573688</v>
      </c>
      <c r="E8462" t="s">
        <v>47</v>
      </c>
      <c r="F8462" t="s">
        <v>61</v>
      </c>
      <c r="G8462" t="s">
        <v>62</v>
      </c>
      <c r="H8462" t="s">
        <v>2647</v>
      </c>
      <c r="I8462" t="s">
        <v>2648</v>
      </c>
      <c r="J8462" t="s">
        <v>52</v>
      </c>
      <c r="K8462" s="3">
        <v>100114809738</v>
      </c>
      <c r="L8462" s="10">
        <v>41229</v>
      </c>
      <c r="M8462">
        <v>18.91</v>
      </c>
      <c r="N8462" s="11">
        <v>3</v>
      </c>
      <c r="O8462" s="12">
        <v>3.89</v>
      </c>
      <c r="P8462" s="12">
        <v>7.01</v>
      </c>
      <c r="Q8462" s="13">
        <v>-16.353</v>
      </c>
      <c r="R8462" s="38" t="s">
        <v>749</v>
      </c>
      <c r="S8462" s="7">
        <f t="shared" si="736"/>
        <v>1</v>
      </c>
      <c r="T8462" s="15" t="str">
        <f>VLOOKUP(R8462,产品分类!$C$2:$D$1278,2,0)</f>
        <v>办公用品</v>
      </c>
    </row>
    <row r="8463" spans="1:20">
      <c r="A8463" s="8">
        <f t="shared" si="737"/>
        <v>41228</v>
      </c>
      <c r="B8463" s="8">
        <f t="shared" si="737"/>
        <v>41228</v>
      </c>
      <c r="C8463" s="19" t="s">
        <v>1206</v>
      </c>
      <c r="D8463">
        <v>10021571965</v>
      </c>
      <c r="E8463" t="s">
        <v>47</v>
      </c>
      <c r="F8463" t="s">
        <v>61</v>
      </c>
      <c r="G8463" t="s">
        <v>62</v>
      </c>
      <c r="H8463" t="s">
        <v>2647</v>
      </c>
      <c r="I8463" t="s">
        <v>2648</v>
      </c>
      <c r="J8463" t="s">
        <v>52</v>
      </c>
      <c r="K8463" s="3">
        <v>100128560766</v>
      </c>
      <c r="L8463" s="10">
        <v>41229</v>
      </c>
      <c r="M8463">
        <v>685.7</v>
      </c>
      <c r="N8463" s="11">
        <v>7</v>
      </c>
      <c r="O8463" s="12">
        <v>88.84</v>
      </c>
      <c r="P8463" s="12">
        <v>20.79</v>
      </c>
      <c r="Q8463" s="13">
        <v>350.94</v>
      </c>
      <c r="R8463" s="38" t="s">
        <v>2202</v>
      </c>
      <c r="S8463" s="7">
        <f t="shared" si="736"/>
        <v>1</v>
      </c>
      <c r="T8463" s="15" t="str">
        <f>VLOOKUP(R8463,产品分类!$C$2:$D$1278,2,0)</f>
        <v>办公用品</v>
      </c>
    </row>
    <row r="8464" spans="1:20">
      <c r="A8464" s="8">
        <f t="shared" si="737"/>
        <v>41228</v>
      </c>
      <c r="B8464" s="8">
        <f t="shared" si="737"/>
        <v>41228</v>
      </c>
      <c r="C8464" s="19" t="s">
        <v>1206</v>
      </c>
      <c r="D8464">
        <v>10021410462</v>
      </c>
      <c r="E8464" t="s">
        <v>47</v>
      </c>
      <c r="F8464" t="s">
        <v>55</v>
      </c>
      <c r="G8464" t="s">
        <v>56</v>
      </c>
      <c r="H8464" t="s">
        <v>2673</v>
      </c>
      <c r="I8464" t="s">
        <v>2674</v>
      </c>
      <c r="J8464" t="s">
        <v>52</v>
      </c>
      <c r="K8464" s="3">
        <v>100427015203</v>
      </c>
      <c r="L8464" s="10">
        <v>41229</v>
      </c>
      <c r="M8464">
        <v>1024.165</v>
      </c>
      <c r="N8464" s="11">
        <v>10</v>
      </c>
      <c r="O8464" s="12">
        <v>115.99</v>
      </c>
      <c r="P8464" s="12">
        <v>5.99</v>
      </c>
      <c r="Q8464" s="13">
        <v>-105.699</v>
      </c>
      <c r="R8464" s="38" t="s">
        <v>1082</v>
      </c>
      <c r="S8464" s="7">
        <f t="shared" si="736"/>
        <v>1</v>
      </c>
      <c r="T8464" s="15" t="str">
        <f>VLOOKUP(R8464,产品分类!$C$2:$D$1278,2,0)</f>
        <v>家具产品</v>
      </c>
    </row>
    <row r="8465" spans="1:20">
      <c r="A8465" s="8">
        <f>DATE(2012,12,31)-1438</f>
        <v>39836</v>
      </c>
      <c r="B8465" s="8">
        <f>DATE(2012,12,31)-1438</f>
        <v>39836</v>
      </c>
      <c r="C8465" s="19" t="s">
        <v>1206</v>
      </c>
      <c r="D8465">
        <v>10021442627</v>
      </c>
      <c r="E8465" t="s">
        <v>47</v>
      </c>
      <c r="F8465" t="s">
        <v>171</v>
      </c>
      <c r="G8465" t="s">
        <v>172</v>
      </c>
      <c r="H8465" t="s">
        <v>2486</v>
      </c>
      <c r="I8465" t="s">
        <v>2310</v>
      </c>
      <c r="J8465" t="s">
        <v>52</v>
      </c>
      <c r="K8465" s="3">
        <v>100432882133</v>
      </c>
      <c r="L8465" s="10">
        <v>39838</v>
      </c>
      <c r="M8465">
        <v>1383.2</v>
      </c>
      <c r="N8465" s="11">
        <v>18</v>
      </c>
      <c r="O8465" s="12">
        <v>73.98</v>
      </c>
      <c r="P8465" s="12">
        <v>12.14</v>
      </c>
      <c r="Q8465" s="13">
        <v>-23.44</v>
      </c>
      <c r="R8465" s="38" t="s">
        <v>600</v>
      </c>
      <c r="S8465" s="7">
        <f t="shared" si="736"/>
        <v>2</v>
      </c>
      <c r="T8465" s="15" t="str">
        <f>VLOOKUP(R8465,产品分类!$C$2:$D$1278,2,0)</f>
        <v>数码电子</v>
      </c>
    </row>
    <row r="8466" spans="1:20">
      <c r="A8466" s="8">
        <f>DATE(2012,12,31)-584</f>
        <v>40690</v>
      </c>
      <c r="B8466" s="8">
        <f>DATE(2012,12,31)-584</f>
        <v>40690</v>
      </c>
      <c r="C8466" s="19" t="s">
        <v>1206</v>
      </c>
      <c r="D8466">
        <v>10021489813</v>
      </c>
      <c r="E8466" t="s">
        <v>47</v>
      </c>
      <c r="F8466" t="s">
        <v>171</v>
      </c>
      <c r="G8466" t="s">
        <v>172</v>
      </c>
      <c r="H8466" t="s">
        <v>2486</v>
      </c>
      <c r="I8466" t="s">
        <v>2310</v>
      </c>
      <c r="J8466" t="s">
        <v>52</v>
      </c>
      <c r="K8466" s="3">
        <v>10093572661</v>
      </c>
      <c r="L8466" s="10">
        <v>40692</v>
      </c>
      <c r="M8466">
        <v>211.42</v>
      </c>
      <c r="N8466" s="11">
        <v>20</v>
      </c>
      <c r="O8466" s="12">
        <v>9.71</v>
      </c>
      <c r="P8466" s="12">
        <v>9.45</v>
      </c>
      <c r="Q8466" s="13">
        <v>-113.52</v>
      </c>
      <c r="R8466" s="38" t="s">
        <v>135</v>
      </c>
      <c r="S8466" s="7">
        <f t="shared" si="736"/>
        <v>2</v>
      </c>
      <c r="T8466" s="15" t="str">
        <f>VLOOKUP(R8466,产品分类!$C$2:$D$1278,2,0)</f>
        <v>办公用品</v>
      </c>
    </row>
    <row r="8467" spans="1:20">
      <c r="A8467" s="8">
        <f>DATE(2012,12,31)-847</f>
        <v>40427</v>
      </c>
      <c r="B8467" s="8">
        <f>DATE(2012,12,31)-847</f>
        <v>40427</v>
      </c>
      <c r="C8467" s="19" t="s">
        <v>1206</v>
      </c>
      <c r="D8467">
        <v>10021717251</v>
      </c>
      <c r="E8467" t="s">
        <v>47</v>
      </c>
      <c r="F8467" t="s">
        <v>61</v>
      </c>
      <c r="G8467" t="s">
        <v>62</v>
      </c>
      <c r="H8467" t="s">
        <v>2647</v>
      </c>
      <c r="I8467" t="s">
        <v>2648</v>
      </c>
      <c r="J8467" t="s">
        <v>52</v>
      </c>
      <c r="K8467" s="3">
        <v>100929838001</v>
      </c>
      <c r="L8467" s="10">
        <v>40429</v>
      </c>
      <c r="M8467">
        <v>112.03</v>
      </c>
      <c r="N8467" s="11">
        <v>20</v>
      </c>
      <c r="O8467" s="12">
        <v>5.18</v>
      </c>
      <c r="P8467" s="12">
        <v>5.74</v>
      </c>
      <c r="Q8467" s="13">
        <v>-57.9945</v>
      </c>
      <c r="R8467" s="38" t="s">
        <v>458</v>
      </c>
      <c r="S8467" s="7">
        <f t="shared" si="736"/>
        <v>2</v>
      </c>
      <c r="T8467" s="15" t="str">
        <f>VLOOKUP(R8467,产品分类!$C$2:$D$1278,2,0)</f>
        <v>家具产品</v>
      </c>
    </row>
    <row r="8468" spans="1:20">
      <c r="A8468" s="8">
        <f>DATE(2012,12,31)-899</f>
        <v>40375</v>
      </c>
      <c r="B8468" s="8">
        <f>DATE(2012,12,31)-899</f>
        <v>40375</v>
      </c>
      <c r="C8468" s="19" t="s">
        <v>1206</v>
      </c>
      <c r="D8468">
        <v>10021345026</v>
      </c>
      <c r="E8468" t="s">
        <v>47</v>
      </c>
      <c r="F8468" t="s">
        <v>66</v>
      </c>
      <c r="G8468" t="s">
        <v>67</v>
      </c>
      <c r="H8468" t="s">
        <v>2584</v>
      </c>
      <c r="I8468" t="s">
        <v>2585</v>
      </c>
      <c r="J8468" t="s">
        <v>52</v>
      </c>
      <c r="K8468" s="3">
        <v>100913424881</v>
      </c>
      <c r="L8468" s="10">
        <v>40377</v>
      </c>
      <c r="M8468">
        <v>5205.83</v>
      </c>
      <c r="N8468" s="11">
        <v>45</v>
      </c>
      <c r="O8468" s="12">
        <v>124.49</v>
      </c>
      <c r="P8468" s="12">
        <v>51.94</v>
      </c>
      <c r="Q8468" s="13">
        <v>-818.766</v>
      </c>
      <c r="R8468" s="38" t="s">
        <v>237</v>
      </c>
      <c r="S8468" s="7">
        <f t="shared" si="736"/>
        <v>2</v>
      </c>
      <c r="T8468" s="15" t="str">
        <f>VLOOKUP(R8468,产品分类!$C$2:$D$1278,2,0)</f>
        <v>数码电子</v>
      </c>
    </row>
    <row r="8469" spans="1:20">
      <c r="A8469" s="8">
        <f>DATE(2012,12,31)-287</f>
        <v>40987</v>
      </c>
      <c r="B8469" s="8">
        <f>DATE(2012,12,31)-287</f>
        <v>40987</v>
      </c>
      <c r="C8469" s="19" t="s">
        <v>1206</v>
      </c>
      <c r="D8469">
        <v>10021663229</v>
      </c>
      <c r="E8469" t="s">
        <v>47</v>
      </c>
      <c r="F8469" t="s">
        <v>132</v>
      </c>
      <c r="G8469" t="s">
        <v>133</v>
      </c>
      <c r="H8469" t="s">
        <v>134</v>
      </c>
      <c r="I8469" t="s">
        <v>133</v>
      </c>
      <c r="J8469" t="s">
        <v>52</v>
      </c>
      <c r="K8469" s="3">
        <v>100423856024</v>
      </c>
      <c r="L8469" s="10">
        <v>40988</v>
      </c>
      <c r="M8469">
        <v>175.23</v>
      </c>
      <c r="N8469" s="11">
        <v>46</v>
      </c>
      <c r="O8469" s="12">
        <v>3.69</v>
      </c>
      <c r="P8469" s="12">
        <v>2.5</v>
      </c>
      <c r="Q8469" s="13">
        <v>-13.35</v>
      </c>
      <c r="R8469" s="38" t="s">
        <v>1982</v>
      </c>
      <c r="S8469" s="7">
        <f t="shared" si="736"/>
        <v>1</v>
      </c>
      <c r="T8469" s="15" t="str">
        <f>VLOOKUP(R8469,产品分类!$C$2:$D$1278,2,0)</f>
        <v>办公用品</v>
      </c>
    </row>
    <row r="8470" spans="1:20">
      <c r="A8470" s="8">
        <f>DATE(2012,12,31)-1300</f>
        <v>39974</v>
      </c>
      <c r="B8470" s="8">
        <f>DATE(2012,12,31)-1300</f>
        <v>39974</v>
      </c>
      <c r="C8470" s="19" t="s">
        <v>1206</v>
      </c>
      <c r="D8470">
        <v>10021539957</v>
      </c>
      <c r="E8470" t="s">
        <v>47</v>
      </c>
      <c r="F8470" t="s">
        <v>48</v>
      </c>
      <c r="G8470" t="s">
        <v>49</v>
      </c>
      <c r="H8470" t="s">
        <v>2641</v>
      </c>
      <c r="I8470" t="s">
        <v>2642</v>
      </c>
      <c r="J8470" t="s">
        <v>52</v>
      </c>
      <c r="K8470" s="3">
        <v>100912833201</v>
      </c>
      <c r="L8470" s="10">
        <v>39975</v>
      </c>
      <c r="M8470">
        <v>132.72</v>
      </c>
      <c r="N8470" s="11">
        <v>14</v>
      </c>
      <c r="O8470" s="12">
        <v>8.85</v>
      </c>
      <c r="P8470" s="12">
        <v>5.6</v>
      </c>
      <c r="Q8470" s="13">
        <v>-9.177</v>
      </c>
      <c r="R8470" s="38" t="s">
        <v>1281</v>
      </c>
      <c r="S8470" s="7">
        <f t="shared" si="736"/>
        <v>1</v>
      </c>
      <c r="T8470" s="15" t="str">
        <f>VLOOKUP(R8470,产品分类!$C$2:$D$1278,2,0)</f>
        <v>办公用品</v>
      </c>
    </row>
    <row r="8471" spans="1:20">
      <c r="A8471" s="8">
        <f>DATE(2012,12,31)-1347</f>
        <v>39927</v>
      </c>
      <c r="B8471" s="8">
        <f>DATE(2012,12,31)-1347</f>
        <v>39927</v>
      </c>
      <c r="C8471" s="19" t="s">
        <v>1505</v>
      </c>
      <c r="D8471">
        <v>10021671657</v>
      </c>
      <c r="E8471" t="s">
        <v>47</v>
      </c>
      <c r="F8471" t="s">
        <v>48</v>
      </c>
      <c r="G8471" t="s">
        <v>49</v>
      </c>
      <c r="H8471" t="s">
        <v>2641</v>
      </c>
      <c r="I8471" t="s">
        <v>2642</v>
      </c>
      <c r="J8471" t="s">
        <v>52</v>
      </c>
      <c r="K8471" s="3">
        <v>100930993051</v>
      </c>
      <c r="L8471" s="10">
        <v>39929</v>
      </c>
      <c r="M8471">
        <v>1396.58</v>
      </c>
      <c r="N8471" s="11">
        <v>38</v>
      </c>
      <c r="O8471" s="12">
        <v>35.41</v>
      </c>
      <c r="P8471" s="12">
        <v>1.99</v>
      </c>
      <c r="Q8471" s="13">
        <v>600.72</v>
      </c>
      <c r="R8471" s="38" t="s">
        <v>2675</v>
      </c>
      <c r="S8471" s="7">
        <f t="shared" si="736"/>
        <v>2</v>
      </c>
      <c r="T8471" s="15" t="str">
        <f>VLOOKUP(R8471,产品分类!$C$2:$D$1278,2,0)</f>
        <v>数码电子</v>
      </c>
    </row>
    <row r="8472" spans="1:20">
      <c r="A8472" s="8">
        <f>DATE(2012,12,31)-1347</f>
        <v>39927</v>
      </c>
      <c r="B8472" s="8">
        <f>DATE(2012,12,31)-1347</f>
        <v>39927</v>
      </c>
      <c r="C8472" s="19" t="s">
        <v>1505</v>
      </c>
      <c r="D8472">
        <v>10021783349</v>
      </c>
      <c r="E8472" t="s">
        <v>47</v>
      </c>
      <c r="F8472" t="s">
        <v>66</v>
      </c>
      <c r="G8472" t="s">
        <v>67</v>
      </c>
      <c r="H8472" t="s">
        <v>2584</v>
      </c>
      <c r="I8472" t="s">
        <v>2585</v>
      </c>
      <c r="J8472" t="s">
        <v>52</v>
      </c>
      <c r="K8472" s="3">
        <v>100312406359</v>
      </c>
      <c r="L8472" s="10">
        <v>39936</v>
      </c>
      <c r="M8472">
        <v>6448.69</v>
      </c>
      <c r="N8472" s="11">
        <v>45</v>
      </c>
      <c r="O8472" s="12">
        <v>142.86</v>
      </c>
      <c r="P8472" s="12">
        <v>19.99</v>
      </c>
      <c r="Q8472" s="13">
        <v>1663.35</v>
      </c>
      <c r="R8472" s="38" t="s">
        <v>1067</v>
      </c>
      <c r="S8472" s="7">
        <f t="shared" si="736"/>
        <v>9</v>
      </c>
      <c r="T8472" s="15" t="str">
        <f>VLOOKUP(R8472,产品分类!$C$2:$D$1278,2,0)</f>
        <v>办公用品</v>
      </c>
    </row>
    <row r="8473" spans="1:20">
      <c r="A8473" s="8">
        <f>DATE(2012,12,31)-649</f>
        <v>40625</v>
      </c>
      <c r="B8473" s="8">
        <f>DATE(2012,12,31)-649</f>
        <v>40625</v>
      </c>
      <c r="C8473" s="19" t="s">
        <v>586</v>
      </c>
      <c r="D8473">
        <v>10021501347</v>
      </c>
      <c r="E8473" t="s">
        <v>47</v>
      </c>
      <c r="F8473" t="s">
        <v>48</v>
      </c>
      <c r="G8473" t="s">
        <v>49</v>
      </c>
      <c r="H8473" t="s">
        <v>2641</v>
      </c>
      <c r="I8473" t="s">
        <v>2642</v>
      </c>
      <c r="J8473" t="s">
        <v>52</v>
      </c>
      <c r="K8473" s="3">
        <v>100427132294</v>
      </c>
      <c r="L8473" s="10">
        <v>40626</v>
      </c>
      <c r="M8473">
        <v>143.78</v>
      </c>
      <c r="N8473" s="11">
        <v>6</v>
      </c>
      <c r="O8473" s="12">
        <v>22.72</v>
      </c>
      <c r="P8473" s="12">
        <v>8.99</v>
      </c>
      <c r="Q8473" s="13">
        <v>75.3</v>
      </c>
      <c r="R8473" s="38" t="s">
        <v>972</v>
      </c>
      <c r="S8473" s="7">
        <f t="shared" si="736"/>
        <v>1</v>
      </c>
      <c r="T8473" s="15" t="str">
        <f>VLOOKUP(R8473,产品分类!$C$2:$D$1278,2,0)</f>
        <v>办公用品</v>
      </c>
    </row>
    <row r="8474" spans="1:20">
      <c r="A8474" s="8">
        <f>DATE(2012,12,31)-499</f>
        <v>40775</v>
      </c>
      <c r="B8474" s="8">
        <f>DATE(2012,12,31)-499</f>
        <v>40775</v>
      </c>
      <c r="C8474" s="19" t="s">
        <v>586</v>
      </c>
      <c r="D8474">
        <v>10021414906</v>
      </c>
      <c r="E8474" t="s">
        <v>47</v>
      </c>
      <c r="F8474" t="s">
        <v>66</v>
      </c>
      <c r="G8474" t="s">
        <v>67</v>
      </c>
      <c r="H8474" t="s">
        <v>2584</v>
      </c>
      <c r="I8474" t="s">
        <v>2585</v>
      </c>
      <c r="J8474" t="s">
        <v>52</v>
      </c>
      <c r="K8474" s="3">
        <v>10089680142</v>
      </c>
      <c r="L8474" s="10">
        <v>40777</v>
      </c>
      <c r="M8474">
        <v>252.99</v>
      </c>
      <c r="N8474" s="11">
        <v>37</v>
      </c>
      <c r="O8474" s="12">
        <v>7.08</v>
      </c>
      <c r="P8474" s="12">
        <v>2.35</v>
      </c>
      <c r="Q8474" s="13">
        <v>28.76</v>
      </c>
      <c r="R8474" s="38" t="s">
        <v>2676</v>
      </c>
      <c r="S8474" s="7">
        <f t="shared" si="736"/>
        <v>2</v>
      </c>
      <c r="T8474" s="15" t="str">
        <f>VLOOKUP(R8474,产品分类!$C$2:$D$1278,2,0)</f>
        <v>数码电子</v>
      </c>
    </row>
    <row r="8475" spans="1:20">
      <c r="A8475" s="8">
        <f>DATE(2012,12,31)-950</f>
        <v>40324</v>
      </c>
      <c r="B8475" s="8">
        <f>DATE(2012,12,31)-950</f>
        <v>40324</v>
      </c>
      <c r="C8475" s="19" t="s">
        <v>586</v>
      </c>
      <c r="D8475">
        <v>10021789809</v>
      </c>
      <c r="E8475" t="s">
        <v>47</v>
      </c>
      <c r="F8475" t="s">
        <v>48</v>
      </c>
      <c r="G8475" t="s">
        <v>49</v>
      </c>
      <c r="H8475" t="s">
        <v>2641</v>
      </c>
      <c r="I8475" t="s">
        <v>2642</v>
      </c>
      <c r="J8475" t="s">
        <v>52</v>
      </c>
      <c r="K8475" s="3">
        <v>10019944068</v>
      </c>
      <c r="L8475" s="10">
        <v>40326</v>
      </c>
      <c r="M8475">
        <v>224.58</v>
      </c>
      <c r="N8475" s="11">
        <v>43</v>
      </c>
      <c r="O8475" s="12">
        <v>5.18</v>
      </c>
      <c r="P8475" s="12">
        <v>2.04</v>
      </c>
      <c r="Q8475" s="13">
        <v>46.31</v>
      </c>
      <c r="R8475" s="38" t="s">
        <v>2677</v>
      </c>
      <c r="S8475" s="7">
        <f t="shared" si="736"/>
        <v>2</v>
      </c>
      <c r="T8475" s="15" t="str">
        <f>VLOOKUP(R8475,产品分类!$C$2:$D$1278,2,0)</f>
        <v>家具产品</v>
      </c>
    </row>
    <row r="8476" spans="1:20">
      <c r="A8476" s="8">
        <f>DATE(2012,12,31)-804</f>
        <v>40470</v>
      </c>
      <c r="B8476" s="8">
        <f>DATE(2012,12,31)-804</f>
        <v>40470</v>
      </c>
      <c r="C8476" s="19" t="s">
        <v>586</v>
      </c>
      <c r="D8476">
        <v>10021293730</v>
      </c>
      <c r="E8476" t="s">
        <v>47</v>
      </c>
      <c r="F8476" t="s">
        <v>152</v>
      </c>
      <c r="G8476" t="s">
        <v>153</v>
      </c>
      <c r="H8476" t="s">
        <v>154</v>
      </c>
      <c r="I8476" t="s">
        <v>155</v>
      </c>
      <c r="J8476" t="s">
        <v>52</v>
      </c>
      <c r="K8476" s="3">
        <v>10096474631</v>
      </c>
      <c r="L8476" s="10">
        <v>40477</v>
      </c>
      <c r="M8476">
        <v>1646.47</v>
      </c>
      <c r="N8476" s="11">
        <v>33</v>
      </c>
      <c r="O8476" s="12">
        <v>48.91</v>
      </c>
      <c r="P8476" s="12">
        <v>5.81</v>
      </c>
      <c r="Q8476" s="13">
        <v>743.59</v>
      </c>
      <c r="R8476" s="38" t="s">
        <v>700</v>
      </c>
      <c r="S8476" s="7">
        <f t="shared" si="736"/>
        <v>7</v>
      </c>
      <c r="T8476" s="15" t="str">
        <f>VLOOKUP(R8476,产品分类!$C$2:$D$1278,2,0)</f>
        <v>家具产品</v>
      </c>
    </row>
    <row r="8477" spans="1:20">
      <c r="A8477" s="8">
        <f>DATE(2012,12,31)-420</f>
        <v>40854</v>
      </c>
      <c r="B8477" s="8">
        <f>DATE(2012,12,31)-420</f>
        <v>40854</v>
      </c>
      <c r="C8477" s="19" t="s">
        <v>586</v>
      </c>
      <c r="D8477">
        <v>10021426567</v>
      </c>
      <c r="E8477" t="s">
        <v>47</v>
      </c>
      <c r="F8477" t="s">
        <v>66</v>
      </c>
      <c r="G8477" t="s">
        <v>67</v>
      </c>
      <c r="H8477" t="s">
        <v>2584</v>
      </c>
      <c r="I8477" t="s">
        <v>2585</v>
      </c>
      <c r="J8477" t="s">
        <v>52</v>
      </c>
      <c r="K8477" s="3">
        <v>100830233432</v>
      </c>
      <c r="L8477" s="10">
        <v>40858</v>
      </c>
      <c r="M8477">
        <v>149.64</v>
      </c>
      <c r="N8477" s="11">
        <v>9</v>
      </c>
      <c r="O8477" s="12">
        <v>16.74</v>
      </c>
      <c r="P8477" s="12">
        <v>5.08</v>
      </c>
      <c r="Q8477" s="13">
        <v>13.77</v>
      </c>
      <c r="R8477" s="38" t="s">
        <v>2206</v>
      </c>
      <c r="S8477" s="7">
        <f t="shared" si="736"/>
        <v>4</v>
      </c>
      <c r="T8477" s="15" t="str">
        <f>VLOOKUP(R8477,产品分类!$C$2:$D$1278,2,0)</f>
        <v>办公用品</v>
      </c>
    </row>
    <row r="8478" spans="1:20">
      <c r="A8478" s="8">
        <f>DATE(2012,12,31)-1254</f>
        <v>40020</v>
      </c>
      <c r="B8478" s="8">
        <f>DATE(2012,12,31)-1254</f>
        <v>40020</v>
      </c>
      <c r="C8478" s="19" t="s">
        <v>586</v>
      </c>
      <c r="D8478">
        <v>10021774464</v>
      </c>
      <c r="E8478" t="s">
        <v>47</v>
      </c>
      <c r="F8478" t="s">
        <v>97</v>
      </c>
      <c r="G8478" t="s">
        <v>98</v>
      </c>
      <c r="H8478" t="s">
        <v>99</v>
      </c>
      <c r="I8478" t="s">
        <v>98</v>
      </c>
      <c r="J8478" t="s">
        <v>52</v>
      </c>
      <c r="K8478" s="3">
        <v>100130322857</v>
      </c>
      <c r="L8478" s="10">
        <v>40022</v>
      </c>
      <c r="M8478">
        <v>3416.38</v>
      </c>
      <c r="N8478" s="11">
        <v>32</v>
      </c>
      <c r="O8478" s="12">
        <v>100.98</v>
      </c>
      <c r="P8478" s="12">
        <v>57.38</v>
      </c>
      <c r="Q8478" s="13">
        <v>-1142.2</v>
      </c>
      <c r="R8478" s="38" t="s">
        <v>661</v>
      </c>
      <c r="S8478" s="7">
        <f t="shared" si="736"/>
        <v>2</v>
      </c>
      <c r="T8478" s="15" t="str">
        <f>VLOOKUP(R8478,产品分类!$C$2:$D$1278,2,0)</f>
        <v>办公用品</v>
      </c>
    </row>
    <row r="8479" spans="1:20">
      <c r="A8479" s="8">
        <f>DATE(2012,12,31)-1254</f>
        <v>40020</v>
      </c>
      <c r="B8479" s="8">
        <f>DATE(2012,12,31)-1254</f>
        <v>40020</v>
      </c>
      <c r="C8479" s="19" t="s">
        <v>586</v>
      </c>
      <c r="D8479">
        <v>10021578379</v>
      </c>
      <c r="E8479" t="s">
        <v>47</v>
      </c>
      <c r="F8479" t="s">
        <v>152</v>
      </c>
      <c r="G8479" t="s">
        <v>153</v>
      </c>
      <c r="H8479" t="s">
        <v>154</v>
      </c>
      <c r="I8479" t="s">
        <v>155</v>
      </c>
      <c r="J8479" t="s">
        <v>52</v>
      </c>
      <c r="K8479" s="3">
        <v>100911933751</v>
      </c>
      <c r="L8479" s="10">
        <v>40022</v>
      </c>
      <c r="M8479">
        <v>142.81</v>
      </c>
      <c r="N8479" s="11">
        <v>14</v>
      </c>
      <c r="O8479" s="12">
        <v>10.14</v>
      </c>
      <c r="P8479" s="12">
        <v>2.27</v>
      </c>
      <c r="Q8479" s="13">
        <v>39.64</v>
      </c>
      <c r="R8479" s="38" t="s">
        <v>1527</v>
      </c>
      <c r="S8479" s="7">
        <f t="shared" si="736"/>
        <v>2</v>
      </c>
      <c r="T8479" s="15" t="str">
        <f>VLOOKUP(R8479,产品分类!$C$2:$D$1278,2,0)</f>
        <v>办公用品</v>
      </c>
    </row>
    <row r="8480" spans="1:20">
      <c r="A8480" s="8">
        <f>DATE(2012,12,31)-510</f>
        <v>40764</v>
      </c>
      <c r="B8480" s="8">
        <f>DATE(2012,12,31)-510</f>
        <v>40764</v>
      </c>
      <c r="C8480" s="19" t="s">
        <v>586</v>
      </c>
      <c r="D8480">
        <v>10021388441</v>
      </c>
      <c r="E8480" t="s">
        <v>47</v>
      </c>
      <c r="F8480" t="s">
        <v>72</v>
      </c>
      <c r="G8480" t="s">
        <v>73</v>
      </c>
      <c r="H8480" t="s">
        <v>2652</v>
      </c>
      <c r="I8480" t="s">
        <v>2653</v>
      </c>
      <c r="J8480" t="s">
        <v>52</v>
      </c>
      <c r="K8480" s="3">
        <v>100328699259</v>
      </c>
      <c r="L8480" s="10">
        <v>40767</v>
      </c>
      <c r="M8480">
        <v>42.29</v>
      </c>
      <c r="N8480" s="11">
        <v>17</v>
      </c>
      <c r="O8480" s="12">
        <v>2.16</v>
      </c>
      <c r="P8480" s="12">
        <v>6.05</v>
      </c>
      <c r="Q8480" s="13">
        <v>-85.2725</v>
      </c>
      <c r="R8480" s="38" t="s">
        <v>507</v>
      </c>
      <c r="S8480" s="7">
        <f t="shared" si="736"/>
        <v>3</v>
      </c>
      <c r="T8480" s="15" t="str">
        <f>VLOOKUP(R8480,产品分类!$C$2:$D$1278,2,0)</f>
        <v>家具产品</v>
      </c>
    </row>
    <row r="8481" spans="1:20">
      <c r="A8481" s="8">
        <f>DATE(2012,12,31)-139</f>
        <v>41135</v>
      </c>
      <c r="B8481" s="8">
        <f>DATE(2012,12,31)-139</f>
        <v>41135</v>
      </c>
      <c r="C8481" s="19" t="s">
        <v>586</v>
      </c>
      <c r="D8481">
        <v>10021332686</v>
      </c>
      <c r="E8481" t="s">
        <v>47</v>
      </c>
      <c r="F8481" t="s">
        <v>72</v>
      </c>
      <c r="G8481" t="s">
        <v>73</v>
      </c>
      <c r="H8481" t="s">
        <v>2652</v>
      </c>
      <c r="I8481" t="s">
        <v>2653</v>
      </c>
      <c r="J8481" t="s">
        <v>52</v>
      </c>
      <c r="K8481" s="3">
        <v>100410316784</v>
      </c>
      <c r="L8481" s="10">
        <v>41136</v>
      </c>
      <c r="M8481">
        <v>197.36</v>
      </c>
      <c r="N8481" s="11">
        <v>50</v>
      </c>
      <c r="O8481" s="12">
        <v>4.18</v>
      </c>
      <c r="P8481" s="12">
        <v>2.99</v>
      </c>
      <c r="Q8481" s="13">
        <v>-43.5045</v>
      </c>
      <c r="R8481" s="38" t="s">
        <v>1531</v>
      </c>
      <c r="S8481" s="7">
        <f t="shared" si="736"/>
        <v>1</v>
      </c>
      <c r="T8481" s="15" t="str">
        <f>VLOOKUP(R8481,产品分类!$C$2:$D$1278,2,0)</f>
        <v>办公用品</v>
      </c>
    </row>
    <row r="8482" spans="1:20">
      <c r="A8482" s="8">
        <f>DATE(2012,12,31)-1078</f>
        <v>40196</v>
      </c>
      <c r="B8482" s="8">
        <f>DATE(2012,12,31)-1078</f>
        <v>40196</v>
      </c>
      <c r="C8482" s="19" t="s">
        <v>586</v>
      </c>
      <c r="D8482">
        <v>10021424967</v>
      </c>
      <c r="E8482" t="s">
        <v>47</v>
      </c>
      <c r="F8482" t="s">
        <v>78</v>
      </c>
      <c r="G8482" t="s">
        <v>79</v>
      </c>
      <c r="H8482" t="s">
        <v>80</v>
      </c>
      <c r="I8482" t="s">
        <v>81</v>
      </c>
      <c r="J8482" t="s">
        <v>52</v>
      </c>
      <c r="K8482" s="3">
        <v>100429240364</v>
      </c>
      <c r="L8482" s="10">
        <v>40198</v>
      </c>
      <c r="M8482">
        <v>883.31</v>
      </c>
      <c r="N8482" s="11">
        <v>4</v>
      </c>
      <c r="O8482" s="12">
        <v>200.98</v>
      </c>
      <c r="P8482" s="12">
        <v>23.76</v>
      </c>
      <c r="Q8482" s="13">
        <v>-79.96</v>
      </c>
      <c r="R8482" s="38" t="s">
        <v>2665</v>
      </c>
      <c r="S8482" s="7">
        <f t="shared" si="736"/>
        <v>2</v>
      </c>
      <c r="T8482" s="15" t="str">
        <f>VLOOKUP(R8482,产品分类!$C$2:$D$1278,2,0)</f>
        <v>数码电子</v>
      </c>
    </row>
    <row r="8483" spans="1:20">
      <c r="A8483" s="8">
        <f t="shared" ref="A8483:B8485" si="738">DATE(2012,12,31)-168</f>
        <v>41106</v>
      </c>
      <c r="B8483" s="8">
        <f t="shared" si="738"/>
        <v>41106</v>
      </c>
      <c r="C8483" s="19" t="s">
        <v>586</v>
      </c>
      <c r="D8483">
        <v>10021712590</v>
      </c>
      <c r="E8483" t="s">
        <v>47</v>
      </c>
      <c r="F8483" t="s">
        <v>72</v>
      </c>
      <c r="G8483" t="s">
        <v>73</v>
      </c>
      <c r="H8483" t="s">
        <v>2652</v>
      </c>
      <c r="I8483" t="s">
        <v>2653</v>
      </c>
      <c r="J8483" t="s">
        <v>52</v>
      </c>
      <c r="K8483" s="3">
        <v>100132903427</v>
      </c>
      <c r="L8483" s="10">
        <v>41115</v>
      </c>
      <c r="M8483">
        <v>9695.84</v>
      </c>
      <c r="N8483" s="11">
        <v>16</v>
      </c>
      <c r="O8483" s="12">
        <v>599.99</v>
      </c>
      <c r="P8483" s="12">
        <v>24.49</v>
      </c>
      <c r="Q8483" s="13">
        <v>2752.11</v>
      </c>
      <c r="R8483" s="38" t="s">
        <v>634</v>
      </c>
      <c r="S8483" s="7">
        <f t="shared" si="736"/>
        <v>9</v>
      </c>
      <c r="T8483" s="15" t="str">
        <f>VLOOKUP(R8483,产品分类!$C$2:$D$1278,2,0)</f>
        <v>办公用品</v>
      </c>
    </row>
    <row r="8484" spans="1:20">
      <c r="A8484" s="8">
        <f t="shared" si="738"/>
        <v>41106</v>
      </c>
      <c r="B8484" s="8">
        <f t="shared" si="738"/>
        <v>41106</v>
      </c>
      <c r="C8484" s="19" t="s">
        <v>586</v>
      </c>
      <c r="D8484">
        <v>10021267930</v>
      </c>
      <c r="E8484" t="s">
        <v>47</v>
      </c>
      <c r="F8484" t="s">
        <v>72</v>
      </c>
      <c r="G8484" t="s">
        <v>73</v>
      </c>
      <c r="H8484" t="s">
        <v>2652</v>
      </c>
      <c r="I8484" t="s">
        <v>2653</v>
      </c>
      <c r="J8484" t="s">
        <v>52</v>
      </c>
      <c r="K8484" s="3">
        <v>100332121849</v>
      </c>
      <c r="L8484" s="10">
        <v>41115</v>
      </c>
      <c r="M8484">
        <v>246.79</v>
      </c>
      <c r="N8484" s="11">
        <v>36</v>
      </c>
      <c r="O8484" s="12">
        <v>6.48</v>
      </c>
      <c r="P8484" s="12">
        <v>6.6</v>
      </c>
      <c r="Q8484" s="13">
        <v>-90.08</v>
      </c>
      <c r="R8484" s="38" t="s">
        <v>784</v>
      </c>
      <c r="S8484" s="7">
        <f t="shared" si="736"/>
        <v>9</v>
      </c>
      <c r="T8484" s="15" t="str">
        <f>VLOOKUP(R8484,产品分类!$C$2:$D$1278,2,0)</f>
        <v>数码电子</v>
      </c>
    </row>
    <row r="8485" spans="1:20">
      <c r="A8485" s="8">
        <f t="shared" si="738"/>
        <v>41106</v>
      </c>
      <c r="B8485" s="8">
        <f t="shared" si="738"/>
        <v>41106</v>
      </c>
      <c r="C8485" s="19" t="s">
        <v>586</v>
      </c>
      <c r="D8485">
        <v>10021575789</v>
      </c>
      <c r="E8485" t="s">
        <v>47</v>
      </c>
      <c r="F8485" t="s">
        <v>72</v>
      </c>
      <c r="G8485" t="s">
        <v>73</v>
      </c>
      <c r="H8485" t="s">
        <v>2652</v>
      </c>
      <c r="I8485" t="s">
        <v>2653</v>
      </c>
      <c r="J8485" t="s">
        <v>52</v>
      </c>
      <c r="K8485" s="3">
        <v>100411536833</v>
      </c>
      <c r="L8485" s="10">
        <v>41115</v>
      </c>
      <c r="M8485">
        <v>777.78</v>
      </c>
      <c r="N8485" s="11">
        <v>39</v>
      </c>
      <c r="O8485" s="12">
        <v>19.84</v>
      </c>
      <c r="P8485" s="12">
        <v>4.1</v>
      </c>
      <c r="Q8485" s="13">
        <v>237.75</v>
      </c>
      <c r="R8485" s="38" t="s">
        <v>2666</v>
      </c>
      <c r="S8485" s="7">
        <f t="shared" si="736"/>
        <v>9</v>
      </c>
      <c r="T8485" s="15" t="str">
        <f>VLOOKUP(R8485,产品分类!$C$2:$D$1278,2,0)</f>
        <v>数码电子</v>
      </c>
    </row>
    <row r="8486" spans="1:20">
      <c r="A8486" s="8">
        <f>DATE(2012,12,31)-1136</f>
        <v>40138</v>
      </c>
      <c r="B8486" s="8">
        <f>DATE(2012,12,31)-1136</f>
        <v>40138</v>
      </c>
      <c r="C8486" s="19" t="s">
        <v>1784</v>
      </c>
      <c r="D8486">
        <v>10021424081</v>
      </c>
      <c r="E8486" t="s">
        <v>47</v>
      </c>
      <c r="F8486" t="s">
        <v>72</v>
      </c>
      <c r="G8486" t="s">
        <v>73</v>
      </c>
      <c r="H8486" t="s">
        <v>2652</v>
      </c>
      <c r="I8486" t="s">
        <v>2653</v>
      </c>
      <c r="J8486" t="s">
        <v>52</v>
      </c>
      <c r="K8486" s="3">
        <v>100128407847</v>
      </c>
      <c r="L8486" s="10">
        <v>40145</v>
      </c>
      <c r="M8486">
        <v>1644.59</v>
      </c>
      <c r="N8486" s="11">
        <v>33</v>
      </c>
      <c r="O8486" s="12">
        <v>50.98</v>
      </c>
      <c r="P8486" s="12">
        <v>6.5</v>
      </c>
      <c r="Q8486" s="13">
        <v>-52.92</v>
      </c>
      <c r="R8486" s="38" t="s">
        <v>1501</v>
      </c>
      <c r="S8486" s="7">
        <f t="shared" si="736"/>
        <v>7</v>
      </c>
      <c r="T8486" s="15" t="str">
        <f>VLOOKUP(R8486,产品分类!$C$2:$D$1278,2,0)</f>
        <v>家具产品</v>
      </c>
    </row>
    <row r="8487" spans="1:20">
      <c r="A8487" s="8">
        <f>DATE(2012,12,31)-702</f>
        <v>40572</v>
      </c>
      <c r="B8487" s="8">
        <f>DATE(2012,12,31)-702</f>
        <v>40572</v>
      </c>
      <c r="C8487" s="19" t="s">
        <v>1784</v>
      </c>
      <c r="D8487">
        <v>10021656982</v>
      </c>
      <c r="E8487" t="s">
        <v>47</v>
      </c>
      <c r="F8487" t="s">
        <v>72</v>
      </c>
      <c r="G8487" t="s">
        <v>73</v>
      </c>
      <c r="H8487" t="s">
        <v>2652</v>
      </c>
      <c r="I8487" t="s">
        <v>2653</v>
      </c>
      <c r="J8487" t="s">
        <v>52</v>
      </c>
      <c r="K8487" s="3">
        <v>10014829818</v>
      </c>
      <c r="L8487" s="10">
        <v>40573</v>
      </c>
      <c r="M8487">
        <v>1379.98</v>
      </c>
      <c r="N8487" s="11">
        <v>12</v>
      </c>
      <c r="O8487" s="12">
        <v>113.98</v>
      </c>
      <c r="P8487" s="12">
        <v>30</v>
      </c>
      <c r="Q8487" s="13">
        <v>-151.73</v>
      </c>
      <c r="R8487" s="38" t="s">
        <v>556</v>
      </c>
      <c r="S8487" s="7">
        <f t="shared" si="736"/>
        <v>1</v>
      </c>
      <c r="T8487" s="15" t="str">
        <f>VLOOKUP(R8487,产品分类!$C$2:$D$1278,2,0)</f>
        <v>办公用品</v>
      </c>
    </row>
    <row r="8488" spans="1:20">
      <c r="A8488" s="8">
        <f>DATE(2012,12,31)-246</f>
        <v>41028</v>
      </c>
      <c r="B8488" s="8">
        <f>DATE(2012,12,31)-246</f>
        <v>41028</v>
      </c>
      <c r="C8488" s="19" t="s">
        <v>1784</v>
      </c>
      <c r="D8488">
        <v>10021738243</v>
      </c>
      <c r="E8488" t="s">
        <v>47</v>
      </c>
      <c r="F8488" t="s">
        <v>72</v>
      </c>
      <c r="G8488" t="s">
        <v>73</v>
      </c>
      <c r="H8488" t="s">
        <v>2652</v>
      </c>
      <c r="I8488" t="s">
        <v>2653</v>
      </c>
      <c r="J8488" t="s">
        <v>52</v>
      </c>
      <c r="K8488" s="3">
        <v>100111256997</v>
      </c>
      <c r="L8488" s="10">
        <v>41030</v>
      </c>
      <c r="M8488">
        <v>2368.168</v>
      </c>
      <c r="N8488" s="11">
        <v>30</v>
      </c>
      <c r="O8488" s="12">
        <v>85.99</v>
      </c>
      <c r="P8488" s="12">
        <v>1.25</v>
      </c>
      <c r="Q8488" s="13">
        <v>1181.295</v>
      </c>
      <c r="R8488" s="38" t="s">
        <v>723</v>
      </c>
      <c r="S8488" s="7">
        <f t="shared" si="736"/>
        <v>2</v>
      </c>
      <c r="T8488" s="15" t="str">
        <f>VLOOKUP(R8488,产品分类!$C$2:$D$1278,2,0)</f>
        <v>办公用品</v>
      </c>
    </row>
    <row r="8489" spans="1:20">
      <c r="A8489" s="8">
        <f>DATE(2012,12,31)-1252</f>
        <v>40022</v>
      </c>
      <c r="B8489" s="8">
        <f>DATE(2012,12,31)-1252</f>
        <v>40022</v>
      </c>
      <c r="C8489" s="19" t="s">
        <v>1784</v>
      </c>
      <c r="D8489">
        <v>10021433700</v>
      </c>
      <c r="E8489" t="s">
        <v>47</v>
      </c>
      <c r="F8489" t="s">
        <v>230</v>
      </c>
      <c r="G8489" t="s">
        <v>231</v>
      </c>
      <c r="H8489" t="s">
        <v>2602</v>
      </c>
      <c r="I8489" t="s">
        <v>2603</v>
      </c>
      <c r="J8489" t="s">
        <v>52</v>
      </c>
      <c r="K8489" s="3">
        <v>100132628658</v>
      </c>
      <c r="L8489" s="10">
        <v>40024</v>
      </c>
      <c r="M8489">
        <v>2550.12</v>
      </c>
      <c r="N8489" s="11">
        <v>40</v>
      </c>
      <c r="O8489" s="12">
        <v>60.97</v>
      </c>
      <c r="P8489" s="12">
        <v>4.5</v>
      </c>
      <c r="Q8489" s="13">
        <v>882.45</v>
      </c>
      <c r="R8489" s="38" t="s">
        <v>2667</v>
      </c>
      <c r="S8489" s="7">
        <f t="shared" si="736"/>
        <v>2</v>
      </c>
      <c r="T8489" s="15" t="str">
        <f>VLOOKUP(R8489,产品分类!$C$2:$D$1278,2,0)</f>
        <v>家具产品</v>
      </c>
    </row>
    <row r="8490" spans="1:20">
      <c r="A8490" s="8">
        <f>DATE(2012,12,31)-1252</f>
        <v>40022</v>
      </c>
      <c r="B8490" s="8">
        <f>DATE(2012,12,31)-1252</f>
        <v>40022</v>
      </c>
      <c r="C8490" s="19" t="s">
        <v>1784</v>
      </c>
      <c r="D8490">
        <v>10021609153</v>
      </c>
      <c r="E8490" t="s">
        <v>47</v>
      </c>
      <c r="F8490" t="s">
        <v>230</v>
      </c>
      <c r="G8490" t="s">
        <v>231</v>
      </c>
      <c r="H8490" t="s">
        <v>2602</v>
      </c>
      <c r="I8490" t="s">
        <v>2603</v>
      </c>
      <c r="J8490" t="s">
        <v>52</v>
      </c>
      <c r="K8490" s="3">
        <v>100124364588</v>
      </c>
      <c r="L8490" s="10">
        <v>40023</v>
      </c>
      <c r="M8490">
        <v>5897.47</v>
      </c>
      <c r="N8490" s="11">
        <v>46</v>
      </c>
      <c r="O8490" s="12">
        <v>122.99</v>
      </c>
      <c r="P8490" s="12">
        <v>70.2</v>
      </c>
      <c r="Q8490" s="13">
        <v>-1764.29</v>
      </c>
      <c r="R8490" s="38" t="s">
        <v>2668</v>
      </c>
      <c r="S8490" s="7">
        <f t="shared" si="736"/>
        <v>1</v>
      </c>
      <c r="T8490" s="15" t="str">
        <f>VLOOKUP(R8490,产品分类!$C$2:$D$1278,2,0)</f>
        <v>数码电子</v>
      </c>
    </row>
    <row r="8491" spans="1:20">
      <c r="A8491" s="8">
        <f>DATE(2012,12,31)-626</f>
        <v>40648</v>
      </c>
      <c r="B8491" s="8">
        <f>DATE(2012,12,31)-626</f>
        <v>40648</v>
      </c>
      <c r="C8491" s="19" t="s">
        <v>526</v>
      </c>
      <c r="D8491">
        <v>10021451716</v>
      </c>
      <c r="E8491" t="s">
        <v>47</v>
      </c>
      <c r="F8491" t="s">
        <v>230</v>
      </c>
      <c r="G8491" t="s">
        <v>231</v>
      </c>
      <c r="H8491" t="s">
        <v>2602</v>
      </c>
      <c r="I8491" t="s">
        <v>2603</v>
      </c>
      <c r="J8491" t="s">
        <v>52</v>
      </c>
      <c r="K8491" s="3">
        <v>100717074795</v>
      </c>
      <c r="L8491" s="10">
        <v>40649</v>
      </c>
      <c r="M8491">
        <v>662.51</v>
      </c>
      <c r="N8491" s="11">
        <v>46</v>
      </c>
      <c r="O8491" s="12">
        <v>15.67</v>
      </c>
      <c r="P8491" s="12">
        <v>1.39</v>
      </c>
      <c r="Q8491" s="13">
        <v>293.32</v>
      </c>
      <c r="R8491" s="38" t="s">
        <v>1012</v>
      </c>
      <c r="S8491" s="7">
        <f t="shared" si="736"/>
        <v>1</v>
      </c>
      <c r="T8491" s="15" t="str">
        <f>VLOOKUP(R8491,产品分类!$C$2:$D$1278,2,0)</f>
        <v>家具产品</v>
      </c>
    </row>
    <row r="8492" spans="1:20">
      <c r="A8492" s="8">
        <f>DATE(2012,12,31)-626</f>
        <v>40648</v>
      </c>
      <c r="B8492" s="8">
        <f>DATE(2012,12,31)-626</f>
        <v>40648</v>
      </c>
      <c r="C8492" s="19" t="s">
        <v>526</v>
      </c>
      <c r="D8492">
        <v>10021461304</v>
      </c>
      <c r="E8492" t="s">
        <v>47</v>
      </c>
      <c r="F8492" t="s">
        <v>230</v>
      </c>
      <c r="G8492" t="s">
        <v>231</v>
      </c>
      <c r="H8492" t="s">
        <v>2602</v>
      </c>
      <c r="I8492" t="s">
        <v>2603</v>
      </c>
      <c r="J8492" t="s">
        <v>52</v>
      </c>
      <c r="K8492" s="3">
        <v>100414702664</v>
      </c>
      <c r="L8492" s="10">
        <v>40650</v>
      </c>
      <c r="M8492">
        <v>61.18</v>
      </c>
      <c r="N8492" s="11">
        <v>21</v>
      </c>
      <c r="O8492" s="12">
        <v>2.88</v>
      </c>
      <c r="P8492" s="12">
        <v>0.7</v>
      </c>
      <c r="Q8492" s="13">
        <v>6.85</v>
      </c>
      <c r="R8492" s="38" t="s">
        <v>100</v>
      </c>
      <c r="S8492" s="7">
        <f t="shared" si="736"/>
        <v>2</v>
      </c>
      <c r="T8492" s="15" t="str">
        <f>VLOOKUP(R8492,产品分类!$C$2:$D$1278,2,0)</f>
        <v>数码电子</v>
      </c>
    </row>
    <row r="8493" spans="1:20">
      <c r="A8493" s="8">
        <f>DATE(2012,12,31)-1306</f>
        <v>39968</v>
      </c>
      <c r="B8493" s="8">
        <f>DATE(2012,12,31)-1306</f>
        <v>39968</v>
      </c>
      <c r="C8493" s="19" t="s">
        <v>526</v>
      </c>
      <c r="D8493">
        <v>10021284433</v>
      </c>
      <c r="E8493" t="s">
        <v>47</v>
      </c>
      <c r="F8493" t="s">
        <v>230</v>
      </c>
      <c r="G8493" t="s">
        <v>231</v>
      </c>
      <c r="H8493" t="s">
        <v>2602</v>
      </c>
      <c r="I8493" t="s">
        <v>2603</v>
      </c>
      <c r="J8493" t="s">
        <v>52</v>
      </c>
      <c r="K8493" s="3">
        <v>10092290331</v>
      </c>
      <c r="L8493" s="10">
        <v>39970</v>
      </c>
      <c r="M8493">
        <v>3029.97</v>
      </c>
      <c r="N8493" s="11">
        <v>3</v>
      </c>
      <c r="O8493" s="12">
        <v>999.99</v>
      </c>
      <c r="P8493" s="12">
        <v>13.99</v>
      </c>
      <c r="Q8493" s="13">
        <v>-1819.9965</v>
      </c>
      <c r="R8493" s="38" t="s">
        <v>1576</v>
      </c>
      <c r="S8493" s="7">
        <f t="shared" si="736"/>
        <v>2</v>
      </c>
      <c r="T8493" s="15" t="str">
        <f>VLOOKUP(R8493,产品分类!$C$2:$D$1278,2,0)</f>
        <v>办公用品</v>
      </c>
    </row>
    <row r="8494" spans="1:20">
      <c r="A8494" s="8">
        <f>DATE(2012,12,31)-1306</f>
        <v>39968</v>
      </c>
      <c r="B8494" s="8">
        <f>DATE(2012,12,31)-1306</f>
        <v>39968</v>
      </c>
      <c r="C8494" s="19" t="s">
        <v>526</v>
      </c>
      <c r="D8494">
        <v>10021665302</v>
      </c>
      <c r="E8494" t="s">
        <v>47</v>
      </c>
      <c r="F8494" t="s">
        <v>230</v>
      </c>
      <c r="G8494" t="s">
        <v>231</v>
      </c>
      <c r="H8494" t="s">
        <v>2602</v>
      </c>
      <c r="I8494" t="s">
        <v>2603</v>
      </c>
      <c r="J8494" t="s">
        <v>52</v>
      </c>
      <c r="K8494" s="3">
        <v>10079298705</v>
      </c>
      <c r="L8494" s="10">
        <v>39969</v>
      </c>
      <c r="M8494">
        <v>241.04</v>
      </c>
      <c r="N8494" s="11">
        <v>34</v>
      </c>
      <c r="O8494" s="12">
        <v>6.48</v>
      </c>
      <c r="P8494" s="12">
        <v>5.14</v>
      </c>
      <c r="Q8494" s="13">
        <v>-28.2</v>
      </c>
      <c r="R8494" s="38" t="s">
        <v>325</v>
      </c>
      <c r="S8494" s="7">
        <f t="shared" si="736"/>
        <v>1</v>
      </c>
      <c r="T8494" s="15" t="str">
        <f>VLOOKUP(R8494,产品分类!$C$2:$D$1278,2,0)</f>
        <v>数码电子</v>
      </c>
    </row>
    <row r="8495" spans="1:20">
      <c r="A8495" s="8">
        <f t="shared" ref="A8495:B8497" si="739">DATE(2012,12,31)-289</f>
        <v>40985</v>
      </c>
      <c r="B8495" s="8">
        <f t="shared" si="739"/>
        <v>40985</v>
      </c>
      <c r="C8495" s="19" t="s">
        <v>526</v>
      </c>
      <c r="D8495">
        <v>10021252867</v>
      </c>
      <c r="E8495" t="s">
        <v>47</v>
      </c>
      <c r="F8495" t="s">
        <v>230</v>
      </c>
      <c r="G8495" t="s">
        <v>231</v>
      </c>
      <c r="H8495" t="s">
        <v>2602</v>
      </c>
      <c r="I8495" t="s">
        <v>2603</v>
      </c>
      <c r="J8495" t="s">
        <v>52</v>
      </c>
      <c r="K8495" s="3">
        <v>100915461211</v>
      </c>
      <c r="L8495" s="10">
        <v>40988</v>
      </c>
      <c r="M8495">
        <v>44.17</v>
      </c>
      <c r="N8495" s="11">
        <v>5</v>
      </c>
      <c r="O8495" s="12">
        <v>7.59</v>
      </c>
      <c r="P8495" s="12">
        <v>4</v>
      </c>
      <c r="Q8495" s="13">
        <v>23.41</v>
      </c>
      <c r="R8495" s="38" t="s">
        <v>2669</v>
      </c>
      <c r="S8495" s="7">
        <f t="shared" si="736"/>
        <v>3</v>
      </c>
      <c r="T8495" s="15" t="str">
        <f>VLOOKUP(R8495,产品分类!$C$2:$D$1278,2,0)</f>
        <v>办公用品</v>
      </c>
    </row>
    <row r="8496" spans="1:20">
      <c r="A8496" s="8">
        <f t="shared" si="739"/>
        <v>40985</v>
      </c>
      <c r="B8496" s="8">
        <f t="shared" si="739"/>
        <v>40985</v>
      </c>
      <c r="C8496" s="19" t="s">
        <v>526</v>
      </c>
      <c r="D8496">
        <v>10021666051</v>
      </c>
      <c r="E8496" t="s">
        <v>47</v>
      </c>
      <c r="F8496" t="s">
        <v>2517</v>
      </c>
      <c r="G8496" t="s">
        <v>2518</v>
      </c>
      <c r="H8496" t="s">
        <v>2654</v>
      </c>
      <c r="I8496" t="s">
        <v>2655</v>
      </c>
      <c r="J8496" t="s">
        <v>52</v>
      </c>
      <c r="K8496" s="3">
        <v>100927013701</v>
      </c>
      <c r="L8496" s="10">
        <v>40987</v>
      </c>
      <c r="M8496">
        <v>192.92</v>
      </c>
      <c r="N8496" s="11">
        <v>37</v>
      </c>
      <c r="O8496" s="12">
        <v>5.43</v>
      </c>
      <c r="P8496" s="12">
        <v>0.95</v>
      </c>
      <c r="Q8496" s="13">
        <v>74.58</v>
      </c>
      <c r="R8496" s="38" t="s">
        <v>1308</v>
      </c>
      <c r="S8496" s="7">
        <f t="shared" si="736"/>
        <v>2</v>
      </c>
      <c r="T8496" s="15" t="str">
        <f>VLOOKUP(R8496,产品分类!$C$2:$D$1278,2,0)</f>
        <v>办公用品</v>
      </c>
    </row>
    <row r="8497" spans="1:20">
      <c r="A8497" s="8">
        <f t="shared" si="739"/>
        <v>40985</v>
      </c>
      <c r="B8497" s="8">
        <f t="shared" si="739"/>
        <v>40985</v>
      </c>
      <c r="C8497" s="19" t="s">
        <v>526</v>
      </c>
      <c r="D8497">
        <v>10021737831</v>
      </c>
      <c r="E8497" t="s">
        <v>47</v>
      </c>
      <c r="F8497" t="s">
        <v>2517</v>
      </c>
      <c r="G8497" t="s">
        <v>2518</v>
      </c>
      <c r="H8497" t="s">
        <v>2654</v>
      </c>
      <c r="I8497" t="s">
        <v>2655</v>
      </c>
      <c r="J8497" t="s">
        <v>52</v>
      </c>
      <c r="K8497" s="3">
        <v>100413153593</v>
      </c>
      <c r="L8497" s="10">
        <v>40987</v>
      </c>
      <c r="M8497">
        <v>10532.94</v>
      </c>
      <c r="N8497" s="11">
        <v>37</v>
      </c>
      <c r="O8497" s="12">
        <v>279.48</v>
      </c>
      <c r="P8497" s="12">
        <v>35</v>
      </c>
      <c r="Q8497" s="13">
        <v>406.37</v>
      </c>
      <c r="R8497" s="38" t="s">
        <v>950</v>
      </c>
      <c r="S8497" s="7">
        <f t="shared" si="736"/>
        <v>2</v>
      </c>
      <c r="T8497" s="15" t="str">
        <f>VLOOKUP(R8497,产品分类!$C$2:$D$1278,2,0)</f>
        <v>数码电子</v>
      </c>
    </row>
    <row r="8498" spans="1:20">
      <c r="A8498" s="8">
        <f>DATE(2012,12,31)-301</f>
        <v>40973</v>
      </c>
      <c r="B8498" s="8">
        <f>DATE(2012,12,31)-301</f>
        <v>40973</v>
      </c>
      <c r="C8498" s="19" t="s">
        <v>526</v>
      </c>
      <c r="D8498">
        <v>10021493377</v>
      </c>
      <c r="E8498" t="s">
        <v>47</v>
      </c>
      <c r="F8498" t="s">
        <v>91</v>
      </c>
      <c r="G8498" t="s">
        <v>92</v>
      </c>
      <c r="H8498" t="s">
        <v>2621</v>
      </c>
      <c r="I8498" t="s">
        <v>2622</v>
      </c>
      <c r="J8498" t="s">
        <v>52</v>
      </c>
      <c r="K8498" s="3">
        <v>10011708338</v>
      </c>
      <c r="L8498" s="10">
        <v>40975</v>
      </c>
      <c r="M8498">
        <v>364.4</v>
      </c>
      <c r="N8498" s="11">
        <v>44</v>
      </c>
      <c r="O8498" s="12">
        <v>8.5</v>
      </c>
      <c r="P8498" s="12">
        <v>1.99</v>
      </c>
      <c r="Q8498" s="13">
        <v>51.08</v>
      </c>
      <c r="R8498" s="38" t="s">
        <v>973</v>
      </c>
      <c r="S8498" s="7">
        <f t="shared" si="736"/>
        <v>2</v>
      </c>
      <c r="T8498" s="15" t="str">
        <f>VLOOKUP(R8498,产品分类!$C$2:$D$1278,2,0)</f>
        <v>办公用品</v>
      </c>
    </row>
    <row r="8499" spans="1:20">
      <c r="A8499" s="8">
        <f>DATE(2012,12,31)-604</f>
        <v>40670</v>
      </c>
      <c r="B8499" s="8">
        <f>DATE(2012,12,31)-604</f>
        <v>40670</v>
      </c>
      <c r="C8499" s="19" t="s">
        <v>526</v>
      </c>
      <c r="D8499">
        <v>10021784777</v>
      </c>
      <c r="E8499" t="s">
        <v>47</v>
      </c>
      <c r="F8499" t="s">
        <v>91</v>
      </c>
      <c r="G8499" t="s">
        <v>92</v>
      </c>
      <c r="H8499" t="s">
        <v>2621</v>
      </c>
      <c r="I8499" t="s">
        <v>2622</v>
      </c>
      <c r="J8499" t="s">
        <v>52</v>
      </c>
      <c r="K8499" s="3">
        <v>10014564948</v>
      </c>
      <c r="L8499" s="10">
        <v>40671</v>
      </c>
      <c r="M8499">
        <v>33.99</v>
      </c>
      <c r="N8499" s="11">
        <v>7</v>
      </c>
      <c r="O8499" s="12">
        <v>4.77</v>
      </c>
      <c r="P8499" s="12">
        <v>2.39</v>
      </c>
      <c r="Q8499" s="13">
        <v>-25.86</v>
      </c>
      <c r="R8499" s="38" t="s">
        <v>2670</v>
      </c>
      <c r="S8499" s="7">
        <f t="shared" si="736"/>
        <v>1</v>
      </c>
      <c r="T8499" s="15" t="str">
        <f>VLOOKUP(R8499,产品分类!$C$2:$D$1278,2,0)</f>
        <v>办公用品</v>
      </c>
    </row>
    <row r="8500" spans="1:20">
      <c r="A8500" s="8">
        <f>DATE(2012,12,31)-473</f>
        <v>40801</v>
      </c>
      <c r="B8500" s="8">
        <f>DATE(2012,12,31)-473</f>
        <v>40801</v>
      </c>
      <c r="C8500" s="19" t="s">
        <v>526</v>
      </c>
      <c r="D8500">
        <v>10021589994</v>
      </c>
      <c r="E8500" t="s">
        <v>47</v>
      </c>
      <c r="F8500" t="s">
        <v>91</v>
      </c>
      <c r="G8500" t="s">
        <v>92</v>
      </c>
      <c r="H8500" t="s">
        <v>2621</v>
      </c>
      <c r="I8500" t="s">
        <v>2622</v>
      </c>
      <c r="J8500" t="s">
        <v>52</v>
      </c>
      <c r="K8500" s="3">
        <v>100731241955</v>
      </c>
      <c r="L8500" s="10">
        <v>40803</v>
      </c>
      <c r="M8500">
        <v>260.51</v>
      </c>
      <c r="N8500" s="11">
        <v>34</v>
      </c>
      <c r="O8500" s="12">
        <v>7.3</v>
      </c>
      <c r="P8500" s="12">
        <v>7.72</v>
      </c>
      <c r="Q8500" s="13">
        <v>-127.5235</v>
      </c>
      <c r="R8500" s="38" t="s">
        <v>295</v>
      </c>
      <c r="S8500" s="7">
        <f t="shared" si="736"/>
        <v>2</v>
      </c>
      <c r="T8500" s="15" t="str">
        <f>VLOOKUP(R8500,产品分类!$C$2:$D$1278,2,0)</f>
        <v>办公用品</v>
      </c>
    </row>
    <row r="8501" spans="1:20">
      <c r="A8501" s="8">
        <f>DATE(2012,12,31)-473</f>
        <v>40801</v>
      </c>
      <c r="B8501" s="8">
        <f>DATE(2012,12,31)-473</f>
        <v>40801</v>
      </c>
      <c r="C8501" s="19" t="s">
        <v>526</v>
      </c>
      <c r="D8501">
        <v>10021258530</v>
      </c>
      <c r="E8501" t="s">
        <v>47</v>
      </c>
      <c r="F8501" t="s">
        <v>91</v>
      </c>
      <c r="G8501" t="s">
        <v>92</v>
      </c>
      <c r="H8501" t="s">
        <v>2621</v>
      </c>
      <c r="I8501" t="s">
        <v>2622</v>
      </c>
      <c r="J8501" t="s">
        <v>52</v>
      </c>
      <c r="K8501" s="3">
        <v>100127001217</v>
      </c>
      <c r="L8501" s="10">
        <v>40803</v>
      </c>
      <c r="M8501">
        <v>466.28</v>
      </c>
      <c r="N8501" s="11">
        <v>15</v>
      </c>
      <c r="O8501" s="12">
        <v>29.89</v>
      </c>
      <c r="P8501" s="12">
        <v>1.99</v>
      </c>
      <c r="Q8501" s="13">
        <v>92.7</v>
      </c>
      <c r="R8501" s="38" t="s">
        <v>866</v>
      </c>
      <c r="S8501" s="7">
        <f t="shared" si="736"/>
        <v>2</v>
      </c>
      <c r="T8501" s="15" t="str">
        <f>VLOOKUP(R8501,产品分类!$C$2:$D$1278,2,0)</f>
        <v>办公用品</v>
      </c>
    </row>
    <row r="8502" spans="1:20">
      <c r="A8502" s="8">
        <f>DATE(2012,12,31)-296</f>
        <v>40978</v>
      </c>
      <c r="B8502" s="8">
        <f>DATE(2012,12,31)-296</f>
        <v>40978</v>
      </c>
      <c r="C8502" s="19" t="s">
        <v>526</v>
      </c>
      <c r="D8502">
        <v>10021719359</v>
      </c>
      <c r="E8502" t="s">
        <v>47</v>
      </c>
      <c r="F8502" t="s">
        <v>55</v>
      </c>
      <c r="G8502" t="s">
        <v>56</v>
      </c>
      <c r="H8502" t="s">
        <v>2673</v>
      </c>
      <c r="I8502" t="s">
        <v>2674</v>
      </c>
      <c r="J8502" t="s">
        <v>52</v>
      </c>
      <c r="K8502" s="3">
        <v>100820902052</v>
      </c>
      <c r="L8502" s="10">
        <v>40979</v>
      </c>
      <c r="M8502">
        <v>1961.39</v>
      </c>
      <c r="N8502" s="11">
        <v>14</v>
      </c>
      <c r="O8502" s="12">
        <v>136.98</v>
      </c>
      <c r="P8502" s="12">
        <v>24.49</v>
      </c>
      <c r="Q8502" s="13">
        <v>761.04</v>
      </c>
      <c r="R8502" s="38" t="s">
        <v>594</v>
      </c>
      <c r="S8502" s="7">
        <f t="shared" si="736"/>
        <v>1</v>
      </c>
      <c r="T8502" s="15" t="str">
        <f>VLOOKUP(R8502,产品分类!$C$2:$D$1278,2,0)</f>
        <v>数码电子</v>
      </c>
    </row>
    <row r="8503" spans="1:20">
      <c r="A8503" s="8">
        <f>DATE(2012,12,31)-296</f>
        <v>40978</v>
      </c>
      <c r="B8503" s="8">
        <f>DATE(2012,12,31)-296</f>
        <v>40978</v>
      </c>
      <c r="C8503" s="19" t="s">
        <v>526</v>
      </c>
      <c r="D8503">
        <v>10021773258</v>
      </c>
      <c r="E8503" t="s">
        <v>47</v>
      </c>
      <c r="F8503" t="s">
        <v>55</v>
      </c>
      <c r="G8503" t="s">
        <v>56</v>
      </c>
      <c r="H8503" t="s">
        <v>2673</v>
      </c>
      <c r="I8503" t="s">
        <v>2674</v>
      </c>
      <c r="J8503" t="s">
        <v>52</v>
      </c>
      <c r="K8503" s="3">
        <v>10018153977</v>
      </c>
      <c r="L8503" s="10">
        <v>40980</v>
      </c>
      <c r="M8503">
        <v>4.94</v>
      </c>
      <c r="N8503" s="11">
        <v>3</v>
      </c>
      <c r="O8503" s="12">
        <v>1.48</v>
      </c>
      <c r="P8503" s="12">
        <v>0.7</v>
      </c>
      <c r="Q8503" s="13">
        <v>-1.76</v>
      </c>
      <c r="R8503" s="38" t="s">
        <v>1220</v>
      </c>
      <c r="S8503" s="7">
        <f t="shared" si="736"/>
        <v>2</v>
      </c>
      <c r="T8503" s="15" t="str">
        <f>VLOOKUP(R8503,产品分类!$C$2:$D$1278,2,0)</f>
        <v>家具产品</v>
      </c>
    </row>
    <row r="8504" spans="1:20">
      <c r="A8504" s="8">
        <f>DATE(2012,12,31)-823</f>
        <v>40451</v>
      </c>
      <c r="B8504" s="8">
        <f>DATE(2012,12,31)-823</f>
        <v>40451</v>
      </c>
      <c r="C8504" s="19" t="s">
        <v>526</v>
      </c>
      <c r="D8504">
        <v>10021660540</v>
      </c>
      <c r="E8504" t="s">
        <v>47</v>
      </c>
      <c r="F8504" t="s">
        <v>91</v>
      </c>
      <c r="G8504" t="s">
        <v>92</v>
      </c>
      <c r="H8504" t="s">
        <v>2621</v>
      </c>
      <c r="I8504" t="s">
        <v>2622</v>
      </c>
      <c r="J8504" t="s">
        <v>52</v>
      </c>
      <c r="K8504" s="3">
        <v>10088737122</v>
      </c>
      <c r="L8504" s="10">
        <v>40455</v>
      </c>
      <c r="M8504">
        <v>22.06</v>
      </c>
      <c r="N8504" s="11">
        <v>3</v>
      </c>
      <c r="O8504" s="12">
        <v>4.98</v>
      </c>
      <c r="P8504" s="12">
        <v>7.44</v>
      </c>
      <c r="Q8504" s="13">
        <v>-15.6</v>
      </c>
      <c r="R8504" s="38" t="s">
        <v>287</v>
      </c>
      <c r="S8504" s="7">
        <f t="shared" si="736"/>
        <v>4</v>
      </c>
      <c r="T8504" s="15" t="str">
        <f>VLOOKUP(R8504,产品分类!$C$2:$D$1278,2,0)</f>
        <v>办公用品</v>
      </c>
    </row>
    <row r="8505" spans="1:20">
      <c r="A8505" s="8">
        <f>DATE(2012,12,31)-1121</f>
        <v>40153</v>
      </c>
      <c r="B8505" s="8">
        <f>DATE(2012,12,31)-1121</f>
        <v>40153</v>
      </c>
      <c r="C8505" s="19" t="s">
        <v>526</v>
      </c>
      <c r="D8505">
        <v>10021434382</v>
      </c>
      <c r="E8505" t="s">
        <v>47</v>
      </c>
      <c r="F8505" t="s">
        <v>55</v>
      </c>
      <c r="G8505" t="s">
        <v>56</v>
      </c>
      <c r="H8505" t="s">
        <v>2673</v>
      </c>
      <c r="I8505" t="s">
        <v>2674</v>
      </c>
      <c r="J8505" t="s">
        <v>52</v>
      </c>
      <c r="K8505" s="3">
        <v>100332660139</v>
      </c>
      <c r="L8505" s="10">
        <v>40156</v>
      </c>
      <c r="M8505">
        <v>549.92</v>
      </c>
      <c r="N8505" s="11">
        <v>3</v>
      </c>
      <c r="O8505" s="12">
        <v>180.98</v>
      </c>
      <c r="P8505" s="12">
        <v>26.2</v>
      </c>
      <c r="Q8505" s="13">
        <v>-210.97</v>
      </c>
      <c r="R8505" s="38" t="s">
        <v>2671</v>
      </c>
      <c r="S8505" s="7">
        <f t="shared" si="736"/>
        <v>3</v>
      </c>
      <c r="T8505" s="15" t="str">
        <f>VLOOKUP(R8505,产品分类!$C$2:$D$1278,2,0)</f>
        <v>家具产品</v>
      </c>
    </row>
    <row r="8506" spans="1:20">
      <c r="A8506" s="8">
        <f>DATE(2012,12,31)-1121</f>
        <v>40153</v>
      </c>
      <c r="B8506" s="8">
        <f>DATE(2012,12,31)-1121</f>
        <v>40153</v>
      </c>
      <c r="C8506" s="19" t="s">
        <v>526</v>
      </c>
      <c r="D8506">
        <v>10021495402</v>
      </c>
      <c r="E8506" t="s">
        <v>47</v>
      </c>
      <c r="F8506" t="s">
        <v>91</v>
      </c>
      <c r="G8506" t="s">
        <v>92</v>
      </c>
      <c r="H8506" t="s">
        <v>2621</v>
      </c>
      <c r="I8506" t="s">
        <v>2622</v>
      </c>
      <c r="J8506" t="s">
        <v>52</v>
      </c>
      <c r="K8506" s="3">
        <v>10016924757</v>
      </c>
      <c r="L8506" s="10">
        <v>40154</v>
      </c>
      <c r="M8506">
        <v>182.09</v>
      </c>
      <c r="N8506" s="11">
        <v>26</v>
      </c>
      <c r="O8506" s="12">
        <v>6.48</v>
      </c>
      <c r="P8506" s="12">
        <v>5.19</v>
      </c>
      <c r="Q8506" s="13">
        <v>-28.15</v>
      </c>
      <c r="R8506" s="38" t="s">
        <v>2199</v>
      </c>
      <c r="S8506" s="7">
        <f t="shared" si="736"/>
        <v>1</v>
      </c>
      <c r="T8506" s="15" t="str">
        <f>VLOOKUP(R8506,产品分类!$C$2:$D$1278,2,0)</f>
        <v>办公用品</v>
      </c>
    </row>
    <row r="8507" spans="1:20">
      <c r="A8507" s="8">
        <f>DATE(2012,12,31)-1086</f>
        <v>40188</v>
      </c>
      <c r="B8507" s="8">
        <f>DATE(2012,12,31)-1086</f>
        <v>40188</v>
      </c>
      <c r="C8507" s="19" t="s">
        <v>526</v>
      </c>
      <c r="D8507">
        <v>10021509478</v>
      </c>
      <c r="E8507" t="s">
        <v>47</v>
      </c>
      <c r="F8507" t="s">
        <v>91</v>
      </c>
      <c r="G8507" t="s">
        <v>92</v>
      </c>
      <c r="H8507" t="s">
        <v>2621</v>
      </c>
      <c r="I8507" t="s">
        <v>2622</v>
      </c>
      <c r="J8507" t="s">
        <v>52</v>
      </c>
      <c r="K8507" s="3">
        <v>100132369368</v>
      </c>
      <c r="L8507" s="10">
        <v>40189</v>
      </c>
      <c r="M8507">
        <v>1091.47</v>
      </c>
      <c r="N8507" s="11">
        <v>11</v>
      </c>
      <c r="O8507" s="12">
        <v>92.23</v>
      </c>
      <c r="P8507" s="12">
        <v>39.61</v>
      </c>
      <c r="Q8507" s="13">
        <v>160.48</v>
      </c>
      <c r="R8507" s="38" t="s">
        <v>2672</v>
      </c>
      <c r="S8507" s="7">
        <f t="shared" si="736"/>
        <v>1</v>
      </c>
      <c r="T8507" s="15" t="str">
        <f>VLOOKUP(R8507,产品分类!$C$2:$D$1278,2,0)</f>
        <v>办公用品</v>
      </c>
    </row>
    <row r="8508" spans="1:20">
      <c r="A8508" s="8">
        <f>DATE(2012,12,31)-1086</f>
        <v>40188</v>
      </c>
      <c r="B8508" s="8">
        <f>DATE(2012,12,31)-1086</f>
        <v>40188</v>
      </c>
      <c r="C8508" s="19" t="s">
        <v>567</v>
      </c>
      <c r="D8508">
        <v>10021752477</v>
      </c>
      <c r="E8508" t="s">
        <v>47</v>
      </c>
      <c r="F8508" t="s">
        <v>122</v>
      </c>
      <c r="G8508" t="s">
        <v>123</v>
      </c>
      <c r="H8508" t="s">
        <v>2458</v>
      </c>
      <c r="I8508" t="s">
        <v>2459</v>
      </c>
      <c r="J8508" t="s">
        <v>52</v>
      </c>
      <c r="K8508" s="3">
        <v>100832206962</v>
      </c>
      <c r="L8508" s="10">
        <v>40188</v>
      </c>
      <c r="M8508">
        <v>112.59</v>
      </c>
      <c r="N8508" s="11">
        <v>35</v>
      </c>
      <c r="O8508" s="12">
        <v>3.28</v>
      </c>
      <c r="P8508" s="12">
        <v>5</v>
      </c>
      <c r="Q8508" s="13">
        <v>-126.7</v>
      </c>
      <c r="R8508" s="38" t="s">
        <v>906</v>
      </c>
      <c r="S8508" s="7">
        <f t="shared" si="736"/>
        <v>0</v>
      </c>
      <c r="T8508" s="15" t="str">
        <f>VLOOKUP(R8508,产品分类!$C$2:$D$1278,2,0)</f>
        <v>数码电子</v>
      </c>
    </row>
    <row r="8509" spans="1:20">
      <c r="A8509" s="8">
        <f>DATE(2012,12,31)-186</f>
        <v>41088</v>
      </c>
      <c r="B8509" s="8">
        <f>DATE(2012,12,31)-186</f>
        <v>41088</v>
      </c>
      <c r="C8509" s="19" t="s">
        <v>567</v>
      </c>
      <c r="D8509">
        <v>10021750035</v>
      </c>
      <c r="E8509" t="s">
        <v>47</v>
      </c>
      <c r="F8509" t="s">
        <v>91</v>
      </c>
      <c r="G8509" t="s">
        <v>92</v>
      </c>
      <c r="H8509" t="s">
        <v>2678</v>
      </c>
      <c r="I8509" t="s">
        <v>2679</v>
      </c>
      <c r="J8509" t="s">
        <v>52</v>
      </c>
      <c r="K8509" s="3">
        <v>100731035675</v>
      </c>
      <c r="L8509" s="10">
        <v>41095</v>
      </c>
      <c r="M8509">
        <v>9633.59</v>
      </c>
      <c r="N8509" s="11">
        <v>47</v>
      </c>
      <c r="O8509" s="12">
        <v>216.6</v>
      </c>
      <c r="P8509" s="12">
        <v>64.2</v>
      </c>
      <c r="Q8509" s="13">
        <v>176.67</v>
      </c>
      <c r="R8509" s="38" t="s">
        <v>898</v>
      </c>
      <c r="S8509" s="7">
        <f t="shared" si="736"/>
        <v>7</v>
      </c>
      <c r="T8509" s="15" t="str">
        <f>VLOOKUP(R8509,产品分类!$C$2:$D$1278,2,0)</f>
        <v>数码电子</v>
      </c>
    </row>
    <row r="8510" spans="1:20">
      <c r="A8510" s="8">
        <f>DATE(2012,12,31)-186</f>
        <v>41088</v>
      </c>
      <c r="B8510" s="8">
        <f>DATE(2012,12,31)-186</f>
        <v>41088</v>
      </c>
      <c r="C8510" s="19" t="s">
        <v>567</v>
      </c>
      <c r="D8510">
        <v>10021395973</v>
      </c>
      <c r="E8510" t="s">
        <v>47</v>
      </c>
      <c r="F8510" t="s">
        <v>91</v>
      </c>
      <c r="G8510" t="s">
        <v>92</v>
      </c>
      <c r="H8510" t="s">
        <v>2678</v>
      </c>
      <c r="I8510" t="s">
        <v>2679</v>
      </c>
      <c r="J8510" t="s">
        <v>52</v>
      </c>
      <c r="K8510" s="3">
        <v>100115942847</v>
      </c>
      <c r="L8510" s="10">
        <v>41093</v>
      </c>
      <c r="M8510">
        <v>3758.77</v>
      </c>
      <c r="N8510" s="11">
        <v>26</v>
      </c>
      <c r="O8510" s="12">
        <v>140.81</v>
      </c>
      <c r="P8510" s="12">
        <v>24.49</v>
      </c>
      <c r="Q8510" s="13">
        <v>753.61</v>
      </c>
      <c r="R8510" s="38" t="s">
        <v>1469</v>
      </c>
      <c r="S8510" s="7">
        <f t="shared" si="736"/>
        <v>5</v>
      </c>
      <c r="T8510" s="15" t="str">
        <f>VLOOKUP(R8510,产品分类!$C$2:$D$1278,2,0)</f>
        <v>办公用品</v>
      </c>
    </row>
    <row r="8511" spans="1:20">
      <c r="A8511" s="8">
        <f>DATE(2012,12,31)-318</f>
        <v>40956</v>
      </c>
      <c r="B8511" s="8">
        <f>DATE(2012,12,31)-318</f>
        <v>40956</v>
      </c>
      <c r="C8511" s="19" t="s">
        <v>567</v>
      </c>
      <c r="D8511">
        <v>10021521565</v>
      </c>
      <c r="E8511" t="s">
        <v>47</v>
      </c>
      <c r="F8511" t="s">
        <v>91</v>
      </c>
      <c r="G8511" t="s">
        <v>92</v>
      </c>
      <c r="H8511" t="s">
        <v>2678</v>
      </c>
      <c r="I8511" t="s">
        <v>2679</v>
      </c>
      <c r="J8511" t="s">
        <v>52</v>
      </c>
      <c r="K8511" s="3">
        <v>10013401976</v>
      </c>
      <c r="L8511" s="10">
        <v>40958</v>
      </c>
      <c r="M8511">
        <v>1616.66</v>
      </c>
      <c r="N8511" s="11">
        <v>15</v>
      </c>
      <c r="O8511" s="12">
        <v>100.98</v>
      </c>
      <c r="P8511" s="12">
        <v>56.22</v>
      </c>
      <c r="Q8511" s="13">
        <v>112.58</v>
      </c>
      <c r="R8511" s="38" t="s">
        <v>424</v>
      </c>
      <c r="S8511" s="7">
        <f t="shared" si="736"/>
        <v>2</v>
      </c>
      <c r="T8511" s="15" t="str">
        <f>VLOOKUP(R8511,产品分类!$C$2:$D$1278,2,0)</f>
        <v>数码电子</v>
      </c>
    </row>
    <row r="8512" spans="1:20">
      <c r="A8512" s="8">
        <f>DATE(2012,12,31)-318</f>
        <v>40956</v>
      </c>
      <c r="B8512" s="8">
        <f>DATE(2012,12,31)-318</f>
        <v>40956</v>
      </c>
      <c r="C8512" s="19" t="s">
        <v>567</v>
      </c>
      <c r="D8512">
        <v>10021691514</v>
      </c>
      <c r="E8512" t="s">
        <v>47</v>
      </c>
      <c r="F8512" t="s">
        <v>91</v>
      </c>
      <c r="G8512" t="s">
        <v>92</v>
      </c>
      <c r="H8512" t="s">
        <v>2678</v>
      </c>
      <c r="I8512" t="s">
        <v>2679</v>
      </c>
      <c r="J8512" t="s">
        <v>52</v>
      </c>
      <c r="K8512" s="3">
        <v>1007330725</v>
      </c>
      <c r="L8512" s="10">
        <v>40957</v>
      </c>
      <c r="M8512">
        <v>96.21</v>
      </c>
      <c r="N8512" s="11">
        <v>6</v>
      </c>
      <c r="O8512" s="12">
        <v>14.58</v>
      </c>
      <c r="P8512" s="12">
        <v>57.4</v>
      </c>
      <c r="Q8512" s="13">
        <v>-19.34</v>
      </c>
      <c r="R8512" s="38" t="s">
        <v>379</v>
      </c>
      <c r="S8512" s="7">
        <f t="shared" si="736"/>
        <v>1</v>
      </c>
      <c r="T8512" s="15" t="str">
        <f>VLOOKUP(R8512,产品分类!$C$2:$D$1278,2,0)</f>
        <v>数码电子</v>
      </c>
    </row>
    <row r="8513" spans="1:20">
      <c r="A8513" s="8">
        <f t="shared" ref="A8513:B8515" si="740">DATE(2012,12,31)-46</f>
        <v>41228</v>
      </c>
      <c r="B8513" s="8">
        <f t="shared" si="740"/>
        <v>41228</v>
      </c>
      <c r="C8513" s="19" t="s">
        <v>567</v>
      </c>
      <c r="D8513">
        <v>10021559377</v>
      </c>
      <c r="E8513" t="s">
        <v>47</v>
      </c>
      <c r="F8513" t="s">
        <v>55</v>
      </c>
      <c r="G8513" t="s">
        <v>56</v>
      </c>
      <c r="H8513" t="s">
        <v>2673</v>
      </c>
      <c r="I8513" t="s">
        <v>2674</v>
      </c>
      <c r="J8513" t="s">
        <v>52</v>
      </c>
      <c r="K8513" s="3">
        <v>100131729648</v>
      </c>
      <c r="L8513" s="10">
        <v>41229</v>
      </c>
      <c r="M8513">
        <v>18.91</v>
      </c>
      <c r="N8513" s="11">
        <v>3</v>
      </c>
      <c r="O8513" s="12">
        <v>3.89</v>
      </c>
      <c r="P8513" s="12">
        <v>7.01</v>
      </c>
      <c r="Q8513" s="13">
        <v>-16.353</v>
      </c>
      <c r="R8513" s="38" t="s">
        <v>749</v>
      </c>
      <c r="S8513" s="7">
        <f t="shared" si="736"/>
        <v>1</v>
      </c>
      <c r="T8513" s="15" t="str">
        <f>VLOOKUP(R8513,产品分类!$C$2:$D$1278,2,0)</f>
        <v>办公用品</v>
      </c>
    </row>
    <row r="8514" spans="1:20">
      <c r="A8514" s="8">
        <f t="shared" si="740"/>
        <v>41228</v>
      </c>
      <c r="B8514" s="8">
        <f t="shared" si="740"/>
        <v>41228</v>
      </c>
      <c r="C8514" s="19" t="s">
        <v>567</v>
      </c>
      <c r="D8514">
        <v>10021340994</v>
      </c>
      <c r="E8514" t="s">
        <v>47</v>
      </c>
      <c r="F8514" t="s">
        <v>91</v>
      </c>
      <c r="G8514" t="s">
        <v>92</v>
      </c>
      <c r="H8514" t="s">
        <v>2678</v>
      </c>
      <c r="I8514" t="s">
        <v>2679</v>
      </c>
      <c r="J8514" t="s">
        <v>52</v>
      </c>
      <c r="K8514" s="3">
        <v>1001726627</v>
      </c>
      <c r="L8514" s="10">
        <v>41229</v>
      </c>
      <c r="M8514">
        <v>685.7</v>
      </c>
      <c r="N8514" s="11">
        <v>7</v>
      </c>
      <c r="O8514" s="12">
        <v>88.84</v>
      </c>
      <c r="P8514" s="12">
        <v>20.79</v>
      </c>
      <c r="Q8514" s="13">
        <v>350.94</v>
      </c>
      <c r="R8514" s="38" t="s">
        <v>2202</v>
      </c>
      <c r="S8514" s="7">
        <f t="shared" si="736"/>
        <v>1</v>
      </c>
      <c r="T8514" s="15" t="str">
        <f>VLOOKUP(R8514,产品分类!$C$2:$D$1278,2,0)</f>
        <v>办公用品</v>
      </c>
    </row>
    <row r="8515" spans="1:20">
      <c r="A8515" s="8">
        <f t="shared" si="740"/>
        <v>41228</v>
      </c>
      <c r="B8515" s="8">
        <f t="shared" si="740"/>
        <v>41228</v>
      </c>
      <c r="C8515" s="19" t="s">
        <v>567</v>
      </c>
      <c r="D8515">
        <v>10021575934</v>
      </c>
      <c r="E8515" t="s">
        <v>47</v>
      </c>
      <c r="F8515" t="s">
        <v>83</v>
      </c>
      <c r="G8515" t="s">
        <v>84</v>
      </c>
      <c r="H8515" t="s">
        <v>2577</v>
      </c>
      <c r="I8515" t="s">
        <v>2578</v>
      </c>
      <c r="J8515" t="s">
        <v>52</v>
      </c>
      <c r="K8515" s="3">
        <v>100313467289</v>
      </c>
      <c r="L8515" s="10">
        <v>41229</v>
      </c>
      <c r="M8515">
        <v>1024.165</v>
      </c>
      <c r="N8515" s="11">
        <v>10</v>
      </c>
      <c r="O8515" s="12">
        <v>115.99</v>
      </c>
      <c r="P8515" s="12">
        <v>5.99</v>
      </c>
      <c r="Q8515" s="13">
        <v>-105.699</v>
      </c>
      <c r="R8515" s="38" t="s">
        <v>1082</v>
      </c>
      <c r="S8515" s="7">
        <f t="shared" ref="S8515:S8568" si="741">+L8515-B8515</f>
        <v>1</v>
      </c>
      <c r="T8515" s="15" t="str">
        <f>VLOOKUP(R8515,产品分类!$C$2:$D$1278,2,0)</f>
        <v>家具产品</v>
      </c>
    </row>
    <row r="8516" spans="1:20">
      <c r="A8516" s="8">
        <f>DATE(2012,12,31)-1438</f>
        <v>39836</v>
      </c>
      <c r="B8516" s="8">
        <f>DATE(2012,12,31)-1438</f>
        <v>39836</v>
      </c>
      <c r="C8516" s="19" t="s">
        <v>567</v>
      </c>
      <c r="D8516">
        <v>10021496267</v>
      </c>
      <c r="E8516" t="s">
        <v>47</v>
      </c>
      <c r="F8516" t="s">
        <v>91</v>
      </c>
      <c r="G8516" t="s">
        <v>92</v>
      </c>
      <c r="H8516" t="s">
        <v>2678</v>
      </c>
      <c r="I8516" t="s">
        <v>2679</v>
      </c>
      <c r="J8516" t="s">
        <v>52</v>
      </c>
      <c r="K8516" s="3">
        <v>10047986253</v>
      </c>
      <c r="L8516" s="10">
        <v>39838</v>
      </c>
      <c r="M8516">
        <v>1383.2</v>
      </c>
      <c r="N8516" s="11">
        <v>18</v>
      </c>
      <c r="O8516" s="12">
        <v>73.98</v>
      </c>
      <c r="P8516" s="12">
        <v>12.14</v>
      </c>
      <c r="Q8516" s="13">
        <v>-23.44</v>
      </c>
      <c r="R8516" s="38" t="s">
        <v>600</v>
      </c>
      <c r="S8516" s="7">
        <f t="shared" si="741"/>
        <v>2</v>
      </c>
      <c r="T8516" s="15" t="str">
        <f>VLOOKUP(R8516,产品分类!$C$2:$D$1278,2,0)</f>
        <v>数码电子</v>
      </c>
    </row>
    <row r="8517" spans="1:20">
      <c r="A8517" s="8">
        <f>DATE(2012,12,31)-584</f>
        <v>40690</v>
      </c>
      <c r="B8517" s="8">
        <f>DATE(2012,12,31)-584</f>
        <v>40690</v>
      </c>
      <c r="C8517" s="19" t="s">
        <v>567</v>
      </c>
      <c r="D8517">
        <v>10021710354</v>
      </c>
      <c r="E8517" t="s">
        <v>47</v>
      </c>
      <c r="F8517" t="s">
        <v>122</v>
      </c>
      <c r="G8517" t="s">
        <v>123</v>
      </c>
      <c r="H8517" t="s">
        <v>2458</v>
      </c>
      <c r="I8517" t="s">
        <v>2459</v>
      </c>
      <c r="J8517" t="s">
        <v>52</v>
      </c>
      <c r="K8517" s="3">
        <v>100331177489</v>
      </c>
      <c r="L8517" s="10">
        <v>40692</v>
      </c>
      <c r="M8517">
        <v>211.42</v>
      </c>
      <c r="N8517" s="11">
        <v>20</v>
      </c>
      <c r="O8517" s="12">
        <v>9.71</v>
      </c>
      <c r="P8517" s="12">
        <v>9.45</v>
      </c>
      <c r="Q8517" s="13">
        <v>-113.52</v>
      </c>
      <c r="R8517" s="38" t="s">
        <v>135</v>
      </c>
      <c r="S8517" s="7">
        <f t="shared" si="741"/>
        <v>2</v>
      </c>
      <c r="T8517" s="15" t="str">
        <f>VLOOKUP(R8517,产品分类!$C$2:$D$1278,2,0)</f>
        <v>办公用品</v>
      </c>
    </row>
    <row r="8518" spans="1:20">
      <c r="A8518" s="8">
        <f>DATE(2012,12,31)-847</f>
        <v>40427</v>
      </c>
      <c r="B8518" s="8">
        <f>DATE(2012,12,31)-847</f>
        <v>40427</v>
      </c>
      <c r="C8518" s="19" t="s">
        <v>567</v>
      </c>
      <c r="D8518">
        <v>10021269560</v>
      </c>
      <c r="E8518" t="s">
        <v>47</v>
      </c>
      <c r="F8518" t="s">
        <v>122</v>
      </c>
      <c r="G8518" t="s">
        <v>123</v>
      </c>
      <c r="H8518" t="s">
        <v>2458</v>
      </c>
      <c r="I8518" t="s">
        <v>2459</v>
      </c>
      <c r="J8518" t="s">
        <v>52</v>
      </c>
      <c r="K8518" s="3">
        <v>100832449512</v>
      </c>
      <c r="L8518" s="10">
        <v>40429</v>
      </c>
      <c r="M8518">
        <v>112.03</v>
      </c>
      <c r="N8518" s="11">
        <v>20</v>
      </c>
      <c r="O8518" s="12">
        <v>5.18</v>
      </c>
      <c r="P8518" s="12">
        <v>5.74</v>
      </c>
      <c r="Q8518" s="13">
        <v>-57.9945</v>
      </c>
      <c r="R8518" s="38" t="s">
        <v>458</v>
      </c>
      <c r="S8518" s="7">
        <f t="shared" si="741"/>
        <v>2</v>
      </c>
      <c r="T8518" s="15" t="str">
        <f>VLOOKUP(R8518,产品分类!$C$2:$D$1278,2,0)</f>
        <v>家具产品</v>
      </c>
    </row>
    <row r="8519" spans="1:20">
      <c r="A8519" s="8">
        <f>DATE(2012,12,31)-899</f>
        <v>40375</v>
      </c>
      <c r="B8519" s="8">
        <f>DATE(2012,12,31)-899</f>
        <v>40375</v>
      </c>
      <c r="C8519" s="19" t="s">
        <v>567</v>
      </c>
      <c r="D8519">
        <v>10021606053</v>
      </c>
      <c r="E8519" t="s">
        <v>47</v>
      </c>
      <c r="F8519" t="s">
        <v>91</v>
      </c>
      <c r="G8519" t="s">
        <v>92</v>
      </c>
      <c r="H8519" t="s">
        <v>2678</v>
      </c>
      <c r="I8519" t="s">
        <v>2679</v>
      </c>
      <c r="J8519" t="s">
        <v>52</v>
      </c>
      <c r="K8519" s="3">
        <v>10013905788</v>
      </c>
      <c r="L8519" s="10">
        <v>40377</v>
      </c>
      <c r="M8519">
        <v>5205.83</v>
      </c>
      <c r="N8519" s="11">
        <v>45</v>
      </c>
      <c r="O8519" s="12">
        <v>124.49</v>
      </c>
      <c r="P8519" s="12">
        <v>51.94</v>
      </c>
      <c r="Q8519" s="13">
        <v>-818.766</v>
      </c>
      <c r="R8519" s="38" t="s">
        <v>237</v>
      </c>
      <c r="S8519" s="7">
        <f t="shared" si="741"/>
        <v>2</v>
      </c>
      <c r="T8519" s="15" t="str">
        <f>VLOOKUP(R8519,产品分类!$C$2:$D$1278,2,0)</f>
        <v>数码电子</v>
      </c>
    </row>
    <row r="8520" spans="1:20">
      <c r="A8520" s="8">
        <f>DATE(2012,12,31)-287</f>
        <v>40987</v>
      </c>
      <c r="B8520" s="8">
        <f>DATE(2012,12,31)-287</f>
        <v>40987</v>
      </c>
      <c r="C8520" s="19" t="s">
        <v>567</v>
      </c>
      <c r="D8520">
        <v>10021512064</v>
      </c>
      <c r="E8520" t="s">
        <v>47</v>
      </c>
      <c r="F8520" t="s">
        <v>91</v>
      </c>
      <c r="G8520" t="s">
        <v>92</v>
      </c>
      <c r="H8520" t="s">
        <v>2678</v>
      </c>
      <c r="I8520" t="s">
        <v>2679</v>
      </c>
      <c r="J8520" t="s">
        <v>52</v>
      </c>
      <c r="K8520" s="3">
        <v>100932751751</v>
      </c>
      <c r="L8520" s="10">
        <v>40988</v>
      </c>
      <c r="M8520">
        <v>175.23</v>
      </c>
      <c r="N8520" s="11">
        <v>46</v>
      </c>
      <c r="O8520" s="12">
        <v>3.69</v>
      </c>
      <c r="P8520" s="12">
        <v>2.5</v>
      </c>
      <c r="Q8520" s="13">
        <v>-13.35</v>
      </c>
      <c r="R8520" s="38" t="s">
        <v>1982</v>
      </c>
      <c r="S8520" s="7">
        <f t="shared" si="741"/>
        <v>1</v>
      </c>
      <c r="T8520" s="15" t="str">
        <f>VLOOKUP(R8520,产品分类!$C$2:$D$1278,2,0)</f>
        <v>办公用品</v>
      </c>
    </row>
    <row r="8521" spans="1:20">
      <c r="A8521" s="8">
        <f>DATE(2012,12,31)-1300</f>
        <v>39974</v>
      </c>
      <c r="B8521" s="8">
        <f>DATE(2012,12,31)-1300</f>
        <v>39974</v>
      </c>
      <c r="C8521" s="19" t="s">
        <v>845</v>
      </c>
      <c r="D8521">
        <v>10021711154</v>
      </c>
      <c r="E8521" t="s">
        <v>47</v>
      </c>
      <c r="F8521" t="s">
        <v>171</v>
      </c>
      <c r="G8521" t="s">
        <v>172</v>
      </c>
      <c r="H8521" t="s">
        <v>2486</v>
      </c>
      <c r="I8521" t="s">
        <v>2310</v>
      </c>
      <c r="J8521" t="s">
        <v>52</v>
      </c>
      <c r="K8521" s="3">
        <v>100722724355</v>
      </c>
      <c r="L8521" s="10">
        <v>39975</v>
      </c>
      <c r="M8521">
        <v>132.72</v>
      </c>
      <c r="N8521" s="11">
        <v>14</v>
      </c>
      <c r="O8521" s="12">
        <v>8.85</v>
      </c>
      <c r="P8521" s="12">
        <v>5.6</v>
      </c>
      <c r="Q8521" s="13">
        <v>-9.177</v>
      </c>
      <c r="R8521" s="38" t="s">
        <v>1281</v>
      </c>
      <c r="S8521" s="7">
        <f t="shared" si="741"/>
        <v>1</v>
      </c>
      <c r="T8521" s="15" t="str">
        <f>VLOOKUP(R8521,产品分类!$C$2:$D$1278,2,0)</f>
        <v>办公用品</v>
      </c>
    </row>
    <row r="8522" spans="1:20">
      <c r="A8522" s="8">
        <f>DATE(2012,12,31)-1347</f>
        <v>39927</v>
      </c>
      <c r="B8522" s="8">
        <f>DATE(2012,12,31)-1347</f>
        <v>39927</v>
      </c>
      <c r="C8522" s="19" t="s">
        <v>845</v>
      </c>
      <c r="D8522">
        <v>10021678525</v>
      </c>
      <c r="E8522" t="s">
        <v>47</v>
      </c>
      <c r="F8522" t="s">
        <v>171</v>
      </c>
      <c r="G8522" t="s">
        <v>172</v>
      </c>
      <c r="H8522" t="s">
        <v>2486</v>
      </c>
      <c r="I8522" t="s">
        <v>2310</v>
      </c>
      <c r="J8522" t="s">
        <v>52</v>
      </c>
      <c r="K8522" s="3">
        <v>100332937899</v>
      </c>
      <c r="L8522" s="10">
        <v>39929</v>
      </c>
      <c r="M8522">
        <v>1396.58</v>
      </c>
      <c r="N8522" s="11">
        <v>38</v>
      </c>
      <c r="O8522" s="12">
        <v>35.41</v>
      </c>
      <c r="P8522" s="12">
        <v>1.99</v>
      </c>
      <c r="Q8522" s="13">
        <v>600.72</v>
      </c>
      <c r="R8522" s="38" t="s">
        <v>2675</v>
      </c>
      <c r="S8522" s="7">
        <f t="shared" si="741"/>
        <v>2</v>
      </c>
      <c r="T8522" s="15" t="str">
        <f>VLOOKUP(R8522,产品分类!$C$2:$D$1278,2,0)</f>
        <v>数码电子</v>
      </c>
    </row>
    <row r="8523" spans="1:20">
      <c r="A8523" s="8">
        <f>DATE(2012,12,31)-1347</f>
        <v>39927</v>
      </c>
      <c r="B8523" s="8">
        <f>DATE(2012,12,31)-1347</f>
        <v>39927</v>
      </c>
      <c r="C8523" s="19" t="s">
        <v>845</v>
      </c>
      <c r="D8523">
        <v>10021297010</v>
      </c>
      <c r="E8523" t="s">
        <v>47</v>
      </c>
      <c r="F8523" t="s">
        <v>127</v>
      </c>
      <c r="G8523" t="s">
        <v>128</v>
      </c>
      <c r="H8523" t="s">
        <v>2608</v>
      </c>
      <c r="I8523" t="s">
        <v>2609</v>
      </c>
      <c r="J8523" t="s">
        <v>52</v>
      </c>
      <c r="K8523" s="3">
        <v>100123539936</v>
      </c>
      <c r="L8523" s="10">
        <v>39936</v>
      </c>
      <c r="M8523">
        <v>6448.69</v>
      </c>
      <c r="N8523" s="11">
        <v>45</v>
      </c>
      <c r="O8523" s="12">
        <v>142.86</v>
      </c>
      <c r="P8523" s="12">
        <v>19.99</v>
      </c>
      <c r="Q8523" s="13">
        <v>1663.35</v>
      </c>
      <c r="R8523" s="38" t="s">
        <v>1067</v>
      </c>
      <c r="S8523" s="7">
        <f t="shared" si="741"/>
        <v>9</v>
      </c>
      <c r="T8523" s="15" t="str">
        <f>VLOOKUP(R8523,产品分类!$C$2:$D$1278,2,0)</f>
        <v>办公用品</v>
      </c>
    </row>
    <row r="8524" spans="1:20">
      <c r="A8524" s="8">
        <f>DATE(2012,12,31)-649</f>
        <v>40625</v>
      </c>
      <c r="B8524" s="8">
        <f>DATE(2012,12,31)-649</f>
        <v>40625</v>
      </c>
      <c r="C8524" s="19" t="s">
        <v>845</v>
      </c>
      <c r="D8524">
        <v>10021353530</v>
      </c>
      <c r="E8524" t="s">
        <v>47</v>
      </c>
      <c r="F8524" t="s">
        <v>132</v>
      </c>
      <c r="G8524" t="s">
        <v>133</v>
      </c>
      <c r="H8524" t="s">
        <v>134</v>
      </c>
      <c r="I8524" t="s">
        <v>133</v>
      </c>
      <c r="J8524" t="s">
        <v>52</v>
      </c>
      <c r="K8524" s="3">
        <v>100432570913</v>
      </c>
      <c r="L8524" s="10">
        <v>40626</v>
      </c>
      <c r="M8524">
        <v>143.78</v>
      </c>
      <c r="N8524" s="11">
        <v>6</v>
      </c>
      <c r="O8524" s="12">
        <v>22.72</v>
      </c>
      <c r="P8524" s="12">
        <v>8.99</v>
      </c>
      <c r="Q8524" s="13">
        <v>75.3</v>
      </c>
      <c r="R8524" s="38" t="s">
        <v>972</v>
      </c>
      <c r="S8524" s="7">
        <f t="shared" si="741"/>
        <v>1</v>
      </c>
      <c r="T8524" s="15" t="str">
        <f>VLOOKUP(R8524,产品分类!$C$2:$D$1278,2,0)</f>
        <v>办公用品</v>
      </c>
    </row>
    <row r="8525" spans="1:20">
      <c r="A8525" s="8">
        <f>DATE(2012,12,31)-499</f>
        <v>40775</v>
      </c>
      <c r="B8525" s="8">
        <f>DATE(2012,12,31)-499</f>
        <v>40775</v>
      </c>
      <c r="C8525" s="19" t="s">
        <v>845</v>
      </c>
      <c r="D8525">
        <v>10021332304</v>
      </c>
      <c r="E8525" t="s">
        <v>47</v>
      </c>
      <c r="F8525" t="s">
        <v>97</v>
      </c>
      <c r="G8525" t="s">
        <v>98</v>
      </c>
      <c r="H8525" t="s">
        <v>99</v>
      </c>
      <c r="I8525" t="s">
        <v>98</v>
      </c>
      <c r="J8525" t="s">
        <v>52</v>
      </c>
      <c r="K8525" s="3">
        <v>10015425518</v>
      </c>
      <c r="L8525" s="10">
        <v>40777</v>
      </c>
      <c r="M8525">
        <v>252.99</v>
      </c>
      <c r="N8525" s="11">
        <v>37</v>
      </c>
      <c r="O8525" s="12">
        <v>7.08</v>
      </c>
      <c r="P8525" s="12">
        <v>2.35</v>
      </c>
      <c r="Q8525" s="13">
        <v>28.76</v>
      </c>
      <c r="R8525" s="38" t="s">
        <v>2676</v>
      </c>
      <c r="S8525" s="7">
        <f t="shared" si="741"/>
        <v>2</v>
      </c>
      <c r="T8525" s="15" t="str">
        <f>VLOOKUP(R8525,产品分类!$C$2:$D$1278,2,0)</f>
        <v>数码电子</v>
      </c>
    </row>
    <row r="8526" spans="1:20">
      <c r="A8526" s="8">
        <f>DATE(2012,12,31)-950</f>
        <v>40324</v>
      </c>
      <c r="B8526" s="8">
        <f>DATE(2012,12,31)-950</f>
        <v>40324</v>
      </c>
      <c r="C8526" s="19" t="s">
        <v>845</v>
      </c>
      <c r="D8526">
        <v>10021623135</v>
      </c>
      <c r="E8526" t="s">
        <v>47</v>
      </c>
      <c r="F8526" t="s">
        <v>132</v>
      </c>
      <c r="G8526" t="s">
        <v>133</v>
      </c>
      <c r="H8526" t="s">
        <v>134</v>
      </c>
      <c r="I8526" t="s">
        <v>133</v>
      </c>
      <c r="J8526" t="s">
        <v>52</v>
      </c>
      <c r="K8526" s="3">
        <v>100920965441</v>
      </c>
      <c r="L8526" s="10">
        <v>40326</v>
      </c>
      <c r="M8526">
        <v>224.58</v>
      </c>
      <c r="N8526" s="11">
        <v>43</v>
      </c>
      <c r="O8526" s="12">
        <v>5.18</v>
      </c>
      <c r="P8526" s="12">
        <v>2.04</v>
      </c>
      <c r="Q8526" s="13">
        <v>46.31</v>
      </c>
      <c r="R8526" s="38" t="s">
        <v>2677</v>
      </c>
      <c r="S8526" s="7">
        <f t="shared" si="741"/>
        <v>2</v>
      </c>
      <c r="T8526" s="15" t="str">
        <f>VLOOKUP(R8526,产品分类!$C$2:$D$1278,2,0)</f>
        <v>家具产品</v>
      </c>
    </row>
    <row r="8527" spans="1:20">
      <c r="A8527" s="8">
        <f>DATE(2012,12,31)-804</f>
        <v>40470</v>
      </c>
      <c r="B8527" s="8">
        <f>DATE(2012,12,31)-804</f>
        <v>40470</v>
      </c>
      <c r="C8527" s="19" t="s">
        <v>845</v>
      </c>
      <c r="D8527">
        <v>10021620465</v>
      </c>
      <c r="E8527" t="s">
        <v>47</v>
      </c>
      <c r="F8527" t="s">
        <v>132</v>
      </c>
      <c r="G8527" t="s">
        <v>133</v>
      </c>
      <c r="H8527" t="s">
        <v>134</v>
      </c>
      <c r="I8527" t="s">
        <v>133</v>
      </c>
      <c r="J8527" t="s">
        <v>52</v>
      </c>
      <c r="K8527" s="3">
        <v>10019688658</v>
      </c>
      <c r="L8527" s="10">
        <v>40477</v>
      </c>
      <c r="M8527">
        <v>1646.47</v>
      </c>
      <c r="N8527" s="11">
        <v>33</v>
      </c>
      <c r="O8527" s="12">
        <v>48.91</v>
      </c>
      <c r="P8527" s="12">
        <v>5.81</v>
      </c>
      <c r="Q8527" s="13">
        <v>743.59</v>
      </c>
      <c r="R8527" s="38" t="s">
        <v>700</v>
      </c>
      <c r="S8527" s="7">
        <f t="shared" si="741"/>
        <v>7</v>
      </c>
      <c r="T8527" s="15" t="str">
        <f>VLOOKUP(R8527,产品分类!$C$2:$D$1278,2,0)</f>
        <v>家具产品</v>
      </c>
    </row>
    <row r="8528" spans="1:20">
      <c r="A8528" s="8">
        <f>DATE(2012,12,31)-420</f>
        <v>40854</v>
      </c>
      <c r="B8528" s="8">
        <f>DATE(2012,12,31)-420</f>
        <v>40854</v>
      </c>
      <c r="C8528" s="19" t="s">
        <v>845</v>
      </c>
      <c r="D8528">
        <v>10021498640</v>
      </c>
      <c r="E8528" t="s">
        <v>47</v>
      </c>
      <c r="F8528" t="s">
        <v>97</v>
      </c>
      <c r="G8528" t="s">
        <v>98</v>
      </c>
      <c r="H8528" t="s">
        <v>99</v>
      </c>
      <c r="I8528" t="s">
        <v>98</v>
      </c>
      <c r="J8528" t="s">
        <v>52</v>
      </c>
      <c r="K8528" s="3">
        <v>100822942542</v>
      </c>
      <c r="L8528" s="10">
        <v>40858</v>
      </c>
      <c r="M8528">
        <v>149.64</v>
      </c>
      <c r="N8528" s="11">
        <v>9</v>
      </c>
      <c r="O8528" s="12">
        <v>16.74</v>
      </c>
      <c r="P8528" s="12">
        <v>5.08</v>
      </c>
      <c r="Q8528" s="13">
        <v>13.77</v>
      </c>
      <c r="R8528" s="38" t="s">
        <v>2206</v>
      </c>
      <c r="S8528" s="7">
        <f t="shared" si="741"/>
        <v>4</v>
      </c>
      <c r="T8528" s="15" t="str">
        <f>VLOOKUP(R8528,产品分类!$C$2:$D$1278,2,0)</f>
        <v>办公用品</v>
      </c>
    </row>
    <row r="8529" spans="1:20">
      <c r="A8529" s="8">
        <f>DATE(2012,12,31)-1254</f>
        <v>40020</v>
      </c>
      <c r="B8529" s="8">
        <f>DATE(2012,12,31)-1254</f>
        <v>40020</v>
      </c>
      <c r="C8529" s="19" t="s">
        <v>845</v>
      </c>
      <c r="D8529">
        <v>10021578159</v>
      </c>
      <c r="E8529" t="s">
        <v>47</v>
      </c>
      <c r="F8529" t="s">
        <v>97</v>
      </c>
      <c r="G8529" t="s">
        <v>98</v>
      </c>
      <c r="H8529" t="s">
        <v>99</v>
      </c>
      <c r="I8529" t="s">
        <v>98</v>
      </c>
      <c r="J8529" t="s">
        <v>52</v>
      </c>
      <c r="K8529" s="3">
        <v>10088450472</v>
      </c>
      <c r="L8529" s="10">
        <v>40022</v>
      </c>
      <c r="M8529">
        <v>3416.38</v>
      </c>
      <c r="N8529" s="11">
        <v>32</v>
      </c>
      <c r="O8529" s="12">
        <v>100.98</v>
      </c>
      <c r="P8529" s="12">
        <v>57.38</v>
      </c>
      <c r="Q8529" s="13">
        <v>-1142.2</v>
      </c>
      <c r="R8529" s="38" t="s">
        <v>661</v>
      </c>
      <c r="S8529" s="7">
        <f t="shared" si="741"/>
        <v>2</v>
      </c>
      <c r="T8529" s="15" t="str">
        <f>VLOOKUP(R8529,产品分类!$C$2:$D$1278,2,0)</f>
        <v>办公用品</v>
      </c>
    </row>
    <row r="8530" spans="1:20">
      <c r="A8530" s="8">
        <f>DATE(2012,12,31)-1254</f>
        <v>40020</v>
      </c>
      <c r="B8530" s="8">
        <f>DATE(2012,12,31)-1254</f>
        <v>40020</v>
      </c>
      <c r="C8530" s="19" t="s">
        <v>845</v>
      </c>
      <c r="D8530">
        <v>10021774832</v>
      </c>
      <c r="E8530" t="s">
        <v>47</v>
      </c>
      <c r="F8530" t="s">
        <v>132</v>
      </c>
      <c r="G8530" t="s">
        <v>133</v>
      </c>
      <c r="H8530" t="s">
        <v>134</v>
      </c>
      <c r="I8530" t="s">
        <v>133</v>
      </c>
      <c r="J8530" t="s">
        <v>52</v>
      </c>
      <c r="K8530" s="3">
        <v>100431073024</v>
      </c>
      <c r="L8530" s="10">
        <v>40022</v>
      </c>
      <c r="M8530">
        <v>142.81</v>
      </c>
      <c r="N8530" s="11">
        <v>14</v>
      </c>
      <c r="O8530" s="12">
        <v>10.14</v>
      </c>
      <c r="P8530" s="12">
        <v>2.27</v>
      </c>
      <c r="Q8530" s="13">
        <v>39.64</v>
      </c>
      <c r="R8530" s="38" t="s">
        <v>1527</v>
      </c>
      <c r="S8530" s="7">
        <f t="shared" si="741"/>
        <v>2</v>
      </c>
      <c r="T8530" s="15" t="str">
        <f>VLOOKUP(R8530,产品分类!$C$2:$D$1278,2,0)</f>
        <v>办公用品</v>
      </c>
    </row>
    <row r="8531" spans="1:20">
      <c r="A8531" s="8">
        <f>DATE(2012,12,31)-510</f>
        <v>40764</v>
      </c>
      <c r="B8531" s="8">
        <f>DATE(2012,12,31)-510</f>
        <v>40764</v>
      </c>
      <c r="C8531" s="19" t="s">
        <v>845</v>
      </c>
      <c r="D8531">
        <v>10021522846</v>
      </c>
      <c r="E8531" t="s">
        <v>47</v>
      </c>
      <c r="F8531" t="s">
        <v>102</v>
      </c>
      <c r="G8531" t="s">
        <v>103</v>
      </c>
      <c r="H8531" t="s">
        <v>2659</v>
      </c>
      <c r="I8531" t="s">
        <v>2660</v>
      </c>
      <c r="J8531" t="s">
        <v>52</v>
      </c>
      <c r="K8531" s="3">
        <v>100410926444</v>
      </c>
      <c r="L8531" s="10">
        <v>40767</v>
      </c>
      <c r="M8531">
        <v>42.29</v>
      </c>
      <c r="N8531" s="11">
        <v>17</v>
      </c>
      <c r="O8531" s="12">
        <v>2.16</v>
      </c>
      <c r="P8531" s="12">
        <v>6.05</v>
      </c>
      <c r="Q8531" s="13">
        <v>-85.2725</v>
      </c>
      <c r="R8531" s="38" t="s">
        <v>507</v>
      </c>
      <c r="S8531" s="7">
        <f t="shared" si="741"/>
        <v>3</v>
      </c>
      <c r="T8531" s="15" t="str">
        <f>VLOOKUP(R8531,产品分类!$C$2:$D$1278,2,0)</f>
        <v>家具产品</v>
      </c>
    </row>
    <row r="8532" spans="1:20">
      <c r="A8532" s="8">
        <f>DATE(2012,12,31)-139</f>
        <v>41135</v>
      </c>
      <c r="B8532" s="8">
        <f>DATE(2012,12,31)-139</f>
        <v>41135</v>
      </c>
      <c r="C8532" s="19" t="s">
        <v>845</v>
      </c>
      <c r="D8532">
        <v>10021349900</v>
      </c>
      <c r="E8532" t="s">
        <v>47</v>
      </c>
      <c r="F8532" t="s">
        <v>208</v>
      </c>
      <c r="G8532" t="s">
        <v>209</v>
      </c>
      <c r="H8532" t="s">
        <v>2661</v>
      </c>
      <c r="I8532" t="s">
        <v>2557</v>
      </c>
      <c r="J8532" t="s">
        <v>52</v>
      </c>
      <c r="K8532" s="3">
        <v>100332131109</v>
      </c>
      <c r="L8532" s="10">
        <v>41136</v>
      </c>
      <c r="M8532">
        <v>197.36</v>
      </c>
      <c r="N8532" s="11">
        <v>50</v>
      </c>
      <c r="O8532" s="12">
        <v>4.18</v>
      </c>
      <c r="P8532" s="12">
        <v>2.99</v>
      </c>
      <c r="Q8532" s="13">
        <v>-43.5045</v>
      </c>
      <c r="R8532" s="38" t="s">
        <v>1531</v>
      </c>
      <c r="S8532" s="7">
        <f t="shared" si="741"/>
        <v>1</v>
      </c>
      <c r="T8532" s="15" t="str">
        <f>VLOOKUP(R8532,产品分类!$C$2:$D$1278,2,0)</f>
        <v>办公用品</v>
      </c>
    </row>
    <row r="8533" spans="1:20">
      <c r="A8533" s="8">
        <f>DATE(2012,12,31)-1078</f>
        <v>40196</v>
      </c>
      <c r="B8533" s="8">
        <f>DATE(2012,12,31)-1078</f>
        <v>40196</v>
      </c>
      <c r="C8533" s="19" t="s">
        <v>1362</v>
      </c>
      <c r="D8533">
        <v>10021270073</v>
      </c>
      <c r="E8533" t="s">
        <v>47</v>
      </c>
      <c r="F8533" t="s">
        <v>102</v>
      </c>
      <c r="G8533" t="s">
        <v>103</v>
      </c>
      <c r="H8533" t="s">
        <v>2659</v>
      </c>
      <c r="I8533" t="s">
        <v>2660</v>
      </c>
      <c r="J8533" t="s">
        <v>52</v>
      </c>
      <c r="K8533" s="3">
        <v>100432474154</v>
      </c>
      <c r="L8533" s="10">
        <v>40198</v>
      </c>
      <c r="M8533">
        <v>883.31</v>
      </c>
      <c r="N8533" s="11">
        <v>4</v>
      </c>
      <c r="O8533" s="12">
        <v>200.98</v>
      </c>
      <c r="P8533" s="12">
        <v>23.76</v>
      </c>
      <c r="Q8533" s="13">
        <v>-79.96</v>
      </c>
      <c r="R8533" s="38" t="s">
        <v>2665</v>
      </c>
      <c r="S8533" s="7">
        <f t="shared" si="741"/>
        <v>2</v>
      </c>
      <c r="T8533" s="15" t="str">
        <f>VLOOKUP(R8533,产品分类!$C$2:$D$1278,2,0)</f>
        <v>数码电子</v>
      </c>
    </row>
    <row r="8534" spans="1:20">
      <c r="A8534" s="8">
        <f t="shared" ref="A8534:B8536" si="742">DATE(2012,12,31)-168</f>
        <v>41106</v>
      </c>
      <c r="B8534" s="8">
        <f t="shared" si="742"/>
        <v>41106</v>
      </c>
      <c r="C8534" s="19" t="s">
        <v>1362</v>
      </c>
      <c r="D8534">
        <v>10021348050</v>
      </c>
      <c r="E8534" t="s">
        <v>47</v>
      </c>
      <c r="F8534" t="s">
        <v>102</v>
      </c>
      <c r="G8534" t="s">
        <v>103</v>
      </c>
      <c r="H8534" t="s">
        <v>2659</v>
      </c>
      <c r="I8534" t="s">
        <v>2660</v>
      </c>
      <c r="J8534" t="s">
        <v>52</v>
      </c>
      <c r="K8534" s="3">
        <v>100117584618</v>
      </c>
      <c r="L8534" s="10">
        <v>41115</v>
      </c>
      <c r="M8534">
        <v>9695.84</v>
      </c>
      <c r="N8534" s="11">
        <v>16</v>
      </c>
      <c r="O8534" s="12">
        <v>599.99</v>
      </c>
      <c r="P8534" s="12">
        <v>24.49</v>
      </c>
      <c r="Q8534" s="13">
        <v>2752.11</v>
      </c>
      <c r="R8534" s="38" t="s">
        <v>634</v>
      </c>
      <c r="S8534" s="7">
        <f t="shared" si="741"/>
        <v>9</v>
      </c>
      <c r="T8534" s="15" t="str">
        <f>VLOOKUP(R8534,产品分类!$C$2:$D$1278,2,0)</f>
        <v>办公用品</v>
      </c>
    </row>
    <row r="8535" spans="1:20">
      <c r="A8535" s="8">
        <f t="shared" si="742"/>
        <v>41106</v>
      </c>
      <c r="B8535" s="8">
        <f t="shared" si="742"/>
        <v>41106</v>
      </c>
      <c r="C8535" s="19" t="s">
        <v>1362</v>
      </c>
      <c r="D8535">
        <v>10021737797</v>
      </c>
      <c r="E8535" t="s">
        <v>47</v>
      </c>
      <c r="F8535" t="s">
        <v>102</v>
      </c>
      <c r="G8535" t="s">
        <v>103</v>
      </c>
      <c r="H8535" t="s">
        <v>2659</v>
      </c>
      <c r="I8535" t="s">
        <v>2660</v>
      </c>
      <c r="J8535" t="s">
        <v>52</v>
      </c>
      <c r="K8535" s="3">
        <v>100913099441</v>
      </c>
      <c r="L8535" s="10">
        <v>41115</v>
      </c>
      <c r="M8535">
        <v>246.79</v>
      </c>
      <c r="N8535" s="11">
        <v>36</v>
      </c>
      <c r="O8535" s="12">
        <v>6.48</v>
      </c>
      <c r="P8535" s="12">
        <v>6.6</v>
      </c>
      <c r="Q8535" s="13">
        <v>-90.08</v>
      </c>
      <c r="R8535" s="38" t="s">
        <v>784</v>
      </c>
      <c r="S8535" s="7">
        <f t="shared" si="741"/>
        <v>9</v>
      </c>
      <c r="T8535" s="15" t="str">
        <f>VLOOKUP(R8535,产品分类!$C$2:$D$1278,2,0)</f>
        <v>数码电子</v>
      </c>
    </row>
    <row r="8536" spans="1:20">
      <c r="A8536" s="8">
        <f t="shared" si="742"/>
        <v>41106</v>
      </c>
      <c r="B8536" s="8">
        <f t="shared" si="742"/>
        <v>41106</v>
      </c>
      <c r="C8536" s="19" t="s">
        <v>1362</v>
      </c>
      <c r="D8536">
        <v>10021345836</v>
      </c>
      <c r="E8536" t="s">
        <v>47</v>
      </c>
      <c r="F8536" t="s">
        <v>102</v>
      </c>
      <c r="G8536" t="s">
        <v>103</v>
      </c>
      <c r="H8536" t="s">
        <v>2659</v>
      </c>
      <c r="I8536" t="s">
        <v>2660</v>
      </c>
      <c r="J8536" t="s">
        <v>52</v>
      </c>
      <c r="K8536" s="3">
        <v>100930420371</v>
      </c>
      <c r="L8536" s="10">
        <v>41115</v>
      </c>
      <c r="M8536">
        <v>777.78</v>
      </c>
      <c r="N8536" s="11">
        <v>39</v>
      </c>
      <c r="O8536" s="12">
        <v>19.84</v>
      </c>
      <c r="P8536" s="12">
        <v>4.1</v>
      </c>
      <c r="Q8536" s="13">
        <v>237.75</v>
      </c>
      <c r="R8536" s="38" t="s">
        <v>2666</v>
      </c>
      <c r="S8536" s="7">
        <f t="shared" si="741"/>
        <v>9</v>
      </c>
      <c r="T8536" s="15" t="str">
        <f>VLOOKUP(R8536,产品分类!$C$2:$D$1278,2,0)</f>
        <v>数码电子</v>
      </c>
    </row>
    <row r="8537" spans="1:20">
      <c r="A8537" s="8">
        <f>DATE(2012,12,31)-1136</f>
        <v>40138</v>
      </c>
      <c r="B8537" s="8">
        <f>DATE(2012,12,31)-1136</f>
        <v>40138</v>
      </c>
      <c r="C8537" s="19" t="s">
        <v>1362</v>
      </c>
      <c r="D8537">
        <v>10021312946</v>
      </c>
      <c r="E8537" t="s">
        <v>47</v>
      </c>
      <c r="F8537" t="s">
        <v>102</v>
      </c>
      <c r="G8537" t="s">
        <v>103</v>
      </c>
      <c r="H8537" t="s">
        <v>2659</v>
      </c>
      <c r="I8537" t="s">
        <v>2660</v>
      </c>
      <c r="J8537" t="s">
        <v>52</v>
      </c>
      <c r="K8537" s="3">
        <v>100732794465</v>
      </c>
      <c r="L8537" s="10">
        <v>40145</v>
      </c>
      <c r="M8537">
        <v>1644.59</v>
      </c>
      <c r="N8537" s="11">
        <v>33</v>
      </c>
      <c r="O8537" s="12">
        <v>50.98</v>
      </c>
      <c r="P8537" s="12">
        <v>6.5</v>
      </c>
      <c r="Q8537" s="13">
        <v>-52.92</v>
      </c>
      <c r="R8537" s="38" t="s">
        <v>1501</v>
      </c>
      <c r="S8537" s="7">
        <f t="shared" si="741"/>
        <v>7</v>
      </c>
      <c r="T8537" s="15" t="str">
        <f>VLOOKUP(R8537,产品分类!$C$2:$D$1278,2,0)</f>
        <v>家具产品</v>
      </c>
    </row>
    <row r="8538" spans="1:20">
      <c r="A8538" s="8">
        <f>DATE(2012,12,31)-702</f>
        <v>40572</v>
      </c>
      <c r="B8538" s="8">
        <f>DATE(2012,12,31)-702</f>
        <v>40572</v>
      </c>
      <c r="C8538" s="19" t="s">
        <v>1362</v>
      </c>
      <c r="D8538">
        <v>10021747904</v>
      </c>
      <c r="E8538" t="s">
        <v>47</v>
      </c>
      <c r="F8538" t="s">
        <v>102</v>
      </c>
      <c r="G8538" t="s">
        <v>103</v>
      </c>
      <c r="H8538" t="s">
        <v>2659</v>
      </c>
      <c r="I8538" t="s">
        <v>2660</v>
      </c>
      <c r="J8538" t="s">
        <v>52</v>
      </c>
      <c r="K8538" s="3">
        <v>100416632534</v>
      </c>
      <c r="L8538" s="10">
        <v>40573</v>
      </c>
      <c r="M8538">
        <v>1379.98</v>
      </c>
      <c r="N8538" s="11">
        <v>12</v>
      </c>
      <c r="O8538" s="12">
        <v>113.98</v>
      </c>
      <c r="P8538" s="12">
        <v>30</v>
      </c>
      <c r="Q8538" s="13">
        <v>-151.73</v>
      </c>
      <c r="R8538" s="38" t="s">
        <v>556</v>
      </c>
      <c r="S8538" s="7">
        <f t="shared" si="741"/>
        <v>1</v>
      </c>
      <c r="T8538" s="15" t="str">
        <f>VLOOKUP(R8538,产品分类!$C$2:$D$1278,2,0)</f>
        <v>办公用品</v>
      </c>
    </row>
    <row r="8539" spans="1:20">
      <c r="A8539" s="8">
        <f>DATE(2012,12,31)-246</f>
        <v>41028</v>
      </c>
      <c r="B8539" s="8">
        <f>DATE(2012,12,31)-246</f>
        <v>41028</v>
      </c>
      <c r="C8539" s="19" t="s">
        <v>1362</v>
      </c>
      <c r="D8539">
        <v>10021579858</v>
      </c>
      <c r="E8539" t="s">
        <v>47</v>
      </c>
      <c r="F8539" t="s">
        <v>137</v>
      </c>
      <c r="G8539" t="s">
        <v>138</v>
      </c>
      <c r="H8539" t="s">
        <v>2504</v>
      </c>
      <c r="I8539" t="s">
        <v>2505</v>
      </c>
      <c r="J8539" t="s">
        <v>52</v>
      </c>
      <c r="K8539" s="3">
        <v>100721393895</v>
      </c>
      <c r="L8539" s="10">
        <v>41030</v>
      </c>
      <c r="M8539">
        <v>2368.168</v>
      </c>
      <c r="N8539" s="11">
        <v>30</v>
      </c>
      <c r="O8539" s="12">
        <v>85.99</v>
      </c>
      <c r="P8539" s="12">
        <v>1.25</v>
      </c>
      <c r="Q8539" s="13">
        <v>1181.295</v>
      </c>
      <c r="R8539" s="38" t="s">
        <v>723</v>
      </c>
      <c r="S8539" s="7">
        <f t="shared" si="741"/>
        <v>2</v>
      </c>
      <c r="T8539" s="15" t="str">
        <f>VLOOKUP(R8539,产品分类!$C$2:$D$1278,2,0)</f>
        <v>办公用品</v>
      </c>
    </row>
    <row r="8540" spans="1:20">
      <c r="A8540" s="8">
        <f>DATE(2012,12,31)-1252</f>
        <v>40022</v>
      </c>
      <c r="B8540" s="8">
        <f>DATE(2012,12,31)-1252</f>
        <v>40022</v>
      </c>
      <c r="C8540" s="19" t="s">
        <v>1362</v>
      </c>
      <c r="D8540">
        <v>10021387935</v>
      </c>
      <c r="E8540" t="s">
        <v>47</v>
      </c>
      <c r="F8540" t="s">
        <v>208</v>
      </c>
      <c r="G8540" t="s">
        <v>209</v>
      </c>
      <c r="H8540" t="s">
        <v>2661</v>
      </c>
      <c r="I8540" t="s">
        <v>2557</v>
      </c>
      <c r="J8540" t="s">
        <v>52</v>
      </c>
      <c r="K8540" s="3">
        <v>100819496272</v>
      </c>
      <c r="L8540" s="10">
        <v>40024</v>
      </c>
      <c r="M8540">
        <v>2550.12</v>
      </c>
      <c r="N8540" s="11">
        <v>40</v>
      </c>
      <c r="O8540" s="12">
        <v>60.97</v>
      </c>
      <c r="P8540" s="12">
        <v>4.5</v>
      </c>
      <c r="Q8540" s="13">
        <v>882.45</v>
      </c>
      <c r="R8540" s="38" t="s">
        <v>2667</v>
      </c>
      <c r="S8540" s="7">
        <f t="shared" si="741"/>
        <v>2</v>
      </c>
      <c r="T8540" s="15" t="str">
        <f>VLOOKUP(R8540,产品分类!$C$2:$D$1278,2,0)</f>
        <v>家具产品</v>
      </c>
    </row>
    <row r="8541" spans="1:20">
      <c r="A8541" s="8">
        <f>DATE(2012,12,31)-1252</f>
        <v>40022</v>
      </c>
      <c r="B8541" s="8">
        <f>DATE(2012,12,31)-1252</f>
        <v>40022</v>
      </c>
      <c r="C8541" s="19" t="s">
        <v>1362</v>
      </c>
      <c r="D8541">
        <v>10021584214</v>
      </c>
      <c r="E8541" t="s">
        <v>47</v>
      </c>
      <c r="F8541" t="s">
        <v>102</v>
      </c>
      <c r="G8541" t="s">
        <v>103</v>
      </c>
      <c r="H8541" t="s">
        <v>2659</v>
      </c>
      <c r="I8541" t="s">
        <v>2660</v>
      </c>
      <c r="J8541" t="s">
        <v>52</v>
      </c>
      <c r="K8541" s="3">
        <v>100827004962</v>
      </c>
      <c r="L8541" s="10">
        <v>40023</v>
      </c>
      <c r="M8541">
        <v>5897.47</v>
      </c>
      <c r="N8541" s="11">
        <v>46</v>
      </c>
      <c r="O8541" s="12">
        <v>122.99</v>
      </c>
      <c r="P8541" s="12">
        <v>70.2</v>
      </c>
      <c r="Q8541" s="13">
        <v>-1764.29</v>
      </c>
      <c r="R8541" s="38" t="s">
        <v>2668</v>
      </c>
      <c r="S8541" s="7">
        <f t="shared" si="741"/>
        <v>1</v>
      </c>
      <c r="T8541" s="15" t="str">
        <f>VLOOKUP(R8541,产品分类!$C$2:$D$1278,2,0)</f>
        <v>数码电子</v>
      </c>
    </row>
    <row r="8542" spans="1:20">
      <c r="A8542" s="8">
        <f>DATE(2012,12,31)-626</f>
        <v>40648</v>
      </c>
      <c r="B8542" s="8">
        <f>DATE(2012,12,31)-626</f>
        <v>40648</v>
      </c>
      <c r="C8542" s="19" t="s">
        <v>1362</v>
      </c>
      <c r="D8542">
        <v>10021422740</v>
      </c>
      <c r="E8542" t="s">
        <v>47</v>
      </c>
      <c r="F8542" t="s">
        <v>208</v>
      </c>
      <c r="G8542" t="s">
        <v>209</v>
      </c>
      <c r="H8542" t="s">
        <v>2661</v>
      </c>
      <c r="I8542" t="s">
        <v>2557</v>
      </c>
      <c r="J8542" t="s">
        <v>52</v>
      </c>
      <c r="K8542" s="3">
        <v>100827210422</v>
      </c>
      <c r="L8542" s="10">
        <v>40649</v>
      </c>
      <c r="M8542">
        <v>662.51</v>
      </c>
      <c r="N8542" s="11">
        <v>46</v>
      </c>
      <c r="O8542" s="12">
        <v>15.67</v>
      </c>
      <c r="P8542" s="12">
        <v>1.39</v>
      </c>
      <c r="Q8542" s="13">
        <v>293.32</v>
      </c>
      <c r="R8542" s="38" t="s">
        <v>1012</v>
      </c>
      <c r="S8542" s="7">
        <f t="shared" si="741"/>
        <v>1</v>
      </c>
      <c r="T8542" s="15" t="str">
        <f>VLOOKUP(R8542,产品分类!$C$2:$D$1278,2,0)</f>
        <v>家具产品</v>
      </c>
    </row>
    <row r="8543" spans="1:20">
      <c r="A8543" s="8">
        <f>DATE(2012,12,31)-626</f>
        <v>40648</v>
      </c>
      <c r="B8543" s="8">
        <f>DATE(2012,12,31)-626</f>
        <v>40648</v>
      </c>
      <c r="C8543" s="19" t="s">
        <v>355</v>
      </c>
      <c r="D8543">
        <v>10021630824</v>
      </c>
      <c r="E8543" t="s">
        <v>47</v>
      </c>
      <c r="F8543" t="s">
        <v>171</v>
      </c>
      <c r="G8543" t="s">
        <v>172</v>
      </c>
      <c r="H8543" t="s">
        <v>2486</v>
      </c>
      <c r="I8543" t="s">
        <v>2310</v>
      </c>
      <c r="J8543" t="s">
        <v>52</v>
      </c>
      <c r="K8543" s="3">
        <v>100132177136</v>
      </c>
      <c r="L8543" s="10">
        <v>40650</v>
      </c>
      <c r="M8543">
        <v>61.18</v>
      </c>
      <c r="N8543" s="11">
        <v>21</v>
      </c>
      <c r="O8543" s="12">
        <v>2.88</v>
      </c>
      <c r="P8543" s="12">
        <v>0.7</v>
      </c>
      <c r="Q8543" s="13">
        <v>6.85</v>
      </c>
      <c r="R8543" s="38" t="s">
        <v>100</v>
      </c>
      <c r="S8543" s="7">
        <f t="shared" si="741"/>
        <v>2</v>
      </c>
      <c r="T8543" s="15" t="str">
        <f>VLOOKUP(R8543,产品分类!$C$2:$D$1278,2,0)</f>
        <v>数码电子</v>
      </c>
    </row>
    <row r="8544" spans="1:20">
      <c r="A8544" s="8">
        <f>DATE(2012,12,31)-1306</f>
        <v>39968</v>
      </c>
      <c r="B8544" s="8">
        <f>DATE(2012,12,31)-1306</f>
        <v>39968</v>
      </c>
      <c r="C8544" s="19" t="s">
        <v>355</v>
      </c>
      <c r="D8544">
        <v>10021524117</v>
      </c>
      <c r="E8544" t="s">
        <v>47</v>
      </c>
      <c r="F8544" t="s">
        <v>171</v>
      </c>
      <c r="G8544" t="s">
        <v>172</v>
      </c>
      <c r="H8544" t="s">
        <v>2486</v>
      </c>
      <c r="I8544" t="s">
        <v>2310</v>
      </c>
      <c r="J8544" t="s">
        <v>52</v>
      </c>
      <c r="K8544" s="3">
        <v>100915995011</v>
      </c>
      <c r="L8544" s="10">
        <v>39970</v>
      </c>
      <c r="M8544">
        <v>3029.97</v>
      </c>
      <c r="N8544" s="11">
        <v>3</v>
      </c>
      <c r="O8544" s="12">
        <v>999.99</v>
      </c>
      <c r="P8544" s="12">
        <v>13.99</v>
      </c>
      <c r="Q8544" s="13">
        <v>-1819.9965</v>
      </c>
      <c r="R8544" s="38" t="s">
        <v>1576</v>
      </c>
      <c r="S8544" s="7">
        <f t="shared" si="741"/>
        <v>2</v>
      </c>
      <c r="T8544" s="15" t="str">
        <f>VLOOKUP(R8544,产品分类!$C$2:$D$1278,2,0)</f>
        <v>办公用品</v>
      </c>
    </row>
    <row r="8545" spans="1:20">
      <c r="A8545" s="8">
        <f>DATE(2012,12,31)-1306</f>
        <v>39968</v>
      </c>
      <c r="B8545" s="8">
        <f>DATE(2012,12,31)-1306</f>
        <v>39968</v>
      </c>
      <c r="C8545" s="19" t="s">
        <v>355</v>
      </c>
      <c r="D8545">
        <v>10021662826</v>
      </c>
      <c r="E8545" t="s">
        <v>47</v>
      </c>
      <c r="F8545" t="s">
        <v>171</v>
      </c>
      <c r="G8545" t="s">
        <v>172</v>
      </c>
      <c r="H8545" t="s">
        <v>2486</v>
      </c>
      <c r="I8545" t="s">
        <v>2310</v>
      </c>
      <c r="J8545" t="s">
        <v>52</v>
      </c>
      <c r="K8545" s="3">
        <v>100822761912</v>
      </c>
      <c r="L8545" s="10">
        <v>39969</v>
      </c>
      <c r="M8545">
        <v>241.04</v>
      </c>
      <c r="N8545" s="11">
        <v>34</v>
      </c>
      <c r="O8545" s="12">
        <v>6.48</v>
      </c>
      <c r="P8545" s="12">
        <v>5.14</v>
      </c>
      <c r="Q8545" s="13">
        <v>-28.2</v>
      </c>
      <c r="R8545" s="38" t="s">
        <v>325</v>
      </c>
      <c r="S8545" s="7">
        <f t="shared" si="741"/>
        <v>1</v>
      </c>
      <c r="T8545" s="15" t="str">
        <f>VLOOKUP(R8545,产品分类!$C$2:$D$1278,2,0)</f>
        <v>数码电子</v>
      </c>
    </row>
    <row r="8546" spans="1:20">
      <c r="A8546" s="8">
        <f t="shared" ref="A8546:B8548" si="743">DATE(2012,12,31)-289</f>
        <v>40985</v>
      </c>
      <c r="B8546" s="8">
        <f t="shared" si="743"/>
        <v>40985</v>
      </c>
      <c r="C8546" s="19" t="s">
        <v>355</v>
      </c>
      <c r="D8546">
        <v>10021497848</v>
      </c>
      <c r="E8546" t="s">
        <v>47</v>
      </c>
      <c r="F8546" t="s">
        <v>171</v>
      </c>
      <c r="G8546" t="s">
        <v>172</v>
      </c>
      <c r="H8546" t="s">
        <v>2486</v>
      </c>
      <c r="I8546" t="s">
        <v>2310</v>
      </c>
      <c r="J8546" t="s">
        <v>52</v>
      </c>
      <c r="K8546" s="3">
        <v>100420056773</v>
      </c>
      <c r="L8546" s="10">
        <v>40988</v>
      </c>
      <c r="M8546">
        <v>44.17</v>
      </c>
      <c r="N8546" s="11">
        <v>5</v>
      </c>
      <c r="O8546" s="12">
        <v>7.59</v>
      </c>
      <c r="P8546" s="12">
        <v>4</v>
      </c>
      <c r="Q8546" s="13">
        <v>23.41</v>
      </c>
      <c r="R8546" s="38" t="s">
        <v>2669</v>
      </c>
      <c r="S8546" s="7">
        <f t="shared" si="741"/>
        <v>3</v>
      </c>
      <c r="T8546" s="15" t="str">
        <f>VLOOKUP(R8546,产品分类!$C$2:$D$1278,2,0)</f>
        <v>办公用品</v>
      </c>
    </row>
    <row r="8547" spans="1:20">
      <c r="A8547" s="8">
        <f t="shared" si="743"/>
        <v>40985</v>
      </c>
      <c r="B8547" s="8">
        <f t="shared" si="743"/>
        <v>40985</v>
      </c>
      <c r="C8547" s="19" t="s">
        <v>355</v>
      </c>
      <c r="D8547">
        <v>10021266098</v>
      </c>
      <c r="E8547" t="s">
        <v>47</v>
      </c>
      <c r="F8547" t="s">
        <v>527</v>
      </c>
      <c r="G8547" t="s">
        <v>528</v>
      </c>
      <c r="H8547" t="s">
        <v>2624</v>
      </c>
      <c r="I8547" t="s">
        <v>2625</v>
      </c>
      <c r="J8547" t="s">
        <v>52</v>
      </c>
      <c r="K8547" s="3">
        <v>100931758411</v>
      </c>
      <c r="L8547" s="10">
        <v>40987</v>
      </c>
      <c r="M8547">
        <v>192.92</v>
      </c>
      <c r="N8547" s="11">
        <v>37</v>
      </c>
      <c r="O8547" s="12">
        <v>5.43</v>
      </c>
      <c r="P8547" s="12">
        <v>0.95</v>
      </c>
      <c r="Q8547" s="13">
        <v>74.58</v>
      </c>
      <c r="R8547" s="38" t="s">
        <v>1308</v>
      </c>
      <c r="S8547" s="7">
        <f t="shared" si="741"/>
        <v>2</v>
      </c>
      <c r="T8547" s="15" t="str">
        <f>VLOOKUP(R8547,产品分类!$C$2:$D$1278,2,0)</f>
        <v>办公用品</v>
      </c>
    </row>
    <row r="8548" spans="1:20">
      <c r="A8548" s="8">
        <f t="shared" si="743"/>
        <v>40985</v>
      </c>
      <c r="B8548" s="8">
        <f t="shared" si="743"/>
        <v>40985</v>
      </c>
      <c r="C8548" s="19" t="s">
        <v>355</v>
      </c>
      <c r="D8548">
        <v>10021626744</v>
      </c>
      <c r="E8548" t="s">
        <v>47</v>
      </c>
      <c r="F8548" t="s">
        <v>171</v>
      </c>
      <c r="G8548" t="s">
        <v>172</v>
      </c>
      <c r="H8548" t="s">
        <v>2486</v>
      </c>
      <c r="I8548" t="s">
        <v>2310</v>
      </c>
      <c r="J8548" t="s">
        <v>52</v>
      </c>
      <c r="K8548" s="3">
        <v>100127338296</v>
      </c>
      <c r="L8548" s="10">
        <v>40987</v>
      </c>
      <c r="M8548">
        <v>10532.94</v>
      </c>
      <c r="N8548" s="11">
        <v>37</v>
      </c>
      <c r="O8548" s="12">
        <v>279.48</v>
      </c>
      <c r="P8548" s="12">
        <v>35</v>
      </c>
      <c r="Q8548" s="13">
        <v>406.37</v>
      </c>
      <c r="R8548" s="38" t="s">
        <v>950</v>
      </c>
      <c r="S8548" s="7">
        <f t="shared" si="741"/>
        <v>2</v>
      </c>
      <c r="T8548" s="15" t="str">
        <f>VLOOKUP(R8548,产品分类!$C$2:$D$1278,2,0)</f>
        <v>数码电子</v>
      </c>
    </row>
    <row r="8549" spans="1:20">
      <c r="A8549" s="8">
        <f>DATE(2012,12,31)-301</f>
        <v>40973</v>
      </c>
      <c r="B8549" s="8">
        <f>DATE(2012,12,31)-301</f>
        <v>40973</v>
      </c>
      <c r="C8549" s="19" t="s">
        <v>355</v>
      </c>
      <c r="D8549">
        <v>10021718266</v>
      </c>
      <c r="E8549" t="s">
        <v>47</v>
      </c>
      <c r="F8549" t="s">
        <v>171</v>
      </c>
      <c r="G8549" t="s">
        <v>172</v>
      </c>
      <c r="H8549" t="s">
        <v>2486</v>
      </c>
      <c r="I8549" t="s">
        <v>2310</v>
      </c>
      <c r="J8549" t="s">
        <v>52</v>
      </c>
      <c r="K8549" s="3">
        <v>10098755131</v>
      </c>
      <c r="L8549" s="10">
        <v>40975</v>
      </c>
      <c r="M8549">
        <v>364.4</v>
      </c>
      <c r="N8549" s="11">
        <v>44</v>
      </c>
      <c r="O8549" s="12">
        <v>8.5</v>
      </c>
      <c r="P8549" s="12">
        <v>1.99</v>
      </c>
      <c r="Q8549" s="13">
        <v>51.08</v>
      </c>
      <c r="R8549" s="38" t="s">
        <v>973</v>
      </c>
      <c r="S8549" s="7">
        <f t="shared" si="741"/>
        <v>2</v>
      </c>
      <c r="T8549" s="15" t="str">
        <f>VLOOKUP(R8549,产品分类!$C$2:$D$1278,2,0)</f>
        <v>办公用品</v>
      </c>
    </row>
    <row r="8550" spans="1:20">
      <c r="A8550" s="8">
        <f>DATE(2012,12,31)-604</f>
        <v>40670</v>
      </c>
      <c r="B8550" s="8">
        <f>DATE(2012,12,31)-604</f>
        <v>40670</v>
      </c>
      <c r="C8550" s="19" t="s">
        <v>355</v>
      </c>
      <c r="D8550">
        <v>10021576174</v>
      </c>
      <c r="E8550" t="s">
        <v>47</v>
      </c>
      <c r="F8550" t="s">
        <v>171</v>
      </c>
      <c r="G8550" t="s">
        <v>172</v>
      </c>
      <c r="H8550" t="s">
        <v>2486</v>
      </c>
      <c r="I8550" t="s">
        <v>2310</v>
      </c>
      <c r="J8550" t="s">
        <v>52</v>
      </c>
      <c r="K8550" s="3">
        <v>10036212289</v>
      </c>
      <c r="L8550" s="10">
        <v>40671</v>
      </c>
      <c r="M8550">
        <v>33.99</v>
      </c>
      <c r="N8550" s="11">
        <v>7</v>
      </c>
      <c r="O8550" s="12">
        <v>4.77</v>
      </c>
      <c r="P8550" s="12">
        <v>2.39</v>
      </c>
      <c r="Q8550" s="13">
        <v>-25.86</v>
      </c>
      <c r="R8550" s="38" t="s">
        <v>2670</v>
      </c>
      <c r="S8550" s="7">
        <f t="shared" si="741"/>
        <v>1</v>
      </c>
      <c r="T8550" s="15" t="str">
        <f>VLOOKUP(R8550,产品分类!$C$2:$D$1278,2,0)</f>
        <v>办公用品</v>
      </c>
    </row>
    <row r="8551" spans="1:20">
      <c r="A8551" s="8">
        <f>DATE(2012,12,31)-473</f>
        <v>40801</v>
      </c>
      <c r="B8551" s="8">
        <f>DATE(2012,12,31)-473</f>
        <v>40801</v>
      </c>
      <c r="C8551" s="19" t="s">
        <v>355</v>
      </c>
      <c r="D8551">
        <v>10021298582</v>
      </c>
      <c r="E8551" t="s">
        <v>47</v>
      </c>
      <c r="F8551" t="s">
        <v>177</v>
      </c>
      <c r="G8551" t="s">
        <v>178</v>
      </c>
      <c r="H8551" t="s">
        <v>2645</v>
      </c>
      <c r="I8551" t="s">
        <v>2646</v>
      </c>
      <c r="J8551" t="s">
        <v>52</v>
      </c>
      <c r="K8551" s="3">
        <v>100826947192</v>
      </c>
      <c r="L8551" s="10">
        <v>40803</v>
      </c>
      <c r="M8551">
        <v>260.51</v>
      </c>
      <c r="N8551" s="11">
        <v>34</v>
      </c>
      <c r="O8551" s="12">
        <v>7.3</v>
      </c>
      <c r="P8551" s="12">
        <v>7.72</v>
      </c>
      <c r="Q8551" s="13">
        <v>-127.5235</v>
      </c>
      <c r="R8551" s="38" t="s">
        <v>295</v>
      </c>
      <c r="S8551" s="7">
        <f t="shared" si="741"/>
        <v>2</v>
      </c>
      <c r="T8551" s="15" t="str">
        <f>VLOOKUP(R8551,产品分类!$C$2:$D$1278,2,0)</f>
        <v>办公用品</v>
      </c>
    </row>
    <row r="8552" spans="1:20">
      <c r="A8552" s="8">
        <f>DATE(2012,12,31)-473</f>
        <v>40801</v>
      </c>
      <c r="B8552" s="8">
        <f>DATE(2012,12,31)-473</f>
        <v>40801</v>
      </c>
      <c r="C8552" s="19" t="s">
        <v>1823</v>
      </c>
      <c r="D8552">
        <v>10021254968</v>
      </c>
      <c r="E8552" t="s">
        <v>47</v>
      </c>
      <c r="F8552" t="s">
        <v>171</v>
      </c>
      <c r="G8552" t="s">
        <v>172</v>
      </c>
      <c r="H8552" t="s">
        <v>2486</v>
      </c>
      <c r="I8552" t="s">
        <v>2310</v>
      </c>
      <c r="J8552" t="s">
        <v>52</v>
      </c>
      <c r="K8552" s="3">
        <v>100323312379</v>
      </c>
      <c r="L8552" s="10">
        <v>40803</v>
      </c>
      <c r="M8552">
        <v>466.28</v>
      </c>
      <c r="N8552" s="11">
        <v>15</v>
      </c>
      <c r="O8552" s="12">
        <v>29.89</v>
      </c>
      <c r="P8552" s="12">
        <v>1.99</v>
      </c>
      <c r="Q8552" s="13">
        <v>92.7</v>
      </c>
      <c r="R8552" s="38" t="s">
        <v>866</v>
      </c>
      <c r="S8552" s="7">
        <f t="shared" si="741"/>
        <v>2</v>
      </c>
      <c r="T8552" s="15" t="str">
        <f>VLOOKUP(R8552,产品分类!$C$2:$D$1278,2,0)</f>
        <v>办公用品</v>
      </c>
    </row>
    <row r="8553" spans="1:20">
      <c r="A8553" s="8">
        <f>DATE(2012,12,31)-296</f>
        <v>40978</v>
      </c>
      <c r="B8553" s="8">
        <f>DATE(2012,12,31)-296</f>
        <v>40978</v>
      </c>
      <c r="C8553" s="19" t="s">
        <v>1823</v>
      </c>
      <c r="D8553">
        <v>10021675369</v>
      </c>
      <c r="E8553" t="s">
        <v>47</v>
      </c>
      <c r="F8553" t="s">
        <v>177</v>
      </c>
      <c r="G8553" t="s">
        <v>178</v>
      </c>
      <c r="H8553" t="s">
        <v>2645</v>
      </c>
      <c r="I8553" t="s">
        <v>2646</v>
      </c>
      <c r="J8553" t="s">
        <v>52</v>
      </c>
      <c r="K8553" s="3">
        <v>100432486674</v>
      </c>
      <c r="L8553" s="10">
        <v>40979</v>
      </c>
      <c r="M8553">
        <v>1961.39</v>
      </c>
      <c r="N8553" s="11">
        <v>14</v>
      </c>
      <c r="O8553" s="12">
        <v>136.98</v>
      </c>
      <c r="P8553" s="12">
        <v>24.49</v>
      </c>
      <c r="Q8553" s="13">
        <v>761.04</v>
      </c>
      <c r="R8553" s="38" t="s">
        <v>594</v>
      </c>
      <c r="S8553" s="7">
        <f t="shared" si="741"/>
        <v>1</v>
      </c>
      <c r="T8553" s="15" t="str">
        <f>VLOOKUP(R8553,产品分类!$C$2:$D$1278,2,0)</f>
        <v>数码电子</v>
      </c>
    </row>
    <row r="8554" spans="1:20">
      <c r="A8554" s="8">
        <f>DATE(2012,12,31)-296</f>
        <v>40978</v>
      </c>
      <c r="B8554" s="8">
        <f>DATE(2012,12,31)-296</f>
        <v>40978</v>
      </c>
      <c r="C8554" s="19" t="s">
        <v>1823</v>
      </c>
      <c r="D8554">
        <v>10021389356</v>
      </c>
      <c r="E8554" t="s">
        <v>47</v>
      </c>
      <c r="F8554" t="s">
        <v>167</v>
      </c>
      <c r="G8554" t="s">
        <v>168</v>
      </c>
      <c r="H8554" t="s">
        <v>169</v>
      </c>
      <c r="I8554" t="s">
        <v>168</v>
      </c>
      <c r="J8554" t="s">
        <v>52</v>
      </c>
      <c r="K8554" s="3">
        <v>100431869463</v>
      </c>
      <c r="L8554" s="10">
        <v>40980</v>
      </c>
      <c r="M8554">
        <v>4.94</v>
      </c>
      <c r="N8554" s="11">
        <v>3</v>
      </c>
      <c r="O8554" s="12">
        <v>1.48</v>
      </c>
      <c r="P8554" s="12">
        <v>0.7</v>
      </c>
      <c r="Q8554" s="13">
        <v>-1.76</v>
      </c>
      <c r="R8554" s="38" t="s">
        <v>1220</v>
      </c>
      <c r="S8554" s="7">
        <f t="shared" si="741"/>
        <v>2</v>
      </c>
      <c r="T8554" s="15" t="str">
        <f>VLOOKUP(R8554,产品分类!$C$2:$D$1278,2,0)</f>
        <v>家具产品</v>
      </c>
    </row>
    <row r="8555" spans="1:20">
      <c r="A8555" s="8">
        <f>DATE(2012,12,31)-823</f>
        <v>40451</v>
      </c>
      <c r="B8555" s="8">
        <f>DATE(2012,12,31)-823</f>
        <v>40451</v>
      </c>
      <c r="C8555" s="19" t="s">
        <v>1823</v>
      </c>
      <c r="D8555">
        <v>10021675568</v>
      </c>
      <c r="E8555" t="s">
        <v>47</v>
      </c>
      <c r="F8555" t="s">
        <v>177</v>
      </c>
      <c r="G8555" t="s">
        <v>178</v>
      </c>
      <c r="H8555" t="s">
        <v>2645</v>
      </c>
      <c r="I8555" t="s">
        <v>2646</v>
      </c>
      <c r="J8555" t="s">
        <v>52</v>
      </c>
      <c r="K8555" s="3">
        <v>100432498293</v>
      </c>
      <c r="L8555" s="10">
        <v>40455</v>
      </c>
      <c r="M8555">
        <v>22.06</v>
      </c>
      <c r="N8555" s="11">
        <v>3</v>
      </c>
      <c r="O8555" s="12">
        <v>4.98</v>
      </c>
      <c r="P8555" s="12">
        <v>7.44</v>
      </c>
      <c r="Q8555" s="13">
        <v>-15.6</v>
      </c>
      <c r="R8555" s="38" t="s">
        <v>287</v>
      </c>
      <c r="S8555" s="7">
        <f t="shared" si="741"/>
        <v>4</v>
      </c>
      <c r="T8555" s="15" t="str">
        <f>VLOOKUP(R8555,产品分类!$C$2:$D$1278,2,0)</f>
        <v>办公用品</v>
      </c>
    </row>
    <row r="8556" spans="1:20">
      <c r="A8556" s="8">
        <f>DATE(2012,12,31)-1121</f>
        <v>40153</v>
      </c>
      <c r="B8556" s="8">
        <f>DATE(2012,12,31)-1121</f>
        <v>40153</v>
      </c>
      <c r="C8556" s="19" t="s">
        <v>1823</v>
      </c>
      <c r="D8556">
        <v>10021579807</v>
      </c>
      <c r="E8556" t="s">
        <v>47</v>
      </c>
      <c r="F8556" t="s">
        <v>177</v>
      </c>
      <c r="G8556" t="s">
        <v>178</v>
      </c>
      <c r="H8556" t="s">
        <v>2645</v>
      </c>
      <c r="I8556" t="s">
        <v>2646</v>
      </c>
      <c r="J8556" t="s">
        <v>52</v>
      </c>
      <c r="K8556" s="3">
        <v>100721319275</v>
      </c>
      <c r="L8556" s="10">
        <v>40156</v>
      </c>
      <c r="M8556">
        <v>549.92</v>
      </c>
      <c r="N8556" s="11">
        <v>3</v>
      </c>
      <c r="O8556" s="12">
        <v>180.98</v>
      </c>
      <c r="P8556" s="12">
        <v>26.2</v>
      </c>
      <c r="Q8556" s="13">
        <v>-210.97</v>
      </c>
      <c r="R8556" s="38" t="s">
        <v>2671</v>
      </c>
      <c r="S8556" s="7">
        <f t="shared" si="741"/>
        <v>3</v>
      </c>
      <c r="T8556" s="15" t="str">
        <f>VLOOKUP(R8556,产品分类!$C$2:$D$1278,2,0)</f>
        <v>家具产品</v>
      </c>
    </row>
    <row r="8557" spans="1:20">
      <c r="A8557" s="8">
        <f>DATE(2012,12,31)-1121</f>
        <v>40153</v>
      </c>
      <c r="B8557" s="8">
        <f>DATE(2012,12,31)-1121</f>
        <v>40153</v>
      </c>
      <c r="C8557" s="19" t="s">
        <v>1823</v>
      </c>
      <c r="D8557">
        <v>10021575847</v>
      </c>
      <c r="E8557" t="s">
        <v>47</v>
      </c>
      <c r="F8557" t="s">
        <v>177</v>
      </c>
      <c r="G8557" t="s">
        <v>178</v>
      </c>
      <c r="H8557" t="s">
        <v>2645</v>
      </c>
      <c r="I8557" t="s">
        <v>2646</v>
      </c>
      <c r="J8557" t="s">
        <v>52</v>
      </c>
      <c r="K8557" s="3">
        <v>100412957844</v>
      </c>
      <c r="L8557" s="10">
        <v>40154</v>
      </c>
      <c r="M8557">
        <v>182.09</v>
      </c>
      <c r="N8557" s="11">
        <v>26</v>
      </c>
      <c r="O8557" s="12">
        <v>6.48</v>
      </c>
      <c r="P8557" s="12">
        <v>5.19</v>
      </c>
      <c r="Q8557" s="13">
        <v>-28.15</v>
      </c>
      <c r="R8557" s="38" t="s">
        <v>2199</v>
      </c>
      <c r="S8557" s="7">
        <f t="shared" si="741"/>
        <v>1</v>
      </c>
      <c r="T8557" s="15" t="str">
        <f>VLOOKUP(R8557,产品分类!$C$2:$D$1278,2,0)</f>
        <v>办公用品</v>
      </c>
    </row>
    <row r="8558" spans="1:20">
      <c r="A8558" s="8">
        <f>DATE(2012,12,31)-1086</f>
        <v>40188</v>
      </c>
      <c r="B8558" s="8">
        <f>DATE(2012,12,31)-1086</f>
        <v>40188</v>
      </c>
      <c r="C8558" s="19" t="s">
        <v>2045</v>
      </c>
      <c r="D8558">
        <v>10021747257</v>
      </c>
      <c r="E8558" t="s">
        <v>47</v>
      </c>
      <c r="F8558" t="s">
        <v>127</v>
      </c>
      <c r="G8558" t="s">
        <v>128</v>
      </c>
      <c r="H8558" t="s">
        <v>2608</v>
      </c>
      <c r="I8558" t="s">
        <v>2609</v>
      </c>
      <c r="J8558" t="s">
        <v>52</v>
      </c>
      <c r="K8558" s="3">
        <v>100829392492</v>
      </c>
      <c r="L8558" s="10">
        <v>40189</v>
      </c>
      <c r="M8558">
        <v>1091.47</v>
      </c>
      <c r="N8558" s="11">
        <v>11</v>
      </c>
      <c r="O8558" s="12">
        <v>92.23</v>
      </c>
      <c r="P8558" s="12">
        <v>39.61</v>
      </c>
      <c r="Q8558" s="13">
        <v>160.48</v>
      </c>
      <c r="R8558" s="38" t="s">
        <v>2672</v>
      </c>
      <c r="S8558" s="7">
        <f t="shared" si="741"/>
        <v>1</v>
      </c>
      <c r="T8558" s="15" t="str">
        <f>VLOOKUP(R8558,产品分类!$C$2:$D$1278,2,0)</f>
        <v>办公用品</v>
      </c>
    </row>
    <row r="8559" spans="1:20">
      <c r="A8559" s="8">
        <f>DATE(2012,12,31)-1086</f>
        <v>40188</v>
      </c>
      <c r="B8559" s="8">
        <f>DATE(2012,12,31)-1086</f>
        <v>40188</v>
      </c>
      <c r="C8559" s="19" t="s">
        <v>2045</v>
      </c>
      <c r="D8559">
        <v>10021368462</v>
      </c>
      <c r="E8559" t="s">
        <v>47</v>
      </c>
      <c r="F8559" t="s">
        <v>167</v>
      </c>
      <c r="G8559" t="s">
        <v>168</v>
      </c>
      <c r="H8559" t="s">
        <v>169</v>
      </c>
      <c r="I8559" t="s">
        <v>168</v>
      </c>
      <c r="J8559" t="s">
        <v>52</v>
      </c>
      <c r="K8559" s="3">
        <v>10018401007</v>
      </c>
      <c r="L8559" s="10">
        <v>40188</v>
      </c>
      <c r="M8559">
        <v>112.59</v>
      </c>
      <c r="N8559" s="11">
        <v>35</v>
      </c>
      <c r="O8559" s="12">
        <v>3.28</v>
      </c>
      <c r="P8559" s="12">
        <v>5</v>
      </c>
      <c r="Q8559" s="13">
        <v>-126.7</v>
      </c>
      <c r="R8559" s="38" t="s">
        <v>906</v>
      </c>
      <c r="S8559" s="7">
        <f t="shared" si="741"/>
        <v>0</v>
      </c>
      <c r="T8559" s="15" t="str">
        <f>VLOOKUP(R8559,产品分类!$C$2:$D$1278,2,0)</f>
        <v>数码电子</v>
      </c>
    </row>
    <row r="8560" spans="1:20">
      <c r="A8560" s="8">
        <f>DATE(2012,12,31)-186</f>
        <v>41088</v>
      </c>
      <c r="B8560" s="8">
        <f>DATE(2012,12,31)-186</f>
        <v>41088</v>
      </c>
      <c r="C8560" s="19" t="s">
        <v>2045</v>
      </c>
      <c r="D8560">
        <v>10021429325</v>
      </c>
      <c r="E8560" t="s">
        <v>47</v>
      </c>
      <c r="F8560" t="s">
        <v>61</v>
      </c>
      <c r="G8560" t="s">
        <v>62</v>
      </c>
      <c r="H8560" t="s">
        <v>2647</v>
      </c>
      <c r="I8560" t="s">
        <v>2648</v>
      </c>
      <c r="J8560" t="s">
        <v>52</v>
      </c>
      <c r="K8560" s="3">
        <v>100431415394</v>
      </c>
      <c r="L8560" s="10">
        <v>41095</v>
      </c>
      <c r="M8560">
        <v>9633.59</v>
      </c>
      <c r="N8560" s="11">
        <v>47</v>
      </c>
      <c r="O8560" s="12">
        <v>216.6</v>
      </c>
      <c r="P8560" s="12">
        <v>64.2</v>
      </c>
      <c r="Q8560" s="13">
        <v>176.67</v>
      </c>
      <c r="R8560" s="38" t="s">
        <v>898</v>
      </c>
      <c r="S8560" s="7">
        <f t="shared" si="741"/>
        <v>7</v>
      </c>
      <c r="T8560" s="15" t="str">
        <f>VLOOKUP(R8560,产品分类!$C$2:$D$1278,2,0)</f>
        <v>数码电子</v>
      </c>
    </row>
    <row r="8561" spans="1:20">
      <c r="A8561" s="8">
        <f>DATE(2012,12,31)-186</f>
        <v>41088</v>
      </c>
      <c r="B8561" s="8">
        <f>DATE(2012,12,31)-186</f>
        <v>41088</v>
      </c>
      <c r="C8561" s="19" t="s">
        <v>2045</v>
      </c>
      <c r="D8561">
        <v>10021766218</v>
      </c>
      <c r="E8561" t="s">
        <v>47</v>
      </c>
      <c r="F8561" t="s">
        <v>83</v>
      </c>
      <c r="G8561" t="s">
        <v>84</v>
      </c>
      <c r="H8561" t="s">
        <v>2577</v>
      </c>
      <c r="I8561" t="s">
        <v>2578</v>
      </c>
      <c r="J8561" t="s">
        <v>52</v>
      </c>
      <c r="K8561" s="3">
        <v>1001443676</v>
      </c>
      <c r="L8561" s="10">
        <v>41093</v>
      </c>
      <c r="M8561">
        <v>3758.77</v>
      </c>
      <c r="N8561" s="11">
        <v>26</v>
      </c>
      <c r="O8561" s="12">
        <v>140.81</v>
      </c>
      <c r="P8561" s="12">
        <v>24.49</v>
      </c>
      <c r="Q8561" s="13">
        <v>753.61</v>
      </c>
      <c r="R8561" s="38" t="s">
        <v>1469</v>
      </c>
      <c r="S8561" s="7">
        <f t="shared" si="741"/>
        <v>5</v>
      </c>
      <c r="T8561" s="15" t="str">
        <f>VLOOKUP(R8561,产品分类!$C$2:$D$1278,2,0)</f>
        <v>办公用品</v>
      </c>
    </row>
    <row r="8562" spans="1:20">
      <c r="A8562" s="8">
        <f>DATE(2012,12,31)-318</f>
        <v>40956</v>
      </c>
      <c r="B8562" s="8">
        <f>DATE(2012,12,31)-318</f>
        <v>40956</v>
      </c>
      <c r="C8562" s="19" t="s">
        <v>2045</v>
      </c>
      <c r="D8562">
        <v>10021751061</v>
      </c>
      <c r="E8562" t="s">
        <v>47</v>
      </c>
      <c r="F8562" t="s">
        <v>61</v>
      </c>
      <c r="G8562" t="s">
        <v>62</v>
      </c>
      <c r="H8562" t="s">
        <v>2647</v>
      </c>
      <c r="I8562" t="s">
        <v>2648</v>
      </c>
      <c r="J8562" t="s">
        <v>52</v>
      </c>
      <c r="K8562" s="3">
        <v>100431415394</v>
      </c>
      <c r="L8562" s="10">
        <v>40958</v>
      </c>
      <c r="M8562">
        <v>1616.66</v>
      </c>
      <c r="N8562" s="11">
        <v>15</v>
      </c>
      <c r="O8562" s="12">
        <v>100.98</v>
      </c>
      <c r="P8562" s="12">
        <v>56.22</v>
      </c>
      <c r="Q8562" s="13">
        <v>112.58</v>
      </c>
      <c r="R8562" s="38" t="s">
        <v>424</v>
      </c>
      <c r="S8562" s="7">
        <f t="shared" si="741"/>
        <v>2</v>
      </c>
      <c r="T8562" s="15" t="str">
        <f>VLOOKUP(R8562,产品分类!$C$2:$D$1278,2,0)</f>
        <v>数码电子</v>
      </c>
    </row>
    <row r="8563" spans="1:20">
      <c r="A8563" s="8">
        <f>DATE(2012,12,31)-318</f>
        <v>40956</v>
      </c>
      <c r="B8563" s="8">
        <f>DATE(2012,12,31)-318</f>
        <v>40956</v>
      </c>
      <c r="C8563" s="19" t="s">
        <v>2045</v>
      </c>
      <c r="D8563">
        <v>10021744848</v>
      </c>
      <c r="E8563" t="s">
        <v>47</v>
      </c>
      <c r="F8563" t="s">
        <v>61</v>
      </c>
      <c r="G8563" t="s">
        <v>62</v>
      </c>
      <c r="H8563" t="s">
        <v>2647</v>
      </c>
      <c r="I8563" t="s">
        <v>2648</v>
      </c>
      <c r="J8563" t="s">
        <v>52</v>
      </c>
      <c r="K8563" s="3">
        <v>1001613758</v>
      </c>
      <c r="L8563" s="10">
        <v>40957</v>
      </c>
      <c r="M8563">
        <v>96.21</v>
      </c>
      <c r="N8563" s="11">
        <v>6</v>
      </c>
      <c r="O8563" s="12">
        <v>14.58</v>
      </c>
      <c r="P8563" s="12">
        <v>57.4</v>
      </c>
      <c r="Q8563" s="13">
        <v>-19.34</v>
      </c>
      <c r="R8563" s="38" t="s">
        <v>379</v>
      </c>
      <c r="S8563" s="7">
        <f t="shared" si="741"/>
        <v>1</v>
      </c>
      <c r="T8563" s="15" t="str">
        <f>VLOOKUP(R8563,产品分类!$C$2:$D$1278,2,0)</f>
        <v>数码电子</v>
      </c>
    </row>
    <row r="8564" spans="1:20">
      <c r="A8564" s="8">
        <f t="shared" ref="A8564:B8566" si="744">DATE(2012,12,31)-46</f>
        <v>41228</v>
      </c>
      <c r="B8564" s="8">
        <f t="shared" si="744"/>
        <v>41228</v>
      </c>
      <c r="C8564" s="19" t="s">
        <v>2045</v>
      </c>
      <c r="D8564">
        <v>10021493994</v>
      </c>
      <c r="E8564" t="s">
        <v>47</v>
      </c>
      <c r="F8564" t="s">
        <v>208</v>
      </c>
      <c r="G8564" t="s">
        <v>209</v>
      </c>
      <c r="H8564" t="s">
        <v>2680</v>
      </c>
      <c r="I8564" t="s">
        <v>2681</v>
      </c>
      <c r="J8564" t="s">
        <v>52</v>
      </c>
      <c r="K8564" s="3">
        <v>10039512599</v>
      </c>
      <c r="L8564" s="10">
        <v>41229</v>
      </c>
      <c r="M8564">
        <v>18.91</v>
      </c>
      <c r="N8564" s="11">
        <v>3</v>
      </c>
      <c r="O8564" s="12">
        <v>3.89</v>
      </c>
      <c r="P8564" s="12">
        <v>7.01</v>
      </c>
      <c r="Q8564" s="13">
        <v>-16.353</v>
      </c>
      <c r="R8564" s="38" t="s">
        <v>749</v>
      </c>
      <c r="S8564" s="7">
        <f t="shared" si="741"/>
        <v>1</v>
      </c>
      <c r="T8564" s="15" t="str">
        <f>VLOOKUP(R8564,产品分类!$C$2:$D$1278,2,0)</f>
        <v>办公用品</v>
      </c>
    </row>
    <row r="8565" spans="1:20">
      <c r="A8565" s="8">
        <f t="shared" si="744"/>
        <v>41228</v>
      </c>
      <c r="B8565" s="8">
        <f t="shared" si="744"/>
        <v>41228</v>
      </c>
      <c r="C8565" s="19" t="s">
        <v>1347</v>
      </c>
      <c r="D8565">
        <v>10021509540</v>
      </c>
      <c r="E8565" t="s">
        <v>47</v>
      </c>
      <c r="F8565" t="s">
        <v>342</v>
      </c>
      <c r="G8565" t="s">
        <v>343</v>
      </c>
      <c r="H8565" t="s">
        <v>2637</v>
      </c>
      <c r="I8565" t="s">
        <v>2638</v>
      </c>
      <c r="J8565" t="s">
        <v>52</v>
      </c>
      <c r="K8565" s="3">
        <v>100132372896</v>
      </c>
      <c r="L8565" s="10">
        <v>41229</v>
      </c>
      <c r="M8565">
        <v>685.7</v>
      </c>
      <c r="N8565" s="11">
        <v>7</v>
      </c>
      <c r="O8565" s="12">
        <v>88.84</v>
      </c>
      <c r="P8565" s="12">
        <v>20.79</v>
      </c>
      <c r="Q8565" s="13">
        <v>350.94</v>
      </c>
      <c r="R8565" s="38" t="s">
        <v>2202</v>
      </c>
      <c r="S8565" s="7">
        <f t="shared" si="741"/>
        <v>1</v>
      </c>
      <c r="T8565" s="15" t="str">
        <f>VLOOKUP(R8565,产品分类!$C$2:$D$1278,2,0)</f>
        <v>办公用品</v>
      </c>
    </row>
    <row r="8566" spans="1:20">
      <c r="A8566" s="8">
        <f t="shared" si="744"/>
        <v>41228</v>
      </c>
      <c r="B8566" s="8">
        <f t="shared" si="744"/>
        <v>41228</v>
      </c>
      <c r="C8566" s="19" t="s">
        <v>1347</v>
      </c>
      <c r="D8566">
        <v>10021249146</v>
      </c>
      <c r="E8566" t="s">
        <v>47</v>
      </c>
      <c r="F8566" t="s">
        <v>61</v>
      </c>
      <c r="G8566" t="s">
        <v>62</v>
      </c>
      <c r="H8566" t="s">
        <v>2647</v>
      </c>
      <c r="I8566" t="s">
        <v>2648</v>
      </c>
      <c r="J8566" t="s">
        <v>52</v>
      </c>
      <c r="K8566" s="3">
        <v>10011786396</v>
      </c>
      <c r="L8566" s="10">
        <v>41229</v>
      </c>
      <c r="M8566">
        <v>1024.165</v>
      </c>
      <c r="N8566" s="11">
        <v>10</v>
      </c>
      <c r="O8566" s="12">
        <v>115.99</v>
      </c>
      <c r="P8566" s="12">
        <v>5.99</v>
      </c>
      <c r="Q8566" s="13">
        <v>-105.699</v>
      </c>
      <c r="R8566" s="38" t="s">
        <v>1082</v>
      </c>
      <c r="S8566" s="7">
        <f t="shared" si="741"/>
        <v>1</v>
      </c>
      <c r="T8566" s="15" t="str">
        <f>VLOOKUP(R8566,产品分类!$C$2:$D$1278,2,0)</f>
        <v>家具产品</v>
      </c>
    </row>
    <row r="8567" spans="1:20">
      <c r="A8567" s="8">
        <f>DATE(2012,12,31)-1438</f>
        <v>39836</v>
      </c>
      <c r="B8567" s="8">
        <f>DATE(2012,12,31)-1438</f>
        <v>39836</v>
      </c>
      <c r="C8567" s="19" t="s">
        <v>1347</v>
      </c>
      <c r="D8567">
        <v>10021687707</v>
      </c>
      <c r="E8567" t="s">
        <v>47</v>
      </c>
      <c r="F8567" t="s">
        <v>61</v>
      </c>
      <c r="G8567" t="s">
        <v>62</v>
      </c>
      <c r="H8567" t="s">
        <v>2647</v>
      </c>
      <c r="I8567" t="s">
        <v>2648</v>
      </c>
      <c r="J8567" t="s">
        <v>52</v>
      </c>
      <c r="K8567" s="3">
        <v>10043648784</v>
      </c>
      <c r="L8567" s="10">
        <v>39838</v>
      </c>
      <c r="M8567">
        <v>1383.2</v>
      </c>
      <c r="N8567" s="11">
        <v>18</v>
      </c>
      <c r="O8567" s="12">
        <v>73.98</v>
      </c>
      <c r="P8567" s="12">
        <v>12.14</v>
      </c>
      <c r="Q8567" s="13">
        <v>-23.44</v>
      </c>
      <c r="R8567" s="38" t="s">
        <v>600</v>
      </c>
      <c r="S8567" s="7">
        <f t="shared" si="741"/>
        <v>2</v>
      </c>
      <c r="T8567" s="15" t="str">
        <f>VLOOKUP(R8567,产品分类!$C$2:$D$1278,2,0)</f>
        <v>数码电子</v>
      </c>
    </row>
    <row r="8568" spans="1:20">
      <c r="A8568" s="8">
        <f>DATE(2012,12,31)-584</f>
        <v>40690</v>
      </c>
      <c r="B8568" s="8">
        <f>DATE(2012,12,31)-584</f>
        <v>40690</v>
      </c>
      <c r="C8568" s="19" t="s">
        <v>1347</v>
      </c>
      <c r="D8568">
        <v>10021606289</v>
      </c>
      <c r="E8568" t="s">
        <v>47</v>
      </c>
      <c r="F8568" t="s">
        <v>61</v>
      </c>
      <c r="G8568" t="s">
        <v>62</v>
      </c>
      <c r="H8568" t="s">
        <v>2647</v>
      </c>
      <c r="I8568" t="s">
        <v>2648</v>
      </c>
      <c r="J8568" t="s">
        <v>52</v>
      </c>
      <c r="K8568" s="3">
        <v>100915955311</v>
      </c>
      <c r="L8568" s="10">
        <v>40692</v>
      </c>
      <c r="M8568">
        <v>211.42</v>
      </c>
      <c r="N8568" s="11">
        <v>20</v>
      </c>
      <c r="O8568" s="12">
        <v>9.71</v>
      </c>
      <c r="P8568" s="12">
        <v>9.45</v>
      </c>
      <c r="Q8568" s="13">
        <v>-113.52</v>
      </c>
      <c r="R8568" s="38" t="s">
        <v>135</v>
      </c>
      <c r="S8568" s="7">
        <f t="shared" si="741"/>
        <v>2</v>
      </c>
      <c r="T8568" s="15" t="str">
        <f>VLOOKUP(R8568,产品分类!$C$2:$D$1278,2,0)</f>
        <v>办公用品</v>
      </c>
    </row>
  </sheetData>
  <autoFilter ref="A1:R8568">
    <extLst/>
  </autoFilter>
  <pageMargins left="0.7" right="0.7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3"/>
  <sheetViews>
    <sheetView workbookViewId="0">
      <selection activeCell="A18" sqref="$A18:$XFD23"/>
    </sheetView>
  </sheetViews>
  <sheetFormatPr defaultColWidth="9" defaultRowHeight="13.5" outlineLevelCol="2"/>
  <sheetData>
    <row r="2" ht="15" customHeight="1" spans="2:3">
      <c r="B2" t="s">
        <v>7</v>
      </c>
      <c r="C2" t="s">
        <v>2682</v>
      </c>
    </row>
    <row r="3" spans="2:3">
      <c r="B3" t="s">
        <v>13</v>
      </c>
      <c r="C3" t="s">
        <v>230</v>
      </c>
    </row>
    <row r="4" spans="2:3">
      <c r="B4" t="s">
        <v>13</v>
      </c>
      <c r="C4" t="s">
        <v>78</v>
      </c>
    </row>
    <row r="5" spans="2:3">
      <c r="B5" t="s">
        <v>13</v>
      </c>
      <c r="C5" t="s">
        <v>72</v>
      </c>
    </row>
    <row r="6" spans="2:3">
      <c r="B6" t="s">
        <v>14</v>
      </c>
      <c r="C6" t="s">
        <v>97</v>
      </c>
    </row>
    <row r="7" spans="2:3">
      <c r="B7" t="s">
        <v>14</v>
      </c>
      <c r="C7" t="s">
        <v>48</v>
      </c>
    </row>
    <row r="8" spans="2:3">
      <c r="B8" t="s">
        <v>14</v>
      </c>
      <c r="C8" t="s">
        <v>66</v>
      </c>
    </row>
    <row r="9" spans="2:3">
      <c r="B9" t="s">
        <v>14</v>
      </c>
      <c r="C9" t="s">
        <v>152</v>
      </c>
    </row>
    <row r="10" spans="2:3">
      <c r="B10" t="s">
        <v>14</v>
      </c>
      <c r="C10" t="s">
        <v>132</v>
      </c>
    </row>
    <row r="11" spans="2:3">
      <c r="B11" t="s">
        <v>15</v>
      </c>
      <c r="C11" t="s">
        <v>177</v>
      </c>
    </row>
    <row r="12" spans="2:3">
      <c r="B12" t="s">
        <v>15</v>
      </c>
      <c r="C12" t="s">
        <v>127</v>
      </c>
    </row>
    <row r="13" spans="2:3">
      <c r="B13" t="s">
        <v>15</v>
      </c>
      <c r="C13" t="s">
        <v>342</v>
      </c>
    </row>
    <row r="14" spans="2:3">
      <c r="B14" t="s">
        <v>15</v>
      </c>
      <c r="C14" t="s">
        <v>183</v>
      </c>
    </row>
    <row r="15" spans="2:3">
      <c r="B15" t="s">
        <v>15</v>
      </c>
      <c r="C15" t="s">
        <v>527</v>
      </c>
    </row>
    <row r="16" spans="2:3">
      <c r="B16" t="s">
        <v>15</v>
      </c>
      <c r="C16" t="s">
        <v>167</v>
      </c>
    </row>
    <row r="17" spans="2:3">
      <c r="B17" t="s">
        <v>15</v>
      </c>
      <c r="C17" t="s">
        <v>171</v>
      </c>
    </row>
    <row r="18" spans="2:3">
      <c r="B18" t="s">
        <v>16</v>
      </c>
      <c r="C18" t="s">
        <v>61</v>
      </c>
    </row>
    <row r="19" spans="2:3">
      <c r="B19" t="s">
        <v>16</v>
      </c>
      <c r="C19" t="s">
        <v>91</v>
      </c>
    </row>
    <row r="20" spans="2:3">
      <c r="B20" t="s">
        <v>16</v>
      </c>
      <c r="C20" t="s">
        <v>122</v>
      </c>
    </row>
    <row r="21" spans="2:3">
      <c r="B21" t="s">
        <v>16</v>
      </c>
      <c r="C21" t="s">
        <v>55</v>
      </c>
    </row>
    <row r="22" spans="2:3">
      <c r="B22" t="s">
        <v>16</v>
      </c>
      <c r="C22" t="s">
        <v>83</v>
      </c>
    </row>
    <row r="23" spans="2:3">
      <c r="B23" t="s">
        <v>16</v>
      </c>
      <c r="C23" t="s">
        <v>253</v>
      </c>
    </row>
    <row r="24" spans="2:3">
      <c r="B24" t="s">
        <v>17</v>
      </c>
      <c r="C24" t="s">
        <v>102</v>
      </c>
    </row>
    <row r="25" spans="2:3">
      <c r="B25" t="s">
        <v>17</v>
      </c>
      <c r="C25" t="s">
        <v>304</v>
      </c>
    </row>
    <row r="26" spans="2:3">
      <c r="B26" t="s">
        <v>17</v>
      </c>
      <c r="C26" t="s">
        <v>603</v>
      </c>
    </row>
    <row r="27" spans="2:3">
      <c r="B27" t="s">
        <v>17</v>
      </c>
      <c r="C27" t="s">
        <v>208</v>
      </c>
    </row>
    <row r="28" spans="2:3">
      <c r="B28" t="s">
        <v>17</v>
      </c>
      <c r="C28" t="s">
        <v>137</v>
      </c>
    </row>
    <row r="29" spans="2:3">
      <c r="B29" t="s">
        <v>18</v>
      </c>
      <c r="C29" t="s">
        <v>473</v>
      </c>
    </row>
    <row r="30" spans="2:3">
      <c r="B30" t="s">
        <v>18</v>
      </c>
      <c r="C30" t="s">
        <v>114</v>
      </c>
    </row>
    <row r="31" spans="2:3">
      <c r="B31" t="s">
        <v>18</v>
      </c>
      <c r="C31" t="s">
        <v>277</v>
      </c>
    </row>
    <row r="32" spans="2:3">
      <c r="B32" t="s">
        <v>18</v>
      </c>
      <c r="C32" t="s">
        <v>2517</v>
      </c>
    </row>
    <row r="33" spans="2:3">
      <c r="B33" t="s">
        <v>18</v>
      </c>
      <c r="C33" t="s">
        <v>434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3324"/>
  <sheetViews>
    <sheetView topLeftCell="A1259" workbookViewId="0">
      <selection activeCell="A1279" sqref="$A1279:$XFD1279"/>
    </sheetView>
  </sheetViews>
  <sheetFormatPr defaultColWidth="9" defaultRowHeight="13.5" outlineLevelCol="7"/>
  <cols>
    <col min="2" max="2" width="33.875" customWidth="1"/>
    <col min="3" max="3" width="79.75" customWidth="1"/>
    <col min="4" max="4" width="28.875" customWidth="1"/>
    <col min="5" max="5" width="14.125" customWidth="1"/>
    <col min="7" max="7" width="20.375" customWidth="1"/>
    <col min="8" max="8" width="31" customWidth="1"/>
  </cols>
  <sheetData>
    <row r="1" spans="2:5">
      <c r="B1" t="s">
        <v>2683</v>
      </c>
      <c r="C1" t="s">
        <v>12</v>
      </c>
      <c r="D1" t="s">
        <v>2684</v>
      </c>
      <c r="E1" t="s">
        <v>8</v>
      </c>
    </row>
    <row r="2" spans="2:5">
      <c r="B2" t="s">
        <v>2685</v>
      </c>
      <c r="C2" t="s">
        <v>545</v>
      </c>
      <c r="D2" t="s">
        <v>25</v>
      </c>
      <c r="E2">
        <f>SUMIF(数据源!R270:R8836,C2,数据源!M270:M8836)</f>
        <v>177767.93</v>
      </c>
    </row>
    <row r="3" spans="2:5">
      <c r="B3" t="s">
        <v>2686</v>
      </c>
      <c r="C3" t="s">
        <v>790</v>
      </c>
      <c r="D3" t="s">
        <v>27</v>
      </c>
      <c r="E3">
        <f>SUMIF(数据源!R2967:R11533,C3,数据源!M2967:M11533)</f>
        <v>168339.62</v>
      </c>
    </row>
    <row r="4" spans="2:5">
      <c r="B4" t="s">
        <v>2687</v>
      </c>
      <c r="C4" t="s">
        <v>634</v>
      </c>
      <c r="D4" t="s">
        <v>25</v>
      </c>
      <c r="E4">
        <f>SUMIF(数据源!R719:R9285,C4,数据源!M719:M9285)</f>
        <v>137826.25</v>
      </c>
    </row>
    <row r="5" spans="2:5">
      <c r="B5" t="s">
        <v>2688</v>
      </c>
      <c r="C5" t="s">
        <v>614</v>
      </c>
      <c r="D5" t="s">
        <v>25</v>
      </c>
      <c r="E5">
        <f>SUMIF(数据源!R1002:R9568,C5,数据源!M1002:M9568)</f>
        <v>138686.4</v>
      </c>
    </row>
    <row r="6" spans="2:5">
      <c r="B6" t="s">
        <v>2689</v>
      </c>
      <c r="C6" t="s">
        <v>706</v>
      </c>
      <c r="D6" t="s">
        <v>25</v>
      </c>
      <c r="E6">
        <f>SUMIF(数据源!R96:R8662,C6,数据源!M96:M8662)</f>
        <v>187865.95</v>
      </c>
    </row>
    <row r="7" spans="2:5">
      <c r="B7" t="s">
        <v>2685</v>
      </c>
      <c r="C7" t="s">
        <v>1048</v>
      </c>
      <c r="D7" t="s">
        <v>25</v>
      </c>
      <c r="E7">
        <f>SUMIF(数据源!R350:R8916,C7,数据源!M350:M8916)</f>
        <v>124152.268</v>
      </c>
    </row>
    <row r="8" spans="2:5">
      <c r="B8" t="s">
        <v>2690</v>
      </c>
      <c r="C8" t="s">
        <v>1171</v>
      </c>
      <c r="D8" t="s">
        <v>25</v>
      </c>
      <c r="E8">
        <f>SUMIF(数据源!R1285:R9851,C8,数据源!M1285:M9851)</f>
        <v>92006.65</v>
      </c>
    </row>
    <row r="9" spans="2:5">
      <c r="B9" t="s">
        <v>2691</v>
      </c>
      <c r="C9" t="s">
        <v>248</v>
      </c>
      <c r="D9" t="s">
        <v>26</v>
      </c>
      <c r="E9">
        <f>SUMIF(数据源!R2001:R10567,C9,数据源!M2001:M10567)</f>
        <v>59165.7065</v>
      </c>
    </row>
    <row r="10" spans="2:5">
      <c r="B10" t="s">
        <v>2692</v>
      </c>
      <c r="C10" t="s">
        <v>1195</v>
      </c>
      <c r="D10" t="s">
        <v>25</v>
      </c>
      <c r="E10">
        <f>SUMIF(数据源!R577:R9143,C10,数据源!M577:M9143)</f>
        <v>91304.61</v>
      </c>
    </row>
    <row r="11" spans="2:5">
      <c r="B11" t="s">
        <v>2693</v>
      </c>
      <c r="C11" t="s">
        <v>2058</v>
      </c>
      <c r="D11" t="s">
        <v>27</v>
      </c>
      <c r="E11">
        <f>SUMIF(数据源!R2842:R11408,C11,数据源!M2842:M11408)</f>
        <v>74889.27</v>
      </c>
    </row>
    <row r="12" spans="2:5">
      <c r="B12" t="s">
        <v>2690</v>
      </c>
      <c r="C12" t="s">
        <v>1223</v>
      </c>
      <c r="D12" t="s">
        <v>25</v>
      </c>
      <c r="E12">
        <f>SUMIF(数据源!R1331:R9897,C12,数据源!M1331:M9897)</f>
        <v>82104.35</v>
      </c>
    </row>
    <row r="13" spans="2:5">
      <c r="B13" t="s">
        <v>2694</v>
      </c>
      <c r="C13" t="s">
        <v>1880</v>
      </c>
      <c r="D13" t="s">
        <v>25</v>
      </c>
      <c r="E13">
        <f>SUMIF(数据源!R1737:R10303,C13,数据源!M1737:M10303)</f>
        <v>84393.93</v>
      </c>
    </row>
    <row r="14" spans="2:5">
      <c r="B14" t="s">
        <v>2695</v>
      </c>
      <c r="C14" t="s">
        <v>1742</v>
      </c>
      <c r="D14" t="s">
        <v>26</v>
      </c>
      <c r="E14">
        <f>SUMIF(数据源!R1913:R10479,C14,数据源!M1913:M10479)</f>
        <v>80414.441</v>
      </c>
    </row>
    <row r="15" spans="2:5">
      <c r="B15" t="s">
        <v>2691</v>
      </c>
      <c r="C15" t="s">
        <v>1642</v>
      </c>
      <c r="D15" t="s">
        <v>26</v>
      </c>
      <c r="E15">
        <f>SUMIF(数据源!R2059:R10625,C15,数据源!M2059:M10625)</f>
        <v>70132.826</v>
      </c>
    </row>
    <row r="16" spans="2:5">
      <c r="B16" t="s">
        <v>2696</v>
      </c>
      <c r="C16" t="s">
        <v>929</v>
      </c>
      <c r="D16" t="s">
        <v>27</v>
      </c>
      <c r="E16">
        <f>SUMIF(数据源!R2657:R11223,C16,数据源!M2657:M11223)</f>
        <v>27184.57</v>
      </c>
    </row>
    <row r="17" spans="2:5">
      <c r="B17" t="s">
        <v>2697</v>
      </c>
      <c r="C17" t="s">
        <v>498</v>
      </c>
      <c r="D17" t="s">
        <v>26</v>
      </c>
      <c r="E17">
        <f>SUMIF(数据源!R2252:R10818,C17,数据源!M2252:M10818)</f>
        <v>54762.6705</v>
      </c>
    </row>
    <row r="18" spans="2:5">
      <c r="B18" t="s">
        <v>2685</v>
      </c>
      <c r="C18" t="s">
        <v>192</v>
      </c>
      <c r="D18" t="s">
        <v>25</v>
      </c>
      <c r="E18">
        <f>SUMIF(数据源!R265:R8831,C18,数据源!M265:M8831)</f>
        <v>76416.26</v>
      </c>
    </row>
    <row r="19" spans="2:5">
      <c r="B19" t="s">
        <v>2698</v>
      </c>
      <c r="C19" t="s">
        <v>950</v>
      </c>
      <c r="D19" t="s">
        <v>27</v>
      </c>
      <c r="E19">
        <f>SUMIF(数据源!R3168:R11734,C19,数据源!M3168:M11734)</f>
        <v>74041.17</v>
      </c>
    </row>
    <row r="20" spans="2:5">
      <c r="B20" t="s">
        <v>2686</v>
      </c>
      <c r="C20" t="s">
        <v>2171</v>
      </c>
      <c r="D20" t="s">
        <v>27</v>
      </c>
      <c r="E20">
        <f>SUMIF(数据源!R2972:R11538,C20,数据源!M2972:M11538)</f>
        <v>75407.03</v>
      </c>
    </row>
    <row r="21" spans="2:5">
      <c r="B21" t="s">
        <v>2689</v>
      </c>
      <c r="C21" t="s">
        <v>1863</v>
      </c>
      <c r="D21" t="s">
        <v>25</v>
      </c>
      <c r="E21">
        <f>SUMIF(数据源!R149:R8715,C21,数据源!M149:M8715)</f>
        <v>73307.18</v>
      </c>
    </row>
    <row r="22" spans="2:5">
      <c r="B22" t="s">
        <v>2685</v>
      </c>
      <c r="C22" t="s">
        <v>444</v>
      </c>
      <c r="D22" t="s">
        <v>25</v>
      </c>
      <c r="E22">
        <f>SUMIF(数据源!R445:R9011,C22,数据源!M445:M9011)</f>
        <v>63017.174</v>
      </c>
    </row>
    <row r="23" spans="2:5">
      <c r="B23" t="s">
        <v>2698</v>
      </c>
      <c r="C23" t="s">
        <v>1785</v>
      </c>
      <c r="D23" t="s">
        <v>27</v>
      </c>
      <c r="E23">
        <f>SUMIF(数据源!R3169:R11735,C23,数据源!M3169:M11735)</f>
        <v>48522.6415</v>
      </c>
    </row>
    <row r="24" spans="2:5">
      <c r="B24" t="s">
        <v>2690</v>
      </c>
      <c r="C24" t="s">
        <v>456</v>
      </c>
      <c r="D24" t="s">
        <v>25</v>
      </c>
      <c r="E24">
        <f>SUMIF(数据源!R1283:R9849,C24,数据源!M1283:M9849)</f>
        <v>56614.626</v>
      </c>
    </row>
    <row r="25" spans="2:5">
      <c r="B25" t="s">
        <v>2693</v>
      </c>
      <c r="C25" t="s">
        <v>898</v>
      </c>
      <c r="D25" t="s">
        <v>27</v>
      </c>
      <c r="E25">
        <f>SUMIF(数据源!R2836:R11402,C25,数据源!M2836:M11402)</f>
        <v>69531.08</v>
      </c>
    </row>
    <row r="26" spans="2:5">
      <c r="B26" t="s">
        <v>2685</v>
      </c>
      <c r="C26" t="s">
        <v>755</v>
      </c>
      <c r="D26" t="s">
        <v>25</v>
      </c>
      <c r="E26">
        <f>SUMIF(数据源!R354:R8920,C26,数据源!M354:M8920)</f>
        <v>72298.57</v>
      </c>
    </row>
    <row r="27" spans="2:5">
      <c r="B27" t="s">
        <v>2685</v>
      </c>
      <c r="C27" t="s">
        <v>782</v>
      </c>
      <c r="D27" t="s">
        <v>25</v>
      </c>
      <c r="E27">
        <f>SUMIF(数据源!R264:R8830,C27,数据源!M264:M8830)</f>
        <v>68228.67</v>
      </c>
    </row>
    <row r="28" spans="2:5">
      <c r="B28" t="s">
        <v>2688</v>
      </c>
      <c r="C28" t="s">
        <v>1213</v>
      </c>
      <c r="D28" t="s">
        <v>25</v>
      </c>
      <c r="E28">
        <f>SUMIF(数据源!R843:R9409,C28,数据源!M843:M9409)</f>
        <v>66262.508</v>
      </c>
    </row>
    <row r="29" spans="2:5">
      <c r="B29" t="s">
        <v>2699</v>
      </c>
      <c r="C29" t="s">
        <v>126</v>
      </c>
      <c r="D29" t="s">
        <v>26</v>
      </c>
      <c r="E29">
        <f>SUMIF(数据源!R2450:R11016,C29,数据源!M2450:M11016)</f>
        <v>44782.3</v>
      </c>
    </row>
    <row r="30" spans="2:5">
      <c r="B30" t="s">
        <v>2690</v>
      </c>
      <c r="C30" t="s">
        <v>860</v>
      </c>
      <c r="D30" t="s">
        <v>25</v>
      </c>
      <c r="E30">
        <f>SUMIF(数据源!R1282:R9848,C30,数据源!M1282:M9848)</f>
        <v>63776.725</v>
      </c>
    </row>
    <row r="31" spans="2:5">
      <c r="B31" t="s">
        <v>2695</v>
      </c>
      <c r="C31" t="s">
        <v>505</v>
      </c>
      <c r="D31" t="s">
        <v>26</v>
      </c>
      <c r="E31">
        <f>SUMIF(数据源!R1869:R10435,C31,数据源!M1869:M10435)</f>
        <v>41553.26</v>
      </c>
    </row>
    <row r="32" spans="2:5">
      <c r="B32" t="s">
        <v>2685</v>
      </c>
      <c r="C32" t="s">
        <v>1166</v>
      </c>
      <c r="D32" t="s">
        <v>25</v>
      </c>
      <c r="E32">
        <f>SUMIF(数据源!R355:R8921,C32,数据源!M355:M8921)</f>
        <v>65786.412</v>
      </c>
    </row>
    <row r="33" spans="2:5">
      <c r="B33" t="s">
        <v>2700</v>
      </c>
      <c r="C33" t="s">
        <v>1545</v>
      </c>
      <c r="D33" t="s">
        <v>25</v>
      </c>
      <c r="E33">
        <f>SUMIF(数据源!R1511:R10077,C33,数据源!M1511:M10077)</f>
        <v>52147.39</v>
      </c>
    </row>
    <row r="34" spans="2:5">
      <c r="B34" t="s">
        <v>2688</v>
      </c>
      <c r="C34" t="s">
        <v>372</v>
      </c>
      <c r="D34" t="s">
        <v>25</v>
      </c>
      <c r="E34">
        <f>SUMIF(数据源!R1028:R9594,C34,数据源!M1028:M9594)</f>
        <v>61312.848</v>
      </c>
    </row>
    <row r="35" spans="2:5">
      <c r="B35" t="s">
        <v>2690</v>
      </c>
      <c r="C35" t="s">
        <v>1063</v>
      </c>
      <c r="D35" t="s">
        <v>25</v>
      </c>
      <c r="E35">
        <f>SUMIF(数据源!R1423:R9989,C35,数据源!M1423:M9989)</f>
        <v>50901.42</v>
      </c>
    </row>
    <row r="36" spans="2:5">
      <c r="B36" t="s">
        <v>2686</v>
      </c>
      <c r="C36" t="s">
        <v>237</v>
      </c>
      <c r="D36" t="s">
        <v>27</v>
      </c>
      <c r="E36">
        <f>SUMIF(数据源!R2884:R11450,C36,数据源!M2884:M11450)</f>
        <v>45642.798</v>
      </c>
    </row>
    <row r="37" spans="2:5">
      <c r="B37" t="s">
        <v>2693</v>
      </c>
      <c r="C37" t="s">
        <v>1214</v>
      </c>
      <c r="D37" t="s">
        <v>27</v>
      </c>
      <c r="E37">
        <f>SUMIF(数据源!R2830:R11396,C37,数据源!M2830:M11396)</f>
        <v>17251.33</v>
      </c>
    </row>
    <row r="38" spans="2:5">
      <c r="B38" t="s">
        <v>2685</v>
      </c>
      <c r="C38" t="s">
        <v>1283</v>
      </c>
      <c r="D38" t="s">
        <v>25</v>
      </c>
      <c r="E38">
        <f>SUMIF(数据源!R308:R8874,C38,数据源!M308:M8874)</f>
        <v>54805.93</v>
      </c>
    </row>
    <row r="39" spans="2:5">
      <c r="B39" t="s">
        <v>2694</v>
      </c>
      <c r="C39" t="s">
        <v>493</v>
      </c>
      <c r="D39" t="s">
        <v>25</v>
      </c>
      <c r="E39">
        <f>SUMIF(数据源!R1712:R10278,C39,数据源!M1712:M10278)</f>
        <v>44128.46</v>
      </c>
    </row>
    <row r="40" spans="2:5">
      <c r="B40" t="s">
        <v>2685</v>
      </c>
      <c r="C40" t="s">
        <v>629</v>
      </c>
      <c r="D40" t="s">
        <v>25</v>
      </c>
      <c r="E40">
        <f>SUMIF(数据源!R277:R8843,C40,数据源!M277:M8843)</f>
        <v>54576.646</v>
      </c>
    </row>
    <row r="41" spans="2:5">
      <c r="B41" t="s">
        <v>2697</v>
      </c>
      <c r="C41" t="s">
        <v>1543</v>
      </c>
      <c r="D41" t="s">
        <v>26</v>
      </c>
      <c r="E41">
        <f>SUMIF(数据源!R2233:R10799,C41,数据源!M2233:M10799)</f>
        <v>51843.065</v>
      </c>
    </row>
    <row r="42" spans="2:5">
      <c r="B42" t="s">
        <v>2685</v>
      </c>
      <c r="C42" t="s">
        <v>652</v>
      </c>
      <c r="D42" t="s">
        <v>25</v>
      </c>
      <c r="E42">
        <f>SUMIF(数据源!R309:R8875,C42,数据源!M309:M8875)</f>
        <v>50905.65</v>
      </c>
    </row>
    <row r="43" spans="2:5">
      <c r="B43" t="s">
        <v>2685</v>
      </c>
      <c r="C43" t="s">
        <v>769</v>
      </c>
      <c r="D43" t="s">
        <v>25</v>
      </c>
      <c r="E43">
        <f>SUMIF(数据源!R321:R8887,C43,数据源!M321:M8887)</f>
        <v>66194.6415</v>
      </c>
    </row>
    <row r="44" spans="2:5">
      <c r="B44" t="s">
        <v>2689</v>
      </c>
      <c r="C44" t="s">
        <v>1081</v>
      </c>
      <c r="D44" t="s">
        <v>25</v>
      </c>
      <c r="E44">
        <f>SUMIF(数据源!R117:R8683,C44,数据源!M117:M8683)</f>
        <v>63968.642</v>
      </c>
    </row>
    <row r="45" spans="2:5">
      <c r="B45" t="s">
        <v>2688</v>
      </c>
      <c r="C45" t="s">
        <v>1459</v>
      </c>
      <c r="D45" t="s">
        <v>25</v>
      </c>
      <c r="E45">
        <f>SUMIF(数据源!R1069:R9635,C45,数据源!M1069:M9635)</f>
        <v>52378.45</v>
      </c>
    </row>
    <row r="46" spans="2:5">
      <c r="B46" t="s">
        <v>2686</v>
      </c>
      <c r="C46" t="s">
        <v>1967</v>
      </c>
      <c r="D46" t="s">
        <v>27</v>
      </c>
      <c r="E46">
        <f>SUMIF(数据源!R2925:R11491,C46,数据源!M2925:M11491)</f>
        <v>41129.97</v>
      </c>
    </row>
    <row r="47" spans="2:5">
      <c r="B47" t="s">
        <v>2691</v>
      </c>
      <c r="C47" t="s">
        <v>779</v>
      </c>
      <c r="D47" t="s">
        <v>26</v>
      </c>
      <c r="E47">
        <f>SUMIF(数据源!R2005:R10571,C47,数据源!M2005:M10571)</f>
        <v>23507.545</v>
      </c>
    </row>
    <row r="48" spans="2:5">
      <c r="B48" t="s">
        <v>2693</v>
      </c>
      <c r="C48" t="s">
        <v>1646</v>
      </c>
      <c r="D48" t="s">
        <v>27</v>
      </c>
      <c r="E48">
        <f>SUMIF(数据源!R2843:R11409,C48,数据源!M2843:M11409)</f>
        <v>34495.02</v>
      </c>
    </row>
    <row r="49" spans="2:5">
      <c r="B49" t="s">
        <v>2686</v>
      </c>
      <c r="C49" t="s">
        <v>272</v>
      </c>
      <c r="D49" t="s">
        <v>27</v>
      </c>
      <c r="E49">
        <f>SUMIF(数据源!R2927:R11493,C49,数据源!M2927:M11493)</f>
        <v>35583.19</v>
      </c>
    </row>
    <row r="50" spans="2:5">
      <c r="B50" t="s">
        <v>2694</v>
      </c>
      <c r="C50" t="s">
        <v>2110</v>
      </c>
      <c r="D50" t="s">
        <v>25</v>
      </c>
      <c r="E50">
        <f>SUMIF(数据源!R1834:R10400,C50,数据源!M1834:M10400)</f>
        <v>45627.324</v>
      </c>
    </row>
    <row r="51" spans="2:5">
      <c r="B51" t="s">
        <v>2691</v>
      </c>
      <c r="C51" t="s">
        <v>764</v>
      </c>
      <c r="D51" t="s">
        <v>26</v>
      </c>
      <c r="E51">
        <f>SUMIF(数据源!R1956:R10522,C51,数据源!M1956:M10522)</f>
        <v>45990.66</v>
      </c>
    </row>
    <row r="52" spans="2:5">
      <c r="B52" t="s">
        <v>2685</v>
      </c>
      <c r="C52" t="s">
        <v>720</v>
      </c>
      <c r="D52" t="s">
        <v>25</v>
      </c>
      <c r="E52">
        <f>SUMIF(数据源!R268:R8834,C52,数据源!M268:M8834)</f>
        <v>44712.75</v>
      </c>
    </row>
    <row r="53" spans="2:5">
      <c r="B53" t="s">
        <v>2689</v>
      </c>
      <c r="C53" t="s">
        <v>1252</v>
      </c>
      <c r="D53" t="s">
        <v>25</v>
      </c>
      <c r="E53">
        <f>SUMIF(数据源!R89:R8655,C53,数据源!M89:M8655)</f>
        <v>44300.098</v>
      </c>
    </row>
    <row r="54" spans="2:5">
      <c r="B54" t="s">
        <v>2687</v>
      </c>
      <c r="C54" t="s">
        <v>1025</v>
      </c>
      <c r="D54" t="s">
        <v>25</v>
      </c>
      <c r="E54">
        <f>SUMIF(数据源!R686:R9252,C54,数据源!M686:M9252)</f>
        <v>42400.24</v>
      </c>
    </row>
    <row r="55" spans="2:5">
      <c r="B55" t="s">
        <v>2688</v>
      </c>
      <c r="C55" t="s">
        <v>1975</v>
      </c>
      <c r="D55" t="s">
        <v>25</v>
      </c>
      <c r="E55">
        <f>SUMIF(数据源!R850:R9416,C55,数据源!M850:M9416)</f>
        <v>41211.38</v>
      </c>
    </row>
    <row r="56" spans="2:5">
      <c r="B56" t="s">
        <v>2699</v>
      </c>
      <c r="C56" t="s">
        <v>322</v>
      </c>
      <c r="D56" t="s">
        <v>26</v>
      </c>
      <c r="E56">
        <f>SUMIF(数据源!R2451:R11017,C56,数据源!M2451:M11017)</f>
        <v>29737.798</v>
      </c>
    </row>
    <row r="57" spans="2:5">
      <c r="B57" t="s">
        <v>2694</v>
      </c>
      <c r="C57" t="s">
        <v>1626</v>
      </c>
      <c r="D57" t="s">
        <v>25</v>
      </c>
      <c r="E57">
        <f>SUMIF(数据源!R1803:R10369,C57,数据源!M1803:M10369)</f>
        <v>30196.02</v>
      </c>
    </row>
    <row r="58" spans="2:5">
      <c r="B58" t="s">
        <v>2685</v>
      </c>
      <c r="C58" t="s">
        <v>479</v>
      </c>
      <c r="D58" t="s">
        <v>25</v>
      </c>
      <c r="E58">
        <f>SUMIF(数据源!R263:R8829,C58,数据源!M263:M8829)</f>
        <v>40940.33</v>
      </c>
    </row>
    <row r="59" spans="2:5">
      <c r="B59" t="s">
        <v>2694</v>
      </c>
      <c r="C59" t="s">
        <v>1360</v>
      </c>
      <c r="D59" t="s">
        <v>25</v>
      </c>
      <c r="E59">
        <f>SUMIF(数据源!R1801:R10367,C59,数据源!M1801:M10367)</f>
        <v>28771.358</v>
      </c>
    </row>
    <row r="60" spans="2:5">
      <c r="B60" t="s">
        <v>2699</v>
      </c>
      <c r="C60" t="s">
        <v>650</v>
      </c>
      <c r="D60" t="s">
        <v>26</v>
      </c>
      <c r="E60">
        <f>SUMIF(数据源!R2464:R11030,C60,数据源!M2464:M11030)</f>
        <v>39624.94</v>
      </c>
    </row>
    <row r="61" spans="2:5">
      <c r="B61" t="s">
        <v>2694</v>
      </c>
      <c r="C61" t="s">
        <v>778</v>
      </c>
      <c r="D61" t="s">
        <v>25</v>
      </c>
      <c r="E61">
        <f>SUMIF(数据源!R1676:R10242,C61,数据源!M1676:M10242)</f>
        <v>15963.79</v>
      </c>
    </row>
    <row r="62" spans="2:5">
      <c r="B62" t="s">
        <v>2691</v>
      </c>
      <c r="C62" t="s">
        <v>1220</v>
      </c>
      <c r="D62" t="s">
        <v>26</v>
      </c>
      <c r="E62">
        <f>SUMIF(数据源!R2016:R10582,C62,数据源!M2016:M10582)</f>
        <v>39164.3205</v>
      </c>
    </row>
    <row r="63" spans="2:5">
      <c r="B63" t="s">
        <v>2691</v>
      </c>
      <c r="C63" t="s">
        <v>1694</v>
      </c>
      <c r="D63" t="s">
        <v>26</v>
      </c>
      <c r="E63">
        <f>SUMIF(数据源!R2003:R10569,C63,数据源!M2003:M10569)</f>
        <v>56578.2875</v>
      </c>
    </row>
    <row r="64" spans="2:5">
      <c r="B64" t="s">
        <v>2692</v>
      </c>
      <c r="C64" t="s">
        <v>1979</v>
      </c>
      <c r="D64" t="s">
        <v>25</v>
      </c>
      <c r="E64">
        <f>SUMIF(数据源!R579:R9145,C64,数据源!M579:M9145)</f>
        <v>37947.57</v>
      </c>
    </row>
    <row r="65" spans="2:5">
      <c r="B65" t="s">
        <v>2688</v>
      </c>
      <c r="C65" t="s">
        <v>532</v>
      </c>
      <c r="D65" t="s">
        <v>25</v>
      </c>
      <c r="E65">
        <f>SUMIF(数据源!R917:R9483,C65,数据源!M917:M9483)</f>
        <v>37938.32</v>
      </c>
    </row>
    <row r="66" spans="2:5">
      <c r="B66" t="s">
        <v>2701</v>
      </c>
      <c r="C66" t="s">
        <v>566</v>
      </c>
      <c r="D66" t="s">
        <v>25</v>
      </c>
      <c r="E66">
        <f>SUMIF(数据源!R1602:R10168,C66,数据源!M1602:M10168)</f>
        <v>32101.9275</v>
      </c>
    </row>
    <row r="67" spans="2:5">
      <c r="B67" t="s">
        <v>2685</v>
      </c>
      <c r="C67" t="s">
        <v>979</v>
      </c>
      <c r="D67" t="s">
        <v>25</v>
      </c>
      <c r="E67">
        <f>SUMIF(数据源!R371:R8937,C67,数据源!M371:M8937)</f>
        <v>36891.93</v>
      </c>
    </row>
    <row r="68" spans="2:5">
      <c r="B68" t="s">
        <v>2694</v>
      </c>
      <c r="C68" t="s">
        <v>1067</v>
      </c>
      <c r="D68" t="s">
        <v>25</v>
      </c>
      <c r="E68">
        <f>SUMIF(数据源!R1727:R10293,C68,数据源!M1727:M10293)</f>
        <v>32543.43</v>
      </c>
    </row>
    <row r="69" spans="2:5">
      <c r="B69" t="s">
        <v>2685</v>
      </c>
      <c r="C69" t="s">
        <v>1570</v>
      </c>
      <c r="D69" t="s">
        <v>25</v>
      </c>
      <c r="E69">
        <f>SUMIF(数据源!R266:R8832,C69,数据源!M266:M8832)</f>
        <v>36610.3505</v>
      </c>
    </row>
    <row r="70" spans="2:5">
      <c r="B70" t="s">
        <v>2688</v>
      </c>
      <c r="C70" t="s">
        <v>730</v>
      </c>
      <c r="D70" t="s">
        <v>25</v>
      </c>
      <c r="E70">
        <f>SUMIF(数据源!R849:R9415,C70,数据源!M849:M9415)</f>
        <v>30133.182</v>
      </c>
    </row>
    <row r="71" spans="2:5">
      <c r="B71" t="s">
        <v>2687</v>
      </c>
      <c r="C71" t="s">
        <v>1740</v>
      </c>
      <c r="D71" t="s">
        <v>25</v>
      </c>
      <c r="E71">
        <f>SUMIF(数据源!R683:R9249,C71,数据源!M683:M9249)</f>
        <v>36276.63</v>
      </c>
    </row>
    <row r="72" spans="2:5">
      <c r="B72" t="s">
        <v>2687</v>
      </c>
      <c r="C72" t="s">
        <v>857</v>
      </c>
      <c r="D72" t="s">
        <v>25</v>
      </c>
      <c r="E72">
        <f>SUMIF(数据源!R705:R9271,C72,数据源!M705:M9271)</f>
        <v>37805.0915</v>
      </c>
    </row>
    <row r="73" spans="2:5">
      <c r="B73" t="s">
        <v>2688</v>
      </c>
      <c r="C73" t="s">
        <v>1453</v>
      </c>
      <c r="D73" t="s">
        <v>25</v>
      </c>
      <c r="E73">
        <f>SUMIF(数据源!R913:R9479,C73,数据源!M913:M9479)</f>
        <v>35627.709</v>
      </c>
    </row>
    <row r="74" spans="2:5">
      <c r="B74" t="s">
        <v>2685</v>
      </c>
      <c r="C74" t="s">
        <v>2092</v>
      </c>
      <c r="D74" t="s">
        <v>25</v>
      </c>
      <c r="E74">
        <f>SUMIF(数据源!R210:R8776,C74,数据源!M210:M8776)</f>
        <v>35480.46</v>
      </c>
    </row>
    <row r="75" spans="2:5">
      <c r="B75" t="s">
        <v>2690</v>
      </c>
      <c r="C75" t="s">
        <v>723</v>
      </c>
      <c r="D75" t="s">
        <v>25</v>
      </c>
      <c r="E75">
        <f>SUMIF(数据源!R1284:R9850,C75,数据源!M1284:M9850)</f>
        <v>33986.795</v>
      </c>
    </row>
    <row r="76" spans="2:5">
      <c r="B76" t="s">
        <v>2700</v>
      </c>
      <c r="C76" t="s">
        <v>1576</v>
      </c>
      <c r="D76" t="s">
        <v>25</v>
      </c>
      <c r="E76">
        <f>SUMIF(数据源!R1503:R10069,C76,数据源!M1503:M10069)</f>
        <v>40650.8</v>
      </c>
    </row>
    <row r="77" spans="2:5">
      <c r="B77" t="s">
        <v>2695</v>
      </c>
      <c r="C77" t="s">
        <v>583</v>
      </c>
      <c r="D77" t="s">
        <v>26</v>
      </c>
      <c r="E77">
        <f>SUMIF(数据源!R1873:R10439,C77,数据源!M1873:M10439)</f>
        <v>26157.19</v>
      </c>
    </row>
    <row r="78" spans="2:5">
      <c r="B78" t="s">
        <v>2690</v>
      </c>
      <c r="C78" t="s">
        <v>2164</v>
      </c>
      <c r="D78" t="s">
        <v>25</v>
      </c>
      <c r="E78">
        <f>SUMIF(数据源!R1329:R9895,C78,数据源!M1329:M9895)</f>
        <v>33897.757</v>
      </c>
    </row>
    <row r="79" spans="2:5">
      <c r="B79" t="s">
        <v>2685</v>
      </c>
      <c r="C79" t="s">
        <v>1090</v>
      </c>
      <c r="D79" t="s">
        <v>25</v>
      </c>
      <c r="E79">
        <f>SUMIF(数据源!R325:R8891,C79,数据源!M325:M8891)</f>
        <v>33733.587</v>
      </c>
    </row>
    <row r="80" spans="2:5">
      <c r="B80" t="s">
        <v>2685</v>
      </c>
      <c r="C80" t="s">
        <v>429</v>
      </c>
      <c r="D80" t="s">
        <v>25</v>
      </c>
      <c r="E80">
        <f>SUMIF(数据源!R361:R8927,C80,数据源!M361:M8927)</f>
        <v>33364.77</v>
      </c>
    </row>
    <row r="81" spans="2:5">
      <c r="B81" t="s">
        <v>2688</v>
      </c>
      <c r="C81" t="s">
        <v>1343</v>
      </c>
      <c r="D81" t="s">
        <v>25</v>
      </c>
      <c r="E81">
        <f>SUMIF(数据源!R929:R9495,C81,数据源!M929:M9495)</f>
        <v>32964.595</v>
      </c>
    </row>
    <row r="82" spans="2:5">
      <c r="B82" t="s">
        <v>2686</v>
      </c>
      <c r="C82" t="s">
        <v>1368</v>
      </c>
      <c r="D82" t="s">
        <v>27</v>
      </c>
      <c r="E82">
        <f>SUMIF(数据源!R2885:R11451,C82,数据源!M2885:M11451)</f>
        <v>19133.1995</v>
      </c>
    </row>
    <row r="83" spans="2:5">
      <c r="B83" t="s">
        <v>2688</v>
      </c>
      <c r="C83" t="s">
        <v>958</v>
      </c>
      <c r="D83" t="s">
        <v>25</v>
      </c>
      <c r="E83">
        <f>SUMIF(数据源!R931:R9497,C83,数据源!M931:M9497)</f>
        <v>31815.1555</v>
      </c>
    </row>
    <row r="84" spans="2:5">
      <c r="B84" t="s">
        <v>2685</v>
      </c>
      <c r="C84" t="s">
        <v>1684</v>
      </c>
      <c r="D84" t="s">
        <v>25</v>
      </c>
      <c r="E84">
        <f>SUMIF(数据源!R348:R8914,C84,数据源!M348:M8914)</f>
        <v>32385.454</v>
      </c>
    </row>
    <row r="85" spans="2:5">
      <c r="B85" t="s">
        <v>2694</v>
      </c>
      <c r="C85" t="s">
        <v>595</v>
      </c>
      <c r="D85" t="s">
        <v>25</v>
      </c>
      <c r="E85">
        <f>SUMIF(数据源!R1671:R10237,C85,数据源!M1671:M10237)</f>
        <v>32300.07</v>
      </c>
    </row>
    <row r="86" spans="2:5">
      <c r="B86" t="s">
        <v>2699</v>
      </c>
      <c r="C86" t="s">
        <v>2260</v>
      </c>
      <c r="D86" t="s">
        <v>26</v>
      </c>
      <c r="E86">
        <f>SUMIF(数据源!R2456:R11022,C86,数据源!M2456:M11022)</f>
        <v>31986.48</v>
      </c>
    </row>
    <row r="87" spans="2:5">
      <c r="B87" t="s">
        <v>2691</v>
      </c>
      <c r="C87" t="s">
        <v>559</v>
      </c>
      <c r="D87" t="s">
        <v>26</v>
      </c>
      <c r="E87">
        <f>SUMIF(数据源!R1979:R10545,C87,数据源!M1979:M10545)</f>
        <v>24697.95</v>
      </c>
    </row>
    <row r="88" spans="2:5">
      <c r="B88" t="s">
        <v>2690</v>
      </c>
      <c r="C88" t="s">
        <v>2098</v>
      </c>
      <c r="D88" t="s">
        <v>25</v>
      </c>
      <c r="E88">
        <f>SUMIF(数据源!R1263:R9829,C88,数据源!M1263:M9829)</f>
        <v>30909.25</v>
      </c>
    </row>
    <row r="89" spans="2:5">
      <c r="B89" t="s">
        <v>2698</v>
      </c>
      <c r="C89" t="s">
        <v>1552</v>
      </c>
      <c r="D89" t="s">
        <v>27</v>
      </c>
      <c r="E89">
        <f>SUMIF(数据源!R3151:R11717,C89,数据源!M3151:M11717)</f>
        <v>15686.37</v>
      </c>
    </row>
    <row r="90" spans="2:5">
      <c r="B90" t="s">
        <v>2693</v>
      </c>
      <c r="C90" t="s">
        <v>484</v>
      </c>
      <c r="D90" t="s">
        <v>27</v>
      </c>
      <c r="E90">
        <f>SUMIF(数据源!R2849:R11415,C90,数据源!M2849:M11415)</f>
        <v>30314.13</v>
      </c>
    </row>
    <row r="91" spans="2:5">
      <c r="B91" t="s">
        <v>2694</v>
      </c>
      <c r="C91" t="s">
        <v>670</v>
      </c>
      <c r="D91" t="s">
        <v>25</v>
      </c>
      <c r="E91">
        <f>SUMIF(数据源!R1742:R10308,C91,数据源!M1742:M10308)</f>
        <v>30290.22</v>
      </c>
    </row>
    <row r="92" spans="2:5">
      <c r="B92" t="s">
        <v>2685</v>
      </c>
      <c r="C92" t="s">
        <v>1627</v>
      </c>
      <c r="D92" t="s">
        <v>25</v>
      </c>
      <c r="E92">
        <f>SUMIF(数据源!R418:R8984,C92,数据源!M418:M8984)</f>
        <v>30255.604</v>
      </c>
    </row>
    <row r="93" spans="2:5">
      <c r="B93" t="s">
        <v>2687</v>
      </c>
      <c r="C93" t="s">
        <v>986</v>
      </c>
      <c r="D93" t="s">
        <v>25</v>
      </c>
      <c r="E93">
        <f>SUMIF(数据源!R718:R9284,C93,数据源!M718:M9284)</f>
        <v>29036.1335</v>
      </c>
    </row>
    <row r="94" spans="2:5">
      <c r="B94" t="s">
        <v>2688</v>
      </c>
      <c r="C94" t="s">
        <v>1483</v>
      </c>
      <c r="D94" t="s">
        <v>25</v>
      </c>
      <c r="E94">
        <f>SUMIF(数据源!R842:R9408,C94,数据源!M842:M9408)</f>
        <v>29337.35</v>
      </c>
    </row>
    <row r="95" spans="2:5">
      <c r="B95" t="s">
        <v>2690</v>
      </c>
      <c r="C95" t="s">
        <v>310</v>
      </c>
      <c r="D95" t="s">
        <v>25</v>
      </c>
      <c r="E95">
        <f>SUMIF(数据源!R1281:R9847,C95,数据源!M1281:M9847)</f>
        <v>18213.756</v>
      </c>
    </row>
    <row r="96" spans="2:5">
      <c r="B96" t="s">
        <v>2699</v>
      </c>
      <c r="C96" t="s">
        <v>891</v>
      </c>
      <c r="D96" t="s">
        <v>26</v>
      </c>
      <c r="E96">
        <f>SUMIF(数据源!R2452:R11018,C96,数据源!M2452:M11018)</f>
        <v>15478.18</v>
      </c>
    </row>
    <row r="97" spans="2:5">
      <c r="B97" t="s">
        <v>2691</v>
      </c>
      <c r="C97" t="s">
        <v>212</v>
      </c>
      <c r="D97" t="s">
        <v>26</v>
      </c>
      <c r="E97">
        <f>SUMIF(数据源!R1992:R10558,C97,数据源!M1992:M10558)</f>
        <v>27958.13</v>
      </c>
    </row>
    <row r="98" spans="2:5">
      <c r="B98" t="s">
        <v>2685</v>
      </c>
      <c r="C98" t="s">
        <v>289</v>
      </c>
      <c r="D98" t="s">
        <v>25</v>
      </c>
      <c r="E98">
        <f>SUMIF(数据源!R360:R8926,C98,数据源!M360:M8926)</f>
        <v>29114.3835</v>
      </c>
    </row>
    <row r="99" spans="2:5">
      <c r="B99" t="s">
        <v>2692</v>
      </c>
      <c r="C99" t="s">
        <v>471</v>
      </c>
      <c r="D99" t="s">
        <v>25</v>
      </c>
      <c r="E99">
        <f>SUMIF(数据源!R581:R9147,C99,数据源!M581:M9147)</f>
        <v>29027.757</v>
      </c>
    </row>
    <row r="100" spans="2:5">
      <c r="B100" t="s">
        <v>2694</v>
      </c>
      <c r="C100" t="s">
        <v>2165</v>
      </c>
      <c r="D100" t="s">
        <v>25</v>
      </c>
      <c r="E100">
        <f>SUMIF(数据源!R1669:R10235,C100,数据源!M1669:M10235)</f>
        <v>29001.63</v>
      </c>
    </row>
    <row r="101" spans="2:5">
      <c r="B101" t="s">
        <v>2696</v>
      </c>
      <c r="C101" t="s">
        <v>1737</v>
      </c>
      <c r="D101" t="s">
        <v>27</v>
      </c>
      <c r="E101">
        <f>SUMIF(数据源!R2646:R11212,C101,数据源!M2646:M11212)</f>
        <v>28958.792</v>
      </c>
    </row>
    <row r="102" spans="2:5">
      <c r="B102" t="s">
        <v>2685</v>
      </c>
      <c r="C102" t="s">
        <v>574</v>
      </c>
      <c r="D102" t="s">
        <v>25</v>
      </c>
      <c r="E102">
        <f>SUMIF(数据源!R269:R8835,C102,数据源!M269:M8835)</f>
        <v>34674.69</v>
      </c>
    </row>
    <row r="103" spans="2:5">
      <c r="B103" t="s">
        <v>2685</v>
      </c>
      <c r="C103" t="s">
        <v>1499</v>
      </c>
      <c r="D103" t="s">
        <v>25</v>
      </c>
      <c r="E103">
        <f>SUMIF(数据源!R255:R8821,C103,数据源!M255:M8821)</f>
        <v>28578.36</v>
      </c>
    </row>
    <row r="104" spans="2:5">
      <c r="B104" t="s">
        <v>2701</v>
      </c>
      <c r="C104" t="s">
        <v>161</v>
      </c>
      <c r="D104" t="s">
        <v>25</v>
      </c>
      <c r="E104">
        <f>SUMIF(数据源!R1591:R10157,C104,数据源!M1591:M10157)</f>
        <v>28317.36</v>
      </c>
    </row>
    <row r="105" spans="2:5">
      <c r="B105" t="s">
        <v>2688</v>
      </c>
      <c r="C105" t="s">
        <v>760</v>
      </c>
      <c r="D105" t="s">
        <v>25</v>
      </c>
      <c r="E105">
        <f>SUMIF(数据源!R794:R9360,C105,数据源!M794:M9360)</f>
        <v>28146.44</v>
      </c>
    </row>
    <row r="106" spans="2:5">
      <c r="B106" t="s">
        <v>2690</v>
      </c>
      <c r="C106" t="s">
        <v>599</v>
      </c>
      <c r="D106" t="s">
        <v>25</v>
      </c>
      <c r="E106">
        <f>SUMIF(数据源!R1240:R9806,C106,数据源!M1240:M9806)</f>
        <v>27887.44</v>
      </c>
    </row>
    <row r="107" spans="2:5">
      <c r="B107" t="s">
        <v>2691</v>
      </c>
      <c r="C107" t="s">
        <v>903</v>
      </c>
      <c r="D107" t="s">
        <v>26</v>
      </c>
      <c r="E107">
        <f>SUMIF(数据源!R2009:R10575,C107,数据源!M2009:M10575)</f>
        <v>27741.069</v>
      </c>
    </row>
    <row r="108" spans="2:5">
      <c r="B108" t="s">
        <v>2697</v>
      </c>
      <c r="C108" t="s">
        <v>1133</v>
      </c>
      <c r="D108" t="s">
        <v>26</v>
      </c>
      <c r="E108">
        <f>SUMIF(数据源!R2370:R10936,C108,数据源!M2370:M10936)</f>
        <v>25736.136</v>
      </c>
    </row>
    <row r="109" spans="2:5">
      <c r="B109" t="s">
        <v>2699</v>
      </c>
      <c r="C109" t="s">
        <v>2064</v>
      </c>
      <c r="D109" t="s">
        <v>26</v>
      </c>
      <c r="E109">
        <f>SUMIF(数据源!R2540:R11106,C109,数据源!M2540:M11106)</f>
        <v>45023.3</v>
      </c>
    </row>
    <row r="110" spans="2:5">
      <c r="B110" t="s">
        <v>2696</v>
      </c>
      <c r="C110" t="s">
        <v>1085</v>
      </c>
      <c r="D110" t="s">
        <v>27</v>
      </c>
      <c r="E110">
        <f>SUMIF(数据源!R2660:R11226,C110,数据源!M2660:M11226)</f>
        <v>27613.11</v>
      </c>
    </row>
    <row r="111" spans="2:5">
      <c r="B111" t="s">
        <v>2686</v>
      </c>
      <c r="C111" t="s">
        <v>1199</v>
      </c>
      <c r="D111" t="s">
        <v>27</v>
      </c>
      <c r="E111">
        <f>SUMIF(数据源!R2921:R11487,C111,数据源!M2921:M11487)</f>
        <v>8157.7285</v>
      </c>
    </row>
    <row r="112" spans="2:5">
      <c r="B112" t="s">
        <v>2696</v>
      </c>
      <c r="C112" t="s">
        <v>704</v>
      </c>
      <c r="D112" t="s">
        <v>27</v>
      </c>
      <c r="E112">
        <f>SUMIF(数据源!R2604:R11170,C112,数据源!M2604:M11170)</f>
        <v>16421.6705</v>
      </c>
    </row>
    <row r="113" spans="2:5">
      <c r="B113" t="s">
        <v>2693</v>
      </c>
      <c r="C113" t="s">
        <v>385</v>
      </c>
      <c r="D113" t="s">
        <v>27</v>
      </c>
      <c r="E113">
        <f>SUMIF(数据源!R2828:R11394,C113,数据源!M2828:M11394)</f>
        <v>27308.28</v>
      </c>
    </row>
    <row r="114" spans="2:5">
      <c r="B114" t="s">
        <v>2698</v>
      </c>
      <c r="C114" t="s">
        <v>1720</v>
      </c>
      <c r="D114" t="s">
        <v>27</v>
      </c>
      <c r="E114">
        <f>SUMIF(数据源!R3120:R11686,C114,数据源!M3120:M11686)</f>
        <v>10997.23</v>
      </c>
    </row>
    <row r="115" spans="2:5">
      <c r="B115" t="s">
        <v>2699</v>
      </c>
      <c r="C115" t="s">
        <v>1215</v>
      </c>
      <c r="D115" t="s">
        <v>26</v>
      </c>
      <c r="E115">
        <f>SUMIF(数据源!R2447:R11013,C115,数据源!M2447:M11013)</f>
        <v>12357.706</v>
      </c>
    </row>
    <row r="116" spans="2:5">
      <c r="B116" t="s">
        <v>2689</v>
      </c>
      <c r="C116" t="s">
        <v>1337</v>
      </c>
      <c r="D116" t="s">
        <v>25</v>
      </c>
      <c r="E116">
        <f>SUMIF(数据源!R54:R8620,C116,数据源!M54:M8620)</f>
        <v>27173.22</v>
      </c>
    </row>
    <row r="117" spans="2:5">
      <c r="B117" t="s">
        <v>2694</v>
      </c>
      <c r="C117" t="s">
        <v>590</v>
      </c>
      <c r="D117" t="s">
        <v>25</v>
      </c>
      <c r="E117">
        <f>SUMIF(数据源!R1733:R10299,C117,数据源!M1733:M10299)</f>
        <v>27137.4</v>
      </c>
    </row>
    <row r="118" spans="2:5">
      <c r="B118" t="s">
        <v>2686</v>
      </c>
      <c r="C118" t="s">
        <v>1160</v>
      </c>
      <c r="D118" t="s">
        <v>27</v>
      </c>
      <c r="E118">
        <f>SUMIF(数据源!R2991:R11557,C118,数据源!M2991:M11557)</f>
        <v>15106.68</v>
      </c>
    </row>
    <row r="119" spans="2:5">
      <c r="B119" t="s">
        <v>2698</v>
      </c>
      <c r="C119" t="s">
        <v>1593</v>
      </c>
      <c r="D119" t="s">
        <v>27</v>
      </c>
      <c r="E119">
        <f>SUMIF(数据源!R3288:R11854,C119,数据源!M3288:M11854)</f>
        <v>3963.05</v>
      </c>
    </row>
    <row r="120" spans="2:5">
      <c r="B120" t="s">
        <v>2697</v>
      </c>
      <c r="C120" t="s">
        <v>205</v>
      </c>
      <c r="D120" t="s">
        <v>26</v>
      </c>
      <c r="E120">
        <f>SUMIF(数据源!R2150:R10716,C120,数据源!M2150:M10716)</f>
        <v>16526.24</v>
      </c>
    </row>
    <row r="121" spans="2:5">
      <c r="B121" t="s">
        <v>2697</v>
      </c>
      <c r="C121" t="s">
        <v>1636</v>
      </c>
      <c r="D121" t="s">
        <v>26</v>
      </c>
      <c r="E121">
        <f>SUMIF(数据源!R2138:R10704,C121,数据源!M2138:M10704)</f>
        <v>26425.86</v>
      </c>
    </row>
    <row r="122" spans="2:5">
      <c r="B122" t="s">
        <v>2688</v>
      </c>
      <c r="C122" t="s">
        <v>1346</v>
      </c>
      <c r="D122" t="s">
        <v>25</v>
      </c>
      <c r="E122">
        <f>SUMIF(数据源!R888:R9454,C122,数据源!M888:M9454)</f>
        <v>49633.052</v>
      </c>
    </row>
    <row r="123" spans="2:5">
      <c r="B123" t="s">
        <v>2690</v>
      </c>
      <c r="C123" t="s">
        <v>1457</v>
      </c>
      <c r="D123" t="s">
        <v>25</v>
      </c>
      <c r="E123">
        <f>SUMIF(数据源!R1311:R9877,C123,数据源!M1311:M9877)</f>
        <v>24711.027</v>
      </c>
    </row>
    <row r="124" spans="2:5">
      <c r="B124" t="s">
        <v>2688</v>
      </c>
      <c r="C124" t="s">
        <v>2435</v>
      </c>
      <c r="D124" t="s">
        <v>25</v>
      </c>
      <c r="E124">
        <f>SUMIF(数据源!R1018:R9584,C124,数据源!M1018:M9584)</f>
        <v>25205.8</v>
      </c>
    </row>
    <row r="125" spans="2:5">
      <c r="B125" t="s">
        <v>2697</v>
      </c>
      <c r="C125" t="s">
        <v>1449</v>
      </c>
      <c r="D125" t="s">
        <v>26</v>
      </c>
      <c r="E125">
        <f>SUMIF(数据源!R2154:R10720,C125,数据源!M2154:M10720)</f>
        <v>24202.354</v>
      </c>
    </row>
    <row r="126" spans="2:5">
      <c r="B126" t="s">
        <v>2694</v>
      </c>
      <c r="C126" t="s">
        <v>1852</v>
      </c>
      <c r="D126" t="s">
        <v>25</v>
      </c>
      <c r="E126">
        <f>SUMIF(数据源!R1674:R10240,C126,数据源!M1674:M10240)</f>
        <v>26528.95</v>
      </c>
    </row>
    <row r="127" spans="2:5">
      <c r="B127" t="s">
        <v>2693</v>
      </c>
      <c r="C127" t="s">
        <v>1184</v>
      </c>
      <c r="D127" t="s">
        <v>27</v>
      </c>
      <c r="E127">
        <f>SUMIF(数据源!R2834:R11400,C127,数据源!M2834:M11400)</f>
        <v>24564.636</v>
      </c>
    </row>
    <row r="128" spans="2:5">
      <c r="B128" t="s">
        <v>2698</v>
      </c>
      <c r="C128" t="s">
        <v>600</v>
      </c>
      <c r="D128" t="s">
        <v>27</v>
      </c>
      <c r="E128">
        <f>SUMIF(数据源!R3123:R11689,C128,数据源!M3123:M11689)</f>
        <v>17663.346</v>
      </c>
    </row>
    <row r="129" spans="2:5">
      <c r="B129" t="s">
        <v>2699</v>
      </c>
      <c r="C129" t="s">
        <v>539</v>
      </c>
      <c r="D129" t="s">
        <v>26</v>
      </c>
      <c r="E129">
        <f>SUMIF(数据源!R2437:R11003,C129,数据源!M2437:M11003)</f>
        <v>19500.41</v>
      </c>
    </row>
    <row r="130" spans="2:5">
      <c r="B130" t="s">
        <v>2696</v>
      </c>
      <c r="C130" t="s">
        <v>1619</v>
      </c>
      <c r="D130" t="s">
        <v>27</v>
      </c>
      <c r="E130">
        <f>SUMIF(数据源!R2671:R11237,C130,数据源!M2671:M11237)</f>
        <v>22305.2855</v>
      </c>
    </row>
    <row r="131" spans="2:5">
      <c r="B131" t="s">
        <v>2691</v>
      </c>
      <c r="C131" t="s">
        <v>834</v>
      </c>
      <c r="D131" t="s">
        <v>26</v>
      </c>
      <c r="E131">
        <f>SUMIF(数据源!R1994:R10560,C131,数据源!M1994:M10560)</f>
        <v>24117.09</v>
      </c>
    </row>
    <row r="132" spans="2:5">
      <c r="B132" t="s">
        <v>2699</v>
      </c>
      <c r="C132" t="s">
        <v>616</v>
      </c>
      <c r="D132" t="s">
        <v>26</v>
      </c>
      <c r="E132">
        <f>SUMIF(数据源!R2461:R11027,C132,数据源!M2461:M11027)</f>
        <v>19964.74</v>
      </c>
    </row>
    <row r="133" spans="2:5">
      <c r="B133" t="s">
        <v>2688</v>
      </c>
      <c r="C133" t="s">
        <v>983</v>
      </c>
      <c r="D133" t="s">
        <v>25</v>
      </c>
      <c r="E133">
        <f>SUMIF(数据源!R994:R9560,C133,数据源!M994:M9560)</f>
        <v>22936.97</v>
      </c>
    </row>
    <row r="134" spans="2:5">
      <c r="B134" t="s">
        <v>2689</v>
      </c>
      <c r="C134" t="s">
        <v>2121</v>
      </c>
      <c r="D134" t="s">
        <v>25</v>
      </c>
      <c r="E134">
        <f>SUMIF(数据源!R5:R8571,C134,数据源!M5:M8571)</f>
        <v>24078.4</v>
      </c>
    </row>
    <row r="135" spans="2:5">
      <c r="B135" t="s">
        <v>2685</v>
      </c>
      <c r="C135" t="s">
        <v>556</v>
      </c>
      <c r="D135" t="s">
        <v>25</v>
      </c>
      <c r="E135">
        <f>SUMIF(数据源!R179:R8745,C135,数据源!M179:M8745)</f>
        <v>23692.88</v>
      </c>
    </row>
    <row r="136" spans="2:5">
      <c r="B136" t="s">
        <v>2692</v>
      </c>
      <c r="C136" t="s">
        <v>1574</v>
      </c>
      <c r="D136" t="s">
        <v>25</v>
      </c>
      <c r="E136">
        <f>SUMIF(数据源!R572:R9138,C136,数据源!M572:M9138)</f>
        <v>31023.87</v>
      </c>
    </row>
    <row r="137" spans="2:5">
      <c r="B137" t="s">
        <v>2690</v>
      </c>
      <c r="C137" t="s">
        <v>249</v>
      </c>
      <c r="D137" t="s">
        <v>25</v>
      </c>
      <c r="E137">
        <f>SUMIF(数据源!R1317:R9883,C137,数据源!M1317:M9883)</f>
        <v>23430.9545</v>
      </c>
    </row>
    <row r="138" spans="2:5">
      <c r="B138" t="s">
        <v>2698</v>
      </c>
      <c r="C138" t="s">
        <v>1940</v>
      </c>
      <c r="D138" t="s">
        <v>27</v>
      </c>
      <c r="E138">
        <f>SUMIF(数据源!R3165:R11731,C138,数据源!M3165:M11731)</f>
        <v>22168.888</v>
      </c>
    </row>
    <row r="139" spans="2:5">
      <c r="B139" t="s">
        <v>2689</v>
      </c>
      <c r="C139" t="s">
        <v>1524</v>
      </c>
      <c r="D139" t="s">
        <v>25</v>
      </c>
      <c r="E139">
        <f>SUMIF(数据源!R131:R8697,C139,数据源!M131:M8697)</f>
        <v>23270.442</v>
      </c>
    </row>
    <row r="140" spans="2:5">
      <c r="B140" t="s">
        <v>2698</v>
      </c>
      <c r="C140" t="s">
        <v>791</v>
      </c>
      <c r="D140" t="s">
        <v>27</v>
      </c>
      <c r="E140">
        <f>SUMIF(数据源!R3112:R11678,C140,数据源!M3112:M11678)</f>
        <v>23205.39</v>
      </c>
    </row>
    <row r="141" spans="2:5">
      <c r="B141" t="s">
        <v>2696</v>
      </c>
      <c r="C141" t="s">
        <v>746</v>
      </c>
      <c r="D141" t="s">
        <v>27</v>
      </c>
      <c r="E141">
        <f>SUMIF(数据源!R2605:R11171,C141,数据源!M2605:M11171)</f>
        <v>23138.08</v>
      </c>
    </row>
    <row r="142" spans="2:5">
      <c r="B142" t="s">
        <v>2699</v>
      </c>
      <c r="C142" t="s">
        <v>569</v>
      </c>
      <c r="D142" t="s">
        <v>26</v>
      </c>
      <c r="E142">
        <f>SUMIF(数据源!R2449:R11015,C142,数据源!M2449:M11015)</f>
        <v>19894.302</v>
      </c>
    </row>
    <row r="143" spans="2:5">
      <c r="B143" t="s">
        <v>2694</v>
      </c>
      <c r="C143" t="s">
        <v>1959</v>
      </c>
      <c r="D143" t="s">
        <v>25</v>
      </c>
      <c r="E143">
        <f>SUMIF(数据源!R1670:R10236,C143,数据源!M1670:M10236)</f>
        <v>23031.41</v>
      </c>
    </row>
    <row r="144" spans="2:5">
      <c r="B144" t="s">
        <v>2691</v>
      </c>
      <c r="C144" t="s">
        <v>607</v>
      </c>
      <c r="D144" t="s">
        <v>26</v>
      </c>
      <c r="E144">
        <f>SUMIF(数据源!R2048:R10614,C144,数据源!M2048:M10614)</f>
        <v>9610.16</v>
      </c>
    </row>
    <row r="145" spans="2:5">
      <c r="B145" t="s">
        <v>2689</v>
      </c>
      <c r="C145" t="s">
        <v>1469</v>
      </c>
      <c r="D145" t="s">
        <v>25</v>
      </c>
      <c r="E145">
        <f>SUMIF(数据源!R146:R8712,C145,数据源!M146:M8712)</f>
        <v>22938.34</v>
      </c>
    </row>
    <row r="146" spans="2:5">
      <c r="B146" t="s">
        <v>2685</v>
      </c>
      <c r="C146" t="s">
        <v>765</v>
      </c>
      <c r="D146" t="s">
        <v>25</v>
      </c>
      <c r="E146">
        <f>SUMIF(数据源!R436:R9002,C146,数据源!M436:M9002)</f>
        <v>22913.93</v>
      </c>
    </row>
    <row r="147" spans="2:5">
      <c r="B147" t="s">
        <v>2696</v>
      </c>
      <c r="C147" t="s">
        <v>485</v>
      </c>
      <c r="D147" t="s">
        <v>27</v>
      </c>
      <c r="E147">
        <f>SUMIF(数据源!R2611:R11177,C147,数据源!M2611:M11177)</f>
        <v>22870.517</v>
      </c>
    </row>
    <row r="148" spans="2:5">
      <c r="B148" t="s">
        <v>2693</v>
      </c>
      <c r="C148" t="s">
        <v>1470</v>
      </c>
      <c r="D148" t="s">
        <v>27</v>
      </c>
      <c r="E148">
        <f>SUMIF(数据源!R2833:R11399,C148,数据源!M2833:M11399)</f>
        <v>19370.5795</v>
      </c>
    </row>
    <row r="149" spans="2:5">
      <c r="B149" t="s">
        <v>2699</v>
      </c>
      <c r="C149" t="s">
        <v>302</v>
      </c>
      <c r="D149" t="s">
        <v>26</v>
      </c>
      <c r="E149">
        <f>SUMIF(数据源!R2459:R11025,C149,数据源!M2459:M11025)</f>
        <v>20981.89</v>
      </c>
    </row>
    <row r="150" spans="2:5">
      <c r="B150" t="s">
        <v>2697</v>
      </c>
      <c r="C150" t="s">
        <v>1889</v>
      </c>
      <c r="D150" t="s">
        <v>26</v>
      </c>
      <c r="E150">
        <f>SUMIF(数据源!R2312:R10878,C150,数据源!M2312:M10878)</f>
        <v>18081.78</v>
      </c>
    </row>
    <row r="151" spans="2:5">
      <c r="B151" t="s">
        <v>2692</v>
      </c>
      <c r="C151" t="s">
        <v>955</v>
      </c>
      <c r="D151" t="s">
        <v>25</v>
      </c>
      <c r="E151">
        <f>SUMIF(数据源!R561:R9127,C151,数据源!M561:M9127)</f>
        <v>28295.7905</v>
      </c>
    </row>
    <row r="152" spans="2:5">
      <c r="B152" t="s">
        <v>2687</v>
      </c>
      <c r="C152" t="s">
        <v>1430</v>
      </c>
      <c r="D152" t="s">
        <v>25</v>
      </c>
      <c r="E152">
        <f>SUMIF(数据源!R685:R9251,C152,数据源!M685:M9251)</f>
        <v>22413.37</v>
      </c>
    </row>
    <row r="153" spans="2:5">
      <c r="B153" t="s">
        <v>2688</v>
      </c>
      <c r="C153" t="s">
        <v>1610</v>
      </c>
      <c r="D153" t="s">
        <v>25</v>
      </c>
      <c r="E153">
        <f>SUMIF(数据源!R845:R9411,C153,数据源!M845:M9411)</f>
        <v>22257.7225</v>
      </c>
    </row>
    <row r="154" spans="2:5">
      <c r="B154" t="s">
        <v>2690</v>
      </c>
      <c r="C154" t="s">
        <v>1316</v>
      </c>
      <c r="D154" t="s">
        <v>25</v>
      </c>
      <c r="E154">
        <f>SUMIF(数据源!R1334:R9900,C154,数据源!M1334:M9900)</f>
        <v>18350.23</v>
      </c>
    </row>
    <row r="155" spans="2:5">
      <c r="B155" t="s">
        <v>2688</v>
      </c>
      <c r="C155" t="s">
        <v>1896</v>
      </c>
      <c r="D155" t="s">
        <v>25</v>
      </c>
      <c r="E155">
        <f>SUMIF(数据源!R988:R9554,C155,数据源!M988:M9554)</f>
        <v>22044.6</v>
      </c>
    </row>
    <row r="156" spans="2:5">
      <c r="B156" t="s">
        <v>2691</v>
      </c>
      <c r="C156" t="s">
        <v>1514</v>
      </c>
      <c r="D156" t="s">
        <v>26</v>
      </c>
      <c r="E156">
        <f>SUMIF(数据源!R2046:R10612,C156,数据源!M2046:M10612)</f>
        <v>21993.55</v>
      </c>
    </row>
    <row r="157" spans="2:5">
      <c r="B157" t="s">
        <v>2697</v>
      </c>
      <c r="C157" t="s">
        <v>2182</v>
      </c>
      <c r="D157" t="s">
        <v>26</v>
      </c>
      <c r="E157">
        <f>SUMIF(数据源!R2310:R10876,C157,数据源!M2310:M10876)</f>
        <v>21780.12</v>
      </c>
    </row>
    <row r="158" spans="2:5">
      <c r="B158" t="s">
        <v>2699</v>
      </c>
      <c r="C158" t="s">
        <v>727</v>
      </c>
      <c r="D158" t="s">
        <v>26</v>
      </c>
      <c r="E158">
        <f>SUMIF(数据源!R2528:R11094,C158,数据源!M2528:M11094)</f>
        <v>17452.5485</v>
      </c>
    </row>
    <row r="159" spans="2:5">
      <c r="B159" t="s">
        <v>2688</v>
      </c>
      <c r="C159" t="s">
        <v>672</v>
      </c>
      <c r="D159" t="s">
        <v>25</v>
      </c>
      <c r="E159">
        <f>SUMIF(数据源!R1013:R9579,C159,数据源!M1013:M9579)</f>
        <v>21652.849</v>
      </c>
    </row>
    <row r="160" spans="2:5">
      <c r="B160" t="s">
        <v>2701</v>
      </c>
      <c r="C160" t="s">
        <v>220</v>
      </c>
      <c r="D160" t="s">
        <v>25</v>
      </c>
      <c r="E160">
        <f>SUMIF(数据源!R1618:R10184,C160,数据源!M1618:M10184)</f>
        <v>26903.418</v>
      </c>
    </row>
    <row r="161" spans="2:5">
      <c r="B161" t="s">
        <v>2696</v>
      </c>
      <c r="C161" t="s">
        <v>142</v>
      </c>
      <c r="D161" t="s">
        <v>27</v>
      </c>
      <c r="E161">
        <f>SUMIF(数据源!R2582:R11148,C161,数据源!M2582:M11148)</f>
        <v>16361.41</v>
      </c>
    </row>
    <row r="162" spans="2:5">
      <c r="B162" t="s">
        <v>2697</v>
      </c>
      <c r="C162" t="s">
        <v>1634</v>
      </c>
      <c r="D162" t="s">
        <v>26</v>
      </c>
      <c r="E162">
        <f>SUMIF(数据源!R2116:R10682,C162,数据源!M2116:M10682)</f>
        <v>17855.7135</v>
      </c>
    </row>
    <row r="163" spans="2:5">
      <c r="B163" t="s">
        <v>2698</v>
      </c>
      <c r="C163" t="s">
        <v>100</v>
      </c>
      <c r="D163" t="s">
        <v>27</v>
      </c>
      <c r="E163">
        <f>SUMIF(数据源!R3161:R11727,C163,数据源!M3161:M11727)</f>
        <v>21028.656</v>
      </c>
    </row>
    <row r="164" spans="2:5">
      <c r="B164" t="s">
        <v>2694</v>
      </c>
      <c r="C164" t="s">
        <v>862</v>
      </c>
      <c r="D164" t="s">
        <v>25</v>
      </c>
      <c r="E164">
        <f>SUMIF(数据源!R1728:R10294,C164,数据源!M1728:M10294)</f>
        <v>10602.34</v>
      </c>
    </row>
    <row r="165" spans="2:5">
      <c r="B165" t="s">
        <v>2685</v>
      </c>
      <c r="C165" t="s">
        <v>1706</v>
      </c>
      <c r="D165" t="s">
        <v>25</v>
      </c>
      <c r="E165">
        <f>SUMIF(数据源!R297:R8863,C165,数据源!M297:M8863)</f>
        <v>21225.52</v>
      </c>
    </row>
    <row r="166" spans="2:5">
      <c r="B166" t="s">
        <v>2688</v>
      </c>
      <c r="C166" t="s">
        <v>1411</v>
      </c>
      <c r="D166" t="s">
        <v>25</v>
      </c>
      <c r="E166">
        <f>SUMIF(数据源!R889:R9455,C166,数据源!M889:M9455)</f>
        <v>21171.5955</v>
      </c>
    </row>
    <row r="167" spans="2:5">
      <c r="B167" t="s">
        <v>2701</v>
      </c>
      <c r="C167" t="s">
        <v>376</v>
      </c>
      <c r="D167" t="s">
        <v>25</v>
      </c>
      <c r="E167">
        <f>SUMIF(数据源!R1616:R10182,C167,数据源!M1616:M10182)</f>
        <v>19239.42</v>
      </c>
    </row>
    <row r="168" spans="2:5">
      <c r="B168" t="s">
        <v>2686</v>
      </c>
      <c r="C168" t="s">
        <v>1651</v>
      </c>
      <c r="D168" t="s">
        <v>27</v>
      </c>
      <c r="E168">
        <f>SUMIF(数据源!R2955:R11521,C168,数据源!M2955:M11521)</f>
        <v>19417.7515</v>
      </c>
    </row>
    <row r="169" spans="2:5">
      <c r="B169" t="s">
        <v>2694</v>
      </c>
      <c r="C169" t="s">
        <v>537</v>
      </c>
      <c r="D169" t="s">
        <v>25</v>
      </c>
      <c r="E169">
        <f>SUMIF(数据源!R1715:R10281,C169,数据源!M1715:M10281)</f>
        <v>20873.6335</v>
      </c>
    </row>
    <row r="170" spans="2:5">
      <c r="B170" t="s">
        <v>2687</v>
      </c>
      <c r="C170" t="s">
        <v>1596</v>
      </c>
      <c r="D170" t="s">
        <v>25</v>
      </c>
      <c r="E170">
        <f>SUMIF(数据源!R706:R9272,C170,数据源!M706:M9272)</f>
        <v>20775.83</v>
      </c>
    </row>
    <row r="171" spans="2:5">
      <c r="B171" t="s">
        <v>2691</v>
      </c>
      <c r="C171" t="s">
        <v>725</v>
      </c>
      <c r="D171" t="s">
        <v>26</v>
      </c>
      <c r="E171">
        <f>SUMIF(数据源!R2025:R10591,C171,数据源!M2025:M10591)</f>
        <v>20758.88</v>
      </c>
    </row>
    <row r="172" spans="2:5">
      <c r="B172" t="s">
        <v>2685</v>
      </c>
      <c r="C172" t="s">
        <v>354</v>
      </c>
      <c r="D172" t="s">
        <v>25</v>
      </c>
      <c r="E172">
        <f>SUMIF(数据源!R374:R8940,C172,数据源!M374:M8940)</f>
        <v>20607.97</v>
      </c>
    </row>
    <row r="173" spans="2:5">
      <c r="B173" t="s">
        <v>2697</v>
      </c>
      <c r="C173" t="s">
        <v>990</v>
      </c>
      <c r="D173" t="s">
        <v>26</v>
      </c>
      <c r="E173">
        <f>SUMIF(数据源!R2268:R10834,C173,数据源!M2268:M10834)</f>
        <v>13021.717</v>
      </c>
    </row>
    <row r="174" spans="2:5">
      <c r="B174" t="s">
        <v>2691</v>
      </c>
      <c r="C174" t="s">
        <v>2329</v>
      </c>
      <c r="D174" t="s">
        <v>26</v>
      </c>
      <c r="E174">
        <f>SUMIF(数据源!R2056:R10622,C174,数据源!M2056:M10622)</f>
        <v>20461.35</v>
      </c>
    </row>
    <row r="175" spans="2:5">
      <c r="B175" t="s">
        <v>2696</v>
      </c>
      <c r="C175" t="s">
        <v>228</v>
      </c>
      <c r="D175" t="s">
        <v>27</v>
      </c>
      <c r="E175">
        <f>SUMIF(数据源!R2667:R11233,C175,数据源!M2667:M11233)</f>
        <v>11737.512</v>
      </c>
    </row>
    <row r="176" spans="2:5">
      <c r="B176" t="s">
        <v>2699</v>
      </c>
      <c r="C176" t="s">
        <v>65</v>
      </c>
      <c r="D176" t="s">
        <v>26</v>
      </c>
      <c r="E176">
        <f>SUMIF(数据源!R2493:R11059,C176,数据源!M2493:M11059)</f>
        <v>20397.94</v>
      </c>
    </row>
    <row r="177" spans="2:5">
      <c r="B177" t="s">
        <v>2686</v>
      </c>
      <c r="C177" t="s">
        <v>2321</v>
      </c>
      <c r="D177" t="s">
        <v>27</v>
      </c>
      <c r="E177">
        <f>SUMIF(数据源!R2936:R11502,C177,数据源!M2936:M11502)</f>
        <v>20147.71</v>
      </c>
    </row>
    <row r="178" spans="2:5">
      <c r="B178" t="s">
        <v>2693</v>
      </c>
      <c r="C178" t="s">
        <v>414</v>
      </c>
      <c r="D178" t="s">
        <v>27</v>
      </c>
      <c r="E178">
        <f>SUMIF(数据源!R2831:R11397,C178,数据源!M2831:M11397)</f>
        <v>18479.134</v>
      </c>
    </row>
    <row r="179" spans="2:5">
      <c r="B179" t="s">
        <v>2697</v>
      </c>
      <c r="C179" t="s">
        <v>226</v>
      </c>
      <c r="D179" t="s">
        <v>26</v>
      </c>
      <c r="E179">
        <f>SUMIF(数据源!R2148:R10714,C179,数据源!M2148:M10714)</f>
        <v>19867.1735</v>
      </c>
    </row>
    <row r="180" spans="2:5">
      <c r="B180" t="s">
        <v>2689</v>
      </c>
      <c r="C180" t="s">
        <v>390</v>
      </c>
      <c r="D180" t="s">
        <v>25</v>
      </c>
      <c r="E180">
        <f>SUMIF(数据源!R49:R8615,C180,数据源!M49:M8615)</f>
        <v>19815.855</v>
      </c>
    </row>
    <row r="181" spans="2:5">
      <c r="B181" t="s">
        <v>2687</v>
      </c>
      <c r="C181" t="s">
        <v>415</v>
      </c>
      <c r="D181" t="s">
        <v>25</v>
      </c>
      <c r="E181">
        <f>SUMIF(数据源!R679:R9245,C181,数据源!M679:M9245)</f>
        <v>19652.527</v>
      </c>
    </row>
    <row r="182" spans="2:5">
      <c r="B182" t="s">
        <v>2688</v>
      </c>
      <c r="C182" t="s">
        <v>2167</v>
      </c>
      <c r="D182" t="s">
        <v>25</v>
      </c>
      <c r="E182">
        <f>SUMIF(数据源!R838:R9404,C182,数据源!M838:M9404)</f>
        <v>19743.27</v>
      </c>
    </row>
    <row r="183" spans="2:5">
      <c r="B183" t="s">
        <v>2686</v>
      </c>
      <c r="C183" t="s">
        <v>381</v>
      </c>
      <c r="D183" t="s">
        <v>27</v>
      </c>
      <c r="E183">
        <f>SUMIF(数据源!R2956:R11522,C183,数据源!M2956:M11522)</f>
        <v>18520.67</v>
      </c>
    </row>
    <row r="184" spans="2:5">
      <c r="B184" t="s">
        <v>2699</v>
      </c>
      <c r="C184" t="s">
        <v>700</v>
      </c>
      <c r="D184" t="s">
        <v>26</v>
      </c>
      <c r="E184">
        <f>SUMIF(数据源!R2521:R11087,C184,数据源!M2521:M11087)</f>
        <v>17254.9335</v>
      </c>
    </row>
    <row r="185" spans="2:5">
      <c r="B185" t="s">
        <v>2689</v>
      </c>
      <c r="C185" t="s">
        <v>661</v>
      </c>
      <c r="D185" t="s">
        <v>25</v>
      </c>
      <c r="E185">
        <f>SUMIF(数据源!R134:R8700,C185,数据源!M134:M8700)</f>
        <v>31022.04</v>
      </c>
    </row>
    <row r="186" spans="2:5">
      <c r="B186" t="s">
        <v>2696</v>
      </c>
      <c r="C186" t="s">
        <v>1820</v>
      </c>
      <c r="D186" t="s">
        <v>27</v>
      </c>
      <c r="E186">
        <f>SUMIF(数据源!R2761:R11327,C186,数据源!M2761:M11327)</f>
        <v>5366.78</v>
      </c>
    </row>
    <row r="187" spans="2:5">
      <c r="B187" t="s">
        <v>2692</v>
      </c>
      <c r="C187" t="s">
        <v>1104</v>
      </c>
      <c r="D187" t="s">
        <v>25</v>
      </c>
      <c r="E187">
        <f>SUMIF(数据源!R556:R9122,C187,数据源!M556:M9122)</f>
        <v>20204.316</v>
      </c>
    </row>
    <row r="188" spans="2:5">
      <c r="B188" t="s">
        <v>2691</v>
      </c>
      <c r="C188" t="s">
        <v>190</v>
      </c>
      <c r="D188" t="s">
        <v>26</v>
      </c>
      <c r="E188">
        <f>SUMIF(数据源!R1951:R10517,C188,数据源!M1951:M10517)</f>
        <v>19078.455</v>
      </c>
    </row>
    <row r="189" spans="2:5">
      <c r="B189" t="s">
        <v>2697</v>
      </c>
      <c r="C189" t="s">
        <v>852</v>
      </c>
      <c r="D189" t="s">
        <v>26</v>
      </c>
      <c r="E189">
        <f>SUMIF(数据源!R2139:R10705,C189,数据源!M2139:M10705)</f>
        <v>6813.5875</v>
      </c>
    </row>
    <row r="190" spans="2:5">
      <c r="B190" t="s">
        <v>2699</v>
      </c>
      <c r="C190" t="s">
        <v>1042</v>
      </c>
      <c r="D190" t="s">
        <v>26</v>
      </c>
      <c r="E190">
        <f>SUMIF(数据源!R2444:R11010,C190,数据源!M2444:M11010)</f>
        <v>18735.462</v>
      </c>
    </row>
    <row r="191" spans="2:5">
      <c r="B191" t="s">
        <v>2690</v>
      </c>
      <c r="C191" t="s">
        <v>717</v>
      </c>
      <c r="D191" t="s">
        <v>25</v>
      </c>
      <c r="E191">
        <f>SUMIF(数据源!R1265:R9831,C191,数据源!M1265:M9831)</f>
        <v>16359.97</v>
      </c>
    </row>
    <row r="192" spans="2:5">
      <c r="B192" t="s">
        <v>2700</v>
      </c>
      <c r="C192" t="s">
        <v>2107</v>
      </c>
      <c r="D192" t="s">
        <v>25</v>
      </c>
      <c r="E192">
        <f>SUMIF(数据源!R1502:R10068,C192,数据源!M1502:M10068)</f>
        <v>18940.16</v>
      </c>
    </row>
    <row r="193" spans="2:5">
      <c r="B193" t="s">
        <v>2698</v>
      </c>
      <c r="C193" t="s">
        <v>420</v>
      </c>
      <c r="D193" t="s">
        <v>27</v>
      </c>
      <c r="E193">
        <f>SUMIF(数据源!R3114:R11680,C193,数据源!M3114:M11680)</f>
        <v>16975.87</v>
      </c>
    </row>
    <row r="194" spans="2:5">
      <c r="B194" t="s">
        <v>2686</v>
      </c>
      <c r="C194" t="s">
        <v>159</v>
      </c>
      <c r="D194" t="s">
        <v>27</v>
      </c>
      <c r="E194">
        <f>SUMIF(数据源!R2912:R11478,C194,数据源!M2912:M11478)</f>
        <v>16306.1205</v>
      </c>
    </row>
    <row r="195" spans="2:5">
      <c r="B195" t="s">
        <v>2698</v>
      </c>
      <c r="C195" t="s">
        <v>594</v>
      </c>
      <c r="D195" t="s">
        <v>27</v>
      </c>
      <c r="E195">
        <f>SUMIF(数据源!R3146:R11712,C195,数据源!M3146:M11712)</f>
        <v>10326.95</v>
      </c>
    </row>
    <row r="196" spans="2:5">
      <c r="B196" t="s">
        <v>2698</v>
      </c>
      <c r="C196" t="s">
        <v>1905</v>
      </c>
      <c r="D196" t="s">
        <v>27</v>
      </c>
      <c r="E196">
        <f>SUMIF(数据源!R3158:R11724,C196,数据源!M3158:M11724)</f>
        <v>18424.954</v>
      </c>
    </row>
    <row r="197" spans="2:5">
      <c r="B197" t="s">
        <v>2696</v>
      </c>
      <c r="C197" t="s">
        <v>1664</v>
      </c>
      <c r="D197" t="s">
        <v>27</v>
      </c>
      <c r="E197">
        <f>SUMIF(数据源!R2744:R11310,C197,数据源!M2744:M11310)</f>
        <v>15010.679</v>
      </c>
    </row>
    <row r="198" spans="2:5">
      <c r="B198" t="s">
        <v>2691</v>
      </c>
      <c r="C198" t="s">
        <v>812</v>
      </c>
      <c r="D198" t="s">
        <v>26</v>
      </c>
      <c r="E198">
        <f>SUMIF(数据源!R2057:R10623,C198,数据源!M2057:M10623)</f>
        <v>18465.33</v>
      </c>
    </row>
    <row r="199" spans="2:5">
      <c r="B199" t="s">
        <v>2694</v>
      </c>
      <c r="C199" t="s">
        <v>1510</v>
      </c>
      <c r="D199" t="s">
        <v>25</v>
      </c>
      <c r="E199">
        <f>SUMIF(数据源!R1777:R10343,C199,数据源!M1777:M10343)</f>
        <v>14889.924</v>
      </c>
    </row>
    <row r="200" spans="2:5">
      <c r="B200" t="s">
        <v>2688</v>
      </c>
      <c r="C200" t="s">
        <v>87</v>
      </c>
      <c r="D200" t="s">
        <v>25</v>
      </c>
      <c r="E200">
        <f>SUMIF(数据源!R1079:R9645,C200,数据源!M1079:M9645)</f>
        <v>18374.6465</v>
      </c>
    </row>
    <row r="201" spans="2:5">
      <c r="B201" t="s">
        <v>2688</v>
      </c>
      <c r="C201" t="s">
        <v>1354</v>
      </c>
      <c r="D201" t="s">
        <v>25</v>
      </c>
      <c r="E201">
        <f>SUMIF(数据源!R1022:R9588,C201,数据源!M1022:M9588)</f>
        <v>22041.98</v>
      </c>
    </row>
    <row r="202" spans="2:5">
      <c r="B202" t="s">
        <v>2686</v>
      </c>
      <c r="C202" t="s">
        <v>2304</v>
      </c>
      <c r="D202" t="s">
        <v>27</v>
      </c>
      <c r="E202">
        <f>SUMIF(数据源!R2926:R11492,C202,数据源!M2926:M11492)</f>
        <v>18059.3475</v>
      </c>
    </row>
    <row r="203" spans="2:5">
      <c r="B203" t="s">
        <v>2689</v>
      </c>
      <c r="C203" t="s">
        <v>1205</v>
      </c>
      <c r="D203" t="s">
        <v>25</v>
      </c>
      <c r="E203">
        <f>SUMIF(数据源!R107:R8673,C203,数据源!M107:M8673)</f>
        <v>27703.35</v>
      </c>
    </row>
    <row r="204" spans="2:5">
      <c r="B204" t="s">
        <v>2685</v>
      </c>
      <c r="C204" t="s">
        <v>371</v>
      </c>
      <c r="D204" t="s">
        <v>25</v>
      </c>
      <c r="E204">
        <f>SUMIF(数据源!R389:R8955,C204,数据源!M389:M8955)</f>
        <v>17892.04</v>
      </c>
    </row>
    <row r="205" spans="2:5">
      <c r="B205" t="s">
        <v>2688</v>
      </c>
      <c r="C205" t="s">
        <v>2343</v>
      </c>
      <c r="D205" t="s">
        <v>25</v>
      </c>
      <c r="E205">
        <f>SUMIF(数据源!R756:R9322,C205,数据源!M756:M9322)</f>
        <v>17847</v>
      </c>
    </row>
    <row r="206" spans="2:5">
      <c r="B206" t="s">
        <v>2688</v>
      </c>
      <c r="C206" t="s">
        <v>1986</v>
      </c>
      <c r="D206" t="s">
        <v>25</v>
      </c>
      <c r="E206">
        <f>SUMIF(数据源!R757:R9323,C206,数据源!M757:M9323)</f>
        <v>17753.3</v>
      </c>
    </row>
    <row r="207" spans="2:5">
      <c r="B207" t="s">
        <v>2691</v>
      </c>
      <c r="C207" t="s">
        <v>408</v>
      </c>
      <c r="D207" t="s">
        <v>26</v>
      </c>
      <c r="E207">
        <f>SUMIF(数据源!R2024:R10590,C207,数据源!M2024:M10590)</f>
        <v>17734.872</v>
      </c>
    </row>
    <row r="208" spans="2:5">
      <c r="B208" t="s">
        <v>2694</v>
      </c>
      <c r="C208" t="s">
        <v>885</v>
      </c>
      <c r="D208" t="s">
        <v>25</v>
      </c>
      <c r="E208">
        <f>SUMIF(数据源!R1745:R10311,C208,数据源!M1745:M10311)</f>
        <v>13765.39</v>
      </c>
    </row>
    <row r="209" spans="2:5">
      <c r="B209" t="s">
        <v>2685</v>
      </c>
      <c r="C209" t="s">
        <v>692</v>
      </c>
      <c r="D209" t="s">
        <v>25</v>
      </c>
      <c r="E209">
        <f>SUMIF(数据源!R186:R8752,C209,数据源!M186:M8752)</f>
        <v>17881.6095</v>
      </c>
    </row>
    <row r="210" spans="2:5">
      <c r="B210" t="s">
        <v>2689</v>
      </c>
      <c r="C210" t="s">
        <v>235</v>
      </c>
      <c r="D210" t="s">
        <v>25</v>
      </c>
      <c r="E210">
        <f>SUMIF(数据源!R94:R8660,C210,数据源!M94:M8660)</f>
        <v>18785.094</v>
      </c>
    </row>
    <row r="211" spans="2:5">
      <c r="B211" t="s">
        <v>2696</v>
      </c>
      <c r="C211" t="s">
        <v>2668</v>
      </c>
      <c r="D211" t="s">
        <v>27</v>
      </c>
      <c r="E211">
        <f>SUMIF(数据源!R2779:R11345,C211,数据源!M2779:M11345)</f>
        <v>17692.41</v>
      </c>
    </row>
    <row r="212" spans="2:5">
      <c r="B212" t="s">
        <v>2686</v>
      </c>
      <c r="C212" t="s">
        <v>993</v>
      </c>
      <c r="D212" t="s">
        <v>27</v>
      </c>
      <c r="E212">
        <f>SUMIF(数据源!R2986:R11552,C212,数据源!M2986:M11552)</f>
        <v>14292.74</v>
      </c>
    </row>
    <row r="213" spans="2:5">
      <c r="B213" t="s">
        <v>2698</v>
      </c>
      <c r="C213" t="s">
        <v>189</v>
      </c>
      <c r="D213" t="s">
        <v>27</v>
      </c>
      <c r="E213">
        <f>SUMIF(数据源!R3264:R11830,C213,数据源!M3264:M11830)</f>
        <v>11125.19</v>
      </c>
    </row>
    <row r="214" spans="2:5">
      <c r="B214" t="s">
        <v>2698</v>
      </c>
      <c r="C214" t="s">
        <v>206</v>
      </c>
      <c r="D214" t="s">
        <v>27</v>
      </c>
      <c r="E214">
        <f>SUMIF(数据源!R3234:R11800,C214,数据源!M3234:M11800)</f>
        <v>17387.5275</v>
      </c>
    </row>
    <row r="215" spans="2:5">
      <c r="B215" t="s">
        <v>2685</v>
      </c>
      <c r="C215" t="s">
        <v>469</v>
      </c>
      <c r="D215" t="s">
        <v>25</v>
      </c>
      <c r="E215">
        <f>SUMIF(数据源!R192:R8758,C215,数据源!M192:M8758)</f>
        <v>25402.8705</v>
      </c>
    </row>
    <row r="216" spans="2:5">
      <c r="B216" t="s">
        <v>2688</v>
      </c>
      <c r="C216" t="s">
        <v>1695</v>
      </c>
      <c r="D216" t="s">
        <v>25</v>
      </c>
      <c r="E216">
        <f>SUMIF(数据源!R779:R9345,C216,数据源!M779:M9345)</f>
        <v>17406.7585</v>
      </c>
    </row>
    <row r="217" spans="2:5">
      <c r="B217" t="s">
        <v>2691</v>
      </c>
      <c r="C217" t="s">
        <v>1148</v>
      </c>
      <c r="D217" t="s">
        <v>26</v>
      </c>
      <c r="E217">
        <f>SUMIF(数据源!R2033:R10599,C217,数据源!M2033:M10599)</f>
        <v>11810.215</v>
      </c>
    </row>
    <row r="218" spans="2:5">
      <c r="B218" t="s">
        <v>2693</v>
      </c>
      <c r="C218" t="s">
        <v>2153</v>
      </c>
      <c r="D218" t="s">
        <v>27</v>
      </c>
      <c r="E218">
        <f>SUMIF(数据源!R2835:R11401,C218,数据源!M2835:M11401)</f>
        <v>17164.35</v>
      </c>
    </row>
    <row r="219" spans="2:5">
      <c r="B219" t="s">
        <v>2697</v>
      </c>
      <c r="C219" t="s">
        <v>2295</v>
      </c>
      <c r="D219" t="s">
        <v>26</v>
      </c>
      <c r="E219">
        <f>SUMIF(数据源!R2151:R10717,C219,数据源!M2151:M10717)</f>
        <v>17025.0375</v>
      </c>
    </row>
    <row r="220" spans="2:5">
      <c r="B220" t="s">
        <v>2692</v>
      </c>
      <c r="C220" t="s">
        <v>2308</v>
      </c>
      <c r="D220" t="s">
        <v>25</v>
      </c>
      <c r="E220">
        <f>SUMIF(数据源!R563:R9129,C220,数据源!M563:M9129)</f>
        <v>17005.4</v>
      </c>
    </row>
    <row r="221" spans="2:5">
      <c r="B221" t="s">
        <v>2688</v>
      </c>
      <c r="C221" t="s">
        <v>1974</v>
      </c>
      <c r="D221" t="s">
        <v>25</v>
      </c>
      <c r="E221">
        <f>SUMIF(数据源!R851:R9417,C221,数据源!M851:M9417)</f>
        <v>16980.6875</v>
      </c>
    </row>
    <row r="222" spans="2:5">
      <c r="B222" t="s">
        <v>2690</v>
      </c>
      <c r="C222" t="s">
        <v>1089</v>
      </c>
      <c r="D222" t="s">
        <v>25</v>
      </c>
      <c r="E222">
        <f>SUMIF(数据源!R1234:R9800,C222,数据源!M1234:M9800)</f>
        <v>12846.33</v>
      </c>
    </row>
    <row r="223" spans="2:5">
      <c r="B223" t="s">
        <v>2697</v>
      </c>
      <c r="C223" t="s">
        <v>2100</v>
      </c>
      <c r="D223" t="s">
        <v>26</v>
      </c>
      <c r="E223">
        <f>SUMIF(数据源!R2314:R10880,C223,数据源!M2314:M10880)</f>
        <v>16724.01</v>
      </c>
    </row>
    <row r="224" spans="2:5">
      <c r="B224" t="s">
        <v>2688</v>
      </c>
      <c r="C224" t="s">
        <v>406</v>
      </c>
      <c r="D224" t="s">
        <v>25</v>
      </c>
      <c r="E224">
        <f>SUMIF(数据源!R781:R9347,C224,数据源!M781:M9347)</f>
        <v>16607.89</v>
      </c>
    </row>
    <row r="225" spans="2:5">
      <c r="B225" t="s">
        <v>2686</v>
      </c>
      <c r="C225" t="s">
        <v>680</v>
      </c>
      <c r="D225" t="s">
        <v>27</v>
      </c>
      <c r="E225">
        <f>SUMIF(数据源!R2891:R11457,C225,数据源!M2891:M11457)</f>
        <v>16402.62</v>
      </c>
    </row>
    <row r="226" spans="2:5">
      <c r="B226" t="s">
        <v>2693</v>
      </c>
      <c r="C226" t="s">
        <v>2243</v>
      </c>
      <c r="D226" t="s">
        <v>27</v>
      </c>
      <c r="E226">
        <f>SUMIF(数据源!R2840:R11406,C226,数据源!M2840:M11406)</f>
        <v>16361.646</v>
      </c>
    </row>
    <row r="227" spans="2:5">
      <c r="B227" t="s">
        <v>2686</v>
      </c>
      <c r="C227" t="s">
        <v>646</v>
      </c>
      <c r="D227" t="s">
        <v>27</v>
      </c>
      <c r="E227">
        <f>SUMIF(数据源!R2964:R11530,C227,数据源!M2964:M11530)</f>
        <v>13290.05</v>
      </c>
    </row>
    <row r="228" spans="2:5">
      <c r="B228" t="s">
        <v>2686</v>
      </c>
      <c r="C228" t="s">
        <v>365</v>
      </c>
      <c r="D228" t="s">
        <v>27</v>
      </c>
      <c r="E228">
        <f>SUMIF(数据源!R2866:R11432,C228,数据源!M2866:M11432)</f>
        <v>13265.38</v>
      </c>
    </row>
    <row r="229" spans="2:5">
      <c r="B229" t="s">
        <v>2698</v>
      </c>
      <c r="C229" t="s">
        <v>110</v>
      </c>
      <c r="D229" t="s">
        <v>27</v>
      </c>
      <c r="E229">
        <f>SUMIF(数据源!R3070:R11636,C229,数据源!M3070:M11636)</f>
        <v>9081.483</v>
      </c>
    </row>
    <row r="230" spans="2:5">
      <c r="B230" t="s">
        <v>2689</v>
      </c>
      <c r="C230" t="s">
        <v>1988</v>
      </c>
      <c r="D230" t="s">
        <v>25</v>
      </c>
      <c r="E230">
        <f>SUMIF(数据源!R147:R8713,C230,数据源!M147:M8713)</f>
        <v>16193.264</v>
      </c>
    </row>
    <row r="231" spans="2:5">
      <c r="B231" t="s">
        <v>2693</v>
      </c>
      <c r="C231" t="s">
        <v>1295</v>
      </c>
      <c r="D231" t="s">
        <v>27</v>
      </c>
      <c r="E231">
        <f>SUMIF(数据源!R2827:R11393,C231,数据源!M2827:M11393)</f>
        <v>15676.85</v>
      </c>
    </row>
    <row r="232" spans="2:5">
      <c r="B232" t="s">
        <v>2698</v>
      </c>
      <c r="C232" t="s">
        <v>2139</v>
      </c>
      <c r="D232" t="s">
        <v>27</v>
      </c>
      <c r="E232">
        <f>SUMIF(数据源!R3076:R11642,C232,数据源!M3076:M11642)</f>
        <v>7851.61</v>
      </c>
    </row>
    <row r="233" spans="2:5">
      <c r="B233" t="s">
        <v>2697</v>
      </c>
      <c r="C233" t="s">
        <v>1978</v>
      </c>
      <c r="D233" t="s">
        <v>26</v>
      </c>
      <c r="E233">
        <f>SUMIF(数据源!R2111:R10677,C233,数据源!M2111:M10677)</f>
        <v>22945.81</v>
      </c>
    </row>
    <row r="234" spans="2:5">
      <c r="B234" t="s">
        <v>2693</v>
      </c>
      <c r="C234" t="s">
        <v>1637</v>
      </c>
      <c r="D234" t="s">
        <v>27</v>
      </c>
      <c r="E234">
        <f>SUMIF(数据源!R2850:R11416,C234,数据源!M2850:M11416)</f>
        <v>8475.177</v>
      </c>
    </row>
    <row r="235" spans="2:5">
      <c r="B235" t="s">
        <v>2685</v>
      </c>
      <c r="C235" t="s">
        <v>1018</v>
      </c>
      <c r="D235" t="s">
        <v>25</v>
      </c>
      <c r="E235">
        <f>SUMIF(数据源!R460:R9026,C235,数据源!M460:M9026)</f>
        <v>30128.47</v>
      </c>
    </row>
    <row r="236" spans="2:5">
      <c r="B236" t="s">
        <v>2685</v>
      </c>
      <c r="C236" t="s">
        <v>1562</v>
      </c>
      <c r="D236" t="s">
        <v>25</v>
      </c>
      <c r="E236">
        <f>SUMIF(数据源!R442:R9008,C236,数据源!M442:M9008)</f>
        <v>15996.61</v>
      </c>
    </row>
    <row r="237" spans="2:5">
      <c r="B237" t="s">
        <v>2692</v>
      </c>
      <c r="C237" t="s">
        <v>144</v>
      </c>
      <c r="D237" t="s">
        <v>25</v>
      </c>
      <c r="E237">
        <f>SUMIF(数据源!R607:R9173,C237,数据源!M607:M9173)</f>
        <v>18676.93</v>
      </c>
    </row>
    <row r="238" spans="2:5">
      <c r="B238" t="s">
        <v>2685</v>
      </c>
      <c r="C238" t="s">
        <v>1679</v>
      </c>
      <c r="D238" t="s">
        <v>25</v>
      </c>
      <c r="E238">
        <f>SUMIF(数据源!R516:R9082,C238,数据源!M516:M9082)</f>
        <v>15924.07</v>
      </c>
    </row>
    <row r="239" spans="2:5">
      <c r="B239" t="s">
        <v>2692</v>
      </c>
      <c r="C239" t="s">
        <v>397</v>
      </c>
      <c r="D239" t="s">
        <v>25</v>
      </c>
      <c r="E239">
        <f>SUMIF(数据源!R631:R9197,C239,数据源!M631:M9197)</f>
        <v>15786.68</v>
      </c>
    </row>
    <row r="240" spans="2:5">
      <c r="B240" t="s">
        <v>2687</v>
      </c>
      <c r="C240" t="s">
        <v>2328</v>
      </c>
      <c r="D240" t="s">
        <v>25</v>
      </c>
      <c r="E240">
        <f>SUMIF(数据源!R743:R9309,C240,数据源!M743:M9309)</f>
        <v>15780.91</v>
      </c>
    </row>
    <row r="241" spans="2:5">
      <c r="B241" t="s">
        <v>2688</v>
      </c>
      <c r="C241" t="s">
        <v>175</v>
      </c>
      <c r="D241" t="s">
        <v>25</v>
      </c>
      <c r="E241">
        <f>SUMIF(数据源!R1145:R9711,C241,数据源!M1145:M9711)</f>
        <v>15779.43</v>
      </c>
    </row>
    <row r="242" spans="2:5">
      <c r="B242" t="s">
        <v>2695</v>
      </c>
      <c r="C242" t="s">
        <v>1393</v>
      </c>
      <c r="D242" t="s">
        <v>26</v>
      </c>
      <c r="E242">
        <f>SUMIF(数据源!R1926:R10492,C242,数据源!M1926:M10492)</f>
        <v>15369</v>
      </c>
    </row>
    <row r="243" spans="2:5">
      <c r="B243" t="s">
        <v>2697</v>
      </c>
      <c r="C243" t="s">
        <v>522</v>
      </c>
      <c r="D243" t="s">
        <v>26</v>
      </c>
      <c r="E243">
        <f>SUMIF(数据源!R2375:R10941,C243,数据源!M2375:M10941)</f>
        <v>13073.73</v>
      </c>
    </row>
    <row r="244" spans="2:5">
      <c r="B244" t="s">
        <v>2693</v>
      </c>
      <c r="C244" t="s">
        <v>1484</v>
      </c>
      <c r="D244" t="s">
        <v>27</v>
      </c>
      <c r="E244">
        <f>SUMIF(数据源!R2845:R11411,C244,数据源!M2845:M11411)</f>
        <v>7953.4</v>
      </c>
    </row>
    <row r="245" spans="2:5">
      <c r="B245" t="s">
        <v>2686</v>
      </c>
      <c r="C245" t="s">
        <v>1288</v>
      </c>
      <c r="D245" t="s">
        <v>27</v>
      </c>
      <c r="E245">
        <f>SUMIF(数据源!R2949:R11515,C245,数据源!M2949:M11515)</f>
        <v>15574.23</v>
      </c>
    </row>
    <row r="246" spans="2:5">
      <c r="B246" t="s">
        <v>2685</v>
      </c>
      <c r="C246" t="s">
        <v>1008</v>
      </c>
      <c r="D246" t="s">
        <v>25</v>
      </c>
      <c r="E246">
        <f>SUMIF(数据源!R349:R8915,C246,数据源!M349:M8915)</f>
        <v>15558.25</v>
      </c>
    </row>
    <row r="247" spans="2:5">
      <c r="B247" t="s">
        <v>2689</v>
      </c>
      <c r="C247" t="s">
        <v>2039</v>
      </c>
      <c r="D247" t="s">
        <v>25</v>
      </c>
      <c r="E247">
        <f>SUMIF(数据源!R140:R8706,C247,数据源!M140:M8706)</f>
        <v>15460.1145</v>
      </c>
    </row>
    <row r="248" spans="2:5">
      <c r="B248" t="s">
        <v>2688</v>
      </c>
      <c r="C248" t="s">
        <v>2168</v>
      </c>
      <c r="D248" t="s">
        <v>25</v>
      </c>
      <c r="E248">
        <f>SUMIF(数据源!R995:R9561,C248,数据源!M995:M9561)</f>
        <v>15433.0915</v>
      </c>
    </row>
    <row r="249" spans="2:5">
      <c r="B249" t="s">
        <v>2698</v>
      </c>
      <c r="C249" t="s">
        <v>301</v>
      </c>
      <c r="D249" t="s">
        <v>27</v>
      </c>
      <c r="E249">
        <f>SUMIF(数据源!R3266:R11832,C249,数据源!M3266:M11832)</f>
        <v>15406.82</v>
      </c>
    </row>
    <row r="250" spans="2:5">
      <c r="B250" t="s">
        <v>2688</v>
      </c>
      <c r="C250" t="s">
        <v>821</v>
      </c>
      <c r="D250" t="s">
        <v>25</v>
      </c>
      <c r="E250">
        <f>SUMIF(数据源!R961:R9527,C250,数据源!M961:M9527)</f>
        <v>15364.21</v>
      </c>
    </row>
    <row r="251" spans="2:5">
      <c r="B251" t="s">
        <v>2694</v>
      </c>
      <c r="C251" t="s">
        <v>688</v>
      </c>
      <c r="D251" t="s">
        <v>25</v>
      </c>
      <c r="E251">
        <f>SUMIF(数据源!R1752:R10318,C251,数据源!M1752:M10318)</f>
        <v>17516.035</v>
      </c>
    </row>
    <row r="252" spans="2:5">
      <c r="B252" t="s">
        <v>2685</v>
      </c>
      <c r="C252" t="s">
        <v>1020</v>
      </c>
      <c r="D252" t="s">
        <v>25</v>
      </c>
      <c r="E252">
        <f>SUMIF(数据源!R497:R9063,C252,数据源!M497:M9063)</f>
        <v>15222.848</v>
      </c>
    </row>
    <row r="253" spans="2:5">
      <c r="B253" t="s">
        <v>2688</v>
      </c>
      <c r="C253" t="s">
        <v>886</v>
      </c>
      <c r="D253" t="s">
        <v>25</v>
      </c>
      <c r="E253">
        <f>SUMIF(数据源!R778:R9344,C253,数据源!M778:M9344)</f>
        <v>13604.98</v>
      </c>
    </row>
    <row r="254" spans="2:5">
      <c r="B254" t="s">
        <v>2686</v>
      </c>
      <c r="C254" t="s">
        <v>2055</v>
      </c>
      <c r="D254" t="s">
        <v>27</v>
      </c>
      <c r="E254">
        <f>SUMIF(数据源!R2951:R11517,C254,数据源!M2951:M11517)</f>
        <v>11819.859</v>
      </c>
    </row>
    <row r="255" spans="2:5">
      <c r="B255" t="s">
        <v>2687</v>
      </c>
      <c r="C255" t="s">
        <v>1441</v>
      </c>
      <c r="D255" t="s">
        <v>25</v>
      </c>
      <c r="E255">
        <f>SUMIF(数据源!R739:R9305,C255,数据源!M739:M9305)</f>
        <v>18135.67</v>
      </c>
    </row>
    <row r="256" spans="2:5">
      <c r="B256" t="s">
        <v>2698</v>
      </c>
      <c r="C256" t="s">
        <v>70</v>
      </c>
      <c r="D256" t="s">
        <v>27</v>
      </c>
      <c r="E256">
        <f>SUMIF(数据源!R3248:R11814,C256,数据源!M3248:M11814)</f>
        <v>13672.585</v>
      </c>
    </row>
    <row r="257" spans="2:5">
      <c r="B257" t="s">
        <v>2697</v>
      </c>
      <c r="C257" t="s">
        <v>1012</v>
      </c>
      <c r="D257" t="s">
        <v>26</v>
      </c>
      <c r="E257">
        <f>SUMIF(数据源!R2329:R10895,C257,数据源!M2329:M10895)</f>
        <v>13285.7875</v>
      </c>
    </row>
    <row r="258" spans="2:5">
      <c r="B258" t="s">
        <v>2694</v>
      </c>
      <c r="C258" t="s">
        <v>836</v>
      </c>
      <c r="D258" t="s">
        <v>25</v>
      </c>
      <c r="E258">
        <f>SUMIF(数据源!R1798:R10364,C258,数据源!M1798:M10364)</f>
        <v>14541.2865</v>
      </c>
    </row>
    <row r="259" spans="2:5">
      <c r="B259" t="s">
        <v>2699</v>
      </c>
      <c r="C259" t="s">
        <v>2215</v>
      </c>
      <c r="D259" t="s">
        <v>26</v>
      </c>
      <c r="E259">
        <f>SUMIF(数据源!R2454:R11020,C259,数据源!M2454:M11020)</f>
        <v>14820.72</v>
      </c>
    </row>
    <row r="260" spans="2:5">
      <c r="B260" t="s">
        <v>2688</v>
      </c>
      <c r="C260" t="s">
        <v>1902</v>
      </c>
      <c r="D260" t="s">
        <v>25</v>
      </c>
      <c r="E260">
        <f>SUMIF(数据源!R844:R9410,C260,数据源!M844:M9410)</f>
        <v>14783.5</v>
      </c>
    </row>
    <row r="261" spans="2:5">
      <c r="B261" t="s">
        <v>2695</v>
      </c>
      <c r="C261" t="s">
        <v>724</v>
      </c>
      <c r="D261" t="s">
        <v>26</v>
      </c>
      <c r="E261">
        <f>SUMIF(数据源!R1870:R10436,C261,数据源!M1870:M10436)</f>
        <v>14727.8605</v>
      </c>
    </row>
    <row r="262" spans="2:5">
      <c r="B262" t="s">
        <v>2699</v>
      </c>
      <c r="C262" t="s">
        <v>1920</v>
      </c>
      <c r="D262" t="s">
        <v>26</v>
      </c>
      <c r="E262">
        <f>SUMIF(数据源!R2443:R11009,C262,数据源!M2443:M11009)</f>
        <v>14485.85</v>
      </c>
    </row>
    <row r="263" spans="2:5">
      <c r="B263" t="s">
        <v>2691</v>
      </c>
      <c r="C263" t="s">
        <v>1501</v>
      </c>
      <c r="D263" t="s">
        <v>26</v>
      </c>
      <c r="E263">
        <f>SUMIF(数据源!R2085:R10651,C263,数据源!M2085:M10651)</f>
        <v>14666.56</v>
      </c>
    </row>
    <row r="264" spans="2:5">
      <c r="B264" t="s">
        <v>2701</v>
      </c>
      <c r="C264" t="s">
        <v>622</v>
      </c>
      <c r="D264" t="s">
        <v>25</v>
      </c>
      <c r="E264">
        <f>SUMIF(数据源!R1627:R10193,C264,数据源!M1627:M10193)</f>
        <v>14581.21</v>
      </c>
    </row>
    <row r="265" spans="2:5">
      <c r="B265" t="s">
        <v>2688</v>
      </c>
      <c r="C265" t="s">
        <v>866</v>
      </c>
      <c r="D265" t="s">
        <v>25</v>
      </c>
      <c r="E265">
        <f>SUMIF(数据源!R1086:R9652,C265,数据源!M1086:M9652)</f>
        <v>16696.02</v>
      </c>
    </row>
    <row r="266" spans="2:5">
      <c r="B266" t="s">
        <v>2700</v>
      </c>
      <c r="C266" t="s">
        <v>2101</v>
      </c>
      <c r="D266" t="s">
        <v>25</v>
      </c>
      <c r="E266">
        <f>SUMIF(数据源!R1557:R10123,C266,数据源!M1557:M10123)</f>
        <v>14476.27</v>
      </c>
    </row>
    <row r="267" spans="2:5">
      <c r="B267" t="s">
        <v>2697</v>
      </c>
      <c r="C267" t="s">
        <v>2496</v>
      </c>
      <c r="D267" t="s">
        <v>26</v>
      </c>
      <c r="E267">
        <f>SUMIF(数据源!R2382:R10948,C267,数据源!M2382:M10948)</f>
        <v>14365</v>
      </c>
    </row>
    <row r="268" spans="2:5">
      <c r="B268" t="s">
        <v>2699</v>
      </c>
      <c r="C268" t="s">
        <v>1420</v>
      </c>
      <c r="D268" t="s">
        <v>26</v>
      </c>
      <c r="E268">
        <f>SUMIF(数据源!R2545:R11111,C268,数据源!M2545:M11111)</f>
        <v>13261.37</v>
      </c>
    </row>
    <row r="269" spans="2:5">
      <c r="B269" t="s">
        <v>2693</v>
      </c>
      <c r="C269" t="s">
        <v>1309</v>
      </c>
      <c r="D269" t="s">
        <v>27</v>
      </c>
      <c r="E269">
        <f>SUMIF(数据源!R2854:R11420,C269,数据源!M2854:M11420)</f>
        <v>13793.22</v>
      </c>
    </row>
    <row r="270" spans="2:5">
      <c r="B270" t="s">
        <v>2698</v>
      </c>
      <c r="C270" t="s">
        <v>1613</v>
      </c>
      <c r="D270" t="s">
        <v>27</v>
      </c>
      <c r="E270">
        <f>SUMIF(数据源!R3305:R11871,C270,数据源!M3305:M11871)</f>
        <v>14135.636</v>
      </c>
    </row>
    <row r="271" spans="2:5">
      <c r="B271" t="s">
        <v>2692</v>
      </c>
      <c r="C271" t="s">
        <v>478</v>
      </c>
      <c r="D271" t="s">
        <v>25</v>
      </c>
      <c r="E271">
        <f>SUMIF(数据源!R606:R9172,C271,数据源!M606:M9172)</f>
        <v>13610.199</v>
      </c>
    </row>
    <row r="272" spans="2:5">
      <c r="B272" t="s">
        <v>2687</v>
      </c>
      <c r="C272" t="s">
        <v>1341</v>
      </c>
      <c r="D272" t="s">
        <v>25</v>
      </c>
      <c r="E272">
        <f>SUMIF(数据源!R723:R9289,C272,数据源!M723:M9289)</f>
        <v>14022.08</v>
      </c>
    </row>
    <row r="273" spans="2:5">
      <c r="B273" t="s">
        <v>2691</v>
      </c>
      <c r="C273" t="s">
        <v>2187</v>
      </c>
      <c r="D273" t="s">
        <v>26</v>
      </c>
      <c r="E273">
        <f>SUMIF(数据源!R2006:R10572,C273,数据源!M2006:M10572)</f>
        <v>13996.29</v>
      </c>
    </row>
    <row r="274" spans="2:5">
      <c r="B274" t="s">
        <v>2693</v>
      </c>
      <c r="C274" t="s">
        <v>1064</v>
      </c>
      <c r="D274" t="s">
        <v>27</v>
      </c>
      <c r="E274">
        <f>SUMIF(数据源!R2832:R11398,C274,数据源!M2832:M11398)</f>
        <v>9110.89</v>
      </c>
    </row>
    <row r="275" spans="2:5">
      <c r="B275" t="s">
        <v>2692</v>
      </c>
      <c r="C275" t="s">
        <v>399</v>
      </c>
      <c r="D275" t="s">
        <v>25</v>
      </c>
      <c r="E275">
        <f>SUMIF(数据源!R599:R9165,C275,数据源!M599:M9165)</f>
        <v>13796.6615</v>
      </c>
    </row>
    <row r="276" spans="2:5">
      <c r="B276" t="s">
        <v>2688</v>
      </c>
      <c r="C276" t="s">
        <v>998</v>
      </c>
      <c r="D276" t="s">
        <v>25</v>
      </c>
      <c r="E276">
        <f>SUMIF(数据源!R987:R9553,C276,数据源!M987:M9553)</f>
        <v>13631.198</v>
      </c>
    </row>
    <row r="277" spans="2:5">
      <c r="B277" t="s">
        <v>2693</v>
      </c>
      <c r="C277" t="s">
        <v>337</v>
      </c>
      <c r="D277" t="s">
        <v>27</v>
      </c>
      <c r="E277">
        <f>SUMIF(数据源!R2847:R11413,C277,数据源!M2847:M11413)</f>
        <v>12304.07</v>
      </c>
    </row>
    <row r="278" spans="2:5">
      <c r="B278" t="s">
        <v>2695</v>
      </c>
      <c r="C278" t="s">
        <v>901</v>
      </c>
      <c r="D278" t="s">
        <v>26</v>
      </c>
      <c r="E278">
        <f>SUMIF(数据源!R1915:R10481,C278,数据源!M1915:M10481)</f>
        <v>13244.3915</v>
      </c>
    </row>
    <row r="279" spans="2:5">
      <c r="B279" t="s">
        <v>2691</v>
      </c>
      <c r="C279" t="s">
        <v>1825</v>
      </c>
      <c r="D279" t="s">
        <v>26</v>
      </c>
      <c r="E279">
        <f>SUMIF(数据源!R1965:R10531,C279,数据源!M1965:M10531)</f>
        <v>23045.95</v>
      </c>
    </row>
    <row r="280" spans="2:5">
      <c r="B280" t="s">
        <v>2697</v>
      </c>
      <c r="C280" t="s">
        <v>1402</v>
      </c>
      <c r="D280" t="s">
        <v>26</v>
      </c>
      <c r="E280">
        <f>SUMIF(数据源!R2196:R10762,C280,数据源!M2196:M10762)</f>
        <v>13349.33</v>
      </c>
    </row>
    <row r="281" spans="2:5">
      <c r="B281" t="s">
        <v>2685</v>
      </c>
      <c r="C281" t="s">
        <v>570</v>
      </c>
      <c r="D281" t="s">
        <v>25</v>
      </c>
      <c r="E281">
        <f>SUMIF(数据源!R414:R8980,C281,数据源!M414:M8980)</f>
        <v>13337.8715</v>
      </c>
    </row>
    <row r="282" spans="2:5">
      <c r="B282" t="s">
        <v>2688</v>
      </c>
      <c r="C282" t="s">
        <v>2188</v>
      </c>
      <c r="D282" t="s">
        <v>25</v>
      </c>
      <c r="E282">
        <f>SUMIF(数据源!R989:R9555,C282,数据源!M989:M9555)</f>
        <v>13317.616</v>
      </c>
    </row>
    <row r="283" spans="2:5">
      <c r="B283" t="s">
        <v>2691</v>
      </c>
      <c r="C283" t="s">
        <v>1189</v>
      </c>
      <c r="D283" t="s">
        <v>26</v>
      </c>
      <c r="E283">
        <f>SUMIF(数据源!R2004:R10570,C283,数据源!M2004:M10570)</f>
        <v>11523.456</v>
      </c>
    </row>
    <row r="284" spans="2:5">
      <c r="B284" t="s">
        <v>2698</v>
      </c>
      <c r="C284" t="s">
        <v>1009</v>
      </c>
      <c r="D284" t="s">
        <v>27</v>
      </c>
      <c r="E284">
        <f>SUMIF(数据源!R3170:R11736,C284,数据源!M3170:M11736)</f>
        <v>8963.09</v>
      </c>
    </row>
    <row r="285" spans="2:5">
      <c r="B285" t="s">
        <v>2697</v>
      </c>
      <c r="C285" t="s">
        <v>1319</v>
      </c>
      <c r="D285" t="s">
        <v>26</v>
      </c>
      <c r="E285">
        <f>SUMIF(数据源!R2109:R10675,C285,数据源!M2109:M10675)</f>
        <v>13244.136</v>
      </c>
    </row>
    <row r="286" spans="2:5">
      <c r="B286" t="s">
        <v>2693</v>
      </c>
      <c r="C286" t="s">
        <v>1675</v>
      </c>
      <c r="D286" t="s">
        <v>27</v>
      </c>
      <c r="E286">
        <f>SUMIF(数据源!R2839:R11405,C286,数据源!M2839:M11405)</f>
        <v>11815.0725</v>
      </c>
    </row>
    <row r="287" spans="2:5">
      <c r="B287" t="s">
        <v>2699</v>
      </c>
      <c r="C287" t="s">
        <v>2154</v>
      </c>
      <c r="D287" t="s">
        <v>26</v>
      </c>
      <c r="E287">
        <f>SUMIF(数据源!R2523:R11089,C287,数据源!M2523:M11089)</f>
        <v>13141.22</v>
      </c>
    </row>
    <row r="288" spans="2:5">
      <c r="B288" t="s">
        <v>2685</v>
      </c>
      <c r="C288" t="s">
        <v>1281</v>
      </c>
      <c r="D288" t="s">
        <v>25</v>
      </c>
      <c r="E288">
        <f>SUMIF(数据源!R376:R8942,C288,数据源!M376:M8942)</f>
        <v>13115.53</v>
      </c>
    </row>
    <row r="289" spans="2:5">
      <c r="B289" t="s">
        <v>2696</v>
      </c>
      <c r="C289" t="s">
        <v>1040</v>
      </c>
      <c r="D289" t="s">
        <v>27</v>
      </c>
      <c r="E289">
        <f>SUMIF(数据源!R2800:R11366,C289,数据源!M2800:M11366)</f>
        <v>10352.3725</v>
      </c>
    </row>
    <row r="290" spans="2:5">
      <c r="B290" t="s">
        <v>2691</v>
      </c>
      <c r="C290" t="s">
        <v>1504</v>
      </c>
      <c r="D290" t="s">
        <v>26</v>
      </c>
      <c r="E290">
        <f>SUMIF(数据源!R1984:R10550,C290,数据源!M1984:M10550)</f>
        <v>11912.81</v>
      </c>
    </row>
    <row r="291" spans="2:5">
      <c r="B291" t="s">
        <v>2688</v>
      </c>
      <c r="C291" t="s">
        <v>1169</v>
      </c>
      <c r="D291" t="s">
        <v>25</v>
      </c>
      <c r="E291">
        <f>SUMIF(数据源!R993:R9559,C291,数据源!M993:M9559)</f>
        <v>7333.24</v>
      </c>
    </row>
    <row r="292" spans="2:5">
      <c r="B292" t="s">
        <v>2689</v>
      </c>
      <c r="C292" t="s">
        <v>335</v>
      </c>
      <c r="D292" t="s">
        <v>25</v>
      </c>
      <c r="E292">
        <f>SUMIF(数据源!R105:R8671,C292,数据源!M105:M8671)</f>
        <v>17060.006</v>
      </c>
    </row>
    <row r="293" spans="2:5">
      <c r="B293" t="s">
        <v>2688</v>
      </c>
      <c r="C293" t="s">
        <v>480</v>
      </c>
      <c r="D293" t="s">
        <v>25</v>
      </c>
      <c r="E293">
        <f>SUMIF(数据源!R914:R9480,C293,数据源!M914:M9480)</f>
        <v>12847.89</v>
      </c>
    </row>
    <row r="294" spans="2:5">
      <c r="B294" t="s">
        <v>2688</v>
      </c>
      <c r="C294" t="s">
        <v>409</v>
      </c>
      <c r="D294" t="s">
        <v>25</v>
      </c>
      <c r="E294">
        <f>SUMIF(数据源!R896:R9462,C294,数据源!M896:M9462)</f>
        <v>8975.959</v>
      </c>
    </row>
    <row r="295" spans="2:5">
      <c r="B295" t="s">
        <v>2698</v>
      </c>
      <c r="C295" t="s">
        <v>1371</v>
      </c>
      <c r="D295" t="s">
        <v>27</v>
      </c>
      <c r="E295">
        <f>SUMIF(数据源!R3313:R11879,C295,数据源!M3313:M11879)</f>
        <v>1079.97</v>
      </c>
    </row>
    <row r="296" spans="2:5">
      <c r="B296" t="s">
        <v>2695</v>
      </c>
      <c r="C296" t="s">
        <v>921</v>
      </c>
      <c r="D296" t="s">
        <v>26</v>
      </c>
      <c r="E296">
        <f>SUMIF(数据源!R1930:R10496,C296,数据源!M1930:M10496)</f>
        <v>12702.34</v>
      </c>
    </row>
    <row r="297" spans="2:5">
      <c r="B297" t="s">
        <v>2699</v>
      </c>
      <c r="C297" t="s">
        <v>960</v>
      </c>
      <c r="D297" t="s">
        <v>26</v>
      </c>
      <c r="E297">
        <f>SUMIF(数据源!R2551:R11117,C297,数据源!M2551:M11117)</f>
        <v>12612.15</v>
      </c>
    </row>
    <row r="298" spans="2:5">
      <c r="B298" t="s">
        <v>2688</v>
      </c>
      <c r="C298" t="s">
        <v>2631</v>
      </c>
      <c r="D298" t="s">
        <v>25</v>
      </c>
      <c r="E298">
        <f>SUMIF(数据源!R1151:R9717,C298,数据源!M1151:M9717)</f>
        <v>12635.75</v>
      </c>
    </row>
    <row r="299" spans="2:5">
      <c r="B299" t="s">
        <v>2695</v>
      </c>
      <c r="C299" t="s">
        <v>327</v>
      </c>
      <c r="D299" t="s">
        <v>26</v>
      </c>
      <c r="E299">
        <f>SUMIF(数据源!R1875:R10441,C299,数据源!M1875:M10441)</f>
        <v>12567.72</v>
      </c>
    </row>
    <row r="300" spans="2:5">
      <c r="B300" t="s">
        <v>2691</v>
      </c>
      <c r="C300" t="s">
        <v>1125</v>
      </c>
      <c r="D300" t="s">
        <v>26</v>
      </c>
      <c r="E300">
        <f>SUMIF(数据源!R1955:R10521,C300,数据源!M1955:M10521)</f>
        <v>12260.09</v>
      </c>
    </row>
    <row r="301" spans="2:5">
      <c r="B301" t="s">
        <v>2688</v>
      </c>
      <c r="C301" t="s">
        <v>1193</v>
      </c>
      <c r="D301" t="s">
        <v>25</v>
      </c>
      <c r="E301">
        <f>SUMIF(数据源!R847:R9413,C301,数据源!M847:M9413)</f>
        <v>12505.78</v>
      </c>
    </row>
    <row r="302" spans="2:5">
      <c r="B302" t="s">
        <v>2685</v>
      </c>
      <c r="C302" t="s">
        <v>1236</v>
      </c>
      <c r="D302" t="s">
        <v>25</v>
      </c>
      <c r="E302">
        <f>SUMIF(数据源!R372:R8938,C302,数据源!M372:M8938)</f>
        <v>12774.53</v>
      </c>
    </row>
    <row r="303" spans="2:5">
      <c r="B303" t="s">
        <v>2688</v>
      </c>
      <c r="C303" t="s">
        <v>329</v>
      </c>
      <c r="D303" t="s">
        <v>25</v>
      </c>
      <c r="E303">
        <f>SUMIF(数据源!R946:R9512,C303,数据源!M946:M9512)</f>
        <v>14789.819</v>
      </c>
    </row>
    <row r="304" spans="2:5">
      <c r="B304" t="s">
        <v>2700</v>
      </c>
      <c r="C304" t="s">
        <v>1583</v>
      </c>
      <c r="D304" t="s">
        <v>25</v>
      </c>
      <c r="E304">
        <f>SUMIF(数据源!R1517:R10083,C304,数据源!M1517:M10083)</f>
        <v>11869.244</v>
      </c>
    </row>
    <row r="305" spans="2:5">
      <c r="B305" t="s">
        <v>2686</v>
      </c>
      <c r="C305" t="s">
        <v>1763</v>
      </c>
      <c r="D305" t="s">
        <v>27</v>
      </c>
      <c r="E305">
        <f>SUMIF(数据源!R2966:R11532,C305,数据源!M2966:M11532)</f>
        <v>5570.14</v>
      </c>
    </row>
    <row r="306" spans="2:5">
      <c r="B306" t="s">
        <v>2695</v>
      </c>
      <c r="C306" t="s">
        <v>1300</v>
      </c>
      <c r="D306" t="s">
        <v>26</v>
      </c>
      <c r="E306">
        <f>SUMIF(数据源!R1910:R10476,C306,数据源!M1910:M10476)</f>
        <v>9540.66</v>
      </c>
    </row>
    <row r="307" spans="2:5">
      <c r="B307" t="s">
        <v>2691</v>
      </c>
      <c r="C307" t="s">
        <v>1311</v>
      </c>
      <c r="D307" t="s">
        <v>26</v>
      </c>
      <c r="E307">
        <f>SUMIF(数据源!R2058:R10624,C307,数据源!M2058:M10624)</f>
        <v>10497.4745</v>
      </c>
    </row>
    <row r="308" spans="2:5">
      <c r="B308" t="s">
        <v>2697</v>
      </c>
      <c r="C308" t="s">
        <v>1840</v>
      </c>
      <c r="D308" t="s">
        <v>26</v>
      </c>
      <c r="E308">
        <f>SUMIF(数据源!R2316:R10882,C308,数据源!M2316:M10882)</f>
        <v>5473.06</v>
      </c>
    </row>
    <row r="309" spans="2:5">
      <c r="B309" t="s">
        <v>2699</v>
      </c>
      <c r="C309" t="s">
        <v>2221</v>
      </c>
      <c r="D309" t="s">
        <v>26</v>
      </c>
      <c r="E309">
        <f>SUMIF(数据源!R2524:R11090,C309,数据源!M2524:M11090)</f>
        <v>11927.302</v>
      </c>
    </row>
    <row r="310" spans="2:5">
      <c r="B310" t="s">
        <v>2687</v>
      </c>
      <c r="C310" t="s">
        <v>1705</v>
      </c>
      <c r="D310" t="s">
        <v>25</v>
      </c>
      <c r="E310">
        <f>SUMIF(数据源!R680:R9246,C310,数据源!M680:M9246)</f>
        <v>11854.93</v>
      </c>
    </row>
    <row r="311" spans="2:5">
      <c r="B311" t="s">
        <v>2689</v>
      </c>
      <c r="C311" t="s">
        <v>1639</v>
      </c>
      <c r="D311" t="s">
        <v>25</v>
      </c>
      <c r="E311">
        <f>SUMIF(数据源!R32:R8598,C311,数据源!M32:M8598)</f>
        <v>11802.744</v>
      </c>
    </row>
    <row r="312" spans="2:5">
      <c r="B312" t="s">
        <v>2688</v>
      </c>
      <c r="C312" t="s">
        <v>1310</v>
      </c>
      <c r="D312" t="s">
        <v>25</v>
      </c>
      <c r="E312">
        <f>SUMIF(数据源!R803:R9369,C312,数据源!M803:M9369)</f>
        <v>11794.7605</v>
      </c>
    </row>
    <row r="313" spans="2:5">
      <c r="B313" t="s">
        <v>2696</v>
      </c>
      <c r="C313" t="s">
        <v>1170</v>
      </c>
      <c r="D313" t="s">
        <v>27</v>
      </c>
      <c r="E313">
        <f>SUMIF(数据源!R2763:R11329,C313,数据源!M2763:M11329)</f>
        <v>11680.19</v>
      </c>
    </row>
    <row r="314" spans="2:5">
      <c r="B314" t="s">
        <v>2695</v>
      </c>
      <c r="C314" t="s">
        <v>1056</v>
      </c>
      <c r="D314" t="s">
        <v>26</v>
      </c>
      <c r="E314">
        <f>SUMIF(数据源!R1916:R10482,C314,数据源!M1916:M10482)</f>
        <v>10471.3415</v>
      </c>
    </row>
    <row r="315" spans="2:5">
      <c r="B315" t="s">
        <v>2699</v>
      </c>
      <c r="C315" t="s">
        <v>2367</v>
      </c>
      <c r="D315" t="s">
        <v>26</v>
      </c>
      <c r="E315">
        <f>SUMIF(数据源!R2531:R11097,C315,数据源!M2531:M11097)</f>
        <v>11688.71</v>
      </c>
    </row>
    <row r="316" spans="2:5">
      <c r="B316" t="s">
        <v>2694</v>
      </c>
      <c r="C316" t="s">
        <v>1755</v>
      </c>
      <c r="D316" t="s">
        <v>25</v>
      </c>
      <c r="E316">
        <f>SUMIF(数据源!R1796:R10362,C316,数据源!M1796:M10362)</f>
        <v>11237.466</v>
      </c>
    </row>
    <row r="317" spans="2:5">
      <c r="B317" t="s">
        <v>2696</v>
      </c>
      <c r="C317" t="s">
        <v>1611</v>
      </c>
      <c r="D317" t="s">
        <v>27</v>
      </c>
      <c r="E317">
        <f>SUMIF(数据源!R2607:R11173,C317,数据源!M2607:M11173)</f>
        <v>10262.12</v>
      </c>
    </row>
    <row r="318" spans="2:5">
      <c r="B318" t="s">
        <v>2701</v>
      </c>
      <c r="C318" t="s">
        <v>340</v>
      </c>
      <c r="D318" t="s">
        <v>25</v>
      </c>
      <c r="E318">
        <f>SUMIF(数据源!R1578:R10144,C318,数据源!M1578:M10144)</f>
        <v>11568.69</v>
      </c>
    </row>
    <row r="319" spans="2:5">
      <c r="B319" t="s">
        <v>2694</v>
      </c>
      <c r="C319" t="s">
        <v>1452</v>
      </c>
      <c r="D319" t="s">
        <v>25</v>
      </c>
      <c r="E319">
        <f>SUMIF(数据源!R1829:R10395,C319,数据源!M1829:M10395)</f>
        <v>9118.6335</v>
      </c>
    </row>
    <row r="320" spans="2:5">
      <c r="B320" t="s">
        <v>2689</v>
      </c>
      <c r="C320" t="s">
        <v>164</v>
      </c>
      <c r="D320" t="s">
        <v>25</v>
      </c>
      <c r="E320">
        <f>SUMIF(数据源!R115:R8681,C320,数据源!M115:M8681)</f>
        <v>11520.2</v>
      </c>
    </row>
    <row r="321" spans="2:5">
      <c r="B321" t="s">
        <v>2688</v>
      </c>
      <c r="C321" t="s">
        <v>947</v>
      </c>
      <c r="D321" t="s">
        <v>25</v>
      </c>
      <c r="E321">
        <f>SUMIF(数据源!R1072:R9638,C321,数据源!M1072:M9638)</f>
        <v>9915.354</v>
      </c>
    </row>
    <row r="322" spans="2:5">
      <c r="B322" t="s">
        <v>2697</v>
      </c>
      <c r="C322" t="s">
        <v>1051</v>
      </c>
      <c r="D322" t="s">
        <v>26</v>
      </c>
      <c r="E322">
        <f>SUMIF(数据源!R2236:R10802,C322,数据源!M2236:M10802)</f>
        <v>10533.89</v>
      </c>
    </row>
    <row r="323" spans="2:5">
      <c r="B323" t="s">
        <v>2690</v>
      </c>
      <c r="C323" t="s">
        <v>576</v>
      </c>
      <c r="D323" t="s">
        <v>25</v>
      </c>
      <c r="E323">
        <f>SUMIF(数据源!R1319:R9885,C323,数据源!M1319:M9885)</f>
        <v>11243.2325</v>
      </c>
    </row>
    <row r="324" spans="2:5">
      <c r="B324" t="s">
        <v>2694</v>
      </c>
      <c r="C324" t="s">
        <v>1907</v>
      </c>
      <c r="D324" t="s">
        <v>25</v>
      </c>
      <c r="E324">
        <f>SUMIF(数据源!R1716:R10282,C324,数据源!M1716:M10282)</f>
        <v>11343.209</v>
      </c>
    </row>
    <row r="325" spans="2:5">
      <c r="B325" t="s">
        <v>2685</v>
      </c>
      <c r="C325" t="s">
        <v>912</v>
      </c>
      <c r="D325" t="s">
        <v>25</v>
      </c>
      <c r="E325">
        <f>SUMIF(数据源!R322:R8888,C325,数据源!M322:M8888)</f>
        <v>11298.68</v>
      </c>
    </row>
    <row r="326" spans="2:5">
      <c r="B326" t="s">
        <v>2685</v>
      </c>
      <c r="C326" t="s">
        <v>499</v>
      </c>
      <c r="D326" t="s">
        <v>25</v>
      </c>
      <c r="E326">
        <f>SUMIF(数据源!R364:R8930,C326,数据源!M364:M8930)</f>
        <v>11229.636</v>
      </c>
    </row>
    <row r="327" spans="2:5">
      <c r="B327" t="s">
        <v>2690</v>
      </c>
      <c r="C327" t="s">
        <v>1629</v>
      </c>
      <c r="D327" t="s">
        <v>25</v>
      </c>
      <c r="E327">
        <f>SUMIF(数据源!R1451:R10017,C327,数据源!M1451:M10017)</f>
        <v>11175.55</v>
      </c>
    </row>
    <row r="328" spans="2:5">
      <c r="B328" t="s">
        <v>2686</v>
      </c>
      <c r="C328" t="s">
        <v>1164</v>
      </c>
      <c r="D328" t="s">
        <v>27</v>
      </c>
      <c r="E328">
        <f>SUMIF(数据源!R2962:R11528,C328,数据源!M2962:M11528)</f>
        <v>7643.74</v>
      </c>
    </row>
    <row r="329" spans="2:5">
      <c r="B329" t="s">
        <v>2697</v>
      </c>
      <c r="C329" t="s">
        <v>608</v>
      </c>
      <c r="D329" t="s">
        <v>26</v>
      </c>
      <c r="E329">
        <f>SUMIF(数据源!R2286:R10852,C329,数据源!M2286:M10852)</f>
        <v>9204.9325</v>
      </c>
    </row>
    <row r="330" spans="2:5">
      <c r="B330" t="s">
        <v>2694</v>
      </c>
      <c r="C330" t="s">
        <v>957</v>
      </c>
      <c r="D330" t="s">
        <v>25</v>
      </c>
      <c r="E330">
        <f>SUMIF(数据源!R1759:R10325,C330,数据源!M1759:M10325)</f>
        <v>10446.9415</v>
      </c>
    </row>
    <row r="331" spans="2:5">
      <c r="B331" t="s">
        <v>2688</v>
      </c>
      <c r="C331" t="s">
        <v>2099</v>
      </c>
      <c r="D331" t="s">
        <v>25</v>
      </c>
      <c r="E331">
        <f>SUMIF(数据源!R762:R9328,C331,数据源!M762:M9328)</f>
        <v>10967.936</v>
      </c>
    </row>
    <row r="332" spans="2:5">
      <c r="B332" t="s">
        <v>2693</v>
      </c>
      <c r="C332" t="s">
        <v>2249</v>
      </c>
      <c r="D332" t="s">
        <v>27</v>
      </c>
      <c r="E332">
        <f>SUMIF(数据源!R2844:R11410,C332,数据源!M2844:M11410)</f>
        <v>10946.82</v>
      </c>
    </row>
    <row r="333" spans="2:5">
      <c r="B333" t="s">
        <v>2691</v>
      </c>
      <c r="C333" t="s">
        <v>894</v>
      </c>
      <c r="D333" t="s">
        <v>26</v>
      </c>
      <c r="E333">
        <f>SUMIF(数据源!R2012:R10578,C333,数据源!M2012:M10578)</f>
        <v>5438.6745</v>
      </c>
    </row>
    <row r="334" spans="2:5">
      <c r="B334" t="s">
        <v>2696</v>
      </c>
      <c r="C334" t="s">
        <v>1530</v>
      </c>
      <c r="D334" t="s">
        <v>27</v>
      </c>
      <c r="E334">
        <f>SUMIF(数据源!R2576:R11142,C334,数据源!M2576:M11142)</f>
        <v>8574.1595</v>
      </c>
    </row>
    <row r="335" spans="2:5">
      <c r="B335" t="s">
        <v>2699</v>
      </c>
      <c r="C335" t="s">
        <v>308</v>
      </c>
      <c r="D335" t="s">
        <v>26</v>
      </c>
      <c r="E335">
        <f>SUMIF(数据源!R2419:R10985,C335,数据源!M2419:M10985)</f>
        <v>10879.77</v>
      </c>
    </row>
    <row r="336" spans="2:5">
      <c r="B336" t="s">
        <v>2685</v>
      </c>
      <c r="C336" t="s">
        <v>750</v>
      </c>
      <c r="D336" t="s">
        <v>25</v>
      </c>
      <c r="E336">
        <f>SUMIF(数据源!R491:R9057,C336,数据源!M491:M9057)</f>
        <v>15610.14</v>
      </c>
    </row>
    <row r="337" spans="2:5">
      <c r="B337" t="s">
        <v>2688</v>
      </c>
      <c r="C337" t="s">
        <v>1702</v>
      </c>
      <c r="D337" t="s">
        <v>25</v>
      </c>
      <c r="E337">
        <f>SUMIF(数据源!R1084:R9650,C337,数据源!M1084:M9650)</f>
        <v>10799.61</v>
      </c>
    </row>
    <row r="338" spans="2:5">
      <c r="B338" t="s">
        <v>2697</v>
      </c>
      <c r="C338" t="s">
        <v>744</v>
      </c>
      <c r="D338" t="s">
        <v>26</v>
      </c>
      <c r="E338">
        <f>SUMIF(数据源!R2220:R10786,C338,数据源!M2220:M10786)</f>
        <v>10078.435</v>
      </c>
    </row>
    <row r="339" spans="2:5">
      <c r="B339" t="s">
        <v>2686</v>
      </c>
      <c r="C339" t="s">
        <v>1580</v>
      </c>
      <c r="D339" t="s">
        <v>27</v>
      </c>
      <c r="E339">
        <f>SUMIF(数据源!R2997:R11563,C339,数据源!M2997:M11563)</f>
        <v>9513.33</v>
      </c>
    </row>
    <row r="340" spans="2:5">
      <c r="B340" t="s">
        <v>2691</v>
      </c>
      <c r="C340" t="s">
        <v>949</v>
      </c>
      <c r="D340" t="s">
        <v>26</v>
      </c>
      <c r="E340">
        <f>SUMIF(数据源!R2081:R10647,C340,数据源!M2081:M10647)</f>
        <v>9678.63</v>
      </c>
    </row>
    <row r="341" spans="2:5">
      <c r="B341" t="s">
        <v>2699</v>
      </c>
      <c r="C341" t="s">
        <v>2042</v>
      </c>
      <c r="D341" t="s">
        <v>26</v>
      </c>
      <c r="E341">
        <f>SUMIF(数据源!R2543:R11109,C341,数据源!M2543:M11109)</f>
        <v>10712.65</v>
      </c>
    </row>
    <row r="342" spans="2:5">
      <c r="B342" t="s">
        <v>2685</v>
      </c>
      <c r="C342" t="s">
        <v>202</v>
      </c>
      <c r="D342" t="s">
        <v>25</v>
      </c>
      <c r="E342">
        <f>SUMIF(数据源!R278:R8844,C342,数据源!M278:M8844)</f>
        <v>10790.49</v>
      </c>
    </row>
    <row r="343" spans="2:5">
      <c r="B343" t="s">
        <v>2688</v>
      </c>
      <c r="C343" t="s">
        <v>1507</v>
      </c>
      <c r="D343" t="s">
        <v>25</v>
      </c>
      <c r="E343">
        <f>SUMIF(数据源!R856:R9422,C343,数据源!M856:M9422)</f>
        <v>12293.24</v>
      </c>
    </row>
    <row r="344" spans="2:5">
      <c r="B344" t="s">
        <v>2698</v>
      </c>
      <c r="C344" t="s">
        <v>418</v>
      </c>
      <c r="D344" t="s">
        <v>27</v>
      </c>
      <c r="E344">
        <f>SUMIF(数据源!R3030:R11596,C344,数据源!M3030:M11596)</f>
        <v>4962.74</v>
      </c>
    </row>
    <row r="345" spans="2:5">
      <c r="B345" t="s">
        <v>2685</v>
      </c>
      <c r="C345" t="s">
        <v>274</v>
      </c>
      <c r="D345" t="s">
        <v>25</v>
      </c>
      <c r="E345">
        <f>SUMIF(数据源!R369:R8935,C345,数据源!M369:M8935)</f>
        <v>10606.7</v>
      </c>
    </row>
    <row r="346" spans="2:5">
      <c r="B346" t="s">
        <v>2688</v>
      </c>
      <c r="C346" t="s">
        <v>972</v>
      </c>
      <c r="D346" t="s">
        <v>25</v>
      </c>
      <c r="E346">
        <f>SUMIF(数据源!R945:R9511,C346,数据源!M945:M9511)</f>
        <v>10101.9</v>
      </c>
    </row>
    <row r="347" spans="2:5">
      <c r="B347" t="s">
        <v>2699</v>
      </c>
      <c r="C347" t="s">
        <v>1875</v>
      </c>
      <c r="D347" t="s">
        <v>26</v>
      </c>
      <c r="E347">
        <f>SUMIF(数据源!R2422:R10988,C347,数据源!M2422:M10988)</f>
        <v>8230.148</v>
      </c>
    </row>
    <row r="348" spans="2:5">
      <c r="B348" t="s">
        <v>2686</v>
      </c>
      <c r="C348" t="s">
        <v>109</v>
      </c>
      <c r="D348" t="s">
        <v>27</v>
      </c>
      <c r="E348">
        <f>SUMIF(数据源!R2911:R11477,C348,数据源!M2911:M11477)</f>
        <v>10393.968</v>
      </c>
    </row>
    <row r="349" spans="2:5">
      <c r="B349" t="s">
        <v>2686</v>
      </c>
      <c r="C349" t="s">
        <v>509</v>
      </c>
      <c r="D349" t="s">
        <v>27</v>
      </c>
      <c r="E349">
        <f>SUMIF(数据源!R2910:R11476,C349,数据源!M2910:M11476)</f>
        <v>7177.193</v>
      </c>
    </row>
    <row r="350" spans="2:5">
      <c r="B350" t="s">
        <v>2688</v>
      </c>
      <c r="C350" t="s">
        <v>751</v>
      </c>
      <c r="D350" t="s">
        <v>25</v>
      </c>
      <c r="E350">
        <f>SUMIF(数据源!R868:R9434,C350,数据源!M868:M9434)</f>
        <v>9965.5225</v>
      </c>
    </row>
    <row r="351" spans="2:5">
      <c r="B351" t="s">
        <v>2692</v>
      </c>
      <c r="C351" t="s">
        <v>2365</v>
      </c>
      <c r="D351" t="s">
        <v>25</v>
      </c>
      <c r="E351">
        <f>SUMIF(数据源!R597:R9163,C351,数据源!M597:M9163)</f>
        <v>10404.47</v>
      </c>
    </row>
    <row r="352" spans="2:5">
      <c r="B352" t="s">
        <v>2686</v>
      </c>
      <c r="C352" t="s">
        <v>187</v>
      </c>
      <c r="D352" t="s">
        <v>27</v>
      </c>
      <c r="E352">
        <f>SUMIF(数据源!R2869:R11435,C352,数据源!M2869:M11435)</f>
        <v>8939.3</v>
      </c>
    </row>
    <row r="353" spans="2:5">
      <c r="B353" t="s">
        <v>2685</v>
      </c>
      <c r="C353" t="s">
        <v>1183</v>
      </c>
      <c r="D353" t="s">
        <v>25</v>
      </c>
      <c r="E353">
        <f>SUMIF(数据源!R254:R8820,C353,数据源!M254:M8820)</f>
        <v>10631.57</v>
      </c>
    </row>
    <row r="354" spans="2:5">
      <c r="B354" t="s">
        <v>2689</v>
      </c>
      <c r="C354" t="s">
        <v>1814</v>
      </c>
      <c r="D354" t="s">
        <v>25</v>
      </c>
      <c r="E354">
        <f>SUMIF(数据源!R3:R8569,C354,数据源!M3:M8569)</f>
        <v>10165.45</v>
      </c>
    </row>
    <row r="355" spans="2:5">
      <c r="B355" t="s">
        <v>2695</v>
      </c>
      <c r="C355" t="s">
        <v>1772</v>
      </c>
      <c r="D355" t="s">
        <v>26</v>
      </c>
      <c r="E355">
        <f>SUMIF(数据源!R1863:R10429,C355,数据源!M1863:M10429)</f>
        <v>8629.4955</v>
      </c>
    </row>
    <row r="356" spans="2:5">
      <c r="B356" t="s">
        <v>2686</v>
      </c>
      <c r="C356" t="s">
        <v>445</v>
      </c>
      <c r="D356" t="s">
        <v>27</v>
      </c>
      <c r="E356">
        <f>SUMIF(数据源!R2894:R11460,C356,数据源!M2894:M11460)</f>
        <v>9660.99</v>
      </c>
    </row>
    <row r="357" spans="2:5">
      <c r="B357" t="s">
        <v>2699</v>
      </c>
      <c r="C357" t="s">
        <v>451</v>
      </c>
      <c r="D357" t="s">
        <v>26</v>
      </c>
      <c r="E357">
        <f>SUMIF(数据源!R2463:R11029,C357,数据源!M2463:M11029)</f>
        <v>8376.48</v>
      </c>
    </row>
    <row r="358" spans="2:5">
      <c r="B358" t="s">
        <v>2699</v>
      </c>
      <c r="C358" t="s">
        <v>1053</v>
      </c>
      <c r="D358" t="s">
        <v>26</v>
      </c>
      <c r="E358">
        <f>SUMIF(数据源!R2479:R11045,C358,数据源!M2479:M11045)</f>
        <v>9757.8395</v>
      </c>
    </row>
    <row r="359" spans="2:5">
      <c r="B359" t="s">
        <v>2688</v>
      </c>
      <c r="C359" t="s">
        <v>489</v>
      </c>
      <c r="D359" t="s">
        <v>25</v>
      </c>
      <c r="E359">
        <f>SUMIF(数据源!R902:R9468,C359,数据源!M902:M9468)</f>
        <v>10014.542</v>
      </c>
    </row>
    <row r="360" spans="2:5">
      <c r="B360" t="s">
        <v>2686</v>
      </c>
      <c r="C360" t="s">
        <v>1715</v>
      </c>
      <c r="D360" t="s">
        <v>27</v>
      </c>
      <c r="E360">
        <f>SUMIF(数据源!R2907:R11473,C360,数据源!M2907:M11473)</f>
        <v>10010.05</v>
      </c>
    </row>
    <row r="361" spans="2:5">
      <c r="B361" t="s">
        <v>2698</v>
      </c>
      <c r="C361" t="s">
        <v>2111</v>
      </c>
      <c r="D361" t="s">
        <v>27</v>
      </c>
      <c r="E361">
        <f>SUMIF(数据源!R3144:R11710,C361,数据源!M3144:M11710)</f>
        <v>8402.2</v>
      </c>
    </row>
    <row r="362" spans="2:5">
      <c r="B362" t="s">
        <v>2697</v>
      </c>
      <c r="C362" t="s">
        <v>568</v>
      </c>
      <c r="D362" t="s">
        <v>26</v>
      </c>
      <c r="E362">
        <f>SUMIF(数据源!R2254:R10820,C362,数据源!M2254:M10820)</f>
        <v>5429.84</v>
      </c>
    </row>
    <row r="363" spans="2:5">
      <c r="B363" t="s">
        <v>2696</v>
      </c>
      <c r="C363" t="s">
        <v>2234</v>
      </c>
      <c r="D363" t="s">
        <v>27</v>
      </c>
      <c r="E363">
        <f>SUMIF(数据源!R2708:R11274,C363,数据源!M2708:M11274)</f>
        <v>9992.9</v>
      </c>
    </row>
    <row r="364" spans="2:5">
      <c r="B364" t="s">
        <v>2685</v>
      </c>
      <c r="C364" t="s">
        <v>890</v>
      </c>
      <c r="D364" t="s">
        <v>25</v>
      </c>
      <c r="E364">
        <f>SUMIF(数据源!R464:R9030,C364,数据源!M464:M9030)</f>
        <v>9988.08</v>
      </c>
    </row>
    <row r="365" spans="2:5">
      <c r="B365" t="s">
        <v>2688</v>
      </c>
      <c r="C365" t="s">
        <v>1394</v>
      </c>
      <c r="D365" t="s">
        <v>25</v>
      </c>
      <c r="E365">
        <f>SUMIF(数据源!R1056:R9622,C365,数据源!M1056:M9622)</f>
        <v>9980.0185</v>
      </c>
    </row>
    <row r="366" spans="2:5">
      <c r="B366" t="s">
        <v>2694</v>
      </c>
      <c r="C366" t="s">
        <v>1192</v>
      </c>
      <c r="D366" t="s">
        <v>25</v>
      </c>
      <c r="E366">
        <f>SUMIF(数据源!R1663:R10229,C366,数据源!M1663:M10229)</f>
        <v>276.3</v>
      </c>
    </row>
    <row r="367" spans="2:5">
      <c r="B367" t="s">
        <v>2699</v>
      </c>
      <c r="C367" t="s">
        <v>1989</v>
      </c>
      <c r="D367" t="s">
        <v>26</v>
      </c>
      <c r="E367">
        <f>SUMIF(数据源!R2499:R11065,C367,数据源!M2499:M11065)</f>
        <v>5389.3195</v>
      </c>
    </row>
    <row r="368" spans="2:5">
      <c r="B368" t="s">
        <v>2689</v>
      </c>
      <c r="C368" t="s">
        <v>1945</v>
      </c>
      <c r="D368" t="s">
        <v>25</v>
      </c>
      <c r="E368">
        <f>SUMIF(数据源!R111:R8677,C368,数据源!M111:M8677)</f>
        <v>9837.51</v>
      </c>
    </row>
    <row r="369" spans="2:5">
      <c r="B369" t="s">
        <v>2698</v>
      </c>
      <c r="C369" t="s">
        <v>2267</v>
      </c>
      <c r="D369" t="s">
        <v>27</v>
      </c>
      <c r="E369">
        <f>SUMIF(数据源!R3068:R11634,C369,数据源!M3068:M11634)</f>
        <v>9831.48</v>
      </c>
    </row>
    <row r="370" spans="2:5">
      <c r="B370" t="s">
        <v>2685</v>
      </c>
      <c r="C370" t="s">
        <v>1065</v>
      </c>
      <c r="D370" t="s">
        <v>25</v>
      </c>
      <c r="E370">
        <f>SUMIF(数据源!R258:R8824,C370,数据源!M258:M8824)</f>
        <v>10095.09</v>
      </c>
    </row>
    <row r="371" spans="2:5">
      <c r="B371" t="s">
        <v>2688</v>
      </c>
      <c r="C371" t="s">
        <v>1747</v>
      </c>
      <c r="D371" t="s">
        <v>25</v>
      </c>
      <c r="E371">
        <f>SUMIF(数据源!R841:R9407,C371,数据源!M841:M9407)</f>
        <v>9796.25</v>
      </c>
    </row>
    <row r="372" spans="2:5">
      <c r="B372" t="s">
        <v>2695</v>
      </c>
      <c r="C372" t="s">
        <v>1901</v>
      </c>
      <c r="D372" t="s">
        <v>26</v>
      </c>
      <c r="E372">
        <f>SUMIF(数据源!R1902:R10468,C372,数据源!M1902:M10468)</f>
        <v>9751.33</v>
      </c>
    </row>
    <row r="373" spans="2:5">
      <c r="B373" t="s">
        <v>2691</v>
      </c>
      <c r="C373" t="s">
        <v>963</v>
      </c>
      <c r="D373" t="s">
        <v>26</v>
      </c>
      <c r="E373">
        <f>SUMIF(数据源!R2053:R10619,C373,数据源!M2053:M10619)</f>
        <v>9739.4315</v>
      </c>
    </row>
    <row r="374" spans="2:5">
      <c r="B374" t="s">
        <v>2691</v>
      </c>
      <c r="C374" t="s">
        <v>2576</v>
      </c>
      <c r="D374" t="s">
        <v>26</v>
      </c>
      <c r="E374">
        <f>SUMIF(数据源!R2060:R10626,C374,数据源!M2060:M10626)</f>
        <v>9729.0635</v>
      </c>
    </row>
    <row r="375" spans="2:5">
      <c r="B375" t="s">
        <v>2696</v>
      </c>
      <c r="C375" t="s">
        <v>747</v>
      </c>
      <c r="D375" t="s">
        <v>27</v>
      </c>
      <c r="E375">
        <f>SUMIF(数据源!R2826:R11392,C375,数据源!M2826:M11392)</f>
        <v>8641.9965</v>
      </c>
    </row>
    <row r="376" spans="2:5">
      <c r="B376" t="s">
        <v>2693</v>
      </c>
      <c r="C376" t="s">
        <v>157</v>
      </c>
      <c r="D376" t="s">
        <v>27</v>
      </c>
      <c r="E376">
        <f>SUMIF(数据源!R2859:R11425,C376,数据源!M2859:M11425)</f>
        <v>9127.3485</v>
      </c>
    </row>
    <row r="377" spans="2:5">
      <c r="B377" t="s">
        <v>2699</v>
      </c>
      <c r="C377" t="s">
        <v>387</v>
      </c>
      <c r="D377" t="s">
        <v>26</v>
      </c>
      <c r="E377">
        <f>SUMIF(数据源!R2560:R11126,C377,数据源!M2560:M11126)</f>
        <v>9652.83</v>
      </c>
    </row>
    <row r="378" spans="2:5">
      <c r="B378" t="s">
        <v>2691</v>
      </c>
      <c r="C378" t="s">
        <v>656</v>
      </c>
      <c r="D378" t="s">
        <v>26</v>
      </c>
      <c r="E378">
        <f>SUMIF(数据源!R1952:R10518,C378,数据源!M1952:M10518)</f>
        <v>9634.94</v>
      </c>
    </row>
    <row r="379" spans="2:5">
      <c r="B379" t="s">
        <v>2694</v>
      </c>
      <c r="C379" t="s">
        <v>1212</v>
      </c>
      <c r="D379" t="s">
        <v>25</v>
      </c>
      <c r="E379">
        <f>SUMIF(数据源!R1665:R10231,C379,数据源!M1665:M10231)</f>
        <v>6214.2</v>
      </c>
    </row>
    <row r="380" spans="2:5">
      <c r="B380" t="s">
        <v>2696</v>
      </c>
      <c r="C380" t="s">
        <v>772</v>
      </c>
      <c r="D380" t="s">
        <v>27</v>
      </c>
      <c r="E380">
        <f>SUMIF(数据源!R2666:R11232,C380,数据源!M2666:M11232)</f>
        <v>8976.42</v>
      </c>
    </row>
    <row r="381" spans="2:5">
      <c r="B381" t="s">
        <v>2699</v>
      </c>
      <c r="C381" t="s">
        <v>881</v>
      </c>
      <c r="D381" t="s">
        <v>26</v>
      </c>
      <c r="E381">
        <f>SUMIF(数据源!R2489:R11055,C381,数据源!M2489:M11055)</f>
        <v>9262.41</v>
      </c>
    </row>
    <row r="382" spans="2:5">
      <c r="B382" t="s">
        <v>2690</v>
      </c>
      <c r="C382" t="s">
        <v>533</v>
      </c>
      <c r="D382" t="s">
        <v>25</v>
      </c>
      <c r="E382">
        <f>SUMIF(数据源!R1335:R9901,C382,数据源!M1335:M9901)</f>
        <v>9428.96</v>
      </c>
    </row>
    <row r="383" spans="2:5">
      <c r="B383" t="s">
        <v>2691</v>
      </c>
      <c r="C383" t="s">
        <v>1082</v>
      </c>
      <c r="D383" t="s">
        <v>26</v>
      </c>
      <c r="E383">
        <f>SUMIF(数据源!R2047:R10613,C383,数据源!M2047:M10613)</f>
        <v>9412.0415</v>
      </c>
    </row>
    <row r="384" spans="2:5">
      <c r="B384" t="s">
        <v>2697</v>
      </c>
      <c r="C384" t="s">
        <v>732</v>
      </c>
      <c r="D384" t="s">
        <v>26</v>
      </c>
      <c r="E384">
        <f>SUMIF(数据源!R2311:R10877,C384,数据源!M2311:M10877)</f>
        <v>7441.44</v>
      </c>
    </row>
    <row r="385" spans="2:5">
      <c r="B385" t="s">
        <v>2699</v>
      </c>
      <c r="C385" t="s">
        <v>426</v>
      </c>
      <c r="D385" t="s">
        <v>26</v>
      </c>
      <c r="E385">
        <f>SUMIF(数据源!R2518:R11084,C385,数据源!M2518:M11084)</f>
        <v>9407.6355</v>
      </c>
    </row>
    <row r="386" spans="2:5">
      <c r="B386" t="s">
        <v>2690</v>
      </c>
      <c r="C386" t="s">
        <v>2630</v>
      </c>
      <c r="D386" t="s">
        <v>25</v>
      </c>
      <c r="E386">
        <f>SUMIF(数据源!R1351:R9917,C386,数据源!M1351:M9917)</f>
        <v>9379.8405</v>
      </c>
    </row>
    <row r="387" spans="2:5">
      <c r="B387" t="s">
        <v>2685</v>
      </c>
      <c r="C387" t="s">
        <v>749</v>
      </c>
      <c r="D387" t="s">
        <v>25</v>
      </c>
      <c r="E387">
        <f>SUMIF(数据源!R336:R8902,C387,数据源!M336:M8902)</f>
        <v>9350.38</v>
      </c>
    </row>
    <row r="388" spans="2:5">
      <c r="B388" t="s">
        <v>2689</v>
      </c>
      <c r="C388" t="s">
        <v>267</v>
      </c>
      <c r="D388" t="s">
        <v>25</v>
      </c>
      <c r="E388">
        <f>SUMIF(数据源!R175:R8741,C388,数据源!M175:M8741)</f>
        <v>13631.9005</v>
      </c>
    </row>
    <row r="389" spans="2:5">
      <c r="B389" t="s">
        <v>2688</v>
      </c>
      <c r="C389" t="s">
        <v>324</v>
      </c>
      <c r="D389" t="s">
        <v>25</v>
      </c>
      <c r="E389">
        <f>SUMIF(数据源!R1217:R9783,C389,数据源!M1217:M9783)</f>
        <v>8725.46</v>
      </c>
    </row>
    <row r="390" spans="2:5">
      <c r="B390" t="s">
        <v>2690</v>
      </c>
      <c r="C390" t="s">
        <v>1016</v>
      </c>
      <c r="D390" t="s">
        <v>25</v>
      </c>
      <c r="E390">
        <f>SUMIF(数据源!R1298:R9864,C390,数据源!M1298:M9864)</f>
        <v>7210.36</v>
      </c>
    </row>
    <row r="391" spans="2:5">
      <c r="B391" t="s">
        <v>2689</v>
      </c>
      <c r="C391" t="s">
        <v>1338</v>
      </c>
      <c r="D391" t="s">
        <v>25</v>
      </c>
      <c r="E391">
        <f>SUMIF(数据源!R148:R8714,C391,数据源!M148:M8714)</f>
        <v>9238.03</v>
      </c>
    </row>
    <row r="392" spans="2:5">
      <c r="B392" t="s">
        <v>2696</v>
      </c>
      <c r="C392" t="s">
        <v>718</v>
      </c>
      <c r="D392" t="s">
        <v>27</v>
      </c>
      <c r="E392">
        <f>SUMIF(数据源!R2621:R11187,C392,数据源!M2621:M11187)</f>
        <v>7549.0905</v>
      </c>
    </row>
    <row r="393" spans="2:5">
      <c r="B393" t="s">
        <v>2691</v>
      </c>
      <c r="C393" t="s">
        <v>1779</v>
      </c>
      <c r="D393" t="s">
        <v>26</v>
      </c>
      <c r="E393">
        <f>SUMIF(数据源!R1961:R10527,C393,数据源!M1961:M10527)</f>
        <v>5832.12</v>
      </c>
    </row>
    <row r="394" spans="2:5">
      <c r="B394" t="s">
        <v>2697</v>
      </c>
      <c r="C394" t="s">
        <v>1155</v>
      </c>
      <c r="D394" t="s">
        <v>26</v>
      </c>
      <c r="E394">
        <f>SUMIF(数据源!R2185:R10751,C394,数据源!M2185:M10751)</f>
        <v>8657.95</v>
      </c>
    </row>
    <row r="395" spans="2:5">
      <c r="B395" t="s">
        <v>2699</v>
      </c>
      <c r="C395" t="s">
        <v>2412</v>
      </c>
      <c r="D395" t="s">
        <v>26</v>
      </c>
      <c r="E395">
        <f>SUMIF(数据源!R2471:R11037,C395,数据源!M2471:M11037)</f>
        <v>9194.48</v>
      </c>
    </row>
    <row r="396" spans="2:5">
      <c r="B396" t="s">
        <v>2685</v>
      </c>
      <c r="C396" t="s">
        <v>2465</v>
      </c>
      <c r="D396" t="s">
        <v>25</v>
      </c>
      <c r="E396">
        <f>SUMIF(数据源!R440:R9006,C396,数据源!M440:M9006)</f>
        <v>9190.7815</v>
      </c>
    </row>
    <row r="397" spans="2:5">
      <c r="B397" t="s">
        <v>2686</v>
      </c>
      <c r="C397" t="s">
        <v>1417</v>
      </c>
      <c r="D397" t="s">
        <v>27</v>
      </c>
      <c r="E397">
        <f>SUMIF(数据源!R2913:R11479,C397,数据源!M2913:M11479)</f>
        <v>8309.56</v>
      </c>
    </row>
    <row r="398" spans="2:5">
      <c r="B398" t="s">
        <v>2697</v>
      </c>
      <c r="C398" t="s">
        <v>1379</v>
      </c>
      <c r="D398" t="s">
        <v>26</v>
      </c>
      <c r="E398">
        <f>SUMIF(数据源!R2227:R10793,C398,数据源!M2227:M10793)</f>
        <v>4891.84</v>
      </c>
    </row>
    <row r="399" spans="2:5">
      <c r="B399" t="s">
        <v>2689</v>
      </c>
      <c r="C399" t="s">
        <v>1625</v>
      </c>
      <c r="D399" t="s">
        <v>25</v>
      </c>
      <c r="E399">
        <f>SUMIF(数据源!R78:R8644,C399,数据源!M78:M8644)</f>
        <v>21587.406</v>
      </c>
    </row>
    <row r="400" spans="2:5">
      <c r="B400" t="s">
        <v>2696</v>
      </c>
      <c r="C400" t="s">
        <v>1364</v>
      </c>
      <c r="D400" t="s">
        <v>27</v>
      </c>
      <c r="E400">
        <f>SUMIF(数据源!R2783:R11349,C400,数据源!M2783:M11349)</f>
        <v>6187.4785</v>
      </c>
    </row>
    <row r="401" spans="2:5">
      <c r="B401" t="s">
        <v>2698</v>
      </c>
      <c r="C401" t="s">
        <v>378</v>
      </c>
      <c r="D401" t="s">
        <v>27</v>
      </c>
      <c r="E401">
        <f>SUMIF(数据源!R3273:R11839,C401,数据源!M3273:M11839)</f>
        <v>7700.3</v>
      </c>
    </row>
    <row r="402" spans="2:5">
      <c r="B402" t="s">
        <v>2699</v>
      </c>
      <c r="C402" t="s">
        <v>314</v>
      </c>
      <c r="D402" t="s">
        <v>26</v>
      </c>
      <c r="E402">
        <f>SUMIF(数据源!R2539:R11105,C402,数据源!M2539:M11105)</f>
        <v>8701.68</v>
      </c>
    </row>
    <row r="403" spans="2:5">
      <c r="B403" t="s">
        <v>2696</v>
      </c>
      <c r="C403" t="s">
        <v>422</v>
      </c>
      <c r="D403" t="s">
        <v>27</v>
      </c>
      <c r="E403">
        <f>SUMIF(数据源!R2602:R11168,C403,数据源!M2602:M11168)</f>
        <v>3210.8725</v>
      </c>
    </row>
    <row r="404" spans="2:5">
      <c r="B404" t="s">
        <v>2699</v>
      </c>
      <c r="C404" t="s">
        <v>1418</v>
      </c>
      <c r="D404" t="s">
        <v>26</v>
      </c>
      <c r="E404">
        <f>SUMIF(数据源!R2445:R11011,C404,数据源!M2445:M11011)</f>
        <v>7180.51</v>
      </c>
    </row>
    <row r="405" spans="2:5">
      <c r="B405" t="s">
        <v>2686</v>
      </c>
      <c r="C405" t="s">
        <v>424</v>
      </c>
      <c r="D405" t="s">
        <v>27</v>
      </c>
      <c r="E405">
        <f>SUMIF(数据源!R2883:R11449,C405,数据源!M2883:M11449)</f>
        <v>9100.92</v>
      </c>
    </row>
    <row r="406" spans="2:5">
      <c r="B406" t="s">
        <v>2695</v>
      </c>
      <c r="C406" t="s">
        <v>588</v>
      </c>
      <c r="D406" t="s">
        <v>26</v>
      </c>
      <c r="E406">
        <f>SUMIF(数据源!R1923:R10489,C406,数据源!M1923:M10489)</f>
        <v>9052.33</v>
      </c>
    </row>
    <row r="407" spans="2:5">
      <c r="B407" t="s">
        <v>2697</v>
      </c>
      <c r="C407" t="s">
        <v>827</v>
      </c>
      <c r="D407" t="s">
        <v>26</v>
      </c>
      <c r="E407">
        <f>SUMIF(数据源!R2330:R10896,C407,数据源!M2330:M10896)</f>
        <v>8874.136</v>
      </c>
    </row>
    <row r="408" spans="2:5">
      <c r="B408" t="s">
        <v>2697</v>
      </c>
      <c r="C408" t="s">
        <v>1000</v>
      </c>
      <c r="D408" t="s">
        <v>26</v>
      </c>
      <c r="E408">
        <f>SUMIF(数据源!R2328:R10894,C408,数据源!M2328:M10894)</f>
        <v>11702.75</v>
      </c>
    </row>
    <row r="409" spans="2:5">
      <c r="B409" t="s">
        <v>2686</v>
      </c>
      <c r="C409" t="s">
        <v>1302</v>
      </c>
      <c r="D409" t="s">
        <v>27</v>
      </c>
      <c r="E409">
        <f>SUMIF(数据源!R2886:R11452,C409,数据源!M2886:M11452)</f>
        <v>6743.32</v>
      </c>
    </row>
    <row r="410" spans="2:5">
      <c r="B410" t="s">
        <v>2689</v>
      </c>
      <c r="C410" t="s">
        <v>491</v>
      </c>
      <c r="D410" t="s">
        <v>25</v>
      </c>
      <c r="E410">
        <f>SUMIF(数据源!R106:R8672,C410,数据源!M106:M8672)</f>
        <v>9963.8775</v>
      </c>
    </row>
    <row r="411" spans="2:5">
      <c r="B411" t="s">
        <v>2691</v>
      </c>
      <c r="C411" t="s">
        <v>1739</v>
      </c>
      <c r="D411" t="s">
        <v>26</v>
      </c>
      <c r="E411">
        <f>SUMIF(数据源!R1997:R10563,C411,数据源!M1997:M10563)</f>
        <v>8741.55</v>
      </c>
    </row>
    <row r="412" spans="2:5">
      <c r="B412" t="s">
        <v>2690</v>
      </c>
      <c r="C412" t="s">
        <v>459</v>
      </c>
      <c r="D412" t="s">
        <v>25</v>
      </c>
      <c r="E412">
        <f>SUMIF(数据源!R1330:R9896,C412,数据源!M1330:M9896)</f>
        <v>12593.2635</v>
      </c>
    </row>
    <row r="413" spans="2:5">
      <c r="B413" t="s">
        <v>2698</v>
      </c>
      <c r="C413" t="s">
        <v>95</v>
      </c>
      <c r="D413" t="s">
        <v>27</v>
      </c>
      <c r="E413">
        <f>SUMIF(数据源!R3166:R11732,C413,数据源!M3166:M11732)</f>
        <v>8974.85</v>
      </c>
    </row>
    <row r="414" spans="2:5">
      <c r="B414" t="s">
        <v>2691</v>
      </c>
      <c r="C414" t="s">
        <v>1373</v>
      </c>
      <c r="D414" t="s">
        <v>26</v>
      </c>
      <c r="E414">
        <f>SUMIF(数据源!R1996:R10562,C414,数据源!M1996:M10562)</f>
        <v>8964.65</v>
      </c>
    </row>
    <row r="415" spans="2:5">
      <c r="B415" t="s">
        <v>2691</v>
      </c>
      <c r="C415" t="s">
        <v>131</v>
      </c>
      <c r="D415" t="s">
        <v>26</v>
      </c>
      <c r="E415">
        <f>SUMIF(数据源!R2018:R10584,C415,数据源!M2018:M10584)</f>
        <v>7527.1945</v>
      </c>
    </row>
    <row r="416" spans="2:5">
      <c r="B416" t="s">
        <v>2699</v>
      </c>
      <c r="C416" t="s">
        <v>1043</v>
      </c>
      <c r="D416" t="s">
        <v>26</v>
      </c>
      <c r="E416">
        <f>SUMIF(数据源!R2455:R11021,C416,数据源!M2455:M11021)</f>
        <v>7930.89</v>
      </c>
    </row>
    <row r="417" spans="2:5">
      <c r="B417" t="s">
        <v>2690</v>
      </c>
      <c r="C417" t="s">
        <v>2132</v>
      </c>
      <c r="D417" t="s">
        <v>25</v>
      </c>
      <c r="E417">
        <f>SUMIF(数据源!R1341:R9907,C417,数据源!M1341:M9907)</f>
        <v>8817.15</v>
      </c>
    </row>
    <row r="418" spans="2:5">
      <c r="B418" t="s">
        <v>2700</v>
      </c>
      <c r="C418" t="s">
        <v>938</v>
      </c>
      <c r="D418" t="s">
        <v>25</v>
      </c>
      <c r="E418">
        <f>SUMIF(数据源!R1516:R10082,C418,数据源!M1516:M10082)</f>
        <v>8025.841</v>
      </c>
    </row>
    <row r="419" spans="2:5">
      <c r="B419" t="s">
        <v>2688</v>
      </c>
      <c r="C419" t="s">
        <v>1792</v>
      </c>
      <c r="D419" t="s">
        <v>25</v>
      </c>
      <c r="E419">
        <f>SUMIF(数据源!R1020:R9586,C419,数据源!M1020:M9586)</f>
        <v>8712.06</v>
      </c>
    </row>
    <row r="420" spans="2:5">
      <c r="B420" t="s">
        <v>2690</v>
      </c>
      <c r="C420" t="s">
        <v>71</v>
      </c>
      <c r="D420" t="s">
        <v>25</v>
      </c>
      <c r="E420">
        <f>SUMIF(数据源!R1418:R9984,C420,数据源!M1418:M9984)</f>
        <v>7850.4325</v>
      </c>
    </row>
    <row r="421" spans="2:5">
      <c r="B421" t="s">
        <v>2698</v>
      </c>
      <c r="C421" t="s">
        <v>620</v>
      </c>
      <c r="D421" t="s">
        <v>27</v>
      </c>
      <c r="E421">
        <f>SUMIF(数据源!R3121:R11687,C421,数据源!M3121:M11687)</f>
        <v>5873.6975</v>
      </c>
    </row>
    <row r="422" spans="2:5">
      <c r="B422" t="s">
        <v>2685</v>
      </c>
      <c r="C422" t="s">
        <v>1908</v>
      </c>
      <c r="D422" t="s">
        <v>25</v>
      </c>
      <c r="E422">
        <f>SUMIF(数据源!R344:R8910,C422,数据源!M344:M8910)</f>
        <v>8648.59</v>
      </c>
    </row>
    <row r="423" spans="2:5">
      <c r="B423" t="s">
        <v>2691</v>
      </c>
      <c r="C423" t="s">
        <v>1291</v>
      </c>
      <c r="D423" t="s">
        <v>26</v>
      </c>
      <c r="E423">
        <f>SUMIF(数据源!R2007:R10573,C423,数据源!M2007:M10573)</f>
        <v>8473.88</v>
      </c>
    </row>
    <row r="424" spans="2:5">
      <c r="B424" t="s">
        <v>2697</v>
      </c>
      <c r="C424" t="s">
        <v>633</v>
      </c>
      <c r="D424" t="s">
        <v>26</v>
      </c>
      <c r="E424">
        <f>SUMIF(数据源!R2256:R10822,C424,数据源!M2256:M10822)</f>
        <v>7900.7</v>
      </c>
    </row>
    <row r="425" spans="2:5">
      <c r="B425" t="s">
        <v>2693</v>
      </c>
      <c r="C425" t="s">
        <v>339</v>
      </c>
      <c r="D425" t="s">
        <v>27</v>
      </c>
      <c r="E425">
        <f>SUMIF(数据源!R2848:R11414,C425,数据源!M2848:M11414)</f>
        <v>8495.663</v>
      </c>
    </row>
    <row r="426" spans="2:5">
      <c r="B426" t="s">
        <v>2686</v>
      </c>
      <c r="C426" t="s">
        <v>1489</v>
      </c>
      <c r="D426" t="s">
        <v>27</v>
      </c>
      <c r="E426">
        <f>SUMIF(数据源!R2960:R11526,C426,数据源!M2960:M11526)</f>
        <v>4393.83</v>
      </c>
    </row>
    <row r="427" spans="2:5">
      <c r="B427" t="s">
        <v>2694</v>
      </c>
      <c r="C427" t="s">
        <v>936</v>
      </c>
      <c r="D427" t="s">
        <v>25</v>
      </c>
      <c r="E427">
        <f>SUMIF(数据源!R1760:R10326,C427,数据源!M1760:M10326)</f>
        <v>7864.2595</v>
      </c>
    </row>
    <row r="428" spans="2:5">
      <c r="B428" t="s">
        <v>2695</v>
      </c>
      <c r="C428" t="s">
        <v>892</v>
      </c>
      <c r="D428" t="s">
        <v>26</v>
      </c>
      <c r="E428">
        <f>SUMIF(数据源!R1918:R10484,C428,数据源!M1918:M10484)</f>
        <v>7990.724</v>
      </c>
    </row>
    <row r="429" spans="2:5">
      <c r="B429" t="s">
        <v>2691</v>
      </c>
      <c r="C429" t="s">
        <v>2179</v>
      </c>
      <c r="D429" t="s">
        <v>26</v>
      </c>
      <c r="E429">
        <f>SUMIF(数据源!R2065:R10631,C429,数据源!M2065:M10631)</f>
        <v>8538.7155</v>
      </c>
    </row>
    <row r="430" spans="2:5">
      <c r="B430" t="s">
        <v>2690</v>
      </c>
      <c r="C430" t="s">
        <v>1377</v>
      </c>
      <c r="D430" t="s">
        <v>25</v>
      </c>
      <c r="E430">
        <f>SUMIF(数据源!R1415:R9981,C430,数据源!M1415:M9981)</f>
        <v>8257.38</v>
      </c>
    </row>
    <row r="431" spans="2:5">
      <c r="B431" t="s">
        <v>2689</v>
      </c>
      <c r="C431" t="s">
        <v>1374</v>
      </c>
      <c r="D431" t="s">
        <v>25</v>
      </c>
      <c r="E431">
        <f>SUMIF(数据源!R7:R8573,C431,数据源!M7:M8573)</f>
        <v>8532.19</v>
      </c>
    </row>
    <row r="432" spans="2:5">
      <c r="B432" t="s">
        <v>2685</v>
      </c>
      <c r="C432" t="s">
        <v>1180</v>
      </c>
      <c r="D432" t="s">
        <v>25</v>
      </c>
      <c r="E432">
        <f>SUMIF(数据源!R183:R8749,C432,数据源!M183:M8749)</f>
        <v>8515.74</v>
      </c>
    </row>
    <row r="433" spans="2:5">
      <c r="B433" t="s">
        <v>2688</v>
      </c>
      <c r="C433" t="s">
        <v>1788</v>
      </c>
      <c r="D433" t="s">
        <v>25</v>
      </c>
      <c r="E433">
        <f>SUMIF(数据源!R936:R9502,C433,数据源!M936:M9502)</f>
        <v>8504.95</v>
      </c>
    </row>
    <row r="434" spans="2:5">
      <c r="B434" t="s">
        <v>2692</v>
      </c>
      <c r="C434" t="s">
        <v>257</v>
      </c>
      <c r="D434" t="s">
        <v>25</v>
      </c>
      <c r="E434">
        <f>SUMIF(数据源!R570:R9136,C434,数据源!M570:M9136)</f>
        <v>8494.34</v>
      </c>
    </row>
    <row r="435" spans="2:5">
      <c r="B435" t="s">
        <v>2697</v>
      </c>
      <c r="C435" t="s">
        <v>1728</v>
      </c>
      <c r="D435" t="s">
        <v>26</v>
      </c>
      <c r="E435">
        <f>SUMIF(数据源!R2257:R10823,C435,数据源!M2257:M10823)</f>
        <v>7794.944</v>
      </c>
    </row>
    <row r="436" spans="2:5">
      <c r="B436" t="s">
        <v>2697</v>
      </c>
      <c r="C436" t="s">
        <v>1995</v>
      </c>
      <c r="D436" t="s">
        <v>26</v>
      </c>
      <c r="E436">
        <f>SUMIF(数据源!R2369:R10935,C436,数据源!M2369:M10935)</f>
        <v>8457.528</v>
      </c>
    </row>
    <row r="437" spans="2:5">
      <c r="B437" t="s">
        <v>2690</v>
      </c>
      <c r="C437" t="s">
        <v>1308</v>
      </c>
      <c r="D437" t="s">
        <v>25</v>
      </c>
      <c r="E437">
        <f>SUMIF(数据源!R1344:R9910,C437,数据源!M1344:M9910)</f>
        <v>8441.47</v>
      </c>
    </row>
    <row r="438" spans="2:5">
      <c r="B438" t="s">
        <v>2700</v>
      </c>
      <c r="C438" t="s">
        <v>902</v>
      </c>
      <c r="D438" t="s">
        <v>25</v>
      </c>
      <c r="E438">
        <f>SUMIF(数据源!R1479:R10045,C438,数据源!M1479:M10045)</f>
        <v>1101.32</v>
      </c>
    </row>
    <row r="439" spans="2:5">
      <c r="B439" t="s">
        <v>2694</v>
      </c>
      <c r="C439" t="s">
        <v>1340</v>
      </c>
      <c r="D439" t="s">
        <v>25</v>
      </c>
      <c r="E439">
        <f>SUMIF(数据源!R1637:R10203,C439,数据源!M1637:M10203)</f>
        <v>8403.414</v>
      </c>
    </row>
    <row r="440" spans="2:5">
      <c r="B440" t="s">
        <v>2699</v>
      </c>
      <c r="C440" t="s">
        <v>1384</v>
      </c>
      <c r="D440" t="s">
        <v>26</v>
      </c>
      <c r="E440">
        <f>SUMIF(数据源!R2532:R11098,C440,数据源!M2532:M11098)</f>
        <v>1767.47</v>
      </c>
    </row>
    <row r="441" spans="2:5">
      <c r="B441" t="s">
        <v>2692</v>
      </c>
      <c r="C441" t="s">
        <v>1532</v>
      </c>
      <c r="D441" t="s">
        <v>25</v>
      </c>
      <c r="E441">
        <f>SUMIF(数据源!R543:R9109,C441,数据源!M543:M9109)</f>
        <v>8428.0225</v>
      </c>
    </row>
    <row r="442" spans="2:5">
      <c r="B442" t="s">
        <v>2688</v>
      </c>
      <c r="C442" t="s">
        <v>217</v>
      </c>
      <c r="D442" t="s">
        <v>25</v>
      </c>
      <c r="E442">
        <f>SUMIF(数据源!R767:R9333,C442,数据源!M767:M9333)</f>
        <v>8414.16</v>
      </c>
    </row>
    <row r="443" spans="2:5">
      <c r="B443" t="s">
        <v>2691</v>
      </c>
      <c r="C443" t="s">
        <v>1328</v>
      </c>
      <c r="D443" t="s">
        <v>26</v>
      </c>
      <c r="E443">
        <f>SUMIF(数据源!R2084:R10650,C443,数据源!M2084:M10650)</f>
        <v>6604.04</v>
      </c>
    </row>
    <row r="444" spans="2:5">
      <c r="B444" t="s">
        <v>2688</v>
      </c>
      <c r="C444" t="s">
        <v>1400</v>
      </c>
      <c r="D444" t="s">
        <v>25</v>
      </c>
      <c r="E444">
        <f>SUMIF(数据源!R1144:R9710,C444,数据源!M1144:M9710)</f>
        <v>8334.03</v>
      </c>
    </row>
    <row r="445" spans="2:5">
      <c r="B445" t="s">
        <v>2694</v>
      </c>
      <c r="C445" t="s">
        <v>2562</v>
      </c>
      <c r="D445" t="s">
        <v>25</v>
      </c>
      <c r="E445">
        <f>SUMIF(数据源!R1652:R10218,C445,数据源!M1652:M10218)</f>
        <v>8332.99</v>
      </c>
    </row>
    <row r="446" spans="2:5">
      <c r="B446" t="s">
        <v>2691</v>
      </c>
      <c r="C446" t="s">
        <v>2311</v>
      </c>
      <c r="D446" t="s">
        <v>26</v>
      </c>
      <c r="E446">
        <f>SUMIF(数据源!R2023:R10589,C446,数据源!M2023:M10589)</f>
        <v>8324.83</v>
      </c>
    </row>
    <row r="447" spans="2:5">
      <c r="B447" t="s">
        <v>2685</v>
      </c>
      <c r="C447" t="s">
        <v>1777</v>
      </c>
      <c r="D447" t="s">
        <v>25</v>
      </c>
      <c r="E447">
        <f>SUMIF(数据源!R366:R8932,C447,数据源!M366:M8932)</f>
        <v>8304.91</v>
      </c>
    </row>
    <row r="448" spans="2:5">
      <c r="B448" t="s">
        <v>2688</v>
      </c>
      <c r="C448" t="s">
        <v>118</v>
      </c>
      <c r="D448" t="s">
        <v>25</v>
      </c>
      <c r="E448">
        <f>SUMIF(数据源!R837:R9403,C448,数据源!M837:M9403)</f>
        <v>8274.85</v>
      </c>
    </row>
    <row r="449" spans="2:5">
      <c r="B449" t="s">
        <v>2691</v>
      </c>
      <c r="C449" t="s">
        <v>591</v>
      </c>
      <c r="D449" t="s">
        <v>26</v>
      </c>
      <c r="E449">
        <f>SUMIF(数据源!R2045:R10611,C449,数据源!M2045:M10611)</f>
        <v>7982.402</v>
      </c>
    </row>
    <row r="450" spans="2:5">
      <c r="B450" t="s">
        <v>2701</v>
      </c>
      <c r="C450" t="s">
        <v>276</v>
      </c>
      <c r="D450" t="s">
        <v>25</v>
      </c>
      <c r="E450">
        <f>SUMIF(数据源!R1614:R10180,C450,数据源!M1614:M10180)</f>
        <v>6912.6695</v>
      </c>
    </row>
    <row r="451" spans="2:5">
      <c r="B451" t="s">
        <v>2694</v>
      </c>
      <c r="C451" t="s">
        <v>1116</v>
      </c>
      <c r="D451" t="s">
        <v>25</v>
      </c>
      <c r="E451">
        <f>SUMIF(数据源!R1770:R10336,C451,数据源!M1770:M10336)</f>
        <v>8201.385</v>
      </c>
    </row>
    <row r="452" spans="2:5">
      <c r="B452" t="s">
        <v>2692</v>
      </c>
      <c r="C452" t="s">
        <v>224</v>
      </c>
      <c r="D452" t="s">
        <v>25</v>
      </c>
      <c r="E452">
        <f>SUMIF(数据源!R562:R9128,C452,数据源!M562:M9128)</f>
        <v>8059.95</v>
      </c>
    </row>
    <row r="453" spans="2:5">
      <c r="B453" t="s">
        <v>2688</v>
      </c>
      <c r="C453" t="s">
        <v>999</v>
      </c>
      <c r="D453" t="s">
        <v>25</v>
      </c>
      <c r="E453">
        <f>SUMIF(数据源!R1026:R9592,C453,数据源!M1026:M9592)</f>
        <v>11349.6165</v>
      </c>
    </row>
    <row r="454" spans="2:5">
      <c r="B454" t="s">
        <v>2690</v>
      </c>
      <c r="C454" t="s">
        <v>1070</v>
      </c>
      <c r="D454" t="s">
        <v>25</v>
      </c>
      <c r="E454">
        <f>SUMIF(数据源!R1412:R9978,C454,数据源!M1412:M9978)</f>
        <v>8131.92</v>
      </c>
    </row>
    <row r="455" spans="2:5">
      <c r="B455" t="s">
        <v>2686</v>
      </c>
      <c r="C455" t="s">
        <v>1313</v>
      </c>
      <c r="D455" t="s">
        <v>27</v>
      </c>
      <c r="E455">
        <f>SUMIF(数据源!R3008:R11574,C455,数据源!M3008:M11574)</f>
        <v>7940.35</v>
      </c>
    </row>
    <row r="456" spans="2:5">
      <c r="B456" t="s">
        <v>2698</v>
      </c>
      <c r="C456" t="s">
        <v>1468</v>
      </c>
      <c r="D456" t="s">
        <v>27</v>
      </c>
      <c r="E456">
        <f>SUMIF(数据源!R3324:R11890,C456,数据源!M3324:M11890)</f>
        <v>6561.832</v>
      </c>
    </row>
    <row r="457" spans="2:5">
      <c r="B457" t="s">
        <v>2685</v>
      </c>
      <c r="C457" t="s">
        <v>2335</v>
      </c>
      <c r="D457" t="s">
        <v>25</v>
      </c>
      <c r="E457">
        <f>SUMIF(数据源!R293:R8859,C457,数据源!M293:M8859)</f>
        <v>8066.78</v>
      </c>
    </row>
    <row r="458" spans="2:5">
      <c r="B458" t="s">
        <v>2690</v>
      </c>
      <c r="C458" t="s">
        <v>2376</v>
      </c>
      <c r="D458" t="s">
        <v>25</v>
      </c>
      <c r="E458">
        <f>SUMIF(数据源!R1338:R9904,C458,数据源!M1338:M9904)</f>
        <v>8012.77</v>
      </c>
    </row>
    <row r="459" spans="2:5">
      <c r="B459" t="s">
        <v>2692</v>
      </c>
      <c r="C459" t="s">
        <v>1030</v>
      </c>
      <c r="D459" t="s">
        <v>25</v>
      </c>
      <c r="E459">
        <f>SUMIF(数据源!R622:R9188,C459,数据源!M622:M9188)</f>
        <v>8086.4095</v>
      </c>
    </row>
    <row r="460" spans="2:5">
      <c r="B460" t="s">
        <v>2696</v>
      </c>
      <c r="C460" t="s">
        <v>636</v>
      </c>
      <c r="D460" t="s">
        <v>27</v>
      </c>
      <c r="E460">
        <f>SUMIF(数据源!R2681:R11247,C460,数据源!M2681:M11247)</f>
        <v>7492.6215</v>
      </c>
    </row>
    <row r="461" spans="2:5">
      <c r="B461" t="s">
        <v>2698</v>
      </c>
      <c r="C461" t="s">
        <v>1858</v>
      </c>
      <c r="D461" t="s">
        <v>27</v>
      </c>
      <c r="E461">
        <f>SUMIF(数据源!R3192:R11758,C461,数据源!M3192:M11758)</f>
        <v>3212.97</v>
      </c>
    </row>
    <row r="462" spans="2:5">
      <c r="B462" t="s">
        <v>2699</v>
      </c>
      <c r="C462" t="s">
        <v>975</v>
      </c>
      <c r="D462" t="s">
        <v>26</v>
      </c>
      <c r="E462">
        <f>SUMIF(数据源!R2504:R11070,C462,数据源!M2504:M11070)</f>
        <v>6999.53</v>
      </c>
    </row>
    <row r="463" spans="2:5">
      <c r="B463" t="s">
        <v>2691</v>
      </c>
      <c r="C463" t="s">
        <v>1822</v>
      </c>
      <c r="D463" t="s">
        <v>26</v>
      </c>
      <c r="E463">
        <f>SUMIF(数据源!R1975:R10541,C463,数据源!M1975:M10541)</f>
        <v>7789.1645</v>
      </c>
    </row>
    <row r="464" spans="2:5">
      <c r="B464" t="s">
        <v>2689</v>
      </c>
      <c r="C464" t="s">
        <v>1298</v>
      </c>
      <c r="D464" t="s">
        <v>25</v>
      </c>
      <c r="E464">
        <f>SUMIF(数据源!R85:R8651,C464,数据源!M85:M8651)</f>
        <v>9481.4165</v>
      </c>
    </row>
    <row r="465" spans="2:5">
      <c r="B465" t="s">
        <v>2685</v>
      </c>
      <c r="C465" t="s">
        <v>2449</v>
      </c>
      <c r="D465" t="s">
        <v>25</v>
      </c>
      <c r="E465">
        <f>SUMIF(数据源!R313:R8879,C465,数据源!M313:M8879)</f>
        <v>7775.83</v>
      </c>
    </row>
    <row r="466" spans="2:5">
      <c r="B466" t="s">
        <v>2692</v>
      </c>
      <c r="C466" t="s">
        <v>2041</v>
      </c>
      <c r="D466" t="s">
        <v>25</v>
      </c>
      <c r="E466">
        <f>SUMIF(数据源!R573:R9139,C466,数据源!M573:M9139)</f>
        <v>7753.29</v>
      </c>
    </row>
    <row r="467" spans="2:5">
      <c r="B467" t="s">
        <v>2687</v>
      </c>
      <c r="C467" t="s">
        <v>512</v>
      </c>
      <c r="D467" t="s">
        <v>25</v>
      </c>
      <c r="E467">
        <f>SUMIF(数据源!R700:R9266,C467,数据源!M700:M9266)</f>
        <v>7748.878</v>
      </c>
    </row>
    <row r="468" spans="2:5">
      <c r="B468" t="s">
        <v>2688</v>
      </c>
      <c r="C468" t="s">
        <v>1800</v>
      </c>
      <c r="D468" t="s">
        <v>25</v>
      </c>
      <c r="E468">
        <f>SUMIF(数据源!R898:R9464,C468,数据源!M898:M9464)</f>
        <v>7737.4755</v>
      </c>
    </row>
    <row r="469" spans="2:5">
      <c r="B469" t="s">
        <v>2694</v>
      </c>
      <c r="C469" t="s">
        <v>676</v>
      </c>
      <c r="D469" t="s">
        <v>25</v>
      </c>
      <c r="E469">
        <f>SUMIF(数据源!R1720:R10286,C469,数据源!M1720:M10286)</f>
        <v>6494.95</v>
      </c>
    </row>
    <row r="470" spans="2:5">
      <c r="B470" t="s">
        <v>2691</v>
      </c>
      <c r="C470" t="s">
        <v>1990</v>
      </c>
      <c r="D470" t="s">
        <v>26</v>
      </c>
      <c r="E470">
        <f>SUMIF(数据源!R2010:R10576,C470,数据源!M2010:M10576)</f>
        <v>7726.417</v>
      </c>
    </row>
    <row r="471" spans="2:5">
      <c r="B471" t="s">
        <v>2694</v>
      </c>
      <c r="C471" t="s">
        <v>1108</v>
      </c>
      <c r="D471" t="s">
        <v>25</v>
      </c>
      <c r="E471">
        <f>SUMIF(数据源!R1740:R10306,C471,数据源!M1740:M10306)</f>
        <v>9337.012</v>
      </c>
    </row>
    <row r="472" spans="2:5">
      <c r="B472" t="s">
        <v>2686</v>
      </c>
      <c r="C472" t="s">
        <v>1817</v>
      </c>
      <c r="D472" t="s">
        <v>27</v>
      </c>
      <c r="E472">
        <f>SUMIF(数据源!R2914:R11480,C472,数据源!M2914:M11480)</f>
        <v>5224.399</v>
      </c>
    </row>
    <row r="473" spans="2:5">
      <c r="B473" t="s">
        <v>2697</v>
      </c>
      <c r="C473" t="s">
        <v>2667</v>
      </c>
      <c r="D473" t="s">
        <v>26</v>
      </c>
      <c r="E473">
        <f>SUMIF(数据源!R2232:R10798,C473,数据源!M2232:M10798)</f>
        <v>7650.36</v>
      </c>
    </row>
    <row r="474" spans="2:5">
      <c r="B474" t="s">
        <v>2697</v>
      </c>
      <c r="C474" t="s">
        <v>1324</v>
      </c>
      <c r="D474" t="s">
        <v>26</v>
      </c>
      <c r="E474">
        <f>SUMIF(数据源!R2393:R10959,C474,数据源!M2393:M10959)</f>
        <v>5549.03</v>
      </c>
    </row>
    <row r="475" spans="2:5">
      <c r="B475" t="s">
        <v>2695</v>
      </c>
      <c r="C475" t="s">
        <v>557</v>
      </c>
      <c r="D475" t="s">
        <v>26</v>
      </c>
      <c r="E475">
        <f>SUMIF(数据源!R1908:R10474,C475,数据源!M1908:M10474)</f>
        <v>7579.95</v>
      </c>
    </row>
    <row r="476" spans="2:5">
      <c r="B476" t="s">
        <v>2688</v>
      </c>
      <c r="C476" t="s">
        <v>874</v>
      </c>
      <c r="D476" t="s">
        <v>25</v>
      </c>
      <c r="E476">
        <f>SUMIF(数据源!R1051:R9617,C476,数据源!M1051:M9617)</f>
        <v>7515.24</v>
      </c>
    </row>
    <row r="477" spans="2:5">
      <c r="B477" t="s">
        <v>2688</v>
      </c>
      <c r="C477" t="s">
        <v>612</v>
      </c>
      <c r="D477" t="s">
        <v>25</v>
      </c>
      <c r="E477">
        <f>SUMIF(数据源!R897:R9463,C477,数据源!M897:M9463)</f>
        <v>7275.4825</v>
      </c>
    </row>
    <row r="478" spans="2:5">
      <c r="B478" t="s">
        <v>2698</v>
      </c>
      <c r="C478" t="s">
        <v>1770</v>
      </c>
      <c r="D478" t="s">
        <v>27</v>
      </c>
      <c r="E478">
        <f>SUMIF(数据源!R3298:R11864,C478,数据源!M3298:M11864)</f>
        <v>5366.85</v>
      </c>
    </row>
    <row r="479" spans="2:5">
      <c r="B479" t="s">
        <v>2696</v>
      </c>
      <c r="C479" t="s">
        <v>1977</v>
      </c>
      <c r="D479" t="s">
        <v>27</v>
      </c>
      <c r="E479">
        <f>SUMIF(数据源!R2565:R11131,C479,数据源!M2565:M11131)</f>
        <v>6428.2135</v>
      </c>
    </row>
    <row r="480" spans="2:5">
      <c r="B480" t="s">
        <v>2686</v>
      </c>
      <c r="C480" t="s">
        <v>516</v>
      </c>
      <c r="D480" t="s">
        <v>27</v>
      </c>
      <c r="E480">
        <f>SUMIF(数据源!R2862:R11428,C480,数据源!M2862:M11428)</f>
        <v>3999.522</v>
      </c>
    </row>
    <row r="481" spans="2:5">
      <c r="B481" t="s">
        <v>2698</v>
      </c>
      <c r="C481" t="s">
        <v>1416</v>
      </c>
      <c r="D481" t="s">
        <v>27</v>
      </c>
      <c r="E481">
        <f>SUMIF(数据源!R3016:R11582,C481,数据源!M3016:M11582)</f>
        <v>5535.8185</v>
      </c>
    </row>
    <row r="482" spans="2:5">
      <c r="B482" t="s">
        <v>2695</v>
      </c>
      <c r="C482" t="s">
        <v>2017</v>
      </c>
      <c r="D482" t="s">
        <v>26</v>
      </c>
      <c r="E482">
        <f>SUMIF(数据源!R1906:R10472,C482,数据源!M1906:M10472)</f>
        <v>7371.55</v>
      </c>
    </row>
    <row r="483" spans="2:5">
      <c r="B483" t="s">
        <v>2688</v>
      </c>
      <c r="C483" t="s">
        <v>1783</v>
      </c>
      <c r="D483" t="s">
        <v>25</v>
      </c>
      <c r="E483">
        <f>SUMIF(数据源!R1052:R9618,C483,数据源!M1052:M9618)</f>
        <v>8239.51</v>
      </c>
    </row>
    <row r="484" spans="2:5">
      <c r="B484" t="s">
        <v>2696</v>
      </c>
      <c r="C484" t="s">
        <v>349</v>
      </c>
      <c r="D484" t="s">
        <v>27</v>
      </c>
      <c r="E484">
        <f>SUMIF(数据源!R2610:R11176,C484,数据源!M2610:M11176)</f>
        <v>6921.6035</v>
      </c>
    </row>
    <row r="485" spans="2:5">
      <c r="B485" t="s">
        <v>2695</v>
      </c>
      <c r="C485" t="s">
        <v>1586</v>
      </c>
      <c r="D485" t="s">
        <v>26</v>
      </c>
      <c r="E485">
        <f>SUMIF(数据源!R1876:R10442,C485,数据源!M1876:M10442)</f>
        <v>7111.13</v>
      </c>
    </row>
    <row r="486" spans="2:5">
      <c r="B486" t="s">
        <v>2699</v>
      </c>
      <c r="C486" t="s">
        <v>1387</v>
      </c>
      <c r="D486" t="s">
        <v>26</v>
      </c>
      <c r="E486">
        <f>SUMIF(数据源!R2458:R11024,C486,数据源!M2458:M11024)</f>
        <v>5558.89</v>
      </c>
    </row>
    <row r="487" spans="2:5">
      <c r="B487" t="s">
        <v>2686</v>
      </c>
      <c r="C487" t="s">
        <v>1026</v>
      </c>
      <c r="D487" t="s">
        <v>27</v>
      </c>
      <c r="E487">
        <f>SUMIF(数据源!R2892:R11458,C487,数据源!M2892:M11458)</f>
        <v>7277.73</v>
      </c>
    </row>
    <row r="488" spans="2:5">
      <c r="B488" t="s">
        <v>2685</v>
      </c>
      <c r="C488" t="s">
        <v>1671</v>
      </c>
      <c r="D488" t="s">
        <v>25</v>
      </c>
      <c r="E488">
        <f>SUMIF(数据源!R408:R8974,C488,数据源!M408:M8974)</f>
        <v>7240.5475</v>
      </c>
    </row>
    <row r="489" spans="2:5">
      <c r="B489" t="s">
        <v>2690</v>
      </c>
      <c r="C489" t="s">
        <v>1522</v>
      </c>
      <c r="D489" t="s">
        <v>25</v>
      </c>
      <c r="E489">
        <f>SUMIF(数据源!R1386:R9952,C489,数据源!M1386:M9952)</f>
        <v>7035.47</v>
      </c>
    </row>
    <row r="490" spans="2:5">
      <c r="B490" t="s">
        <v>2686</v>
      </c>
      <c r="C490" t="s">
        <v>461</v>
      </c>
      <c r="D490" t="s">
        <v>27</v>
      </c>
      <c r="E490">
        <f>SUMIF(数据源!R2932:R11498,C490,数据源!M2932:M11498)</f>
        <v>7207.28</v>
      </c>
    </row>
    <row r="491" spans="2:5">
      <c r="B491" t="s">
        <v>2695</v>
      </c>
      <c r="C491" t="s">
        <v>389</v>
      </c>
      <c r="D491" t="s">
        <v>26</v>
      </c>
      <c r="E491">
        <f>SUMIF(数据源!R1882:R10448,C491,数据源!M1882:M10448)</f>
        <v>3526.39</v>
      </c>
    </row>
    <row r="492" spans="2:5">
      <c r="B492" t="s">
        <v>2697</v>
      </c>
      <c r="C492" t="s">
        <v>1942</v>
      </c>
      <c r="D492" t="s">
        <v>26</v>
      </c>
      <c r="E492">
        <f>SUMIF(数据源!R2195:R10761,C492,数据源!M2195:M10761)</f>
        <v>7185.379</v>
      </c>
    </row>
    <row r="493" spans="2:5">
      <c r="B493" t="s">
        <v>2691</v>
      </c>
      <c r="C493" t="s">
        <v>1656</v>
      </c>
      <c r="D493" t="s">
        <v>26</v>
      </c>
      <c r="E493">
        <f>SUMIF(数据源!R2017:R10583,C493,数据源!M2017:M10583)</f>
        <v>6884.259</v>
      </c>
    </row>
    <row r="494" spans="2:5">
      <c r="B494" t="s">
        <v>2685</v>
      </c>
      <c r="C494" t="s">
        <v>298</v>
      </c>
      <c r="D494" t="s">
        <v>25</v>
      </c>
      <c r="E494">
        <f>SUMIF(数据源!R276:R8842,C494,数据源!M276:M8842)</f>
        <v>7141.07</v>
      </c>
    </row>
    <row r="495" spans="2:5">
      <c r="B495" t="s">
        <v>2696</v>
      </c>
      <c r="C495" t="s">
        <v>1349</v>
      </c>
      <c r="D495" t="s">
        <v>27</v>
      </c>
      <c r="E495">
        <f>SUMIF(数据源!R2704:R11270,C495,数据源!M2704:M11270)</f>
        <v>6132.98</v>
      </c>
    </row>
    <row r="496" spans="2:5">
      <c r="B496" t="s">
        <v>2691</v>
      </c>
      <c r="C496" t="s">
        <v>195</v>
      </c>
      <c r="D496" t="s">
        <v>26</v>
      </c>
      <c r="E496">
        <f>SUMIF(数据源!R2029:R10595,C496,数据源!M2029:M10595)</f>
        <v>5988.3</v>
      </c>
    </row>
    <row r="497" spans="2:5">
      <c r="B497" t="s">
        <v>2697</v>
      </c>
      <c r="C497" t="s">
        <v>767</v>
      </c>
      <c r="D497" t="s">
        <v>26</v>
      </c>
      <c r="E497">
        <f>SUMIF(数据源!R2303:R10869,C497,数据源!M2303:M10869)</f>
        <v>6720.432</v>
      </c>
    </row>
    <row r="498" spans="2:5">
      <c r="B498" t="s">
        <v>2688</v>
      </c>
      <c r="C498" t="s">
        <v>1022</v>
      </c>
      <c r="D498" t="s">
        <v>25</v>
      </c>
      <c r="E498">
        <f>SUMIF(数据源!R923:R9489,C498,数据源!M923:M9489)</f>
        <v>6714.59</v>
      </c>
    </row>
    <row r="499" spans="2:5">
      <c r="B499" t="s">
        <v>2688</v>
      </c>
      <c r="C499" t="s">
        <v>550</v>
      </c>
      <c r="D499" t="s">
        <v>25</v>
      </c>
      <c r="E499">
        <f>SUMIF(数据源!R943:R9509,C499,数据源!M943:M9509)</f>
        <v>6755.918</v>
      </c>
    </row>
    <row r="500" spans="2:5">
      <c r="B500" t="s">
        <v>2689</v>
      </c>
      <c r="C500" t="s">
        <v>2151</v>
      </c>
      <c r="D500" t="s">
        <v>25</v>
      </c>
      <c r="E500">
        <f>SUMIF(数据源!R129:R8695,C500,数据源!M129:M8695)</f>
        <v>7032.55</v>
      </c>
    </row>
    <row r="501" spans="2:5">
      <c r="B501" t="s">
        <v>2685</v>
      </c>
      <c r="C501" t="s">
        <v>1630</v>
      </c>
      <c r="D501" t="s">
        <v>25</v>
      </c>
      <c r="E501">
        <f>SUMIF(数据源!R391:R8957,C501,数据源!M391:M8957)</f>
        <v>7747.2</v>
      </c>
    </row>
    <row r="502" spans="2:5">
      <c r="B502" t="s">
        <v>2687</v>
      </c>
      <c r="C502" t="s">
        <v>740</v>
      </c>
      <c r="D502" t="s">
        <v>25</v>
      </c>
      <c r="E502">
        <f>SUMIF(数据源!R711:R9277,C502,数据源!M711:M9277)</f>
        <v>7018.35</v>
      </c>
    </row>
    <row r="503" spans="2:5">
      <c r="B503" t="s">
        <v>2699</v>
      </c>
      <c r="C503" t="s">
        <v>458</v>
      </c>
      <c r="D503" t="s">
        <v>26</v>
      </c>
      <c r="E503">
        <f>SUMIF(数据源!R2515:R11081,C503,数据源!M2515:M11081)</f>
        <v>6449.876</v>
      </c>
    </row>
    <row r="504" spans="2:5">
      <c r="B504" t="s">
        <v>2697</v>
      </c>
      <c r="C504" t="s">
        <v>416</v>
      </c>
      <c r="D504" t="s">
        <v>26</v>
      </c>
      <c r="E504">
        <f>SUMIF(数据源!R2333:R10899,C504,数据源!M2333:M10899)</f>
        <v>7003.3485</v>
      </c>
    </row>
    <row r="505" spans="2:5">
      <c r="B505" t="s">
        <v>2691</v>
      </c>
      <c r="C505" t="s">
        <v>1834</v>
      </c>
      <c r="D505" t="s">
        <v>26</v>
      </c>
      <c r="E505">
        <f>SUMIF(数据源!R1938:R10504,C505,数据源!M1938:M10504)</f>
        <v>6985.986</v>
      </c>
    </row>
    <row r="506" spans="2:5">
      <c r="B506" t="s">
        <v>2690</v>
      </c>
      <c r="C506" t="s">
        <v>1506</v>
      </c>
      <c r="D506" t="s">
        <v>25</v>
      </c>
      <c r="E506">
        <f>SUMIF(数据源!R1233:R9799,C506,数据源!M1233:M9799)</f>
        <v>6980.534</v>
      </c>
    </row>
    <row r="507" spans="2:5">
      <c r="B507" t="s">
        <v>2694</v>
      </c>
      <c r="C507" t="s">
        <v>1086</v>
      </c>
      <c r="D507" t="s">
        <v>25</v>
      </c>
      <c r="E507">
        <f>SUMIF(数据源!R1754:R10320,C507,数据源!M1754:M10320)</f>
        <v>560.33</v>
      </c>
    </row>
    <row r="508" spans="2:5">
      <c r="B508" t="s">
        <v>2691</v>
      </c>
      <c r="C508" t="s">
        <v>914</v>
      </c>
      <c r="D508" t="s">
        <v>26</v>
      </c>
      <c r="E508">
        <f>SUMIF(数据源!R1972:R10538,C508,数据源!M1972:M10538)</f>
        <v>6907.6185</v>
      </c>
    </row>
    <row r="509" spans="2:5">
      <c r="B509" t="s">
        <v>2694</v>
      </c>
      <c r="C509" t="s">
        <v>1179</v>
      </c>
      <c r="D509" t="s">
        <v>25</v>
      </c>
      <c r="E509">
        <f>SUMIF(数据源!R1704:R10270,C509,数据源!M1704:M10270)</f>
        <v>6892.76</v>
      </c>
    </row>
    <row r="510" spans="2:5">
      <c r="B510" t="s">
        <v>2689</v>
      </c>
      <c r="C510" t="s">
        <v>239</v>
      </c>
      <c r="D510" t="s">
        <v>25</v>
      </c>
      <c r="E510">
        <f>SUMIF(数据源!R116:R8682,C510,数据源!M116:M8682)</f>
        <v>18253.518</v>
      </c>
    </row>
    <row r="511" spans="2:5">
      <c r="B511" t="s">
        <v>2685</v>
      </c>
      <c r="C511" t="s">
        <v>541</v>
      </c>
      <c r="D511" t="s">
        <v>25</v>
      </c>
      <c r="E511">
        <f>SUMIF(数据源!R365:R8931,C511,数据源!M365:M8931)</f>
        <v>10788.05</v>
      </c>
    </row>
    <row r="512" spans="2:5">
      <c r="B512" t="s">
        <v>2695</v>
      </c>
      <c r="C512" t="s">
        <v>1017</v>
      </c>
      <c r="D512" t="s">
        <v>26</v>
      </c>
      <c r="E512">
        <f>SUMIF(数据源!R1864:R10430,C512,数据源!M1864:M10430)</f>
        <v>6464.664</v>
      </c>
    </row>
    <row r="513" spans="2:5">
      <c r="B513" t="s">
        <v>2694</v>
      </c>
      <c r="C513" t="s">
        <v>1476</v>
      </c>
      <c r="D513" t="s">
        <v>25</v>
      </c>
      <c r="E513">
        <f>SUMIF(数据源!R1743:R10309,C513,数据源!M1743:M10309)</f>
        <v>6836.3</v>
      </c>
    </row>
    <row r="514" spans="2:5">
      <c r="B514" t="s">
        <v>2698</v>
      </c>
      <c r="C514" t="s">
        <v>511</v>
      </c>
      <c r="D514" t="s">
        <v>27</v>
      </c>
      <c r="E514">
        <f>SUMIF(数据源!R3027:R11593,C514,数据源!M3027:M11593)</f>
        <v>4516.84</v>
      </c>
    </row>
    <row r="515" spans="2:5">
      <c r="B515" t="s">
        <v>2685</v>
      </c>
      <c r="C515" t="s">
        <v>1933</v>
      </c>
      <c r="D515" t="s">
        <v>25</v>
      </c>
      <c r="E515">
        <f>SUMIF(数据源!R212:R8778,C515,数据源!M212:M8778)</f>
        <v>6834.74</v>
      </c>
    </row>
    <row r="516" spans="2:5">
      <c r="B516" t="s">
        <v>2688</v>
      </c>
      <c r="C516" t="s">
        <v>1648</v>
      </c>
      <c r="D516" t="s">
        <v>25</v>
      </c>
      <c r="E516">
        <f>SUMIF(数据源!R795:R9361,C516,数据源!M795:M9361)</f>
        <v>6833.67</v>
      </c>
    </row>
    <row r="517" spans="2:5">
      <c r="B517" t="s">
        <v>2700</v>
      </c>
      <c r="C517" t="s">
        <v>1151</v>
      </c>
      <c r="D517" t="s">
        <v>25</v>
      </c>
      <c r="E517">
        <f>SUMIF(数据源!R1487:R10053,C517,数据源!M1487:M10053)</f>
        <v>2526.28</v>
      </c>
    </row>
    <row r="518" spans="2:5">
      <c r="B518" t="s">
        <v>2699</v>
      </c>
      <c r="C518" t="s">
        <v>2337</v>
      </c>
      <c r="D518" t="s">
        <v>26</v>
      </c>
      <c r="E518">
        <f>SUMIF(数据源!R2438:R11004,C518,数据源!M2438:M11004)</f>
        <v>6806.66</v>
      </c>
    </row>
    <row r="519" spans="2:5">
      <c r="B519" t="s">
        <v>2690</v>
      </c>
      <c r="C519" t="s">
        <v>269</v>
      </c>
      <c r="D519" t="s">
        <v>25</v>
      </c>
      <c r="E519">
        <f>SUMIF(数据源!R1439:R10005,C519,数据源!M1439:M10005)</f>
        <v>5865.846</v>
      </c>
    </row>
    <row r="520" spans="2:5">
      <c r="B520" t="s">
        <v>2694</v>
      </c>
      <c r="C520" t="s">
        <v>1519</v>
      </c>
      <c r="D520" t="s">
        <v>25</v>
      </c>
      <c r="E520">
        <f>SUMIF(数据源!R1815:R10381,C520,数据源!M1815:M10381)</f>
        <v>6768.86</v>
      </c>
    </row>
    <row r="521" spans="2:5">
      <c r="B521" t="s">
        <v>2696</v>
      </c>
      <c r="C521" t="s">
        <v>932</v>
      </c>
      <c r="D521" t="s">
        <v>27</v>
      </c>
      <c r="E521">
        <f>SUMIF(数据源!R2571:R11137,C521,数据源!M2571:M11137)</f>
        <v>6763.3575</v>
      </c>
    </row>
    <row r="522" spans="2:5">
      <c r="B522" t="s">
        <v>2699</v>
      </c>
      <c r="C522" t="s">
        <v>1175</v>
      </c>
      <c r="D522" t="s">
        <v>26</v>
      </c>
      <c r="E522">
        <f>SUMIF(数据源!R2423:R10989,C522,数据源!M2423:M10989)</f>
        <v>6532.25</v>
      </c>
    </row>
    <row r="523" spans="2:5">
      <c r="B523" t="s">
        <v>2685</v>
      </c>
      <c r="C523" t="s">
        <v>1353</v>
      </c>
      <c r="D523" t="s">
        <v>25</v>
      </c>
      <c r="E523">
        <f>SUMIF(数据源!R323:R8889,C523,数据源!M323:M8889)</f>
        <v>6733.953</v>
      </c>
    </row>
    <row r="524" spans="2:5">
      <c r="B524" t="s">
        <v>2699</v>
      </c>
      <c r="C524" t="s">
        <v>1385</v>
      </c>
      <c r="D524" t="s">
        <v>26</v>
      </c>
      <c r="E524">
        <f>SUMIF(数据源!R2475:R11041,C524,数据源!M2475:M11041)</f>
        <v>4500.5</v>
      </c>
    </row>
    <row r="525" spans="2:5">
      <c r="B525" t="s">
        <v>2689</v>
      </c>
      <c r="C525" t="s">
        <v>2134</v>
      </c>
      <c r="D525" t="s">
        <v>25</v>
      </c>
      <c r="E525">
        <f>SUMIF(数据源!R79:R8645,C525,数据源!M79:M8645)</f>
        <v>6670.7</v>
      </c>
    </row>
    <row r="526" spans="2:5">
      <c r="B526" t="s">
        <v>2694</v>
      </c>
      <c r="C526" t="s">
        <v>1245</v>
      </c>
      <c r="D526" t="s">
        <v>25</v>
      </c>
      <c r="E526">
        <f>SUMIF(数据源!R1702:R10268,C526,数据源!M1702:M10268)</f>
        <v>6661.6125</v>
      </c>
    </row>
    <row r="527" spans="2:5">
      <c r="B527" t="s">
        <v>2689</v>
      </c>
      <c r="C527" t="s">
        <v>908</v>
      </c>
      <c r="D527" t="s">
        <v>25</v>
      </c>
      <c r="E527">
        <f>SUMIF(数据源!R18:R8584,C527,数据源!M18:M8584)</f>
        <v>6649.0145</v>
      </c>
    </row>
    <row r="528" spans="2:5">
      <c r="B528" t="s">
        <v>2696</v>
      </c>
      <c r="C528" t="s">
        <v>2428</v>
      </c>
      <c r="D528" t="s">
        <v>27</v>
      </c>
      <c r="E528">
        <f>SUMIF(数据源!R2794:R11360,C528,数据源!M2794:M11360)</f>
        <v>6601.97</v>
      </c>
    </row>
    <row r="529" spans="2:5">
      <c r="B529" t="s">
        <v>2695</v>
      </c>
      <c r="C529" t="s">
        <v>917</v>
      </c>
      <c r="D529" t="s">
        <v>26</v>
      </c>
      <c r="E529">
        <f>SUMIF(数据源!R1925:R10491,C529,数据源!M1925:M10491)</f>
        <v>5589.188</v>
      </c>
    </row>
    <row r="530" spans="2:5">
      <c r="B530" t="s">
        <v>2697</v>
      </c>
      <c r="C530" t="s">
        <v>663</v>
      </c>
      <c r="D530" t="s">
        <v>26</v>
      </c>
      <c r="E530">
        <f>SUMIF(数据源!R2365:R10931,C530,数据源!M2365:M10931)</f>
        <v>6567.3545</v>
      </c>
    </row>
    <row r="531" spans="2:5">
      <c r="B531" t="s">
        <v>2686</v>
      </c>
      <c r="C531" t="s">
        <v>1748</v>
      </c>
      <c r="D531" t="s">
        <v>27</v>
      </c>
      <c r="E531">
        <f>SUMIF(数据源!R2943:R11509,C531,数据源!M2943:M11509)</f>
        <v>1118.21</v>
      </c>
    </row>
    <row r="532" spans="2:5">
      <c r="B532" t="s">
        <v>2697</v>
      </c>
      <c r="C532" t="s">
        <v>1909</v>
      </c>
      <c r="D532" t="s">
        <v>26</v>
      </c>
      <c r="E532">
        <f>SUMIF(数据源!R2278:R10844,C532,数据源!M2278:M10844)</f>
        <v>4987.73</v>
      </c>
    </row>
    <row r="533" spans="2:5">
      <c r="B533" t="s">
        <v>2696</v>
      </c>
      <c r="C533" t="s">
        <v>2282</v>
      </c>
      <c r="D533" t="s">
        <v>27</v>
      </c>
      <c r="E533">
        <f>SUMIF(数据源!R2749:R11315,C533,数据源!M2749:M11315)</f>
        <v>6471.5</v>
      </c>
    </row>
    <row r="534" spans="2:5">
      <c r="B534" t="s">
        <v>2686</v>
      </c>
      <c r="C534" t="s">
        <v>856</v>
      </c>
      <c r="D534" t="s">
        <v>27</v>
      </c>
      <c r="E534">
        <f>SUMIF(数据源!R2963:R11529,C534,数据源!M2963:M11529)</f>
        <v>2358.9885</v>
      </c>
    </row>
    <row r="535" spans="2:5">
      <c r="B535" t="s">
        <v>2685</v>
      </c>
      <c r="C535" t="s">
        <v>2445</v>
      </c>
      <c r="D535" t="s">
        <v>25</v>
      </c>
      <c r="E535">
        <f>SUMIF(数据源!R420:R8986,C535,数据源!M420:M8986)</f>
        <v>6446.394</v>
      </c>
    </row>
    <row r="536" spans="2:5">
      <c r="B536" t="s">
        <v>2688</v>
      </c>
      <c r="C536" t="s">
        <v>2239</v>
      </c>
      <c r="D536" t="s">
        <v>25</v>
      </c>
      <c r="E536">
        <f>SUMIF(数据源!R998:R9564,C536,数据源!M998:M9564)</f>
        <v>6443.6</v>
      </c>
    </row>
    <row r="537" spans="2:5">
      <c r="B537" t="s">
        <v>2685</v>
      </c>
      <c r="C537" t="s">
        <v>1398</v>
      </c>
      <c r="D537" t="s">
        <v>25</v>
      </c>
      <c r="E537">
        <f>SUMIF(数据源!R466:R9032,C537,数据源!M466:M9032)</f>
        <v>6426.45</v>
      </c>
    </row>
    <row r="538" spans="2:5">
      <c r="B538" t="s">
        <v>2688</v>
      </c>
      <c r="C538" t="s">
        <v>2377</v>
      </c>
      <c r="D538" t="s">
        <v>25</v>
      </c>
      <c r="E538">
        <f>SUMIF(数据源!R1059:R9625,C538,数据源!M1059:M9625)</f>
        <v>6405.13</v>
      </c>
    </row>
    <row r="539" spans="2:5">
      <c r="B539" t="s">
        <v>2701</v>
      </c>
      <c r="C539" t="s">
        <v>1982</v>
      </c>
      <c r="D539" t="s">
        <v>25</v>
      </c>
      <c r="E539">
        <f>SUMIF(数据源!R1622:R10188,C539,数据源!M1622:M10188)</f>
        <v>6394.2175</v>
      </c>
    </row>
    <row r="540" spans="2:5">
      <c r="B540" t="s">
        <v>2694</v>
      </c>
      <c r="C540" t="s">
        <v>246</v>
      </c>
      <c r="D540" t="s">
        <v>25</v>
      </c>
      <c r="E540">
        <f>SUMIF(数据源!R1821:R10387,C540,数据源!M1821:M10387)</f>
        <v>6375.0555</v>
      </c>
    </row>
    <row r="541" spans="2:5">
      <c r="B541" t="s">
        <v>2686</v>
      </c>
      <c r="C541" t="s">
        <v>630</v>
      </c>
      <c r="D541" t="s">
        <v>27</v>
      </c>
      <c r="E541">
        <f>SUMIF(数据源!R2976:R11542,C541,数据源!M2976:M11542)</f>
        <v>5781.954</v>
      </c>
    </row>
    <row r="542" spans="2:5">
      <c r="B542" t="s">
        <v>2690</v>
      </c>
      <c r="C542" t="s">
        <v>1548</v>
      </c>
      <c r="D542" t="s">
        <v>25</v>
      </c>
      <c r="E542">
        <f>SUMIF(数据源!R1405:R9971,C542,数据源!M1405:M9971)</f>
        <v>4564.836</v>
      </c>
    </row>
    <row r="543" spans="2:5">
      <c r="B543" t="s">
        <v>2697</v>
      </c>
      <c r="C543" t="s">
        <v>296</v>
      </c>
      <c r="D543" t="s">
        <v>26</v>
      </c>
      <c r="E543">
        <f>SUMIF(数据源!R2288:R10854,C543,数据源!M2288:M10854)</f>
        <v>6300.3875</v>
      </c>
    </row>
    <row r="544" spans="2:5">
      <c r="B544" t="s">
        <v>2694</v>
      </c>
      <c r="C544" t="s">
        <v>1405</v>
      </c>
      <c r="D544" t="s">
        <v>25</v>
      </c>
      <c r="E544">
        <f>SUMIF(数据源!R1786:R10352,C544,数据源!M1786:M10352)</f>
        <v>3198.41</v>
      </c>
    </row>
    <row r="545" spans="2:5">
      <c r="B545" t="s">
        <v>2689</v>
      </c>
      <c r="C545" t="s">
        <v>2202</v>
      </c>
      <c r="D545" t="s">
        <v>25</v>
      </c>
      <c r="E545">
        <f>SUMIF(数据源!R104:R8670,C545,数据源!M104:M8670)</f>
        <v>6274.55</v>
      </c>
    </row>
    <row r="546" spans="2:5">
      <c r="B546" t="s">
        <v>2689</v>
      </c>
      <c r="C546" t="s">
        <v>1365</v>
      </c>
      <c r="D546" t="s">
        <v>25</v>
      </c>
      <c r="E546">
        <f>SUMIF(数据源!R161:R8727,C546,数据源!M161:M8727)</f>
        <v>6259.82</v>
      </c>
    </row>
    <row r="547" spans="2:5">
      <c r="B547" t="s">
        <v>2698</v>
      </c>
      <c r="C547" t="s">
        <v>395</v>
      </c>
      <c r="D547" t="s">
        <v>27</v>
      </c>
      <c r="E547">
        <f>SUMIF(数据源!R3238:R11804,C547,数据源!M3238:M11804)</f>
        <v>6257.492</v>
      </c>
    </row>
    <row r="548" spans="2:5">
      <c r="B548" t="s">
        <v>2699</v>
      </c>
      <c r="C548" t="s">
        <v>1796</v>
      </c>
      <c r="D548" t="s">
        <v>26</v>
      </c>
      <c r="E548">
        <f>SUMIF(数据源!R2525:R11091,C548,数据源!M2525:M11091)</f>
        <v>5143.33</v>
      </c>
    </row>
    <row r="549" spans="2:5">
      <c r="B549" t="s">
        <v>2686</v>
      </c>
      <c r="C549" t="s">
        <v>2166</v>
      </c>
      <c r="D549" t="s">
        <v>27</v>
      </c>
      <c r="E549">
        <f>SUMIF(数据源!R2980:R11546,C549,数据源!M2980:M11546)</f>
        <v>6216.67</v>
      </c>
    </row>
    <row r="550" spans="2:5">
      <c r="B550" t="s">
        <v>2699</v>
      </c>
      <c r="C550" t="s">
        <v>163</v>
      </c>
      <c r="D550" t="s">
        <v>26</v>
      </c>
      <c r="E550">
        <f>SUMIF(数据源!R2535:R11101,C550,数据源!M2535:M11101)</f>
        <v>6204.72</v>
      </c>
    </row>
    <row r="551" spans="2:5">
      <c r="B551" t="s">
        <v>2691</v>
      </c>
      <c r="C551" t="s">
        <v>1140</v>
      </c>
      <c r="D551" t="s">
        <v>26</v>
      </c>
      <c r="E551">
        <f>SUMIF(数据源!R2054:R10620,C551,数据源!M2054:M10620)</f>
        <v>5901.98</v>
      </c>
    </row>
    <row r="552" spans="2:5">
      <c r="B552" t="s">
        <v>2685</v>
      </c>
      <c r="C552" t="s">
        <v>1707</v>
      </c>
      <c r="D552" t="s">
        <v>25</v>
      </c>
      <c r="E552">
        <f>SUMIF(数据源!R403:R8969,C552,数据源!M403:M8969)</f>
        <v>6175.631</v>
      </c>
    </row>
    <row r="553" spans="2:5">
      <c r="B553" t="s">
        <v>2687</v>
      </c>
      <c r="C553" t="s">
        <v>1401</v>
      </c>
      <c r="D553" t="s">
        <v>25</v>
      </c>
      <c r="E553">
        <f>SUMIF(数据源!R713:R9279,C553,数据源!M713:M9279)</f>
        <v>6164.24</v>
      </c>
    </row>
    <row r="554" spans="2:5">
      <c r="B554" t="s">
        <v>2699</v>
      </c>
      <c r="C554" t="s">
        <v>482</v>
      </c>
      <c r="D554" t="s">
        <v>26</v>
      </c>
      <c r="E554">
        <f>SUMIF(数据源!R2533:R11099,C554,数据源!M2533:M11099)</f>
        <v>1600.14</v>
      </c>
    </row>
    <row r="555" spans="2:5">
      <c r="B555" t="s">
        <v>2685</v>
      </c>
      <c r="C555" t="s">
        <v>1547</v>
      </c>
      <c r="D555" t="s">
        <v>25</v>
      </c>
      <c r="E555">
        <f>SUMIF(数据源!R492:R9058,C555,数据源!M492:M9058)</f>
        <v>7234.2555</v>
      </c>
    </row>
    <row r="556" spans="2:5">
      <c r="B556" t="s">
        <v>2690</v>
      </c>
      <c r="C556" t="s">
        <v>1719</v>
      </c>
      <c r="D556" t="s">
        <v>25</v>
      </c>
      <c r="E556">
        <f>SUMIF(数据源!R1326:R9892,C556,数据源!M1326:M9892)</f>
        <v>6514.315</v>
      </c>
    </row>
    <row r="557" spans="2:5">
      <c r="B557" t="s">
        <v>2694</v>
      </c>
      <c r="C557" t="s">
        <v>214</v>
      </c>
      <c r="D557" t="s">
        <v>25</v>
      </c>
      <c r="E557">
        <f>SUMIF(数据源!R1729:R10295,C557,数据源!M1729:M10295)</f>
        <v>7412.663</v>
      </c>
    </row>
    <row r="558" spans="2:5">
      <c r="B558" t="s">
        <v>2685</v>
      </c>
      <c r="C558" t="s">
        <v>2226</v>
      </c>
      <c r="D558" t="s">
        <v>25</v>
      </c>
      <c r="E558">
        <f>SUMIF(数据源!R508:R9074,C558,数据源!M508:M9074)</f>
        <v>6091.85</v>
      </c>
    </row>
    <row r="559" spans="2:5">
      <c r="B559" t="s">
        <v>2688</v>
      </c>
      <c r="C559" t="s">
        <v>1810</v>
      </c>
      <c r="D559" t="s">
        <v>25</v>
      </c>
      <c r="E559">
        <f>SUMIF(数据源!R1105:R9671,C559,数据源!M1105:M9671)</f>
        <v>6084.36</v>
      </c>
    </row>
    <row r="560" spans="2:5">
      <c r="B560" t="s">
        <v>2697</v>
      </c>
      <c r="C560" t="s">
        <v>842</v>
      </c>
      <c r="D560" t="s">
        <v>26</v>
      </c>
      <c r="E560">
        <f>SUMIF(数据源!R2244:R10810,C560,数据源!M2244:M10810)</f>
        <v>5895.33</v>
      </c>
    </row>
    <row r="561" spans="2:5">
      <c r="B561" t="s">
        <v>2686</v>
      </c>
      <c r="C561" t="s">
        <v>148</v>
      </c>
      <c r="D561" t="s">
        <v>27</v>
      </c>
      <c r="E561">
        <f>SUMIF(数据源!R2998:R11564,C561,数据源!M2998:M11564)</f>
        <v>6055.332</v>
      </c>
    </row>
    <row r="562" spans="2:5">
      <c r="B562" t="s">
        <v>2688</v>
      </c>
      <c r="C562" t="s">
        <v>1392</v>
      </c>
      <c r="D562" t="s">
        <v>25</v>
      </c>
      <c r="E562">
        <f>SUMIF(数据源!R1085:R9651,C562,数据源!M1085:M9651)</f>
        <v>6052.68</v>
      </c>
    </row>
    <row r="563" spans="2:5">
      <c r="B563" t="s">
        <v>2698</v>
      </c>
      <c r="C563" t="s">
        <v>106</v>
      </c>
      <c r="D563" t="s">
        <v>27</v>
      </c>
      <c r="E563">
        <f>SUMIF(数据源!R3208:R11774,C563,数据源!M3208:M11774)</f>
        <v>5154.01</v>
      </c>
    </row>
    <row r="564" spans="2:5">
      <c r="B564" t="s">
        <v>2686</v>
      </c>
      <c r="C564" t="s">
        <v>1884</v>
      </c>
      <c r="D564" t="s">
        <v>27</v>
      </c>
      <c r="E564">
        <f>SUMIF(数据源!R2901:R11467,C564,数据源!M2901:M11467)</f>
        <v>5821.39</v>
      </c>
    </row>
    <row r="565" spans="2:5">
      <c r="B565" t="s">
        <v>2698</v>
      </c>
      <c r="C565" t="s">
        <v>878</v>
      </c>
      <c r="D565" t="s">
        <v>27</v>
      </c>
      <c r="E565">
        <f>SUMIF(数据源!R3138:R11704,C565,数据源!M3138:M11704)</f>
        <v>5699.255</v>
      </c>
    </row>
    <row r="566" spans="2:5">
      <c r="B566" t="s">
        <v>2698</v>
      </c>
      <c r="C566" t="s">
        <v>946</v>
      </c>
      <c r="D566" t="s">
        <v>27</v>
      </c>
      <c r="E566">
        <f>SUMIF(数据源!R3044:R11610,C566,数据源!M3044:M11610)</f>
        <v>5894.833</v>
      </c>
    </row>
    <row r="567" spans="2:5">
      <c r="B567" t="s">
        <v>2695</v>
      </c>
      <c r="C567" t="s">
        <v>674</v>
      </c>
      <c r="D567" t="s">
        <v>26</v>
      </c>
      <c r="E567">
        <f>SUMIF(数据源!R1874:R10440,C567,数据源!M1874:M10440)</f>
        <v>5942.07</v>
      </c>
    </row>
    <row r="568" spans="2:5">
      <c r="B568" t="s">
        <v>2700</v>
      </c>
      <c r="C568" t="s">
        <v>843</v>
      </c>
      <c r="D568" t="s">
        <v>25</v>
      </c>
      <c r="E568">
        <f>SUMIF(数据源!R1510:R10076,C568,数据源!M1510:M10076)</f>
        <v>5951.2105</v>
      </c>
    </row>
    <row r="569" spans="2:5">
      <c r="B569" t="s">
        <v>2686</v>
      </c>
      <c r="C569" t="s">
        <v>850</v>
      </c>
      <c r="D569" t="s">
        <v>27</v>
      </c>
      <c r="E569">
        <f>SUMIF(数据源!R2924:R11490,C569,数据源!M2924:M11490)</f>
        <v>5917.2915</v>
      </c>
    </row>
    <row r="570" spans="2:5">
      <c r="B570" t="s">
        <v>2698</v>
      </c>
      <c r="C570" t="s">
        <v>260</v>
      </c>
      <c r="D570" t="s">
        <v>27</v>
      </c>
      <c r="E570">
        <f>SUMIF(数据源!R3303:R11869,C570,数据源!M3303:M11869)</f>
        <v>2485.81</v>
      </c>
    </row>
    <row r="571" spans="2:5">
      <c r="B571" t="s">
        <v>2698</v>
      </c>
      <c r="C571" t="s">
        <v>1962</v>
      </c>
      <c r="D571" t="s">
        <v>27</v>
      </c>
      <c r="E571">
        <f>SUMIF(数据源!R3227:R11793,C571,数据源!M3227:M11793)</f>
        <v>5813.87</v>
      </c>
    </row>
    <row r="572" spans="2:5">
      <c r="B572" t="s">
        <v>2696</v>
      </c>
      <c r="C572" t="s">
        <v>846</v>
      </c>
      <c r="D572" t="s">
        <v>27</v>
      </c>
      <c r="E572">
        <f>SUMIF(数据源!R2747:R11313,C572,数据源!M2747:M11313)</f>
        <v>4604.57</v>
      </c>
    </row>
    <row r="573" spans="2:5">
      <c r="B573" t="s">
        <v>2688</v>
      </c>
      <c r="C573" t="s">
        <v>441</v>
      </c>
      <c r="D573" t="s">
        <v>25</v>
      </c>
      <c r="E573">
        <f>SUMIF(数据源!R771:R9337,C573,数据源!M771:M9337)</f>
        <v>5807.53</v>
      </c>
    </row>
    <row r="574" spans="2:5">
      <c r="B574" t="s">
        <v>2694</v>
      </c>
      <c r="C574" t="s">
        <v>1590</v>
      </c>
      <c r="D574" t="s">
        <v>25</v>
      </c>
      <c r="E574">
        <f>SUMIF(数据源!R1816:R10382,C574,数据源!M1816:M10382)</f>
        <v>4048.19</v>
      </c>
    </row>
    <row r="575" spans="2:5">
      <c r="B575" t="s">
        <v>2698</v>
      </c>
      <c r="C575" t="s">
        <v>1456</v>
      </c>
      <c r="D575" t="s">
        <v>27</v>
      </c>
      <c r="E575">
        <f>SUMIF(数据源!R3179:R11745,C575,数据源!M3179:M11745)</f>
        <v>1824.848</v>
      </c>
    </row>
    <row r="576" spans="2:5">
      <c r="B576" t="s">
        <v>2686</v>
      </c>
      <c r="C576" t="s">
        <v>735</v>
      </c>
      <c r="D576" t="s">
        <v>27</v>
      </c>
      <c r="E576">
        <f>SUMIF(数据源!R2881:R11447,C576,数据源!M2881:M11447)</f>
        <v>4338.38</v>
      </c>
    </row>
    <row r="577" spans="2:5">
      <c r="B577" t="s">
        <v>2699</v>
      </c>
      <c r="C577" t="s">
        <v>1011</v>
      </c>
      <c r="D577" t="s">
        <v>26</v>
      </c>
      <c r="E577">
        <f>SUMIF(数据源!R2439:R11005,C577,数据源!M2439:M11005)</f>
        <v>5763.71</v>
      </c>
    </row>
    <row r="578" spans="2:5">
      <c r="B578" t="s">
        <v>2685</v>
      </c>
      <c r="C578" t="s">
        <v>1787</v>
      </c>
      <c r="D578" t="s">
        <v>25</v>
      </c>
      <c r="E578">
        <f>SUMIF(数据源!R394:R8960,C578,数据源!M394:M8960)</f>
        <v>9352.02</v>
      </c>
    </row>
    <row r="579" spans="2:5">
      <c r="B579" t="s">
        <v>2685</v>
      </c>
      <c r="C579" t="s">
        <v>1650</v>
      </c>
      <c r="D579" t="s">
        <v>25</v>
      </c>
      <c r="E579">
        <f>SUMIF(数据源!R314:R8880,C579,数据源!M314:M8880)</f>
        <v>5752.66</v>
      </c>
    </row>
    <row r="580" spans="2:5">
      <c r="B580" t="s">
        <v>2692</v>
      </c>
      <c r="C580" t="s">
        <v>1631</v>
      </c>
      <c r="D580" t="s">
        <v>25</v>
      </c>
      <c r="E580">
        <f>SUMIF(数据源!R582:R9148,C580,数据源!M582:M9148)</f>
        <v>5716.12</v>
      </c>
    </row>
    <row r="581" spans="2:5">
      <c r="B581" t="s">
        <v>2691</v>
      </c>
      <c r="C581" t="s">
        <v>733</v>
      </c>
      <c r="D581" t="s">
        <v>26</v>
      </c>
      <c r="E581">
        <f>SUMIF(数据源!R2066:R10632,C581,数据源!M2066:M10632)</f>
        <v>7456.1575</v>
      </c>
    </row>
    <row r="582" spans="2:5">
      <c r="B582" t="s">
        <v>2686</v>
      </c>
      <c r="C582" t="s">
        <v>1471</v>
      </c>
      <c r="D582" t="s">
        <v>27</v>
      </c>
      <c r="E582">
        <f>SUMIF(数据源!R2973:R11539,C582,数据源!M2973:M11539)</f>
        <v>3409.4035</v>
      </c>
    </row>
    <row r="583" spans="2:5">
      <c r="B583" t="s">
        <v>2695</v>
      </c>
      <c r="C583" t="s">
        <v>1279</v>
      </c>
      <c r="D583" t="s">
        <v>26</v>
      </c>
      <c r="E583">
        <f>SUMIF(数据源!R1900:R10466,C583,数据源!M1900:M10466)</f>
        <v>9973.2415</v>
      </c>
    </row>
    <row r="584" spans="2:5">
      <c r="B584" t="s">
        <v>2694</v>
      </c>
      <c r="C584" t="s">
        <v>1758</v>
      </c>
      <c r="D584" t="s">
        <v>25</v>
      </c>
      <c r="E584">
        <f>SUMIF(数据源!R1692:R10258,C584,数据源!M1692:M10258)</f>
        <v>5578.14</v>
      </c>
    </row>
    <row r="585" spans="2:5">
      <c r="B585" t="s">
        <v>2686</v>
      </c>
      <c r="C585" t="s">
        <v>784</v>
      </c>
      <c r="D585" t="s">
        <v>27</v>
      </c>
      <c r="E585">
        <f>SUMIF(数据源!R2916:R11482,C585,数据源!M2916:M11482)</f>
        <v>4903.85</v>
      </c>
    </row>
    <row r="586" spans="2:5">
      <c r="B586" t="s">
        <v>2699</v>
      </c>
      <c r="C586" t="s">
        <v>1903</v>
      </c>
      <c r="D586" t="s">
        <v>26</v>
      </c>
      <c r="E586">
        <f>SUMIF(数据源!R2478:R11044,C586,数据源!M2478:M11044)</f>
        <v>5250.79</v>
      </c>
    </row>
    <row r="587" spans="2:5">
      <c r="B587" t="s">
        <v>2694</v>
      </c>
      <c r="C587" t="s">
        <v>1575</v>
      </c>
      <c r="D587" t="s">
        <v>25</v>
      </c>
      <c r="E587">
        <f>SUMIF(数据源!R1721:R10287,C587,数据源!M1721:M10287)</f>
        <v>9084.172</v>
      </c>
    </row>
    <row r="588" spans="2:5">
      <c r="B588" t="s">
        <v>2690</v>
      </c>
      <c r="C588" t="s">
        <v>1871</v>
      </c>
      <c r="D588" t="s">
        <v>25</v>
      </c>
      <c r="E588">
        <f>SUMIF(数据源!R1302:R9868,C588,数据源!M1302:M9868)</f>
        <v>5484.12</v>
      </c>
    </row>
    <row r="589" spans="2:5">
      <c r="B589" t="s">
        <v>2696</v>
      </c>
      <c r="C589" t="s">
        <v>1352</v>
      </c>
      <c r="D589" t="s">
        <v>27</v>
      </c>
      <c r="E589">
        <f>SUMIF(数据源!R2728:R11294,C589,数据源!M2728:M11294)</f>
        <v>4094.44</v>
      </c>
    </row>
    <row r="590" spans="2:5">
      <c r="B590" t="s">
        <v>2697</v>
      </c>
      <c r="C590" t="s">
        <v>1396</v>
      </c>
      <c r="D590" t="s">
        <v>26</v>
      </c>
      <c r="E590">
        <f>SUMIF(数据源!R2100:R10666,C590,数据源!M2100:M10666)</f>
        <v>5060.291</v>
      </c>
    </row>
    <row r="591" spans="2:5">
      <c r="B591" t="s">
        <v>2692</v>
      </c>
      <c r="C591" t="s">
        <v>2136</v>
      </c>
      <c r="D591" t="s">
        <v>25</v>
      </c>
      <c r="E591">
        <f>SUMIF(数据源!R541:R9107,C591,数据源!M541:M9107)</f>
        <v>5440.66</v>
      </c>
    </row>
    <row r="592" spans="2:5">
      <c r="B592" t="s">
        <v>2687</v>
      </c>
      <c r="C592" t="s">
        <v>1833</v>
      </c>
      <c r="D592" t="s">
        <v>25</v>
      </c>
      <c r="E592">
        <f>SUMIF(数据源!R640:R9206,C592,数据源!M640:M9206)</f>
        <v>5408.05</v>
      </c>
    </row>
    <row r="593" spans="2:5">
      <c r="B593" t="s">
        <v>2688</v>
      </c>
      <c r="C593" t="s">
        <v>2533</v>
      </c>
      <c r="D593" t="s">
        <v>25</v>
      </c>
      <c r="E593">
        <f>SUMIF(数据源!R761:R9327,C593,数据源!M761:M9327)</f>
        <v>5407.9</v>
      </c>
    </row>
    <row r="594" spans="2:5">
      <c r="B594" t="s">
        <v>2691</v>
      </c>
      <c r="C594" t="s">
        <v>1605</v>
      </c>
      <c r="D594" t="s">
        <v>26</v>
      </c>
      <c r="E594">
        <f>SUMIF(数据源!R2088:R10654,C594,数据源!M2088:M10654)</f>
        <v>5401.886</v>
      </c>
    </row>
    <row r="595" spans="2:5">
      <c r="B595" t="s">
        <v>2688</v>
      </c>
      <c r="C595" t="s">
        <v>1486</v>
      </c>
      <c r="D595" t="s">
        <v>25</v>
      </c>
      <c r="E595">
        <f>SUMIF(数据源!R1187:R9753,C595,数据源!M1187:M9753)</f>
        <v>8210.949</v>
      </c>
    </row>
    <row r="596" spans="2:5">
      <c r="B596" t="s">
        <v>2690</v>
      </c>
      <c r="C596" t="s">
        <v>1240</v>
      </c>
      <c r="D596" t="s">
        <v>25</v>
      </c>
      <c r="E596">
        <f>SUMIF(数据源!R1472:R10038,C596,数据源!M1472:M10038)</f>
        <v>3763.51</v>
      </c>
    </row>
    <row r="597" spans="2:5">
      <c r="B597" t="s">
        <v>2686</v>
      </c>
      <c r="C597" t="s">
        <v>1075</v>
      </c>
      <c r="D597" t="s">
        <v>27</v>
      </c>
      <c r="E597">
        <f>SUMIF(数据源!R2978:R11544,C597,数据源!M2978:M11544)</f>
        <v>3392.788</v>
      </c>
    </row>
    <row r="598" spans="2:5">
      <c r="B598" t="s">
        <v>2696</v>
      </c>
      <c r="C598" t="s">
        <v>736</v>
      </c>
      <c r="D598" t="s">
        <v>27</v>
      </c>
      <c r="E598">
        <f>SUMIF(数据源!R2785:R11351,C598,数据源!M2785:M11351)</f>
        <v>2997.47</v>
      </c>
    </row>
    <row r="599" spans="2:5">
      <c r="B599" t="s">
        <v>2698</v>
      </c>
      <c r="C599" t="s">
        <v>1856</v>
      </c>
      <c r="D599" t="s">
        <v>27</v>
      </c>
      <c r="E599">
        <f>SUMIF(数据源!R3276:R11842,C599,数据源!M3276:M11842)</f>
        <v>0</v>
      </c>
    </row>
    <row r="600" spans="2:5">
      <c r="B600" t="s">
        <v>2686</v>
      </c>
      <c r="C600" t="s">
        <v>1582</v>
      </c>
      <c r="D600" t="s">
        <v>27</v>
      </c>
      <c r="E600">
        <f>SUMIF(数据源!R2865:R11431,C600,数据源!M2865:M11431)</f>
        <v>4464.367</v>
      </c>
    </row>
    <row r="601" spans="2:5">
      <c r="B601" t="s">
        <v>2698</v>
      </c>
      <c r="C601" t="s">
        <v>2299</v>
      </c>
      <c r="D601" t="s">
        <v>27</v>
      </c>
      <c r="E601">
        <f>SUMIF(数据源!R3069:R11635,C601,数据源!M3069:M11635)</f>
        <v>5329.64</v>
      </c>
    </row>
    <row r="602" spans="2:5">
      <c r="B602" t="s">
        <v>2694</v>
      </c>
      <c r="C602" t="s">
        <v>1194</v>
      </c>
      <c r="D602" t="s">
        <v>25</v>
      </c>
      <c r="E602">
        <f>SUMIF(数据源!R1643:R10209,C602,数据源!M1643:M10209)</f>
        <v>5178.69</v>
      </c>
    </row>
    <row r="603" spans="2:5">
      <c r="B603" t="s">
        <v>2693</v>
      </c>
      <c r="C603" t="s">
        <v>1873</v>
      </c>
      <c r="D603" t="s">
        <v>27</v>
      </c>
      <c r="E603">
        <f>SUMIF(数据源!R2837:R11403,C603,数据源!M2837:M11403)</f>
        <v>5271.41</v>
      </c>
    </row>
    <row r="604" spans="2:5">
      <c r="B604" t="s">
        <v>2688</v>
      </c>
      <c r="C604" t="s">
        <v>1231</v>
      </c>
      <c r="D604" t="s">
        <v>25</v>
      </c>
      <c r="E604">
        <f>SUMIF(数据源!R872:R9438,C604,数据源!M872:M9438)</f>
        <v>5303.83</v>
      </c>
    </row>
    <row r="605" spans="2:5">
      <c r="B605" t="s">
        <v>2694</v>
      </c>
      <c r="C605" t="s">
        <v>1660</v>
      </c>
      <c r="D605" t="s">
        <v>25</v>
      </c>
      <c r="E605">
        <f>SUMIF(数据源!R1694:R10260,C605,数据源!M1694:M10260)</f>
        <v>8559.5</v>
      </c>
    </row>
    <row r="606" spans="2:5">
      <c r="B606" t="s">
        <v>2697</v>
      </c>
      <c r="C606" t="s">
        <v>1673</v>
      </c>
      <c r="D606" t="s">
        <v>26</v>
      </c>
      <c r="E606">
        <f>SUMIF(数据源!R2402:R10968,C606,数据源!M2402:M10968)</f>
        <v>4413.07</v>
      </c>
    </row>
    <row r="607" spans="2:5">
      <c r="B607" t="s">
        <v>2699</v>
      </c>
      <c r="C607" t="s">
        <v>1115</v>
      </c>
      <c r="D607" t="s">
        <v>26</v>
      </c>
      <c r="E607">
        <f>SUMIF(数据源!R2556:R11122,C607,数据源!M2556:M11122)</f>
        <v>2555.62</v>
      </c>
    </row>
    <row r="608" spans="2:5">
      <c r="B608" t="s">
        <v>2688</v>
      </c>
      <c r="C608" t="s">
        <v>729</v>
      </c>
      <c r="D608" t="s">
        <v>25</v>
      </c>
      <c r="E608">
        <f>SUMIF(数据源!R915:R9481,C608,数据源!M915:M9481)</f>
        <v>3386.13</v>
      </c>
    </row>
    <row r="609" spans="2:5">
      <c r="B609" t="s">
        <v>2688</v>
      </c>
      <c r="C609" t="s">
        <v>1687</v>
      </c>
      <c r="D609" t="s">
        <v>25</v>
      </c>
      <c r="E609">
        <f>SUMIF(数据源!R855:R9421,C609,数据源!M855:M9421)</f>
        <v>5261.09</v>
      </c>
    </row>
    <row r="610" spans="2:5">
      <c r="B610" t="s">
        <v>2693</v>
      </c>
      <c r="C610" t="s">
        <v>1754</v>
      </c>
      <c r="D610" t="s">
        <v>27</v>
      </c>
      <c r="E610">
        <f>SUMIF(数据源!R2853:R11419,C610,数据源!M2853:M11419)</f>
        <v>214.01</v>
      </c>
    </row>
    <row r="611" spans="2:5">
      <c r="B611" t="s">
        <v>2688</v>
      </c>
      <c r="C611" t="s">
        <v>880</v>
      </c>
      <c r="D611" t="s">
        <v>25</v>
      </c>
      <c r="E611">
        <f>SUMIF(数据源!R928:R9494,C611,数据源!M928:M9494)</f>
        <v>4953.71</v>
      </c>
    </row>
    <row r="612" spans="2:5">
      <c r="B612" t="s">
        <v>2695</v>
      </c>
      <c r="C612" t="s">
        <v>1305</v>
      </c>
      <c r="D612" t="s">
        <v>26</v>
      </c>
      <c r="E612">
        <f>SUMIF(数据源!R1904:R10470,C612,数据源!M1904:M10470)</f>
        <v>5190.06</v>
      </c>
    </row>
    <row r="613" spans="2:5">
      <c r="B613" t="s">
        <v>2699</v>
      </c>
      <c r="C613" t="s">
        <v>1284</v>
      </c>
      <c r="D613" t="s">
        <v>26</v>
      </c>
      <c r="E613">
        <f>SUMIF(数据源!R2522:R11088,C613,数据源!M2522:M11088)</f>
        <v>4790.84</v>
      </c>
    </row>
    <row r="614" spans="2:5">
      <c r="B614" t="s">
        <v>2697</v>
      </c>
      <c r="C614" t="s">
        <v>1114</v>
      </c>
      <c r="D614" t="s">
        <v>26</v>
      </c>
      <c r="E614">
        <f>SUMIF(数据源!R2264:R10830,C614,数据源!M2264:M10830)</f>
        <v>5146.52</v>
      </c>
    </row>
    <row r="615" spans="2:5">
      <c r="B615" t="s">
        <v>2686</v>
      </c>
      <c r="C615" t="s">
        <v>321</v>
      </c>
      <c r="D615" t="s">
        <v>27</v>
      </c>
      <c r="E615">
        <f>SUMIF(数据源!R2909:R11475,C615,数据源!M2909:M11475)</f>
        <v>5143.58</v>
      </c>
    </row>
    <row r="616" spans="2:5">
      <c r="B616" t="s">
        <v>2698</v>
      </c>
      <c r="C616" t="s">
        <v>2246</v>
      </c>
      <c r="D616" t="s">
        <v>27</v>
      </c>
      <c r="E616">
        <f>SUMIF(数据源!R3145:R11711,C616,数据源!M3145:M11711)</f>
        <v>5090.092</v>
      </c>
    </row>
    <row r="617" spans="2:5">
      <c r="B617" t="s">
        <v>2696</v>
      </c>
      <c r="C617" t="s">
        <v>1027</v>
      </c>
      <c r="D617" t="s">
        <v>27</v>
      </c>
      <c r="E617">
        <f>SUMIF(数据源!R2599:R11165,C617,数据源!M2599:M11165)</f>
        <v>4700.93</v>
      </c>
    </row>
    <row r="618" spans="2:5">
      <c r="B618" t="s">
        <v>2699</v>
      </c>
      <c r="C618" t="s">
        <v>920</v>
      </c>
      <c r="D618" t="s">
        <v>26</v>
      </c>
      <c r="E618">
        <f>SUMIF(数据源!R2440:R11006,C618,数据源!M2440:M11006)</f>
        <v>5068.2245</v>
      </c>
    </row>
    <row r="619" spans="2:5">
      <c r="B619" t="s">
        <v>2693</v>
      </c>
      <c r="C619" t="s">
        <v>1958</v>
      </c>
      <c r="D619" t="s">
        <v>27</v>
      </c>
      <c r="E619">
        <f>SUMIF(数据源!R2851:R11417,C619,数据源!M2851:M11417)</f>
        <v>4258.36</v>
      </c>
    </row>
    <row r="620" spans="2:5">
      <c r="B620" t="s">
        <v>2697</v>
      </c>
      <c r="C620" t="s">
        <v>120</v>
      </c>
      <c r="D620" t="s">
        <v>26</v>
      </c>
      <c r="E620">
        <f>SUMIF(数据源!R2361:R10927,C620,数据源!M2361:M10927)</f>
        <v>4680.9075</v>
      </c>
    </row>
    <row r="621" spans="2:5">
      <c r="B621" t="s">
        <v>2696</v>
      </c>
      <c r="C621" t="s">
        <v>2097</v>
      </c>
      <c r="D621" t="s">
        <v>27</v>
      </c>
      <c r="E621">
        <f>SUMIF(数据源!R2651:R11217,C621,数据源!M2651:M11217)</f>
        <v>4990.5755</v>
      </c>
    </row>
    <row r="622" spans="2:5">
      <c r="B622" t="s">
        <v>2691</v>
      </c>
      <c r="C622" t="s">
        <v>969</v>
      </c>
      <c r="D622" t="s">
        <v>26</v>
      </c>
      <c r="E622">
        <f>SUMIF(数据源!R1981:R10547,C622,数据源!M1981:M10547)</f>
        <v>4966.7985</v>
      </c>
    </row>
    <row r="623" spans="2:5">
      <c r="B623" t="s">
        <v>2699</v>
      </c>
      <c r="C623" t="s">
        <v>810</v>
      </c>
      <c r="D623" t="s">
        <v>26</v>
      </c>
      <c r="E623">
        <f>SUMIF(数据源!R2484:R11050,C623,数据源!M2484:M11050)</f>
        <v>3822.9515</v>
      </c>
    </row>
    <row r="624" spans="2:5">
      <c r="B624" t="s">
        <v>2690</v>
      </c>
      <c r="C624" t="s">
        <v>542</v>
      </c>
      <c r="D624" t="s">
        <v>25</v>
      </c>
      <c r="E624">
        <f>SUMIF(数据源!R1462:R10028,C624,数据源!M1462:M10028)</f>
        <v>3263.8</v>
      </c>
    </row>
    <row r="625" spans="2:5">
      <c r="B625" t="s">
        <v>2685</v>
      </c>
      <c r="C625" t="s">
        <v>1098</v>
      </c>
      <c r="D625" t="s">
        <v>25</v>
      </c>
      <c r="E625">
        <f>SUMIF(数据源!R392:R8958,C625,数据源!M392:M8958)</f>
        <v>4940.715</v>
      </c>
    </row>
    <row r="626" spans="2:5">
      <c r="B626" t="s">
        <v>2691</v>
      </c>
      <c r="C626" t="s">
        <v>1805</v>
      </c>
      <c r="D626" t="s">
        <v>26</v>
      </c>
      <c r="E626">
        <f>SUMIF(数据源!R2051:R10617,C626,数据源!M2051:M10617)</f>
        <v>4092.76</v>
      </c>
    </row>
    <row r="627" spans="2:5">
      <c r="B627" t="s">
        <v>2689</v>
      </c>
      <c r="C627" t="s">
        <v>685</v>
      </c>
      <c r="D627" t="s">
        <v>25</v>
      </c>
      <c r="E627">
        <f>SUMIF(数据源!R139:R8705,C627,数据源!M139:M8705)</f>
        <v>8557.2305</v>
      </c>
    </row>
    <row r="628" spans="2:5">
      <c r="B628" t="s">
        <v>2688</v>
      </c>
      <c r="C628" t="s">
        <v>961</v>
      </c>
      <c r="D628" t="s">
        <v>25</v>
      </c>
      <c r="E628">
        <f>SUMIF(数据源!R990:R9556,C628,数据源!M990:M9556)</f>
        <v>4715.42</v>
      </c>
    </row>
    <row r="629" spans="2:5">
      <c r="B629" t="s">
        <v>2696</v>
      </c>
      <c r="C629" t="s">
        <v>241</v>
      </c>
      <c r="D629" t="s">
        <v>27</v>
      </c>
      <c r="E629">
        <f>SUMIF(数据源!R2574:R11140,C629,数据源!M2574:M11140)</f>
        <v>4582.9875</v>
      </c>
    </row>
    <row r="630" spans="2:5">
      <c r="B630" t="s">
        <v>2686</v>
      </c>
      <c r="C630" t="s">
        <v>112</v>
      </c>
      <c r="D630" t="s">
        <v>27</v>
      </c>
      <c r="E630">
        <f>SUMIF(数据源!R2863:R11429,C630,数据源!M2863:M11429)</f>
        <v>4829.4535</v>
      </c>
    </row>
    <row r="631" spans="2:5">
      <c r="B631" t="s">
        <v>2698</v>
      </c>
      <c r="C631" t="s">
        <v>1267</v>
      </c>
      <c r="D631" t="s">
        <v>27</v>
      </c>
      <c r="E631">
        <f>SUMIF(数据源!R3050:R11616,C631,数据源!M3050:M11616)</f>
        <v>2282.88</v>
      </c>
    </row>
    <row r="632" spans="2:5">
      <c r="B632" t="s">
        <v>2695</v>
      </c>
      <c r="C632" t="s">
        <v>1458</v>
      </c>
      <c r="D632" t="s">
        <v>26</v>
      </c>
      <c r="E632">
        <f>SUMIF(数据源!R1861:R10427,C632,数据源!M1861:M10427)</f>
        <v>15663.1795</v>
      </c>
    </row>
    <row r="633" spans="2:5">
      <c r="B633" t="s">
        <v>2697</v>
      </c>
      <c r="C633" t="s">
        <v>1734</v>
      </c>
      <c r="D633" t="s">
        <v>26</v>
      </c>
      <c r="E633">
        <f>SUMIF(数据源!R2104:R10670,C633,数据源!M2104:M10670)</f>
        <v>8559.54</v>
      </c>
    </row>
    <row r="634" spans="2:5">
      <c r="B634" t="s">
        <v>2691</v>
      </c>
      <c r="C634" t="s">
        <v>2342</v>
      </c>
      <c r="D634" t="s">
        <v>26</v>
      </c>
      <c r="E634">
        <f>SUMIF(数据源!R1959:R10525,C634,数据源!M1959:M10525)</f>
        <v>4802.47</v>
      </c>
    </row>
    <row r="635" spans="2:5">
      <c r="B635" t="s">
        <v>2697</v>
      </c>
      <c r="C635" t="s">
        <v>452</v>
      </c>
      <c r="D635" t="s">
        <v>26</v>
      </c>
      <c r="E635">
        <f>SUMIF(数据源!R2159:R10725,C635,数据源!M2159:M10725)</f>
        <v>4786.54</v>
      </c>
    </row>
    <row r="636" spans="2:5">
      <c r="B636" t="s">
        <v>2695</v>
      </c>
      <c r="C636" t="s">
        <v>1890</v>
      </c>
      <c r="D636" t="s">
        <v>26</v>
      </c>
      <c r="E636">
        <f>SUMIF(数据源!R1895:R10461,C636,数据源!M1895:M10461)</f>
        <v>4784.57</v>
      </c>
    </row>
    <row r="637" spans="2:5">
      <c r="B637" t="s">
        <v>2688</v>
      </c>
      <c r="C637" t="s">
        <v>465</v>
      </c>
      <c r="D637" t="s">
        <v>25</v>
      </c>
      <c r="E637">
        <f>SUMIF(数据源!R935:R9501,C637,数据源!M935:M9501)</f>
        <v>4769.54</v>
      </c>
    </row>
    <row r="638" spans="2:5">
      <c r="B638" t="s">
        <v>2692</v>
      </c>
      <c r="C638" t="s">
        <v>2093</v>
      </c>
      <c r="D638" t="s">
        <v>25</v>
      </c>
      <c r="E638">
        <f>SUMIF(数据源!R586:R9152,C638,数据源!M586:M9152)</f>
        <v>4769.44</v>
      </c>
    </row>
    <row r="639" spans="2:5">
      <c r="B639" t="s">
        <v>2688</v>
      </c>
      <c r="C639" t="s">
        <v>368</v>
      </c>
      <c r="D639" t="s">
        <v>25</v>
      </c>
      <c r="E639">
        <f>SUMIF(数据源!R755:R9321,C639,数据源!M755:M9321)</f>
        <v>4587.36</v>
      </c>
    </row>
    <row r="640" spans="2:5">
      <c r="B640" t="s">
        <v>2688</v>
      </c>
      <c r="C640" t="s">
        <v>1190</v>
      </c>
      <c r="D640" t="s">
        <v>25</v>
      </c>
      <c r="E640">
        <f>SUMIF(数据源!R768:R9334,C640,数据源!M768:M9334)</f>
        <v>5145.1015</v>
      </c>
    </row>
    <row r="641" spans="2:5">
      <c r="B641" t="s">
        <v>2691</v>
      </c>
      <c r="C641" t="s">
        <v>1173</v>
      </c>
      <c r="D641" t="s">
        <v>26</v>
      </c>
      <c r="E641">
        <f>SUMIF(数据源!R2002:R10568,C641,数据源!M2002:M10568)</f>
        <v>3529.78</v>
      </c>
    </row>
    <row r="642" spans="2:5">
      <c r="B642" t="s">
        <v>2692</v>
      </c>
      <c r="C642" t="s">
        <v>618</v>
      </c>
      <c r="D642" t="s">
        <v>25</v>
      </c>
      <c r="E642">
        <f>SUMIF(数据源!R590:R9156,C642,数据源!M590:M9156)</f>
        <v>4599.66</v>
      </c>
    </row>
    <row r="643" spans="2:5">
      <c r="B643" t="s">
        <v>2698</v>
      </c>
      <c r="C643" t="s">
        <v>2080</v>
      </c>
      <c r="D643" t="s">
        <v>27</v>
      </c>
      <c r="E643">
        <f>SUMIF(数据源!R3202:R11768,C643,数据源!M3202:M11768)</f>
        <v>0</v>
      </c>
    </row>
    <row r="644" spans="2:5">
      <c r="B644" t="s">
        <v>2685</v>
      </c>
      <c r="C644" t="s">
        <v>927</v>
      </c>
      <c r="D644" t="s">
        <v>25</v>
      </c>
      <c r="E644">
        <f>SUMIF(数据源!R261:R8827,C644,数据源!M261:M8827)</f>
        <v>5870.74</v>
      </c>
    </row>
    <row r="645" spans="2:5">
      <c r="B645" t="s">
        <v>2688</v>
      </c>
      <c r="C645" t="s">
        <v>1162</v>
      </c>
      <c r="D645" t="s">
        <v>25</v>
      </c>
      <c r="E645">
        <f>SUMIF(数据源!R780:R9346,C645,数据源!M780:M9346)</f>
        <v>4631.26</v>
      </c>
    </row>
    <row r="646" spans="2:5">
      <c r="B646" t="s">
        <v>2698</v>
      </c>
      <c r="C646" t="s">
        <v>1961</v>
      </c>
      <c r="D646" t="s">
        <v>27</v>
      </c>
      <c r="E646">
        <f>SUMIF(数据源!R3286:R11852,C646,数据源!M3286:M11852)</f>
        <v>3045.37</v>
      </c>
    </row>
    <row r="647" spans="2:5">
      <c r="B647" t="s">
        <v>2690</v>
      </c>
      <c r="C647" t="s">
        <v>383</v>
      </c>
      <c r="D647" t="s">
        <v>25</v>
      </c>
      <c r="E647">
        <f>SUMIF(数据源!R1269:R9835,C647,数据源!M1269:M9835)</f>
        <v>4380.73</v>
      </c>
    </row>
    <row r="648" spans="2:5">
      <c r="B648" t="s">
        <v>2696</v>
      </c>
      <c r="C648" t="s">
        <v>992</v>
      </c>
      <c r="D648" t="s">
        <v>27</v>
      </c>
      <c r="E648">
        <f>SUMIF(数据源!R2732:R11298,C648,数据源!M2732:M11298)</f>
        <v>2666.46</v>
      </c>
    </row>
    <row r="649" spans="2:5">
      <c r="B649" t="s">
        <v>2689</v>
      </c>
      <c r="C649" t="s">
        <v>876</v>
      </c>
      <c r="D649" t="s">
        <v>25</v>
      </c>
      <c r="E649">
        <f>SUMIF(数据源!R56:R8622,C649,数据源!M56:M8622)</f>
        <v>4608.15</v>
      </c>
    </row>
    <row r="650" spans="2:5">
      <c r="B650" t="s">
        <v>2685</v>
      </c>
      <c r="C650" t="s">
        <v>698</v>
      </c>
      <c r="D650" t="s">
        <v>25</v>
      </c>
      <c r="E650">
        <f>SUMIF(数据源!R274:R8840,C650,数据源!M274:M8840)</f>
        <v>4650.94</v>
      </c>
    </row>
    <row r="651" spans="2:5">
      <c r="B651" t="s">
        <v>2696</v>
      </c>
      <c r="C651" t="s">
        <v>2368</v>
      </c>
      <c r="D651" t="s">
        <v>27</v>
      </c>
      <c r="E651">
        <f>SUMIF(数据源!R2715:R11281,C651,数据源!M2715:M11281)</f>
        <v>4555.54</v>
      </c>
    </row>
    <row r="652" spans="2:5">
      <c r="B652" t="s">
        <v>2697</v>
      </c>
      <c r="C652" t="s">
        <v>1274</v>
      </c>
      <c r="D652" t="s">
        <v>26</v>
      </c>
      <c r="E652">
        <f>SUMIF(数据源!R2287:R10853,C652,数据源!M2287:M10853)</f>
        <v>2935.9595</v>
      </c>
    </row>
    <row r="653" spans="2:5">
      <c r="B653" t="s">
        <v>2687</v>
      </c>
      <c r="C653" t="s">
        <v>722</v>
      </c>
      <c r="D653" t="s">
        <v>25</v>
      </c>
      <c r="E653">
        <f>SUMIF(数据源!R729:R9295,C653,数据源!M729:M9295)</f>
        <v>4528.41</v>
      </c>
    </row>
    <row r="654" spans="2:5">
      <c r="B654" t="s">
        <v>2698</v>
      </c>
      <c r="C654" t="s">
        <v>325</v>
      </c>
      <c r="D654" t="s">
        <v>27</v>
      </c>
      <c r="E654">
        <f>SUMIF(数据源!R3126:R11692,C654,数据源!M3126:M11692)</f>
        <v>3831.41</v>
      </c>
    </row>
    <row r="655" spans="2:5">
      <c r="B655" t="s">
        <v>2691</v>
      </c>
      <c r="C655" t="s">
        <v>1167</v>
      </c>
      <c r="D655" t="s">
        <v>26</v>
      </c>
      <c r="E655">
        <f>SUMIF(数据源!R1957:R10523,C655,数据源!M1957:M10523)</f>
        <v>2727.49</v>
      </c>
    </row>
    <row r="656" spans="2:5">
      <c r="B656" t="s">
        <v>2699</v>
      </c>
      <c r="C656" t="s">
        <v>1556</v>
      </c>
      <c r="D656" t="s">
        <v>26</v>
      </c>
      <c r="E656">
        <f>SUMIF(数据源!R2460:R11026,C656,数据源!M2460:M11026)</f>
        <v>4505.82</v>
      </c>
    </row>
    <row r="657" spans="2:5">
      <c r="B657" t="s">
        <v>2688</v>
      </c>
      <c r="C657" t="s">
        <v>290</v>
      </c>
      <c r="D657" t="s">
        <v>25</v>
      </c>
      <c r="E657">
        <f>SUMIF(数据源!R853:R9419,C657,数据源!M853:M9419)</f>
        <v>5982.83</v>
      </c>
    </row>
    <row r="658" spans="2:5">
      <c r="B658" t="s">
        <v>2700</v>
      </c>
      <c r="C658" t="s">
        <v>221</v>
      </c>
      <c r="D658" t="s">
        <v>25</v>
      </c>
      <c r="E658">
        <f>SUMIF(数据源!R1505:R10071,C658,数据源!M1505:M10071)</f>
        <v>7722.641</v>
      </c>
    </row>
    <row r="659" spans="2:5">
      <c r="B659" t="s">
        <v>2692</v>
      </c>
      <c r="C659" t="s">
        <v>2057</v>
      </c>
      <c r="D659" t="s">
        <v>25</v>
      </c>
      <c r="E659">
        <f>SUMIF(数据源!R596:R9162,C659,数据源!M596:M9162)</f>
        <v>4435.012</v>
      </c>
    </row>
    <row r="660" spans="2:5">
      <c r="B660" t="s">
        <v>2694</v>
      </c>
      <c r="C660" t="s">
        <v>1303</v>
      </c>
      <c r="D660" t="s">
        <v>25</v>
      </c>
      <c r="E660">
        <f>SUMIF(数据源!R1633:R10199,C660,数据源!M1633:M10199)</f>
        <v>4424.391</v>
      </c>
    </row>
    <row r="661" spans="2:5">
      <c r="B661" t="s">
        <v>2686</v>
      </c>
      <c r="C661" t="s">
        <v>1248</v>
      </c>
      <c r="D661" t="s">
        <v>27</v>
      </c>
      <c r="E661">
        <f>SUMIF(数据源!R3003:R11569,C661,数据源!M3003:M11569)</f>
        <v>3894.605</v>
      </c>
    </row>
    <row r="662" spans="2:5">
      <c r="B662" t="s">
        <v>2698</v>
      </c>
      <c r="C662" t="s">
        <v>1847</v>
      </c>
      <c r="D662" t="s">
        <v>27</v>
      </c>
      <c r="E662">
        <f>SUMIF(数据源!R3311:R11877,C662,数据源!M3311:M11877)</f>
        <v>4377.57</v>
      </c>
    </row>
    <row r="663" spans="2:5">
      <c r="B663" t="s">
        <v>2697</v>
      </c>
      <c r="C663" t="s">
        <v>922</v>
      </c>
      <c r="D663" t="s">
        <v>26</v>
      </c>
      <c r="E663">
        <f>SUMIF(数据源!R2385:R10951,C663,数据源!M2385:M10951)</f>
        <v>4374.16</v>
      </c>
    </row>
    <row r="664" spans="2:5">
      <c r="B664" t="s">
        <v>2696</v>
      </c>
      <c r="C664" t="s">
        <v>503</v>
      </c>
      <c r="D664" t="s">
        <v>27</v>
      </c>
      <c r="E664">
        <f>SUMIF(数据源!R2746:R11312,C664,数据源!M2746:M11312)</f>
        <v>4224.22</v>
      </c>
    </row>
    <row r="665" spans="2:5">
      <c r="B665" t="s">
        <v>2690</v>
      </c>
      <c r="C665" t="s">
        <v>2370</v>
      </c>
      <c r="D665" t="s">
        <v>25</v>
      </c>
      <c r="E665">
        <f>SUMIF(数据源!R1354:R9920,C665,数据源!M1354:M9920)</f>
        <v>4355.94</v>
      </c>
    </row>
    <row r="666" spans="2:5">
      <c r="B666" t="s">
        <v>2694</v>
      </c>
      <c r="C666" t="s">
        <v>2150</v>
      </c>
      <c r="D666" t="s">
        <v>25</v>
      </c>
      <c r="E666">
        <f>SUMIF(数据源!R1797:R10363,C666,数据源!M1797:M10363)</f>
        <v>4353.92</v>
      </c>
    </row>
    <row r="667" spans="2:5">
      <c r="B667" t="s">
        <v>2691</v>
      </c>
      <c r="C667" t="s">
        <v>299</v>
      </c>
      <c r="D667" t="s">
        <v>26</v>
      </c>
      <c r="E667">
        <f>SUMIF(数据源!R1962:R10528,C667,数据源!M1962:M10528)</f>
        <v>4353.02</v>
      </c>
    </row>
    <row r="668" spans="2:5">
      <c r="B668" t="s">
        <v>2696</v>
      </c>
      <c r="C668" t="s">
        <v>1003</v>
      </c>
      <c r="D668" t="s">
        <v>27</v>
      </c>
      <c r="E668">
        <f>SUMIF(数据源!R2661:R11227,C668,数据源!M2661:M11227)</f>
        <v>4007.7</v>
      </c>
    </row>
    <row r="669" spans="2:5">
      <c r="B669" t="s">
        <v>2686</v>
      </c>
      <c r="C669" t="s">
        <v>1271</v>
      </c>
      <c r="D669" t="s">
        <v>27</v>
      </c>
      <c r="E669">
        <f>SUMIF(数据源!R2974:R11540,C669,数据源!M2974:M11540)</f>
        <v>3888.05</v>
      </c>
    </row>
    <row r="670" spans="2:5">
      <c r="B670" t="s">
        <v>2698</v>
      </c>
      <c r="C670" t="s">
        <v>331</v>
      </c>
      <c r="D670" t="s">
        <v>27</v>
      </c>
      <c r="E670">
        <f>SUMIF(数据源!R3249:R11815,C670,数据源!M3249:M11815)</f>
        <v>3993.17</v>
      </c>
    </row>
    <row r="671" spans="2:5">
      <c r="B671" t="s">
        <v>2698</v>
      </c>
      <c r="C671" t="s">
        <v>1923</v>
      </c>
      <c r="D671" t="s">
        <v>27</v>
      </c>
      <c r="E671">
        <f>SUMIF(数据源!R3031:R11597,C671,数据源!M3031:M11597)</f>
        <v>4188.25</v>
      </c>
    </row>
    <row r="672" spans="2:5">
      <c r="B672" t="s">
        <v>2699</v>
      </c>
      <c r="C672" t="s">
        <v>2050</v>
      </c>
      <c r="D672" t="s">
        <v>26</v>
      </c>
      <c r="E672">
        <f>SUMIF(数据源!R2416:R10982,C672,数据源!M2416:M10982)</f>
        <v>4300.73</v>
      </c>
    </row>
    <row r="673" spans="2:5">
      <c r="B673" t="s">
        <v>2688</v>
      </c>
      <c r="C673" t="s">
        <v>1724</v>
      </c>
      <c r="D673" t="s">
        <v>25</v>
      </c>
      <c r="E673">
        <f>SUMIF(数据源!R763:R9329,C673,数据源!M763:M9329)</f>
        <v>5186.1305</v>
      </c>
    </row>
    <row r="674" spans="2:5">
      <c r="B674" t="s">
        <v>2691</v>
      </c>
      <c r="C674" t="s">
        <v>449</v>
      </c>
      <c r="D674" t="s">
        <v>26</v>
      </c>
      <c r="E674">
        <f>SUMIF(数据源!R2061:R10627,C674,数据源!M2061:M10627)</f>
        <v>2866.52</v>
      </c>
    </row>
    <row r="675" spans="2:5">
      <c r="B675" t="s">
        <v>2699</v>
      </c>
      <c r="C675" t="s">
        <v>1513</v>
      </c>
      <c r="D675" t="s">
        <v>26</v>
      </c>
      <c r="E675">
        <f>SUMIF(数据源!R2530:R11096,C675,数据源!M2530:M11096)</f>
        <v>3709.58</v>
      </c>
    </row>
    <row r="676" spans="2:5">
      <c r="B676" t="s">
        <v>2701</v>
      </c>
      <c r="C676" t="s">
        <v>1157</v>
      </c>
      <c r="D676" t="s">
        <v>25</v>
      </c>
      <c r="E676">
        <f>SUMIF(数据源!R1581:R10147,C676,数据源!M1581:M10147)</f>
        <v>3812.99</v>
      </c>
    </row>
    <row r="677" spans="2:5">
      <c r="B677" t="s">
        <v>2694</v>
      </c>
      <c r="C677" t="s">
        <v>1111</v>
      </c>
      <c r="D677" t="s">
        <v>25</v>
      </c>
      <c r="E677">
        <f>SUMIF(数据源!R1647:R10213,C677,数据源!M1647:M10213)</f>
        <v>4194.94</v>
      </c>
    </row>
    <row r="678" spans="2:5">
      <c r="B678" t="s">
        <v>2686</v>
      </c>
      <c r="C678" t="s">
        <v>1045</v>
      </c>
      <c r="D678" t="s">
        <v>27</v>
      </c>
      <c r="E678">
        <f>SUMIF(数据源!R2946:R11512,C678,数据源!M2946:M11512)</f>
        <v>3131.43</v>
      </c>
    </row>
    <row r="679" spans="2:5">
      <c r="B679" t="s">
        <v>2688</v>
      </c>
      <c r="C679" t="s">
        <v>496</v>
      </c>
      <c r="D679" t="s">
        <v>25</v>
      </c>
      <c r="E679">
        <f>SUMIF(数据源!R875:R9441,C679,数据源!M875:M9441)</f>
        <v>4180.41</v>
      </c>
    </row>
    <row r="680" spans="2:5">
      <c r="B680" t="s">
        <v>2697</v>
      </c>
      <c r="C680" t="s">
        <v>2083</v>
      </c>
      <c r="D680" t="s">
        <v>26</v>
      </c>
      <c r="E680">
        <f>SUMIF(数据源!R2380:R10946,C680,数据源!M2380:M10946)</f>
        <v>4177.8</v>
      </c>
    </row>
    <row r="681" spans="2:5">
      <c r="B681" t="s">
        <v>2701</v>
      </c>
      <c r="C681" t="s">
        <v>1154</v>
      </c>
      <c r="D681" t="s">
        <v>25</v>
      </c>
      <c r="E681">
        <f>SUMIF(数据源!R1623:R10189,C681,数据源!M1623:M10189)</f>
        <v>3055.9325</v>
      </c>
    </row>
    <row r="682" spans="2:5">
      <c r="B682" t="s">
        <v>2686</v>
      </c>
      <c r="C682" t="s">
        <v>1767</v>
      </c>
      <c r="D682" t="s">
        <v>27</v>
      </c>
      <c r="E682">
        <f>SUMIF(数据源!R2870:R11436,C682,数据源!M2870:M11436)</f>
        <v>3781.86</v>
      </c>
    </row>
    <row r="683" spans="2:5">
      <c r="B683" t="s">
        <v>2698</v>
      </c>
      <c r="C683" t="s">
        <v>1708</v>
      </c>
      <c r="D683" t="s">
        <v>27</v>
      </c>
      <c r="E683">
        <f>SUMIF(数据源!R3082:R11648,C683,数据源!M3082:M11648)</f>
        <v>3760.64</v>
      </c>
    </row>
    <row r="684" spans="2:5">
      <c r="B684" t="s">
        <v>2685</v>
      </c>
      <c r="C684" t="s">
        <v>2081</v>
      </c>
      <c r="D684" t="s">
        <v>25</v>
      </c>
      <c r="E684">
        <f>SUMIF(数据源!R311:R8877,C684,数据源!M311:M8877)</f>
        <v>4150.34</v>
      </c>
    </row>
    <row r="685" spans="2:5">
      <c r="B685" t="s">
        <v>2687</v>
      </c>
      <c r="C685" t="s">
        <v>1031</v>
      </c>
      <c r="D685" t="s">
        <v>25</v>
      </c>
      <c r="E685">
        <f>SUMIF(数据源!R699:R9265,C685,数据源!M699:M9265)</f>
        <v>4266.4575</v>
      </c>
    </row>
    <row r="686" spans="2:5">
      <c r="B686" t="s">
        <v>2694</v>
      </c>
      <c r="C686" t="s">
        <v>817</v>
      </c>
      <c r="D686" t="s">
        <v>25</v>
      </c>
      <c r="E686">
        <f>SUMIF(数据源!R1717:R10283,C686,数据源!M1717:M10283)</f>
        <v>4135.378</v>
      </c>
    </row>
    <row r="687" spans="2:5">
      <c r="B687" t="s">
        <v>2685</v>
      </c>
      <c r="C687" t="s">
        <v>1285</v>
      </c>
      <c r="D687" t="s">
        <v>25</v>
      </c>
      <c r="E687">
        <f>SUMIF(数据源!R359:R8925,C687,数据源!M359:M8925)</f>
        <v>4102.24</v>
      </c>
    </row>
    <row r="688" spans="2:5">
      <c r="B688" t="s">
        <v>2686</v>
      </c>
      <c r="C688" t="s">
        <v>2466</v>
      </c>
      <c r="D688" t="s">
        <v>27</v>
      </c>
      <c r="E688">
        <f>SUMIF(数据源!R2928:R11494,C688,数据源!M2928:M11494)</f>
        <v>4101.47</v>
      </c>
    </row>
    <row r="689" spans="2:5">
      <c r="B689" t="s">
        <v>2695</v>
      </c>
      <c r="C689" t="s">
        <v>648</v>
      </c>
      <c r="D689" t="s">
        <v>26</v>
      </c>
      <c r="E689">
        <f>SUMIF(数据源!R1892:R10458,C689,数据源!M1892:M10458)</f>
        <v>3742.16</v>
      </c>
    </row>
    <row r="690" spans="2:5">
      <c r="B690" t="s">
        <v>2698</v>
      </c>
      <c r="C690" t="s">
        <v>312</v>
      </c>
      <c r="D690" t="s">
        <v>27</v>
      </c>
      <c r="E690">
        <f>SUMIF(数据源!R3175:R11741,C690,数据源!M3175:M11741)</f>
        <v>3346.28</v>
      </c>
    </row>
    <row r="691" spans="2:5">
      <c r="B691" t="s">
        <v>2686</v>
      </c>
      <c r="C691" t="s">
        <v>1444</v>
      </c>
      <c r="D691" t="s">
        <v>27</v>
      </c>
      <c r="E691">
        <f>SUMIF(数据源!R2939:R11505,C691,数据源!M2939:M11505)</f>
        <v>4072.11</v>
      </c>
    </row>
    <row r="692" spans="2:5">
      <c r="B692" t="s">
        <v>2696</v>
      </c>
      <c r="C692" t="s">
        <v>2044</v>
      </c>
      <c r="D692" t="s">
        <v>27</v>
      </c>
      <c r="E692">
        <f>SUMIF(数据源!R2759:R11325,C692,数据源!M2759:M11325)</f>
        <v>3902.18</v>
      </c>
    </row>
    <row r="693" spans="2:5">
      <c r="B693" t="s">
        <v>2698</v>
      </c>
      <c r="C693" t="s">
        <v>1447</v>
      </c>
      <c r="D693" t="s">
        <v>27</v>
      </c>
      <c r="E693">
        <f>SUMIF(数据源!R3239:R11805,C693,数据源!M3239:M11805)</f>
        <v>3098.53</v>
      </c>
    </row>
    <row r="694" spans="2:5">
      <c r="B694" t="s">
        <v>2697</v>
      </c>
      <c r="C694" t="s">
        <v>1317</v>
      </c>
      <c r="D694" t="s">
        <v>26</v>
      </c>
      <c r="E694">
        <f>SUMIF(数据源!R2318:R10884,C694,数据源!M2318:M10884)</f>
        <v>2576.27</v>
      </c>
    </row>
    <row r="695" spans="2:5">
      <c r="B695" t="s">
        <v>2686</v>
      </c>
      <c r="C695" t="s">
        <v>364</v>
      </c>
      <c r="D695" t="s">
        <v>27</v>
      </c>
      <c r="E695">
        <f>SUMIF(数据源!R2957:R11523,C695,数据源!M2957:M11523)</f>
        <v>4032.77</v>
      </c>
    </row>
    <row r="696" spans="2:5">
      <c r="B696" t="s">
        <v>2697</v>
      </c>
      <c r="C696" t="s">
        <v>2127</v>
      </c>
      <c r="D696" t="s">
        <v>26</v>
      </c>
      <c r="E696">
        <f>SUMIF(数据源!R2259:R10825,C696,数据源!M2259:M10825)</f>
        <v>4025.988</v>
      </c>
    </row>
    <row r="697" spans="2:5">
      <c r="B697" t="s">
        <v>2699</v>
      </c>
      <c r="C697" t="s">
        <v>1704</v>
      </c>
      <c r="D697" t="s">
        <v>26</v>
      </c>
      <c r="E697">
        <f>SUMIF(数据源!R2497:R11063,C697,数据源!M2497:M11063)</f>
        <v>3309.68</v>
      </c>
    </row>
    <row r="698" spans="2:5">
      <c r="B698" t="s">
        <v>2685</v>
      </c>
      <c r="C698" t="s">
        <v>2229</v>
      </c>
      <c r="D698" t="s">
        <v>25</v>
      </c>
      <c r="E698">
        <f>SUMIF(数据源!R387:R8953,C698,数据源!M387:M8953)</f>
        <v>3996.24</v>
      </c>
    </row>
    <row r="699" spans="2:5">
      <c r="B699" t="s">
        <v>2689</v>
      </c>
      <c r="C699" t="s">
        <v>2214</v>
      </c>
      <c r="D699" t="s">
        <v>25</v>
      </c>
      <c r="E699">
        <f>SUMIF(数据源!R158:R8724,C699,数据源!M158:M8724)</f>
        <v>3987.854</v>
      </c>
    </row>
    <row r="700" spans="2:5">
      <c r="B700" t="s">
        <v>2690</v>
      </c>
      <c r="C700" t="s">
        <v>2185</v>
      </c>
      <c r="D700" t="s">
        <v>25</v>
      </c>
      <c r="E700">
        <f>SUMIF(数据源!R1228:R9794,C700,数据源!M1228:M9794)</f>
        <v>3974.632</v>
      </c>
    </row>
    <row r="701" spans="2:5">
      <c r="B701" t="s">
        <v>2698</v>
      </c>
      <c r="C701" t="s">
        <v>1327</v>
      </c>
      <c r="D701" t="s">
        <v>27</v>
      </c>
      <c r="E701">
        <f>SUMIF(数据源!R3263:R11829,C701,数据源!M3263:M11829)</f>
        <v>2693.34</v>
      </c>
    </row>
    <row r="702" spans="2:5">
      <c r="B702" t="s">
        <v>2690</v>
      </c>
      <c r="C702" t="s">
        <v>1668</v>
      </c>
      <c r="D702" t="s">
        <v>25</v>
      </c>
      <c r="E702">
        <f>SUMIF(数据源!R1273:R9839,C702,数据源!M1273:M9839)</f>
        <v>3947.99</v>
      </c>
    </row>
    <row r="703" spans="2:5">
      <c r="B703" t="s">
        <v>2694</v>
      </c>
      <c r="C703" t="s">
        <v>1569</v>
      </c>
      <c r="D703" t="s">
        <v>25</v>
      </c>
      <c r="E703">
        <f>SUMIF(数据源!R1718:R10284,C703,数据源!M1718:M10284)</f>
        <v>3376.79</v>
      </c>
    </row>
    <row r="704" spans="2:5">
      <c r="B704" t="s">
        <v>2691</v>
      </c>
      <c r="C704" t="s">
        <v>234</v>
      </c>
      <c r="D704" t="s">
        <v>26</v>
      </c>
      <c r="E704">
        <f>SUMIF(数据源!R2052:R10618,C704,数据源!M2052:M10618)</f>
        <v>3932.79</v>
      </c>
    </row>
    <row r="705" spans="2:5">
      <c r="B705" t="s">
        <v>2685</v>
      </c>
      <c r="C705" t="s">
        <v>2019</v>
      </c>
      <c r="D705" t="s">
        <v>25</v>
      </c>
      <c r="E705">
        <f>SUMIF(数据源!R417:R8983,C705,数据源!M417:M8983)</f>
        <v>3926.61</v>
      </c>
    </row>
    <row r="706" spans="2:5">
      <c r="B706" t="s">
        <v>2689</v>
      </c>
      <c r="C706" t="s">
        <v>1235</v>
      </c>
      <c r="D706" t="s">
        <v>25</v>
      </c>
      <c r="E706">
        <f>SUMIF(数据源!R57:R8623,C706,数据源!M57:M8623)</f>
        <v>3888.92</v>
      </c>
    </row>
    <row r="707" spans="2:5">
      <c r="B707" t="s">
        <v>2688</v>
      </c>
      <c r="C707" t="s">
        <v>293</v>
      </c>
      <c r="D707" t="s">
        <v>25</v>
      </c>
      <c r="E707">
        <f>SUMIF(数据源!R854:R9420,C707,数据源!M854:M9420)</f>
        <v>3884.041</v>
      </c>
    </row>
    <row r="708" spans="2:5">
      <c r="B708" t="s">
        <v>2698</v>
      </c>
      <c r="C708" t="s">
        <v>1622</v>
      </c>
      <c r="D708" t="s">
        <v>27</v>
      </c>
      <c r="E708">
        <f>SUMIF(数据源!R3230:R11796,C708,数据源!M3230:M11796)</f>
        <v>2663.29</v>
      </c>
    </row>
    <row r="709" spans="2:5">
      <c r="B709" t="s">
        <v>2691</v>
      </c>
      <c r="C709" t="s">
        <v>1386</v>
      </c>
      <c r="D709" t="s">
        <v>26</v>
      </c>
      <c r="E709">
        <f>SUMIF(数据源!R2049:R10615,C709,数据源!M2049:M10615)</f>
        <v>3855.92</v>
      </c>
    </row>
    <row r="710" spans="2:5">
      <c r="B710" t="s">
        <v>2699</v>
      </c>
      <c r="C710" t="s">
        <v>463</v>
      </c>
      <c r="D710" t="s">
        <v>26</v>
      </c>
      <c r="E710">
        <f>SUMIF(数据源!R2519:R11085,C710,数据源!M2519:M11085)</f>
        <v>3842.99</v>
      </c>
    </row>
    <row r="711" spans="2:5">
      <c r="B711" t="s">
        <v>2685</v>
      </c>
      <c r="C711" t="s">
        <v>265</v>
      </c>
      <c r="D711" t="s">
        <v>25</v>
      </c>
      <c r="E711">
        <f>SUMIF(数据源!R415:R8981,C711,数据源!M415:M8981)</f>
        <v>3841.3795</v>
      </c>
    </row>
    <row r="712" spans="2:5">
      <c r="B712" t="s">
        <v>2687</v>
      </c>
      <c r="C712" t="s">
        <v>2220</v>
      </c>
      <c r="D712" t="s">
        <v>25</v>
      </c>
      <c r="E712">
        <f>SUMIF(数据源!R717:R9283,C712,数据源!M717:M9283)</f>
        <v>3835.49</v>
      </c>
    </row>
    <row r="713" spans="2:5">
      <c r="B713" t="s">
        <v>2686</v>
      </c>
      <c r="C713" t="s">
        <v>181</v>
      </c>
      <c r="D713" t="s">
        <v>27</v>
      </c>
      <c r="E713">
        <f>SUMIF(数据源!R2981:R11547,C713,数据源!M2981:M11547)</f>
        <v>2735.452</v>
      </c>
    </row>
    <row r="714" spans="2:5">
      <c r="B714" t="s">
        <v>2698</v>
      </c>
      <c r="C714" t="s">
        <v>1745</v>
      </c>
      <c r="D714" t="s">
        <v>27</v>
      </c>
      <c r="E714">
        <f>SUMIF(数据源!R3257:R11823,C714,数据源!M3257:M11823)</f>
        <v>3174.83</v>
      </c>
    </row>
    <row r="715" spans="2:5">
      <c r="B715" t="s">
        <v>2697</v>
      </c>
      <c r="C715" t="s">
        <v>1509</v>
      </c>
      <c r="D715" t="s">
        <v>26</v>
      </c>
      <c r="E715">
        <f>SUMIF(数据源!R2338:R10904,C715,数据源!M2338:M10904)</f>
        <v>3690.271</v>
      </c>
    </row>
    <row r="716" spans="2:5">
      <c r="B716" t="s">
        <v>2686</v>
      </c>
      <c r="C716" t="s">
        <v>1134</v>
      </c>
      <c r="D716" t="s">
        <v>27</v>
      </c>
      <c r="E716">
        <f>SUMIF(数据源!R2968:R11534,C716,数据源!M2968:M11534)</f>
        <v>2564.5775</v>
      </c>
    </row>
    <row r="717" spans="2:5">
      <c r="B717" t="s">
        <v>2688</v>
      </c>
      <c r="C717" t="s">
        <v>1996</v>
      </c>
      <c r="D717" t="s">
        <v>25</v>
      </c>
      <c r="E717">
        <f>SUMIF(数据源!R966:R9532,C717,数据源!M966:M9532)</f>
        <v>3745.88</v>
      </c>
    </row>
    <row r="718" spans="2:5">
      <c r="B718" t="s">
        <v>2693</v>
      </c>
      <c r="C718" t="s">
        <v>1898</v>
      </c>
      <c r="D718" t="s">
        <v>27</v>
      </c>
      <c r="E718">
        <f>SUMIF(数据源!R2829:R11395,C718,数据源!M2829:M11395)</f>
        <v>3637.66</v>
      </c>
    </row>
    <row r="719" spans="2:5">
      <c r="B719" t="s">
        <v>2699</v>
      </c>
      <c r="C719" t="s">
        <v>1711</v>
      </c>
      <c r="D719" t="s">
        <v>26</v>
      </c>
      <c r="E719">
        <f>SUMIF(数据源!R2453:R11019,C719,数据源!M2453:M11019)</f>
        <v>3719.28</v>
      </c>
    </row>
    <row r="720" spans="2:5">
      <c r="B720" t="s">
        <v>2685</v>
      </c>
      <c r="C720" t="s">
        <v>2218</v>
      </c>
      <c r="D720" t="s">
        <v>25</v>
      </c>
      <c r="E720">
        <f>SUMIF(数据源!R291:R8857,C720,数据源!M291:M8857)</f>
        <v>3713.0125</v>
      </c>
    </row>
    <row r="721" spans="2:5">
      <c r="B721" t="s">
        <v>2688</v>
      </c>
      <c r="C721" t="s">
        <v>1244</v>
      </c>
      <c r="D721" t="s">
        <v>25</v>
      </c>
      <c r="E721">
        <f>SUMIF(数据源!R871:R9437,C721,数据源!M871:M9437)</f>
        <v>3666.57</v>
      </c>
    </row>
    <row r="722" spans="2:5">
      <c r="B722" t="s">
        <v>2694</v>
      </c>
      <c r="C722" t="s">
        <v>1743</v>
      </c>
      <c r="D722" t="s">
        <v>25</v>
      </c>
      <c r="E722">
        <f>SUMIF(数据源!R1794:R10360,C722,数据源!M1794:M10360)</f>
        <v>1588.79</v>
      </c>
    </row>
    <row r="723" spans="2:5">
      <c r="B723" t="s">
        <v>2685</v>
      </c>
      <c r="C723" t="s">
        <v>923</v>
      </c>
      <c r="D723" t="s">
        <v>25</v>
      </c>
      <c r="E723">
        <f>SUMIF(数据源!R327:R8893,C723,数据源!M327:M8893)</f>
        <v>3645.79</v>
      </c>
    </row>
    <row r="724" spans="2:5">
      <c r="B724" t="s">
        <v>2688</v>
      </c>
      <c r="C724" t="s">
        <v>658</v>
      </c>
      <c r="D724" t="s">
        <v>25</v>
      </c>
      <c r="E724">
        <f>SUMIF(数据源!R905:R9471,C724,数据源!M905:M9471)</f>
        <v>3624.74</v>
      </c>
    </row>
    <row r="725" spans="2:5">
      <c r="B725" t="s">
        <v>2696</v>
      </c>
      <c r="C725" t="s">
        <v>215</v>
      </c>
      <c r="D725" t="s">
        <v>27</v>
      </c>
      <c r="E725">
        <f>SUMIF(数据源!R2709:R11275,C725,数据源!M2709:M11275)</f>
        <v>3148.9</v>
      </c>
    </row>
    <row r="726" spans="2:5">
      <c r="B726" t="s">
        <v>2697</v>
      </c>
      <c r="C726" t="s">
        <v>1287</v>
      </c>
      <c r="D726" t="s">
        <v>26</v>
      </c>
      <c r="E726">
        <f>SUMIF(数据源!R2279:R10845,C726,数据源!M2279:M10845)</f>
        <v>3479.4685</v>
      </c>
    </row>
    <row r="727" spans="2:5">
      <c r="B727" t="s">
        <v>2697</v>
      </c>
      <c r="C727" t="s">
        <v>804</v>
      </c>
      <c r="D727" t="s">
        <v>26</v>
      </c>
      <c r="E727">
        <f>SUMIF(数据源!R2337:R10903,C727,数据源!M2337:M10903)</f>
        <v>261</v>
      </c>
    </row>
    <row r="728" spans="2:5">
      <c r="B728" t="s">
        <v>2685</v>
      </c>
      <c r="C728" t="s">
        <v>971</v>
      </c>
      <c r="D728" t="s">
        <v>25</v>
      </c>
      <c r="E728">
        <f>SUMIF(数据源!R446:R9012,C728,数据源!M446:M9012)</f>
        <v>3587.41</v>
      </c>
    </row>
    <row r="729" spans="2:5">
      <c r="B729" t="s">
        <v>2688</v>
      </c>
      <c r="C729" t="s">
        <v>954</v>
      </c>
      <c r="D729" t="s">
        <v>25</v>
      </c>
      <c r="E729">
        <f>SUMIF(数据源!R1027:R9593,C729,数据源!M1027:M9593)</f>
        <v>6383.45</v>
      </c>
    </row>
    <row r="730" spans="2:5">
      <c r="B730" t="s">
        <v>2686</v>
      </c>
      <c r="C730" t="s">
        <v>412</v>
      </c>
      <c r="D730" t="s">
        <v>27</v>
      </c>
      <c r="E730">
        <f>SUMIF(数据源!R2903:R11469,C730,数据源!M2903:M11469)</f>
        <v>3569.3665</v>
      </c>
    </row>
    <row r="731" spans="2:5">
      <c r="B731" t="s">
        <v>2697</v>
      </c>
      <c r="C731" t="s">
        <v>2541</v>
      </c>
      <c r="D731" t="s">
        <v>26</v>
      </c>
      <c r="E731">
        <f>SUMIF(数据源!R2218:R10784,C731,数据源!M2218:M10784)</f>
        <v>3559.613</v>
      </c>
    </row>
    <row r="732" spans="2:5">
      <c r="B732" t="s">
        <v>2690</v>
      </c>
      <c r="C732" t="s">
        <v>1044</v>
      </c>
      <c r="D732" t="s">
        <v>25</v>
      </c>
      <c r="E732">
        <f>SUMIF(数据源!R1403:R9969,C732,数据源!M1403:M9969)</f>
        <v>3544.4</v>
      </c>
    </row>
    <row r="733" spans="2:5">
      <c r="B733" t="s">
        <v>2691</v>
      </c>
      <c r="C733" t="s">
        <v>996</v>
      </c>
      <c r="D733" t="s">
        <v>26</v>
      </c>
      <c r="E733">
        <f>SUMIF(数据源!R2036:R10602,C733,数据源!M2036:M10602)</f>
        <v>2725.43</v>
      </c>
    </row>
    <row r="734" spans="2:5">
      <c r="B734" t="s">
        <v>2685</v>
      </c>
      <c r="C734" t="s">
        <v>2531</v>
      </c>
      <c r="D734" t="s">
        <v>25</v>
      </c>
      <c r="E734">
        <f>SUMIF(数据源!R483:R9049,C734,数据源!M483:M9049)</f>
        <v>3535.879</v>
      </c>
    </row>
    <row r="735" spans="2:5">
      <c r="B735" t="s">
        <v>2688</v>
      </c>
      <c r="C735" t="s">
        <v>741</v>
      </c>
      <c r="D735" t="s">
        <v>25</v>
      </c>
      <c r="E735">
        <f>SUMIF(数据源!R1075:R9641,C735,数据源!M1075:M9641)</f>
        <v>3457.6</v>
      </c>
    </row>
    <row r="736" spans="2:5">
      <c r="B736" t="s">
        <v>2691</v>
      </c>
      <c r="C736" t="s">
        <v>1007</v>
      </c>
      <c r="D736" t="s">
        <v>26</v>
      </c>
      <c r="E736">
        <f>SUMIF(数据源!R1958:R10524,C736,数据源!M1958:M10524)</f>
        <v>1267.42</v>
      </c>
    </row>
    <row r="737" spans="2:5">
      <c r="B737" t="s">
        <v>2697</v>
      </c>
      <c r="C737" t="s">
        <v>1876</v>
      </c>
      <c r="D737" t="s">
        <v>26</v>
      </c>
      <c r="E737">
        <f>SUMIF(数据源!R2153:R10719,C737,数据源!M2153:M10719)</f>
        <v>3478.2015</v>
      </c>
    </row>
    <row r="738" spans="2:5">
      <c r="B738" t="s">
        <v>2698</v>
      </c>
      <c r="C738" t="s">
        <v>82</v>
      </c>
      <c r="D738" t="s">
        <v>27</v>
      </c>
      <c r="E738">
        <f>SUMIF(数据源!R3013:R11579,C738,数据源!M3013:M11579)</f>
        <v>3452.6095</v>
      </c>
    </row>
    <row r="739" spans="2:5">
      <c r="B739" t="s">
        <v>2699</v>
      </c>
      <c r="C739" t="s">
        <v>107</v>
      </c>
      <c r="D739" t="s">
        <v>26</v>
      </c>
      <c r="E739">
        <f>SUMIF(数据源!R2413:R10979,C739,数据源!M2413:M10979)</f>
        <v>3420.06</v>
      </c>
    </row>
    <row r="740" spans="2:5">
      <c r="B740" t="s">
        <v>2686</v>
      </c>
      <c r="C740" t="s">
        <v>1525</v>
      </c>
      <c r="D740" t="s">
        <v>27</v>
      </c>
      <c r="E740">
        <f>SUMIF(数据源!R2977:R11543,C740,数据源!M2977:M11543)</f>
        <v>3251.48</v>
      </c>
    </row>
    <row r="741" spans="2:5">
      <c r="B741" t="s">
        <v>2688</v>
      </c>
      <c r="C741" t="s">
        <v>1138</v>
      </c>
      <c r="D741" t="s">
        <v>25</v>
      </c>
      <c r="E741">
        <f>SUMIF(数据源!R1108:R9674,C741,数据源!M1108:M9674)</f>
        <v>3412.44</v>
      </c>
    </row>
    <row r="742" spans="2:5">
      <c r="B742" t="s">
        <v>2698</v>
      </c>
      <c r="C742" t="s">
        <v>1544</v>
      </c>
      <c r="D742" t="s">
        <v>27</v>
      </c>
      <c r="E742">
        <f>SUMIF(数据源!R3135:R11701,C742,数据源!M3135:M11701)</f>
        <v>2002.38</v>
      </c>
    </row>
    <row r="743" spans="2:5">
      <c r="B743" t="s">
        <v>2688</v>
      </c>
      <c r="C743" t="s">
        <v>196</v>
      </c>
      <c r="D743" t="s">
        <v>25</v>
      </c>
      <c r="E743">
        <f>SUMIF(数据源!R770:R9336,C743,数据源!M770:M9336)</f>
        <v>3056.93</v>
      </c>
    </row>
    <row r="744" spans="2:5">
      <c r="B744" t="s">
        <v>2690</v>
      </c>
      <c r="C744" t="s">
        <v>1790</v>
      </c>
      <c r="D744" t="s">
        <v>25</v>
      </c>
      <c r="E744">
        <f>SUMIF(数据源!R1231:R9797,C744,数据源!M1231:M9797)</f>
        <v>3368.22</v>
      </c>
    </row>
    <row r="745" spans="2:5">
      <c r="B745" t="s">
        <v>2686</v>
      </c>
      <c r="C745" t="s">
        <v>2023</v>
      </c>
      <c r="D745" t="s">
        <v>27</v>
      </c>
      <c r="E745">
        <f>SUMIF(数据源!R2987:R11553,C745,数据源!M2987:M11553)</f>
        <v>3329.59</v>
      </c>
    </row>
    <row r="746" spans="2:5">
      <c r="B746" t="s">
        <v>2698</v>
      </c>
      <c r="C746" t="s">
        <v>200</v>
      </c>
      <c r="D746" t="s">
        <v>27</v>
      </c>
      <c r="E746">
        <f>SUMIF(数据源!R3269:R11835,C746,数据源!M3269:M11835)</f>
        <v>2684.25</v>
      </c>
    </row>
    <row r="747" spans="2:5">
      <c r="B747" t="s">
        <v>2686</v>
      </c>
      <c r="C747" t="s">
        <v>1087</v>
      </c>
      <c r="D747" t="s">
        <v>27</v>
      </c>
      <c r="E747">
        <f>SUMIF(数据源!R2994:R11560,C747,数据源!M2994:M11560)</f>
        <v>1533.46</v>
      </c>
    </row>
    <row r="748" spans="2:5">
      <c r="B748" t="s">
        <v>2689</v>
      </c>
      <c r="C748" t="s">
        <v>392</v>
      </c>
      <c r="D748" t="s">
        <v>25</v>
      </c>
      <c r="E748">
        <f>SUMIF(数据源!R93:R8659,C748,数据源!M93:M8659)</f>
        <v>3642.15</v>
      </c>
    </row>
    <row r="749" spans="2:5">
      <c r="B749" t="s">
        <v>2688</v>
      </c>
      <c r="C749" t="s">
        <v>1376</v>
      </c>
      <c r="D749" t="s">
        <v>25</v>
      </c>
      <c r="E749">
        <f>SUMIF(数据源!R910:R9476,C749,数据源!M910:M9476)</f>
        <v>3311.51</v>
      </c>
    </row>
    <row r="750" spans="2:5">
      <c r="B750" t="s">
        <v>2696</v>
      </c>
      <c r="C750" t="s">
        <v>1479</v>
      </c>
      <c r="D750" t="s">
        <v>27</v>
      </c>
      <c r="E750">
        <f>SUMIF(数据源!R2658:R11224,C750,数据源!M2658:M11224)</f>
        <v>3294.64</v>
      </c>
    </row>
    <row r="751" spans="2:5">
      <c r="B751" t="s">
        <v>2692</v>
      </c>
      <c r="C751" t="s">
        <v>2672</v>
      </c>
      <c r="D751" t="s">
        <v>25</v>
      </c>
      <c r="E751">
        <f>SUMIF(数据源!R623:R9189,C751,数据源!M623:M9189)</f>
        <v>3274.41</v>
      </c>
    </row>
    <row r="752" spans="2:5">
      <c r="B752" t="s">
        <v>2693</v>
      </c>
      <c r="C752" t="s">
        <v>2263</v>
      </c>
      <c r="D752" t="s">
        <v>27</v>
      </c>
      <c r="E752">
        <f>SUMIF(数据源!R2841:R11407,C752,数据源!M2841:M11407)</f>
        <v>3271.1755</v>
      </c>
    </row>
    <row r="753" spans="2:5">
      <c r="B753" t="s">
        <v>2701</v>
      </c>
      <c r="C753" t="s">
        <v>1239</v>
      </c>
      <c r="D753" t="s">
        <v>25</v>
      </c>
      <c r="E753">
        <f>SUMIF(数据源!R1598:R10164,C753,数据源!M1598:M10164)</f>
        <v>2929.6645</v>
      </c>
    </row>
    <row r="754" spans="2:5">
      <c r="B754" t="s">
        <v>2694</v>
      </c>
      <c r="C754" t="s">
        <v>1350</v>
      </c>
      <c r="D754" t="s">
        <v>25</v>
      </c>
      <c r="E754">
        <f>SUMIF(数据源!R1784:R10350,C754,数据源!M1784:M10350)</f>
        <v>3134.29</v>
      </c>
    </row>
    <row r="755" spans="2:5">
      <c r="B755" t="s">
        <v>2685</v>
      </c>
      <c r="C755" t="s">
        <v>351</v>
      </c>
      <c r="D755" t="s">
        <v>25</v>
      </c>
      <c r="E755">
        <f>SUMIF(数据源!R187:R8753,C755,数据源!M187:M8753)</f>
        <v>3247.69</v>
      </c>
    </row>
    <row r="756" spans="2:5">
      <c r="B756" t="s">
        <v>2688</v>
      </c>
      <c r="C756" t="s">
        <v>1150</v>
      </c>
      <c r="D756" t="s">
        <v>25</v>
      </c>
      <c r="E756">
        <f>SUMIF(数据源!R766:R9332,C756,数据源!M766:M9332)</f>
        <v>13543.81</v>
      </c>
    </row>
    <row r="757" spans="2:5">
      <c r="B757" t="s">
        <v>2698</v>
      </c>
      <c r="C757" t="s">
        <v>1222</v>
      </c>
      <c r="D757" t="s">
        <v>27</v>
      </c>
      <c r="E757">
        <f>SUMIF(数据源!R3128:R11694,C757,数据源!M3128:M11694)</f>
        <v>2133.71</v>
      </c>
    </row>
    <row r="758" spans="2:5">
      <c r="B758" t="s">
        <v>2690</v>
      </c>
      <c r="C758" t="s">
        <v>2663</v>
      </c>
      <c r="D758" t="s">
        <v>25</v>
      </c>
      <c r="E758">
        <f>SUMIF(数据源!R1287:R9853,C758,数据源!M1287:M9853)</f>
        <v>3220.52</v>
      </c>
    </row>
    <row r="759" spans="2:5">
      <c r="B759" t="s">
        <v>2686</v>
      </c>
      <c r="C759" t="s">
        <v>621</v>
      </c>
      <c r="D759" t="s">
        <v>27</v>
      </c>
      <c r="E759">
        <f>SUMIF(数据源!R2958:R11524,C759,数据源!M2958:M11524)</f>
        <v>332.76</v>
      </c>
    </row>
    <row r="760" spans="2:5">
      <c r="B760" t="s">
        <v>2695</v>
      </c>
      <c r="C760" t="s">
        <v>1256</v>
      </c>
      <c r="D760" t="s">
        <v>26</v>
      </c>
      <c r="E760">
        <f>SUMIF(数据源!R1907:R10473,C760,数据源!M1907:M10473)</f>
        <v>2767.935</v>
      </c>
    </row>
    <row r="761" spans="2:5">
      <c r="B761" t="s">
        <v>2691</v>
      </c>
      <c r="C761" t="s">
        <v>753</v>
      </c>
      <c r="D761" t="s">
        <v>26</v>
      </c>
      <c r="E761">
        <f>SUMIF(数据源!R2055:R10621,C761,数据源!M2055:M10621)</f>
        <v>3063.38</v>
      </c>
    </row>
    <row r="762" spans="2:5">
      <c r="B762" t="s">
        <v>2688</v>
      </c>
      <c r="C762" t="s">
        <v>2176</v>
      </c>
      <c r="D762" t="s">
        <v>25</v>
      </c>
      <c r="E762">
        <f>SUMIF(数据源!R996:R9562,C762,数据源!M996:M9562)</f>
        <v>3195.81</v>
      </c>
    </row>
    <row r="763" spans="2:5">
      <c r="B763" t="s">
        <v>2695</v>
      </c>
      <c r="C763" t="s">
        <v>771</v>
      </c>
      <c r="D763" t="s">
        <v>26</v>
      </c>
      <c r="E763">
        <f>SUMIF(数据源!R1927:R10493,C763,数据源!M1927:M10493)</f>
        <v>3187.18</v>
      </c>
    </row>
    <row r="764" spans="2:5">
      <c r="B764" t="s">
        <v>2691</v>
      </c>
      <c r="C764" t="s">
        <v>1101</v>
      </c>
      <c r="D764" t="s">
        <v>26</v>
      </c>
      <c r="E764">
        <f>SUMIF(数据源!R2082:R10648,C764,数据源!M2082:M10648)</f>
        <v>3176.48</v>
      </c>
    </row>
    <row r="765" spans="2:5">
      <c r="B765" t="s">
        <v>2701</v>
      </c>
      <c r="C765" t="s">
        <v>691</v>
      </c>
      <c r="D765" t="s">
        <v>25</v>
      </c>
      <c r="E765">
        <f>SUMIF(数据源!R1625:R10191,C765,数据源!M1625:M10191)</f>
        <v>2713.61</v>
      </c>
    </row>
    <row r="766" spans="2:5">
      <c r="B766" t="s">
        <v>2692</v>
      </c>
      <c r="C766" t="s">
        <v>930</v>
      </c>
      <c r="D766" t="s">
        <v>25</v>
      </c>
      <c r="E766">
        <f>SUMIF(数据源!R600:R9166,C766,数据源!M600:M9166)</f>
        <v>10685.044</v>
      </c>
    </row>
    <row r="767" spans="2:5">
      <c r="B767" t="s">
        <v>2694</v>
      </c>
      <c r="C767" t="s">
        <v>2147</v>
      </c>
      <c r="D767" t="s">
        <v>25</v>
      </c>
      <c r="E767">
        <f>SUMIF(数据源!R1774:R10340,C767,数据源!M1774:M10340)</f>
        <v>3160.8955</v>
      </c>
    </row>
    <row r="768" spans="2:5">
      <c r="B768" t="s">
        <v>2686</v>
      </c>
      <c r="C768" t="s">
        <v>1789</v>
      </c>
      <c r="D768" t="s">
        <v>27</v>
      </c>
      <c r="E768">
        <f>SUMIF(数据源!R2944:R11510,C768,数据源!M2944:M11510)</f>
        <v>1516.14</v>
      </c>
    </row>
    <row r="769" spans="2:5">
      <c r="B769" t="s">
        <v>2698</v>
      </c>
      <c r="C769" t="s">
        <v>1566</v>
      </c>
      <c r="D769" t="s">
        <v>27</v>
      </c>
      <c r="E769">
        <f>SUMIF(数据源!R3185:R11751,C769,数据源!M3185:M11751)</f>
        <v>2882.67</v>
      </c>
    </row>
    <row r="770" spans="2:5">
      <c r="B770" t="s">
        <v>2698</v>
      </c>
      <c r="C770" t="s">
        <v>944</v>
      </c>
      <c r="D770" t="s">
        <v>27</v>
      </c>
      <c r="E770">
        <f>SUMIF(数据源!R3015:R11581,C770,数据源!M3015:M11581)</f>
        <v>129.06</v>
      </c>
    </row>
    <row r="771" spans="2:5">
      <c r="B771" t="s">
        <v>2689</v>
      </c>
      <c r="C771" t="s">
        <v>973</v>
      </c>
      <c r="D771" t="s">
        <v>25</v>
      </c>
      <c r="E771">
        <f>SUMIF(数据源!R19:R8585,C771,数据源!M19:M8585)</f>
        <v>3380.18</v>
      </c>
    </row>
    <row r="772" spans="2:5">
      <c r="B772" t="s">
        <v>2685</v>
      </c>
      <c r="C772" t="s">
        <v>2211</v>
      </c>
      <c r="D772" t="s">
        <v>25</v>
      </c>
      <c r="E772">
        <f>SUMIF(数据源!R193:R8759,C772,数据源!M193:M8759)</f>
        <v>3108.92</v>
      </c>
    </row>
    <row r="773" spans="2:5">
      <c r="B773" t="s">
        <v>2692</v>
      </c>
      <c r="C773" t="s">
        <v>884</v>
      </c>
      <c r="D773" t="s">
        <v>25</v>
      </c>
      <c r="E773">
        <f>SUMIF(数据源!R545:R9111,C773,数据源!M545:M9111)</f>
        <v>2730.62</v>
      </c>
    </row>
    <row r="774" spans="2:5">
      <c r="B774" t="s">
        <v>2696</v>
      </c>
      <c r="C774" t="s">
        <v>2280</v>
      </c>
      <c r="D774" t="s">
        <v>27</v>
      </c>
      <c r="E774">
        <f>SUMIF(数据源!R2816:R11382,C774,数据源!M2816:M11382)</f>
        <v>3092.56</v>
      </c>
    </row>
    <row r="775" spans="2:5">
      <c r="B775" t="s">
        <v>2697</v>
      </c>
      <c r="C775" t="s">
        <v>1121</v>
      </c>
      <c r="D775" t="s">
        <v>26</v>
      </c>
      <c r="E775">
        <f>SUMIF(数据源!R2386:R10952,C775,数据源!M2386:M10952)</f>
        <v>2798.51</v>
      </c>
    </row>
    <row r="776" spans="2:5">
      <c r="B776" t="s">
        <v>2685</v>
      </c>
      <c r="C776" t="s">
        <v>814</v>
      </c>
      <c r="D776" t="s">
        <v>25</v>
      </c>
      <c r="E776">
        <f>SUMIF(数据源!R390:R8956,C776,数据源!M390:M8956)</f>
        <v>3087.03</v>
      </c>
    </row>
    <row r="777" spans="2:5">
      <c r="B777" t="s">
        <v>2686</v>
      </c>
      <c r="C777" t="s">
        <v>1446</v>
      </c>
      <c r="D777" t="s">
        <v>27</v>
      </c>
      <c r="E777">
        <f>SUMIF(数据源!R2900:R11466,C777,数据源!M2900:M11466)</f>
        <v>3084.54</v>
      </c>
    </row>
    <row r="778" spans="2:5">
      <c r="B778" t="s">
        <v>2688</v>
      </c>
      <c r="C778" t="s">
        <v>348</v>
      </c>
      <c r="D778" t="s">
        <v>25</v>
      </c>
      <c r="E778">
        <f>SUMIF(数据源!R758:R9324,C778,数据源!M758:M9324)</f>
        <v>3084.45</v>
      </c>
    </row>
    <row r="779" spans="2:5">
      <c r="B779" t="s">
        <v>2691</v>
      </c>
      <c r="C779" t="s">
        <v>1635</v>
      </c>
      <c r="D779" t="s">
        <v>26</v>
      </c>
      <c r="E779">
        <f>SUMIF(数据源!R2063:R10629,C779,数据源!M2063:M10629)</f>
        <v>3059.22</v>
      </c>
    </row>
    <row r="780" spans="2:5">
      <c r="B780" t="s">
        <v>2697</v>
      </c>
      <c r="C780" t="s">
        <v>1425</v>
      </c>
      <c r="D780" t="s">
        <v>26</v>
      </c>
      <c r="E780">
        <f>SUMIF(数据源!R2177:R10743,C780,数据源!M2177:M10743)</f>
        <v>1748.01</v>
      </c>
    </row>
    <row r="781" spans="2:5">
      <c r="B781" t="s">
        <v>2687</v>
      </c>
      <c r="C781" t="s">
        <v>283</v>
      </c>
      <c r="D781" t="s">
        <v>25</v>
      </c>
      <c r="E781">
        <f>SUMIF(数据源!R707:R9273,C781,数据源!M707:M9273)</f>
        <v>3029.388</v>
      </c>
    </row>
    <row r="782" spans="2:5">
      <c r="B782" t="s">
        <v>2686</v>
      </c>
      <c r="C782" t="s">
        <v>2161</v>
      </c>
      <c r="D782" t="s">
        <v>27</v>
      </c>
      <c r="E782">
        <f>SUMIF(数据源!R2867:R11433,C782,数据源!M2867:M11433)</f>
        <v>3014.36</v>
      </c>
    </row>
    <row r="783" spans="2:5">
      <c r="B783" t="s">
        <v>2698</v>
      </c>
      <c r="C783" t="s">
        <v>1837</v>
      </c>
      <c r="D783" t="s">
        <v>27</v>
      </c>
      <c r="E783">
        <f>SUMIF(数据源!R3074:R11640,C783,数据源!M3074:M11640)</f>
        <v>2567.54</v>
      </c>
    </row>
    <row r="784" spans="2:5">
      <c r="B784" t="s">
        <v>2697</v>
      </c>
      <c r="C784" t="s">
        <v>1899</v>
      </c>
      <c r="D784" t="s">
        <v>26</v>
      </c>
      <c r="E784">
        <f>SUMIF(数据源!R2110:R10676,C784,数据源!M2110:M10676)</f>
        <v>2997.68</v>
      </c>
    </row>
    <row r="785" spans="2:5">
      <c r="B785" t="s">
        <v>2697</v>
      </c>
      <c r="C785" t="s">
        <v>261</v>
      </c>
      <c r="D785" t="s">
        <v>26</v>
      </c>
      <c r="E785">
        <f>SUMIF(数据源!R2274:R10840,C785,数据源!M2274:M10840)</f>
        <v>2539.98</v>
      </c>
    </row>
    <row r="786" spans="2:5">
      <c r="B786" t="s">
        <v>2699</v>
      </c>
      <c r="C786" t="s">
        <v>2315</v>
      </c>
      <c r="D786" t="s">
        <v>26</v>
      </c>
      <c r="E786">
        <f>SUMIF(数据源!R2506:R11072,C786,数据源!M2506:M11072)</f>
        <v>2982.47</v>
      </c>
    </row>
    <row r="787" spans="2:5">
      <c r="B787" t="s">
        <v>2685</v>
      </c>
      <c r="C787" t="s">
        <v>1756</v>
      </c>
      <c r="D787" t="s">
        <v>25</v>
      </c>
      <c r="E787">
        <f>SUMIF(数据源!R385:R8951,C787,数据源!M385:M8951)</f>
        <v>2966.47</v>
      </c>
    </row>
    <row r="788" spans="2:5">
      <c r="B788" t="s">
        <v>2690</v>
      </c>
      <c r="C788" t="s">
        <v>203</v>
      </c>
      <c r="D788" t="s">
        <v>25</v>
      </c>
      <c r="E788">
        <f>SUMIF(数据源!R1352:R9918,C788,数据源!M1352:M9918)</f>
        <v>2960.99</v>
      </c>
    </row>
    <row r="789" spans="2:5">
      <c r="B789" t="s">
        <v>2692</v>
      </c>
      <c r="C789" t="s">
        <v>602</v>
      </c>
      <c r="D789" t="s">
        <v>25</v>
      </c>
      <c r="E789">
        <f>SUMIF(数据源!R537:R9103,C789,数据源!M537:M9103)</f>
        <v>2931.92</v>
      </c>
    </row>
    <row r="790" spans="2:5">
      <c r="B790" t="s">
        <v>2700</v>
      </c>
      <c r="C790" t="s">
        <v>1872</v>
      </c>
      <c r="D790" t="s">
        <v>25</v>
      </c>
      <c r="E790">
        <f>SUMIF(数据源!R1520:R10086,C790,数据源!M1520:M10086)</f>
        <v>2915.4</v>
      </c>
    </row>
    <row r="791" spans="2:5">
      <c r="B791" t="s">
        <v>2697</v>
      </c>
      <c r="C791" t="s">
        <v>2289</v>
      </c>
      <c r="D791" t="s">
        <v>26</v>
      </c>
      <c r="E791">
        <f>SUMIF(数据源!R2144:R10710,C791,数据源!M2144:M10710)</f>
        <v>2910.09</v>
      </c>
    </row>
    <row r="792" spans="2:5">
      <c r="B792" t="s">
        <v>2691</v>
      </c>
      <c r="C792" t="s">
        <v>758</v>
      </c>
      <c r="D792" t="s">
        <v>26</v>
      </c>
      <c r="E792">
        <f>SUMIF(数据源!R2000:R10566,C792,数据源!M2000:M10566)</f>
        <v>2855.07</v>
      </c>
    </row>
    <row r="793" spans="2:5">
      <c r="B793" t="s">
        <v>2691</v>
      </c>
      <c r="C793" t="s">
        <v>1440</v>
      </c>
      <c r="D793" t="s">
        <v>26</v>
      </c>
      <c r="E793">
        <f>SUMIF(数据源!R1950:R10516,C793,数据源!M1950:M10516)</f>
        <v>2477.83</v>
      </c>
    </row>
    <row r="794" spans="2:5">
      <c r="B794" t="s">
        <v>2688</v>
      </c>
      <c r="C794" t="s">
        <v>1495</v>
      </c>
      <c r="D794" t="s">
        <v>25</v>
      </c>
      <c r="E794">
        <f>SUMIF(数据源!R883:R9449,C794,数据源!M883:M9449)</f>
        <v>2799.7</v>
      </c>
    </row>
    <row r="795" spans="2:5">
      <c r="B795" t="s">
        <v>2694</v>
      </c>
      <c r="C795" t="s">
        <v>1312</v>
      </c>
      <c r="D795" t="s">
        <v>25</v>
      </c>
      <c r="E795">
        <f>SUMIF(数据源!R1701:R10267,C795,数据源!M1701:M10267)</f>
        <v>2799.63</v>
      </c>
    </row>
    <row r="796" spans="2:5">
      <c r="B796" t="s">
        <v>2696</v>
      </c>
      <c r="C796" t="s">
        <v>2675</v>
      </c>
      <c r="D796" t="s">
        <v>27</v>
      </c>
      <c r="E796">
        <f>SUMIF(数据源!R2676:R11242,C796,数据源!M2676:M11242)</f>
        <v>2793.16</v>
      </c>
    </row>
    <row r="797" spans="2:5">
      <c r="B797" t="s">
        <v>2696</v>
      </c>
      <c r="C797" t="s">
        <v>2029</v>
      </c>
      <c r="D797" t="s">
        <v>27</v>
      </c>
      <c r="E797">
        <f>SUMIF(数据源!R2664:R11230,C797,数据源!M2664:M11230)</f>
        <v>2791.1875</v>
      </c>
    </row>
    <row r="798" spans="2:5">
      <c r="B798" t="s">
        <v>2689</v>
      </c>
      <c r="C798" t="s">
        <v>1033</v>
      </c>
      <c r="D798" t="s">
        <v>25</v>
      </c>
      <c r="E798">
        <f>SUMIF(数据源!R99:R8665,C798,数据源!M99:M8665)</f>
        <v>2780.54</v>
      </c>
    </row>
    <row r="799" spans="2:5">
      <c r="B799" t="s">
        <v>2688</v>
      </c>
      <c r="C799" t="s">
        <v>1723</v>
      </c>
      <c r="D799" t="s">
        <v>25</v>
      </c>
      <c r="E799">
        <f>SUMIF(数据源!R1076:R9642,C799,数据源!M1076:M9642)</f>
        <v>2778.94</v>
      </c>
    </row>
    <row r="800" spans="2:5">
      <c r="B800" t="s">
        <v>2690</v>
      </c>
      <c r="C800" t="s">
        <v>2206</v>
      </c>
      <c r="D800" t="s">
        <v>25</v>
      </c>
      <c r="E800">
        <f>SUMIF(数据源!R1453:R10019,C800,数据源!M1453:M10019)</f>
        <v>2778.46</v>
      </c>
    </row>
    <row r="801" spans="2:5">
      <c r="B801" t="s">
        <v>2700</v>
      </c>
      <c r="C801" t="s">
        <v>1567</v>
      </c>
      <c r="D801" t="s">
        <v>25</v>
      </c>
      <c r="E801">
        <f>SUMIF(数据源!R1534:R10100,C801,数据源!M1534:M10100)</f>
        <v>2544.98</v>
      </c>
    </row>
    <row r="802" spans="2:5">
      <c r="B802" t="s">
        <v>2688</v>
      </c>
      <c r="C802" t="s">
        <v>443</v>
      </c>
      <c r="D802" t="s">
        <v>25</v>
      </c>
      <c r="E802">
        <f>SUMIF(数据源!R1060:R9626,C802,数据源!M1060:M9626)</f>
        <v>2446.03</v>
      </c>
    </row>
    <row r="803" spans="2:5">
      <c r="B803" t="s">
        <v>2690</v>
      </c>
      <c r="C803" t="s">
        <v>2241</v>
      </c>
      <c r="D803" t="s">
        <v>25</v>
      </c>
      <c r="E803">
        <f>SUMIF(数据源!R1444:R10010,C803,数据源!M1444:M10010)</f>
        <v>2752.68</v>
      </c>
    </row>
    <row r="804" spans="2:5">
      <c r="B804" t="s">
        <v>2694</v>
      </c>
      <c r="C804" t="s">
        <v>404</v>
      </c>
      <c r="D804" t="s">
        <v>25</v>
      </c>
      <c r="E804">
        <f>SUMIF(数据源!R1693:R10259,C804,数据源!M1693:M10259)</f>
        <v>2447.64</v>
      </c>
    </row>
    <row r="805" spans="2:5">
      <c r="B805" t="s">
        <v>2688</v>
      </c>
      <c r="C805" t="s">
        <v>401</v>
      </c>
      <c r="D805" t="s">
        <v>25</v>
      </c>
      <c r="E805">
        <f>SUMIF(数据源!R1092:R9658,C805,数据源!M1092:M9658)</f>
        <v>2742.393</v>
      </c>
    </row>
    <row r="806" spans="2:5">
      <c r="B806" t="s">
        <v>2697</v>
      </c>
      <c r="C806" t="s">
        <v>1498</v>
      </c>
      <c r="D806" t="s">
        <v>26</v>
      </c>
      <c r="E806">
        <f>SUMIF(数据源!R2297:R10863,C806,数据源!M2297:M10863)</f>
        <v>1421.85</v>
      </c>
    </row>
    <row r="807" spans="2:5">
      <c r="B807" t="s">
        <v>2699</v>
      </c>
      <c r="C807" t="s">
        <v>2264</v>
      </c>
      <c r="D807" t="s">
        <v>26</v>
      </c>
      <c r="E807">
        <f>SUMIF(数据源!R2513:R11079,C807,数据源!M2513:M11079)</f>
        <v>2714.876</v>
      </c>
    </row>
    <row r="808" spans="2:5">
      <c r="B808" t="s">
        <v>2691</v>
      </c>
      <c r="C808" t="s">
        <v>1326</v>
      </c>
      <c r="D808" t="s">
        <v>26</v>
      </c>
      <c r="E808">
        <f>SUMIF(数据源!R2062:R10628,C808,数据源!M2062:M10628)</f>
        <v>2699.9585</v>
      </c>
    </row>
    <row r="809" spans="2:5">
      <c r="B809" t="s">
        <v>2690</v>
      </c>
      <c r="C809" t="s">
        <v>1227</v>
      </c>
      <c r="D809" t="s">
        <v>25</v>
      </c>
      <c r="E809">
        <f>SUMIF(数据源!R1411:R9977,C809,数据源!M1411:M9977)</f>
        <v>2616.62</v>
      </c>
    </row>
    <row r="810" spans="2:5">
      <c r="B810" t="s">
        <v>2694</v>
      </c>
      <c r="C810" t="s">
        <v>295</v>
      </c>
      <c r="D810" t="s">
        <v>25</v>
      </c>
      <c r="E810">
        <f>SUMIF(数据源!R1793:R10359,C810,数据源!M1793:M10359)</f>
        <v>2555.61</v>
      </c>
    </row>
    <row r="811" spans="2:5">
      <c r="B811" t="s">
        <v>2698</v>
      </c>
      <c r="C811" t="s">
        <v>1960</v>
      </c>
      <c r="D811" t="s">
        <v>27</v>
      </c>
      <c r="E811">
        <f>SUMIF(数据源!R3211:R11777,C811,数据源!M3211:M11777)</f>
        <v>1827.2</v>
      </c>
    </row>
    <row r="812" spans="2:5">
      <c r="B812" t="s">
        <v>2698</v>
      </c>
      <c r="C812" t="s">
        <v>638</v>
      </c>
      <c r="D812" t="s">
        <v>27</v>
      </c>
      <c r="E812">
        <f>SUMIF(数据源!R3142:R11708,C812,数据源!M3142:M11708)</f>
        <v>2670.48</v>
      </c>
    </row>
    <row r="813" spans="2:5">
      <c r="B813" t="s">
        <v>2691</v>
      </c>
      <c r="C813" t="s">
        <v>1759</v>
      </c>
      <c r="D813" t="s">
        <v>26</v>
      </c>
      <c r="E813">
        <f>SUMIF(数据源!R1968:R10534,C813,数据源!M1968:M10534)</f>
        <v>2478.88</v>
      </c>
    </row>
    <row r="814" spans="2:5">
      <c r="B814" t="s">
        <v>2691</v>
      </c>
      <c r="C814" t="s">
        <v>1383</v>
      </c>
      <c r="D814" t="s">
        <v>26</v>
      </c>
      <c r="E814">
        <f>SUMIF(数据源!R2080:R10646,C814,数据源!M2080:M10646)</f>
        <v>2656.465</v>
      </c>
    </row>
    <row r="815" spans="2:5">
      <c r="B815" t="s">
        <v>2693</v>
      </c>
      <c r="C815" t="s">
        <v>2665</v>
      </c>
      <c r="D815" t="s">
        <v>27</v>
      </c>
      <c r="E815">
        <f>SUMIF(数据源!R2855:R11421,C815,数据源!M2855:M11421)</f>
        <v>2649.93</v>
      </c>
    </row>
    <row r="816" spans="2:5">
      <c r="B816" t="s">
        <v>2697</v>
      </c>
      <c r="C816" t="s">
        <v>1954</v>
      </c>
      <c r="D816" t="s">
        <v>26</v>
      </c>
      <c r="E816">
        <f>SUMIF(数据源!R2339:R10905,C816,数据源!M2339:M10905)</f>
        <v>1989.24</v>
      </c>
    </row>
    <row r="817" spans="2:5">
      <c r="B817" t="s">
        <v>2699</v>
      </c>
      <c r="C817" t="s">
        <v>1791</v>
      </c>
      <c r="D817" t="s">
        <v>26</v>
      </c>
      <c r="E817">
        <f>SUMIF(数据源!R2536:R11102,C817,数据源!M2536:M11102)</f>
        <v>1670.05</v>
      </c>
    </row>
    <row r="818" spans="2:5">
      <c r="B818" t="s">
        <v>2688</v>
      </c>
      <c r="C818" t="s">
        <v>1584</v>
      </c>
      <c r="D818" t="s">
        <v>25</v>
      </c>
      <c r="E818">
        <f>SUMIF(数据源!R1032:R9598,C818,数据源!M1032:M9598)</f>
        <v>2627.16</v>
      </c>
    </row>
    <row r="819" spans="2:5">
      <c r="B819" t="s">
        <v>2690</v>
      </c>
      <c r="C819" t="s">
        <v>1294</v>
      </c>
      <c r="D819" t="s">
        <v>25</v>
      </c>
      <c r="E819">
        <f>SUMIF(数据源!R1427:R9993,C819,数据源!M1427:M9993)</f>
        <v>2626.39</v>
      </c>
    </row>
    <row r="820" spans="2:5">
      <c r="B820" t="s">
        <v>2696</v>
      </c>
      <c r="C820" t="s">
        <v>951</v>
      </c>
      <c r="D820" t="s">
        <v>27</v>
      </c>
      <c r="E820">
        <f>SUMIF(数据源!R2615:R11181,C820,数据源!M2615:M11181)</f>
        <v>1508.46</v>
      </c>
    </row>
    <row r="821" spans="2:5">
      <c r="B821" t="s">
        <v>2686</v>
      </c>
      <c r="C821" t="s">
        <v>1966</v>
      </c>
      <c r="D821" t="s">
        <v>27</v>
      </c>
      <c r="E821">
        <f>SUMIF(数据源!R2895:R11461,C821,数据源!M2895:M11461)</f>
        <v>1554.22</v>
      </c>
    </row>
    <row r="822" spans="2:5">
      <c r="B822" t="s">
        <v>2689</v>
      </c>
      <c r="C822" t="s">
        <v>640</v>
      </c>
      <c r="D822" t="s">
        <v>25</v>
      </c>
      <c r="E822">
        <f>SUMIF(数据源!R58:R8624,C822,数据源!M58:M8624)</f>
        <v>2712.25</v>
      </c>
    </row>
    <row r="823" spans="2:5">
      <c r="B823" t="s">
        <v>2685</v>
      </c>
      <c r="C823" t="s">
        <v>1005</v>
      </c>
      <c r="D823" t="s">
        <v>25</v>
      </c>
      <c r="E823">
        <f>SUMIF(数据源!R281:R8847,C823,数据源!M281:M8847)</f>
        <v>2881.49</v>
      </c>
    </row>
    <row r="824" spans="2:5">
      <c r="B824" t="s">
        <v>2685</v>
      </c>
      <c r="C824" t="s">
        <v>684</v>
      </c>
      <c r="D824" t="s">
        <v>25</v>
      </c>
      <c r="E824">
        <f>SUMIF(数据源!R514:R9080,C824,数据源!M514:M9080)</f>
        <v>2299.29</v>
      </c>
    </row>
    <row r="825" spans="2:5">
      <c r="B825" t="s">
        <v>2688</v>
      </c>
      <c r="C825" t="s">
        <v>1750</v>
      </c>
      <c r="D825" t="s">
        <v>25</v>
      </c>
      <c r="E825">
        <f>SUMIF(数据源!R1141:R9707,C825,数据源!M1141:M9707)</f>
        <v>2575.36</v>
      </c>
    </row>
    <row r="826" spans="2:5">
      <c r="B826" t="s">
        <v>2699</v>
      </c>
      <c r="C826" t="s">
        <v>1107</v>
      </c>
      <c r="D826" t="s">
        <v>26</v>
      </c>
      <c r="E826">
        <f>SUMIF(数据源!R2496:R11062,C826,数据源!M2496:M11062)</f>
        <v>2377.25</v>
      </c>
    </row>
    <row r="827" spans="2:5">
      <c r="B827" t="s">
        <v>2691</v>
      </c>
      <c r="C827" t="s">
        <v>519</v>
      </c>
      <c r="D827" t="s">
        <v>26</v>
      </c>
      <c r="E827">
        <f>SUMIF(数据源!R2030:R10596,C827,数据源!M2030:M10596)</f>
        <v>2568.31</v>
      </c>
    </row>
    <row r="828" spans="2:5">
      <c r="B828" t="s">
        <v>2687</v>
      </c>
      <c r="C828" t="s">
        <v>1204</v>
      </c>
      <c r="D828" t="s">
        <v>25</v>
      </c>
      <c r="E828">
        <f>SUMIF(数据源!R728:R9294,C828,数据源!M728:M9294)</f>
        <v>2535.9665</v>
      </c>
    </row>
    <row r="829" spans="2:5">
      <c r="B829" t="s">
        <v>2699</v>
      </c>
      <c r="C829" t="s">
        <v>2089</v>
      </c>
      <c r="D829" t="s">
        <v>26</v>
      </c>
      <c r="E829">
        <f>SUMIF(数据源!R2446:R11012,C829,数据源!M2446:M11012)</f>
        <v>2526.17</v>
      </c>
    </row>
    <row r="830" spans="2:5">
      <c r="B830" t="s">
        <v>2698</v>
      </c>
      <c r="C830" t="s">
        <v>1131</v>
      </c>
      <c r="D830" t="s">
        <v>27</v>
      </c>
      <c r="E830">
        <f>SUMIF(数据源!R3294:R11860,C830,数据源!M3294:M11860)</f>
        <v>1470.76</v>
      </c>
    </row>
    <row r="831" spans="2:5">
      <c r="B831" t="s">
        <v>2689</v>
      </c>
      <c r="C831" t="s">
        <v>374</v>
      </c>
      <c r="D831" t="s">
        <v>25</v>
      </c>
      <c r="E831">
        <f>SUMIF(数据源!R17:R8583,C831,数据源!M17:M8583)</f>
        <v>3703.67</v>
      </c>
    </row>
    <row r="832" spans="2:5">
      <c r="B832" t="s">
        <v>2688</v>
      </c>
      <c r="C832" t="s">
        <v>514</v>
      </c>
      <c r="D832" t="s">
        <v>25</v>
      </c>
      <c r="E832">
        <f>SUMIF(数据源!R911:R9477,C832,数据源!M911:M9477)</f>
        <v>2498.27</v>
      </c>
    </row>
    <row r="833" spans="2:5">
      <c r="B833" t="s">
        <v>2696</v>
      </c>
      <c r="C833" t="s">
        <v>1539</v>
      </c>
      <c r="D833" t="s">
        <v>27</v>
      </c>
      <c r="E833">
        <f>SUMIF(数据源!R2659:R11225,C833,数据源!M2659:M11225)</f>
        <v>547.46</v>
      </c>
    </row>
    <row r="834" spans="2:5">
      <c r="B834" t="s">
        <v>2686</v>
      </c>
      <c r="C834" t="s">
        <v>2133</v>
      </c>
      <c r="D834" t="s">
        <v>27</v>
      </c>
      <c r="E834">
        <f>SUMIF(数据源!R2922:R11488,C834,数据源!M2922:M11488)</f>
        <v>2483.9</v>
      </c>
    </row>
    <row r="835" spans="2:5">
      <c r="B835" t="s">
        <v>2688</v>
      </c>
      <c r="C835" t="s">
        <v>1970</v>
      </c>
      <c r="D835" t="s">
        <v>25</v>
      </c>
      <c r="E835">
        <f>SUMIF(数据源!R916:R9482,C835,数据源!M916:M9482)</f>
        <v>2482.19</v>
      </c>
    </row>
    <row r="836" spans="2:5">
      <c r="B836" t="s">
        <v>2695</v>
      </c>
      <c r="C836" t="s">
        <v>1665</v>
      </c>
      <c r="D836" t="s">
        <v>26</v>
      </c>
      <c r="E836">
        <f>SUMIF(数据源!R1924:R10490,C836,数据源!M1924:M10490)</f>
        <v>2482.034</v>
      </c>
    </row>
    <row r="837" spans="2:5">
      <c r="B837" t="s">
        <v>2696</v>
      </c>
      <c r="C837" t="s">
        <v>1200</v>
      </c>
      <c r="D837" t="s">
        <v>27</v>
      </c>
      <c r="E837">
        <f>SUMIF(数据源!R2707:R11273,C837,数据源!M2707:M11273)</f>
        <v>0</v>
      </c>
    </row>
    <row r="838" spans="2:5">
      <c r="B838" t="s">
        <v>2689</v>
      </c>
      <c r="C838" t="s">
        <v>1232</v>
      </c>
      <c r="D838" t="s">
        <v>25</v>
      </c>
      <c r="E838">
        <f>SUMIF(数据源!R108:R8674,C838,数据源!M108:M8674)</f>
        <v>2464.16</v>
      </c>
    </row>
    <row r="839" spans="2:5">
      <c r="B839" t="s">
        <v>2699</v>
      </c>
      <c r="C839" t="s">
        <v>1210</v>
      </c>
      <c r="D839" t="s">
        <v>26</v>
      </c>
      <c r="E839">
        <f>SUMIF(数据源!R2476:R11042,C839,数据源!M2476:M11042)</f>
        <v>2463.2405</v>
      </c>
    </row>
    <row r="840" spans="2:5">
      <c r="B840" t="s">
        <v>2698</v>
      </c>
      <c r="C840" t="s">
        <v>1965</v>
      </c>
      <c r="D840" t="s">
        <v>27</v>
      </c>
      <c r="E840">
        <f>SUMIF(数据源!R3177:R11743,C840,数据源!M3177:M11743)</f>
        <v>2064.8355</v>
      </c>
    </row>
    <row r="841" spans="2:5">
      <c r="B841" t="s">
        <v>2691</v>
      </c>
      <c r="C841" t="s">
        <v>284</v>
      </c>
      <c r="D841" t="s">
        <v>26</v>
      </c>
      <c r="E841">
        <f>SUMIF(数据源!R2019:R10585,C841,数据源!M2019:M10585)</f>
        <v>2455.54</v>
      </c>
    </row>
    <row r="842" spans="2:5">
      <c r="B842" t="s">
        <v>2699</v>
      </c>
      <c r="C842" t="s">
        <v>644</v>
      </c>
      <c r="D842" t="s">
        <v>26</v>
      </c>
      <c r="E842">
        <f>SUMIF(数据源!R2498:R11064,C842,数据源!M2498:M11064)</f>
        <v>2440.39</v>
      </c>
    </row>
    <row r="843" spans="2:5">
      <c r="B843" t="s">
        <v>2696</v>
      </c>
      <c r="C843" t="s">
        <v>2148</v>
      </c>
      <c r="D843" t="s">
        <v>27</v>
      </c>
      <c r="E843">
        <f>SUMIF(数据源!R2773:R11339,C843,数据源!M2773:M11339)</f>
        <v>2432.3</v>
      </c>
    </row>
    <row r="844" spans="2:5">
      <c r="B844" t="s">
        <v>2698</v>
      </c>
      <c r="C844" t="s">
        <v>2140</v>
      </c>
      <c r="D844" t="s">
        <v>27</v>
      </c>
      <c r="E844">
        <f>SUMIF(数据源!R3205:R11771,C844,数据源!M3205:M11771)</f>
        <v>1868.38</v>
      </c>
    </row>
    <row r="845" spans="2:5">
      <c r="B845" t="s">
        <v>2690</v>
      </c>
      <c r="C845" t="s">
        <v>2274</v>
      </c>
      <c r="D845" t="s">
        <v>25</v>
      </c>
      <c r="E845">
        <f>SUMIF(数据源!R1223:R9789,C845,数据源!M1223:M9789)</f>
        <v>2409.52</v>
      </c>
    </row>
    <row r="846" spans="2:5">
      <c r="B846" t="s">
        <v>2690</v>
      </c>
      <c r="C846" t="s">
        <v>1382</v>
      </c>
      <c r="D846" t="s">
        <v>25</v>
      </c>
      <c r="E846">
        <f>SUMIF(数据源!R1264:R9830,C846,数据源!M1264:M9830)</f>
        <v>2047.27</v>
      </c>
    </row>
    <row r="847" spans="2:5">
      <c r="B847" t="s">
        <v>2689</v>
      </c>
      <c r="C847" t="s">
        <v>135</v>
      </c>
      <c r="D847" t="s">
        <v>25</v>
      </c>
      <c r="E847">
        <f>SUMIF(数据源!R113:R8679,C847,数据源!M113:M8679)</f>
        <v>2394.37</v>
      </c>
    </row>
    <row r="848" spans="2:5">
      <c r="B848" t="s">
        <v>2699</v>
      </c>
      <c r="C848" t="s">
        <v>150</v>
      </c>
      <c r="D848" t="s">
        <v>26</v>
      </c>
      <c r="E848">
        <f>SUMIF(数据源!R2542:R11108,C848,数据源!M2542:M11108)</f>
        <v>1672.73</v>
      </c>
    </row>
    <row r="849" spans="2:5">
      <c r="B849" t="s">
        <v>2696</v>
      </c>
      <c r="C849" t="s">
        <v>645</v>
      </c>
      <c r="D849" t="s">
        <v>27</v>
      </c>
      <c r="E849">
        <f>SUMIF(数据源!R2764:R11330,C849,数据源!M2764:M11330)</f>
        <v>1101.28</v>
      </c>
    </row>
    <row r="850" spans="2:5">
      <c r="B850" t="s">
        <v>2689</v>
      </c>
      <c r="C850" t="s">
        <v>1848</v>
      </c>
      <c r="D850" t="s">
        <v>25</v>
      </c>
      <c r="E850">
        <f>SUMIF(数据源!R69:R8635,C850,数据源!M69:M8635)</f>
        <v>2367.99</v>
      </c>
    </row>
    <row r="851" spans="2:5">
      <c r="B851" t="s">
        <v>2686</v>
      </c>
      <c r="C851" t="s">
        <v>1289</v>
      </c>
      <c r="D851" t="s">
        <v>27</v>
      </c>
      <c r="E851">
        <f>SUMIF(数据源!R2930:R11496,C851,数据源!M2930:M11496)</f>
        <v>221.05</v>
      </c>
    </row>
    <row r="852" spans="2:5">
      <c r="B852" t="s">
        <v>2688</v>
      </c>
      <c r="C852" t="s">
        <v>1766</v>
      </c>
      <c r="D852" t="s">
        <v>25</v>
      </c>
      <c r="E852">
        <f>SUMIF(数据源!R885:R9451,C852,数据源!M885:M9451)</f>
        <v>2342.6165</v>
      </c>
    </row>
    <row r="853" spans="2:5">
      <c r="B853" t="s">
        <v>2686</v>
      </c>
      <c r="C853" t="s">
        <v>1219</v>
      </c>
      <c r="D853" t="s">
        <v>27</v>
      </c>
      <c r="E853">
        <f>SUMIF(数据源!R2906:R11472,C853,数据源!M2906:M11472)</f>
        <v>1481.964</v>
      </c>
    </row>
    <row r="854" spans="2:5">
      <c r="B854" t="s">
        <v>2685</v>
      </c>
      <c r="C854" t="s">
        <v>1815</v>
      </c>
      <c r="D854" t="s">
        <v>25</v>
      </c>
      <c r="E854">
        <f>SUMIF(数据源!R459:R9025,C854,数据源!M459:M9025)</f>
        <v>2334.24</v>
      </c>
    </row>
    <row r="855" spans="2:5">
      <c r="B855" t="s">
        <v>2696</v>
      </c>
      <c r="C855" t="s">
        <v>2666</v>
      </c>
      <c r="D855" t="s">
        <v>27</v>
      </c>
      <c r="E855">
        <f>SUMIF(数据源!R2614:R11180,C855,数据源!M2614:M11180)</f>
        <v>2333.34</v>
      </c>
    </row>
    <row r="856" spans="2:5">
      <c r="B856" t="s">
        <v>2699</v>
      </c>
      <c r="C856" t="s">
        <v>869</v>
      </c>
      <c r="D856" t="s">
        <v>26</v>
      </c>
      <c r="E856">
        <f>SUMIF(数据源!R2467:R11033,C856,数据源!M2467:M11033)</f>
        <v>2317.37</v>
      </c>
    </row>
    <row r="857" spans="2:5">
      <c r="B857" t="s">
        <v>2688</v>
      </c>
      <c r="C857" t="s">
        <v>1972</v>
      </c>
      <c r="D857" t="s">
        <v>25</v>
      </c>
      <c r="E857">
        <f>SUMIF(数据源!R857:R9423,C857,数据源!M857:M9423)</f>
        <v>2309.3</v>
      </c>
    </row>
    <row r="858" spans="2:5">
      <c r="B858" t="s">
        <v>2697</v>
      </c>
      <c r="C858" t="s">
        <v>831</v>
      </c>
      <c r="D858" t="s">
        <v>26</v>
      </c>
      <c r="E858">
        <f>SUMIF(数据源!R2276:R10842,C858,数据源!M2276:M10842)</f>
        <v>71.6</v>
      </c>
    </row>
    <row r="859" spans="2:5">
      <c r="B859" t="s">
        <v>2698</v>
      </c>
      <c r="C859" t="s">
        <v>1335</v>
      </c>
      <c r="D859" t="s">
        <v>27</v>
      </c>
      <c r="E859">
        <f>SUMIF(数据源!R3010:R11576,C859,数据源!M3010:M11576)</f>
        <v>2234.1</v>
      </c>
    </row>
    <row r="860" spans="2:5">
      <c r="B860" t="s">
        <v>2685</v>
      </c>
      <c r="C860" t="s">
        <v>942</v>
      </c>
      <c r="D860" t="s">
        <v>25</v>
      </c>
      <c r="E860">
        <f>SUMIF(数据源!R182:R8748,C860,数据源!M182:M8748)</f>
        <v>2523.89</v>
      </c>
    </row>
    <row r="861" spans="2:5">
      <c r="B861" t="s">
        <v>2692</v>
      </c>
      <c r="C861" t="s">
        <v>398</v>
      </c>
      <c r="D861" t="s">
        <v>25</v>
      </c>
      <c r="E861">
        <f>SUMIF(数据源!R540:R9106,C861,数据源!M540:M9106)</f>
        <v>663.24</v>
      </c>
    </row>
    <row r="862" spans="2:5">
      <c r="B862" t="s">
        <v>2687</v>
      </c>
      <c r="C862" t="s">
        <v>1329</v>
      </c>
      <c r="D862" t="s">
        <v>25</v>
      </c>
      <c r="E862">
        <f>SUMIF(数据源!R638:R9204,C862,数据源!M638:M9204)</f>
        <v>5369.99</v>
      </c>
    </row>
    <row r="863" spans="2:5">
      <c r="B863" t="s">
        <v>2696</v>
      </c>
      <c r="C863" t="s">
        <v>560</v>
      </c>
      <c r="D863" t="s">
        <v>27</v>
      </c>
      <c r="E863">
        <f>SUMIF(数据源!R2797:R11363,C863,数据源!M2797:M11363)</f>
        <v>2288.987</v>
      </c>
    </row>
    <row r="864" spans="2:5">
      <c r="B864" t="s">
        <v>2697</v>
      </c>
      <c r="C864" t="s">
        <v>1345</v>
      </c>
      <c r="D864" t="s">
        <v>26</v>
      </c>
      <c r="E864">
        <f>SUMIF(数据源!R2391:R10957,C864,数据源!M2391:M10957)</f>
        <v>191.36</v>
      </c>
    </row>
    <row r="865" spans="2:5">
      <c r="B865" t="s">
        <v>2685</v>
      </c>
      <c r="C865" t="s">
        <v>1142</v>
      </c>
      <c r="D865" t="s">
        <v>25</v>
      </c>
      <c r="E865">
        <f>SUMIF(数据源!R411:R8977,C865,数据源!M411:M8977)</f>
        <v>3158.314</v>
      </c>
    </row>
    <row r="866" spans="2:5">
      <c r="B866" t="s">
        <v>2698</v>
      </c>
      <c r="C866" t="s">
        <v>524</v>
      </c>
      <c r="D866" t="s">
        <v>27</v>
      </c>
      <c r="E866">
        <f>SUMIF(数据源!R3143:R11709,C866,数据源!M3143:M11709)</f>
        <v>1786.59</v>
      </c>
    </row>
    <row r="867" spans="2:5">
      <c r="B867" t="s">
        <v>2695</v>
      </c>
      <c r="C867" t="s">
        <v>2598</v>
      </c>
      <c r="D867" t="s">
        <v>26</v>
      </c>
      <c r="E867">
        <f>SUMIF(数据源!R1886:R10452,C867,数据源!M1886:M10452)</f>
        <v>2277.8</v>
      </c>
    </row>
    <row r="868" spans="2:5">
      <c r="B868" t="s">
        <v>2691</v>
      </c>
      <c r="C868" t="s">
        <v>2003</v>
      </c>
      <c r="D868" t="s">
        <v>26</v>
      </c>
      <c r="E868">
        <f>SUMIF(数据源!R1969:R10535,C868,数据源!M1969:M10535)</f>
        <v>2273.86</v>
      </c>
    </row>
    <row r="869" spans="2:5">
      <c r="B869" t="s">
        <v>2697</v>
      </c>
      <c r="C869" t="s">
        <v>2318</v>
      </c>
      <c r="D869" t="s">
        <v>26</v>
      </c>
      <c r="E869">
        <f>SUMIF(数据源!R2216:R10782,C869,数据源!M2216:M10782)</f>
        <v>2267.14</v>
      </c>
    </row>
    <row r="870" spans="2:5">
      <c r="B870" t="s">
        <v>2696</v>
      </c>
      <c r="C870" t="s">
        <v>1014</v>
      </c>
      <c r="D870" t="s">
        <v>27</v>
      </c>
      <c r="E870">
        <f>SUMIF(数据源!R2655:R11221,C870,数据源!M2655:M11221)</f>
        <v>1500.99</v>
      </c>
    </row>
    <row r="871" spans="2:5">
      <c r="B871" t="s">
        <v>2691</v>
      </c>
      <c r="C871" t="s">
        <v>799</v>
      </c>
      <c r="D871" t="s">
        <v>26</v>
      </c>
      <c r="E871">
        <f>SUMIF(数据源!R1995:R10561,C871,数据源!M1995:M10561)</f>
        <v>10728.938</v>
      </c>
    </row>
    <row r="872" spans="2:5">
      <c r="B872" t="s">
        <v>2699</v>
      </c>
      <c r="C872" t="s">
        <v>1727</v>
      </c>
      <c r="D872" t="s">
        <v>26</v>
      </c>
      <c r="E872">
        <f>SUMIF(数据源!R2487:R11053,C872,数据源!M2487:M11053)</f>
        <v>1736.53</v>
      </c>
    </row>
    <row r="873" spans="2:5">
      <c r="B873" t="s">
        <v>2692</v>
      </c>
      <c r="C873" t="s">
        <v>1307</v>
      </c>
      <c r="D873" t="s">
        <v>25</v>
      </c>
      <c r="E873">
        <f>SUMIF(数据源!R594:R9160,C873,数据源!M594:M9160)</f>
        <v>2251.17</v>
      </c>
    </row>
    <row r="874" spans="2:5">
      <c r="B874" t="s">
        <v>2691</v>
      </c>
      <c r="C874" t="s">
        <v>2116</v>
      </c>
      <c r="D874" t="s">
        <v>26</v>
      </c>
      <c r="E874">
        <f>SUMIF(数据源!R1973:R10539,C874,数据源!M1973:M10539)</f>
        <v>2227.34</v>
      </c>
    </row>
    <row r="875" spans="2:5">
      <c r="B875" t="s">
        <v>2689</v>
      </c>
      <c r="C875" t="s">
        <v>1478</v>
      </c>
      <c r="D875" t="s">
        <v>25</v>
      </c>
      <c r="E875">
        <f>SUMIF(数据源!R80:R8646,C875,数据源!M80:M8646)</f>
        <v>2224.3795</v>
      </c>
    </row>
    <row r="876" spans="2:5">
      <c r="B876" t="s">
        <v>2685</v>
      </c>
      <c r="C876" t="s">
        <v>1802</v>
      </c>
      <c r="D876" t="s">
        <v>25</v>
      </c>
      <c r="E876">
        <f>SUMIF(数据源!R339:R8905,C876,数据源!M339:M8905)</f>
        <v>2219.85</v>
      </c>
    </row>
    <row r="877" spans="2:5">
      <c r="B877" t="s">
        <v>2697</v>
      </c>
      <c r="C877" t="s">
        <v>501</v>
      </c>
      <c r="D877" t="s">
        <v>26</v>
      </c>
      <c r="E877">
        <f>SUMIF(数据源!R2315:R10881,C877,数据源!M2315:M10881)</f>
        <v>1443.18</v>
      </c>
    </row>
    <row r="878" spans="2:5">
      <c r="B878" t="s">
        <v>2698</v>
      </c>
      <c r="C878" t="s">
        <v>1744</v>
      </c>
      <c r="D878" t="s">
        <v>27</v>
      </c>
      <c r="E878">
        <f>SUMIF(数据源!R3049:R11615,C878,数据源!M3049:M11615)</f>
        <v>2207.9</v>
      </c>
    </row>
    <row r="879" spans="2:5">
      <c r="B879" t="s">
        <v>2688</v>
      </c>
      <c r="C879" t="s">
        <v>1836</v>
      </c>
      <c r="D879" t="s">
        <v>25</v>
      </c>
      <c r="E879">
        <f>SUMIF(数据源!R1098:R9664,C879,数据源!M1098:M9664)</f>
        <v>2207.01</v>
      </c>
    </row>
    <row r="880" spans="2:5">
      <c r="B880" t="s">
        <v>2692</v>
      </c>
      <c r="C880" t="s">
        <v>548</v>
      </c>
      <c r="D880" t="s">
        <v>25</v>
      </c>
      <c r="E880">
        <f>SUMIF(数据源!R583:R9149,C880,数据源!M583:M9149)</f>
        <v>2202.36</v>
      </c>
    </row>
    <row r="881" spans="2:5">
      <c r="B881" t="s">
        <v>2698</v>
      </c>
      <c r="C881" t="s">
        <v>624</v>
      </c>
      <c r="D881" t="s">
        <v>27</v>
      </c>
      <c r="E881">
        <f>SUMIF(数据源!R3159:R11725,C881,数据源!M3159:M11725)</f>
        <v>1814.98</v>
      </c>
    </row>
    <row r="882" spans="2:5">
      <c r="B882" t="s">
        <v>2697</v>
      </c>
      <c r="C882" t="s">
        <v>585</v>
      </c>
      <c r="D882" t="s">
        <v>26</v>
      </c>
      <c r="E882">
        <f>SUMIF(数据源!R2242:R10808,C882,数据源!M2242:M10808)</f>
        <v>2163.59</v>
      </c>
    </row>
    <row r="883" spans="2:5">
      <c r="B883" t="s">
        <v>2688</v>
      </c>
      <c r="C883" t="s">
        <v>1623</v>
      </c>
      <c r="D883" t="s">
        <v>25</v>
      </c>
      <c r="E883">
        <f>SUMIF(数据源!R903:R9469,C883,数据源!M903:M9469)</f>
        <v>5534.758</v>
      </c>
    </row>
    <row r="884" spans="2:5">
      <c r="B884" t="s">
        <v>2690</v>
      </c>
      <c r="C884" t="s">
        <v>2010</v>
      </c>
      <c r="D884" t="s">
        <v>25</v>
      </c>
      <c r="E884">
        <f>SUMIF(数据源!R1323:R9889,C884,数据源!M1323:M9889)</f>
        <v>2143.4135</v>
      </c>
    </row>
    <row r="885" spans="2:5">
      <c r="B885" t="s">
        <v>2688</v>
      </c>
      <c r="C885" t="s">
        <v>768</v>
      </c>
      <c r="D885" t="s">
        <v>25</v>
      </c>
      <c r="E885">
        <f>SUMIF(数据源!R938:R9504,C885,数据源!M938:M9504)</f>
        <v>2122.89</v>
      </c>
    </row>
    <row r="886" spans="2:5">
      <c r="B886" t="s">
        <v>2696</v>
      </c>
      <c r="C886" t="s">
        <v>218</v>
      </c>
      <c r="D886" t="s">
        <v>27</v>
      </c>
      <c r="E886">
        <f>SUMIF(数据源!R2817:R11383,C886,数据源!M2817:M11383)</f>
        <v>464.59</v>
      </c>
    </row>
    <row r="887" spans="2:5">
      <c r="B887" t="s">
        <v>2689</v>
      </c>
      <c r="C887" t="s">
        <v>696</v>
      </c>
      <c r="D887" t="s">
        <v>25</v>
      </c>
      <c r="E887">
        <f>SUMIF(数据源!R38:R8604,C887,数据源!M38:M8604)</f>
        <v>2180.75</v>
      </c>
    </row>
    <row r="888" spans="2:5">
      <c r="B888" t="s">
        <v>2687</v>
      </c>
      <c r="C888" t="s">
        <v>2521</v>
      </c>
      <c r="D888" t="s">
        <v>25</v>
      </c>
      <c r="E888">
        <f>SUMIF(数据源!R732:R9298,C888,数据源!M732:M9298)</f>
        <v>2070.7</v>
      </c>
    </row>
    <row r="889" spans="2:5">
      <c r="B889" t="s">
        <v>2686</v>
      </c>
      <c r="C889" t="s">
        <v>2155</v>
      </c>
      <c r="D889" t="s">
        <v>27</v>
      </c>
      <c r="E889">
        <f>SUMIF(数据源!R2952:R11518,C889,数据源!M2952:M11518)</f>
        <v>2062.78</v>
      </c>
    </row>
    <row r="890" spans="2:5">
      <c r="B890" t="s">
        <v>2695</v>
      </c>
      <c r="C890" t="s">
        <v>1993</v>
      </c>
      <c r="D890" t="s">
        <v>26</v>
      </c>
      <c r="E890">
        <f>SUMIF(数据源!R1871:R10437,C890,数据源!M1871:M10437)</f>
        <v>2051.51</v>
      </c>
    </row>
    <row r="891" spans="2:5">
      <c r="B891" t="s">
        <v>2689</v>
      </c>
      <c r="C891" t="s">
        <v>2104</v>
      </c>
      <c r="D891" t="s">
        <v>25</v>
      </c>
      <c r="E891">
        <f>SUMIF(数据源!R133:R8699,C891,数据源!M133:M8699)</f>
        <v>2049.72</v>
      </c>
    </row>
    <row r="892" spans="2:5">
      <c r="B892" t="s">
        <v>2696</v>
      </c>
      <c r="C892" t="s">
        <v>906</v>
      </c>
      <c r="D892" t="s">
        <v>27</v>
      </c>
      <c r="E892">
        <f>SUMIF(数据源!R2735:R11301,C892,数据源!M2735:M11301)</f>
        <v>2034.76</v>
      </c>
    </row>
    <row r="893" spans="2:5">
      <c r="B893" t="s">
        <v>2694</v>
      </c>
      <c r="C893" t="s">
        <v>1553</v>
      </c>
      <c r="D893" t="s">
        <v>25</v>
      </c>
      <c r="E893">
        <f>SUMIF(数据源!R1822:R10388,C893,数据源!M1822:M10388)</f>
        <v>1909.05</v>
      </c>
    </row>
    <row r="894" spans="2:5">
      <c r="B894" t="s">
        <v>2698</v>
      </c>
      <c r="C894" t="s">
        <v>924</v>
      </c>
      <c r="D894" t="s">
        <v>27</v>
      </c>
      <c r="E894">
        <f>SUMIF(数据源!R3071:R11637,C894,数据源!M3071:M11637)</f>
        <v>2030.448</v>
      </c>
    </row>
    <row r="895" spans="2:5">
      <c r="B895" t="s">
        <v>2699</v>
      </c>
      <c r="C895" t="s">
        <v>883</v>
      </c>
      <c r="D895" t="s">
        <v>26</v>
      </c>
      <c r="E895">
        <f>SUMIF(数据源!R2420:R10986,C895,数据源!M2420:M10986)</f>
        <v>2026.7</v>
      </c>
    </row>
    <row r="896" spans="2:5">
      <c r="B896" t="s">
        <v>2690</v>
      </c>
      <c r="C896" t="s">
        <v>1461</v>
      </c>
      <c r="D896" t="s">
        <v>25</v>
      </c>
      <c r="E896">
        <f>SUMIF(数据源!R1340:R9906,C896,数据源!M1340:M9906)</f>
        <v>1578.11</v>
      </c>
    </row>
    <row r="897" spans="2:5">
      <c r="B897" t="s">
        <v>2694</v>
      </c>
      <c r="C897" t="s">
        <v>1527</v>
      </c>
      <c r="D897" t="s">
        <v>25</v>
      </c>
      <c r="E897">
        <f>SUMIF(数据源!R1731:R10297,C897,数据源!M1731:M10297)</f>
        <v>1873.85</v>
      </c>
    </row>
    <row r="898" spans="2:5">
      <c r="B898" t="s">
        <v>2694</v>
      </c>
      <c r="C898" t="s">
        <v>1262</v>
      </c>
      <c r="D898" t="s">
        <v>25</v>
      </c>
      <c r="E898">
        <f>SUMIF(数据源!R1838:R10404,C898,数据源!M1838:M10404)</f>
        <v>1979.1</v>
      </c>
    </row>
    <row r="899" spans="2:5">
      <c r="B899" t="s">
        <v>2700</v>
      </c>
      <c r="C899" t="s">
        <v>1760</v>
      </c>
      <c r="D899" t="s">
        <v>25</v>
      </c>
      <c r="E899">
        <f>SUMIF(数据源!R1548:R10114,C899,数据源!M1548:M10114)</f>
        <v>1981.82</v>
      </c>
    </row>
    <row r="900" spans="2:5">
      <c r="B900" t="s">
        <v>2694</v>
      </c>
      <c r="C900" t="s">
        <v>2487</v>
      </c>
      <c r="D900" t="s">
        <v>25</v>
      </c>
      <c r="E900">
        <f>SUMIF(数据源!R1811:R10377,C900,数据源!M1811:M10377)</f>
        <v>1974.5</v>
      </c>
    </row>
    <row r="901" spans="2:5">
      <c r="B901" t="s">
        <v>2697</v>
      </c>
      <c r="C901" t="s">
        <v>2290</v>
      </c>
      <c r="D901" t="s">
        <v>26</v>
      </c>
      <c r="E901">
        <f>SUMIF(数据源!R2122:R10688,C901,数据源!M2122:M10688)</f>
        <v>1967.57</v>
      </c>
    </row>
    <row r="902" spans="2:5">
      <c r="B902" t="s">
        <v>2691</v>
      </c>
      <c r="C902" t="s">
        <v>807</v>
      </c>
      <c r="D902" t="s">
        <v>26</v>
      </c>
      <c r="E902">
        <f>SUMIF(数据源!R2070:R10636,C902,数据源!M2070:M10636)</f>
        <v>1958.32</v>
      </c>
    </row>
    <row r="903" spans="2:5">
      <c r="B903" t="s">
        <v>2697</v>
      </c>
      <c r="C903" t="s">
        <v>2411</v>
      </c>
      <c r="D903" t="s">
        <v>26</v>
      </c>
      <c r="E903">
        <f>SUMIF(数据源!R2349:R10915,C903,数据源!M2349:M10915)</f>
        <v>1953.85</v>
      </c>
    </row>
    <row r="904" spans="2:5">
      <c r="B904" t="s">
        <v>2689</v>
      </c>
      <c r="C904" t="s">
        <v>1255</v>
      </c>
      <c r="D904" t="s">
        <v>25</v>
      </c>
      <c r="E904">
        <f>SUMIF(数据源!R37:R8603,C904,数据源!M37:M8603)</f>
        <v>7207.03</v>
      </c>
    </row>
    <row r="905" spans="2:5">
      <c r="B905" t="s">
        <v>2689</v>
      </c>
      <c r="C905" t="s">
        <v>1059</v>
      </c>
      <c r="D905" t="s">
        <v>25</v>
      </c>
      <c r="E905">
        <f>SUMIF(数据源!R29:R8595,C905,数据源!M29:M8595)</f>
        <v>2105.08</v>
      </c>
    </row>
    <row r="906" spans="2:5">
      <c r="B906" t="s">
        <v>2692</v>
      </c>
      <c r="C906" t="s">
        <v>1851</v>
      </c>
      <c r="D906" t="s">
        <v>25</v>
      </c>
      <c r="E906">
        <f>SUMIF(数据源!R549:R9115,C906,数据源!M549:M9115)</f>
        <v>1929.38</v>
      </c>
    </row>
    <row r="907" spans="2:5">
      <c r="B907" t="s">
        <v>2700</v>
      </c>
      <c r="C907" t="s">
        <v>1969</v>
      </c>
      <c r="D907" t="s">
        <v>25</v>
      </c>
      <c r="E907">
        <f>SUMIF(数据源!R1522:R10088,C907,数据源!M1522:M10088)</f>
        <v>1905.14</v>
      </c>
    </row>
    <row r="908" spans="2:5">
      <c r="B908" t="s">
        <v>2687</v>
      </c>
      <c r="C908" t="s">
        <v>2542</v>
      </c>
      <c r="D908" t="s">
        <v>25</v>
      </c>
      <c r="E908">
        <f>SUMIF(数据源!R677:R9243,C908,数据源!M677:M9243)</f>
        <v>1882.0475</v>
      </c>
    </row>
    <row r="909" spans="2:5">
      <c r="B909" t="s">
        <v>2688</v>
      </c>
      <c r="C909" t="s">
        <v>1617</v>
      </c>
      <c r="D909" t="s">
        <v>25</v>
      </c>
      <c r="E909">
        <f>SUMIF(数据源!R827:R9393,C909,数据源!M827:M9393)</f>
        <v>1875.67</v>
      </c>
    </row>
    <row r="910" spans="2:5">
      <c r="B910" t="s">
        <v>2694</v>
      </c>
      <c r="C910" t="s">
        <v>581</v>
      </c>
      <c r="D910" t="s">
        <v>25</v>
      </c>
      <c r="E910">
        <f>SUMIF(数据源!R1841:R10407,C910,数据源!M1841:M10407)</f>
        <v>1632.34</v>
      </c>
    </row>
    <row r="911" spans="2:5">
      <c r="B911" t="s">
        <v>2688</v>
      </c>
      <c r="C911" t="s">
        <v>1542</v>
      </c>
      <c r="D911" t="s">
        <v>25</v>
      </c>
      <c r="E911">
        <f>SUMIF(数据源!R1050:R9616,C911,数据源!M1050:M9616)</f>
        <v>2518.12</v>
      </c>
    </row>
    <row r="912" spans="2:5">
      <c r="B912" t="s">
        <v>2696</v>
      </c>
      <c r="C912" t="s">
        <v>1963</v>
      </c>
      <c r="D912" t="s">
        <v>27</v>
      </c>
      <c r="E912">
        <f>SUMIF(数据源!R2776:R11342,C912,数据源!M2776:M11342)</f>
        <v>1314.4</v>
      </c>
    </row>
    <row r="913" spans="2:5">
      <c r="B913" t="s">
        <v>2685</v>
      </c>
      <c r="C913" t="s">
        <v>2254</v>
      </c>
      <c r="D913" t="s">
        <v>25</v>
      </c>
      <c r="E913">
        <f>SUMIF(数据源!R299:R8865,C913,数据源!M299:M8865)</f>
        <v>1816.92</v>
      </c>
    </row>
    <row r="914" spans="2:5">
      <c r="B914" t="s">
        <v>2692</v>
      </c>
      <c r="C914" t="s">
        <v>320</v>
      </c>
      <c r="D914" t="s">
        <v>25</v>
      </c>
      <c r="E914">
        <f>SUMIF(数据源!R569:R9135,C914,数据源!M569:M9135)</f>
        <v>1670.22</v>
      </c>
    </row>
    <row r="915" spans="2:5">
      <c r="B915" t="s">
        <v>2688</v>
      </c>
      <c r="C915" t="s">
        <v>146</v>
      </c>
      <c r="D915" t="s">
        <v>25</v>
      </c>
      <c r="E915">
        <f>SUMIF(数据源!R796:R9362,C915,数据源!M796:M9362)</f>
        <v>1809.57</v>
      </c>
    </row>
    <row r="916" spans="2:5">
      <c r="B916" t="s">
        <v>2700</v>
      </c>
      <c r="C916" t="s">
        <v>438</v>
      </c>
      <c r="D916" t="s">
        <v>25</v>
      </c>
      <c r="E916">
        <f>SUMIF(数据源!R1490:R10056,C916,数据源!M1490:M10056)</f>
        <v>1804.23</v>
      </c>
    </row>
    <row r="917" spans="2:5">
      <c r="B917" t="s">
        <v>2696</v>
      </c>
      <c r="C917" t="s">
        <v>2242</v>
      </c>
      <c r="D917" t="s">
        <v>27</v>
      </c>
      <c r="E917">
        <f>SUMIF(数据源!R2656:R11222,C917,数据源!M2656:M11222)</f>
        <v>1794.55</v>
      </c>
    </row>
    <row r="918" spans="2:5">
      <c r="B918" t="s">
        <v>2691</v>
      </c>
      <c r="C918" t="s">
        <v>333</v>
      </c>
      <c r="D918" t="s">
        <v>26</v>
      </c>
      <c r="E918">
        <f>SUMIF(数据源!R1954:R10520,C918,数据源!M1954:M10520)</f>
        <v>1191.67</v>
      </c>
    </row>
    <row r="919" spans="2:5">
      <c r="B919" t="s">
        <v>2690</v>
      </c>
      <c r="C919" t="s">
        <v>694</v>
      </c>
      <c r="D919" t="s">
        <v>25</v>
      </c>
      <c r="E919">
        <f>SUMIF(数据源!R1276:R9842,C919,数据源!M1276:M9842)</f>
        <v>1777.15</v>
      </c>
    </row>
    <row r="920" spans="2:5">
      <c r="B920" t="s">
        <v>2686</v>
      </c>
      <c r="C920" t="s">
        <v>2210</v>
      </c>
      <c r="D920" t="s">
        <v>27</v>
      </c>
      <c r="E920">
        <f>SUMIF(数据源!R2984:R11550,C920,数据源!M2984:M11550)</f>
        <v>1776.94</v>
      </c>
    </row>
    <row r="921" spans="2:5">
      <c r="B921" t="s">
        <v>2686</v>
      </c>
      <c r="C921" t="s">
        <v>2491</v>
      </c>
      <c r="D921" t="s">
        <v>27</v>
      </c>
      <c r="E921">
        <f>SUMIF(数据源!R2929:R11495,C921,数据源!M2929:M11495)</f>
        <v>1769.74</v>
      </c>
    </row>
    <row r="922" spans="2:5">
      <c r="B922" t="s">
        <v>2698</v>
      </c>
      <c r="C922" t="s">
        <v>1843</v>
      </c>
      <c r="D922" t="s">
        <v>27</v>
      </c>
      <c r="E922">
        <f>SUMIF(数据源!R3171:R11737,C922,数据源!M3171:M11737)</f>
        <v>1760.0525</v>
      </c>
    </row>
    <row r="923" spans="2:5">
      <c r="B923" t="s">
        <v>2690</v>
      </c>
      <c r="C923" t="s">
        <v>251</v>
      </c>
      <c r="D923" t="s">
        <v>25</v>
      </c>
      <c r="E923">
        <f>SUMIF(数据源!R1333:R9899,C923,数据源!M1333:M9899)</f>
        <v>1734.68</v>
      </c>
    </row>
    <row r="924" spans="2:5">
      <c r="B924" t="s">
        <v>2690</v>
      </c>
      <c r="C924" t="s">
        <v>2261</v>
      </c>
      <c r="D924" t="s">
        <v>25</v>
      </c>
      <c r="E924">
        <f>SUMIF(数据源!R1343:R9909,C924,数据源!M1343:M9909)</f>
        <v>1729.24</v>
      </c>
    </row>
    <row r="925" spans="2:5">
      <c r="B925" t="s">
        <v>2696</v>
      </c>
      <c r="C925" t="s">
        <v>794</v>
      </c>
      <c r="D925" t="s">
        <v>27</v>
      </c>
      <c r="E925">
        <f>SUMIF(数据源!R2649:R11215,C925,数据源!M2649:M11215)</f>
        <v>1021.71</v>
      </c>
    </row>
    <row r="926" spans="2:5">
      <c r="B926" t="s">
        <v>2699</v>
      </c>
      <c r="C926" t="s">
        <v>1599</v>
      </c>
      <c r="D926" t="s">
        <v>26</v>
      </c>
      <c r="E926">
        <f>SUMIF(数据源!R2482:R11048,C926,数据源!M2482:M11048)</f>
        <v>1718.6605</v>
      </c>
    </row>
    <row r="927" spans="2:5">
      <c r="B927" t="s">
        <v>2696</v>
      </c>
      <c r="C927" t="s">
        <v>1146</v>
      </c>
      <c r="D927" t="s">
        <v>27</v>
      </c>
      <c r="E927">
        <f>SUMIF(数据源!R2612:R11178,C927,数据源!M2612:M11178)</f>
        <v>1713.38</v>
      </c>
    </row>
    <row r="928" spans="2:5">
      <c r="B928" t="s">
        <v>2699</v>
      </c>
      <c r="C928" t="s">
        <v>1973</v>
      </c>
      <c r="D928" t="s">
        <v>26</v>
      </c>
      <c r="E928">
        <f>SUMIF(数据源!R2465:R11031,C928,数据源!M2465:M11031)</f>
        <v>1331.43</v>
      </c>
    </row>
    <row r="929" spans="2:5">
      <c r="B929" t="s">
        <v>2694</v>
      </c>
      <c r="C929" t="s">
        <v>1526</v>
      </c>
      <c r="D929" t="s">
        <v>25</v>
      </c>
      <c r="E929">
        <f>SUMIF(数据源!R1677:R10243,C929,数据源!M1677:M10243)</f>
        <v>17766.833</v>
      </c>
    </row>
    <row r="930" spans="2:5">
      <c r="B930" t="s">
        <v>2689</v>
      </c>
      <c r="C930" t="s">
        <v>1322</v>
      </c>
      <c r="D930" t="s">
        <v>25</v>
      </c>
      <c r="E930">
        <f>SUMIF(数据源!R46:R8612,C930,数据源!M46:M8612)</f>
        <v>8596.83</v>
      </c>
    </row>
    <row r="931" spans="2:5">
      <c r="B931" t="s">
        <v>2685</v>
      </c>
      <c r="C931" t="s">
        <v>1915</v>
      </c>
      <c r="D931" t="s">
        <v>25</v>
      </c>
      <c r="E931">
        <f>SUMIF(数据源!R252:R8818,C931,数据源!M252:M8818)</f>
        <v>1684.1085</v>
      </c>
    </row>
    <row r="932" spans="2:5">
      <c r="B932" t="s">
        <v>2688</v>
      </c>
      <c r="C932" t="s">
        <v>1032</v>
      </c>
      <c r="D932" t="s">
        <v>25</v>
      </c>
      <c r="E932">
        <f>SUMIF(数据源!R836:R9402,C932,数据源!M836:M9402)</f>
        <v>1680.15</v>
      </c>
    </row>
    <row r="933" spans="2:5">
      <c r="B933" t="s">
        <v>2701</v>
      </c>
      <c r="C933" t="s">
        <v>625</v>
      </c>
      <c r="D933" t="s">
        <v>25</v>
      </c>
      <c r="E933">
        <f>SUMIF(数据源!R1590:R10156,C933,数据源!M1590:M10156)</f>
        <v>722.49</v>
      </c>
    </row>
    <row r="934" spans="2:5">
      <c r="B934" t="s">
        <v>2696</v>
      </c>
      <c r="C934" t="s">
        <v>872</v>
      </c>
      <c r="D934" t="s">
        <v>27</v>
      </c>
      <c r="E934">
        <f>SUMIF(数据源!R2808:R11374,C934,数据源!M2808:M11374)</f>
        <v>1458.55</v>
      </c>
    </row>
    <row r="935" spans="2:5">
      <c r="B935" t="s">
        <v>2698</v>
      </c>
      <c r="C935" t="s">
        <v>379</v>
      </c>
      <c r="D935" t="s">
        <v>27</v>
      </c>
      <c r="E935">
        <f>SUMIF(数据源!R3297:R11863,C935,数据源!M3297:M11863)</f>
        <v>1659.04</v>
      </c>
    </row>
    <row r="936" spans="2:5">
      <c r="B936" t="s">
        <v>2699</v>
      </c>
      <c r="C936" t="s">
        <v>580</v>
      </c>
      <c r="D936" t="s">
        <v>26</v>
      </c>
      <c r="E936">
        <f>SUMIF(数据源!R2500:R11066,C936,数据源!M2500:M11066)</f>
        <v>1341.31</v>
      </c>
    </row>
    <row r="937" spans="2:5">
      <c r="B937" t="s">
        <v>2697</v>
      </c>
      <c r="C937" t="s">
        <v>2671</v>
      </c>
      <c r="D937" t="s">
        <v>26</v>
      </c>
      <c r="E937">
        <f>SUMIF(数据源!R2123:R10689,C937,数据源!M2123:M10689)</f>
        <v>1649.76</v>
      </c>
    </row>
    <row r="938" spans="2:5">
      <c r="B938" t="s">
        <v>2697</v>
      </c>
      <c r="C938" t="s">
        <v>2129</v>
      </c>
      <c r="D938" t="s">
        <v>26</v>
      </c>
      <c r="E938">
        <f>SUMIF(数据源!R2228:R10794,C938,数据源!M2228:M10794)</f>
        <v>1639.5</v>
      </c>
    </row>
    <row r="939" spans="2:5">
      <c r="B939" t="s">
        <v>2687</v>
      </c>
      <c r="C939" t="s">
        <v>1095</v>
      </c>
      <c r="D939" t="s">
        <v>25</v>
      </c>
      <c r="E939">
        <f>SUMIF(数据源!R708:R9274,C939,数据源!M708:M9274)</f>
        <v>1702.0325</v>
      </c>
    </row>
    <row r="940" spans="2:5">
      <c r="B940" t="s">
        <v>2685</v>
      </c>
      <c r="C940" t="s">
        <v>1202</v>
      </c>
      <c r="D940" t="s">
        <v>25</v>
      </c>
      <c r="E940">
        <f>SUMIF(数据源!R318:R8884,C940,数据源!M318:M8884)</f>
        <v>1637.55</v>
      </c>
    </row>
    <row r="941" spans="2:5">
      <c r="B941" t="s">
        <v>2695</v>
      </c>
      <c r="C941" t="s">
        <v>1442</v>
      </c>
      <c r="D941" t="s">
        <v>26</v>
      </c>
      <c r="E941">
        <f>SUMIF(数据源!R1914:R10480,C941,数据源!M1914:M10480)</f>
        <v>1502.223</v>
      </c>
    </row>
    <row r="942" spans="2:5">
      <c r="B942" t="s">
        <v>2685</v>
      </c>
      <c r="C942" t="s">
        <v>1645</v>
      </c>
      <c r="D942" t="s">
        <v>25</v>
      </c>
      <c r="E942">
        <f>SUMIF(数据源!R438:R9004,C942,数据源!M438:M9004)</f>
        <v>1621.44</v>
      </c>
    </row>
    <row r="943" spans="2:5">
      <c r="B943" t="s">
        <v>2685</v>
      </c>
      <c r="C943" t="s">
        <v>1624</v>
      </c>
      <c r="D943" t="s">
        <v>25</v>
      </c>
      <c r="E943">
        <f>SUMIF(数据源!R400:R8966,C943,数据源!M400:M8966)</f>
        <v>1619.34</v>
      </c>
    </row>
    <row r="944" spans="2:5">
      <c r="B944" t="s">
        <v>2698</v>
      </c>
      <c r="C944" t="s">
        <v>2319</v>
      </c>
      <c r="D944" t="s">
        <v>27</v>
      </c>
      <c r="E944">
        <f>SUMIF(数据源!R3127:R11693,C944,数据源!M3127:M11693)</f>
        <v>1615.64</v>
      </c>
    </row>
    <row r="945" spans="2:5">
      <c r="B945" t="s">
        <v>2686</v>
      </c>
      <c r="C945" t="s">
        <v>531</v>
      </c>
      <c r="D945" t="s">
        <v>27</v>
      </c>
      <c r="E945">
        <f>SUMIF(数据源!R2959:R11525,C945,数据源!M2959:M11525)</f>
        <v>1264.13</v>
      </c>
    </row>
    <row r="946" spans="2:5">
      <c r="B946" t="s">
        <v>2698</v>
      </c>
      <c r="C946" t="s">
        <v>427</v>
      </c>
      <c r="D946" t="s">
        <v>27</v>
      </c>
      <c r="E946">
        <f>SUMIF(数据源!R3039:R11605,C946,数据源!M3039:M11605)</f>
        <v>895.15</v>
      </c>
    </row>
    <row r="947" spans="2:5">
      <c r="B947" t="s">
        <v>2689</v>
      </c>
      <c r="C947" t="s">
        <v>1451</v>
      </c>
      <c r="D947" t="s">
        <v>25</v>
      </c>
      <c r="E947">
        <f>SUMIF(数据源!R12:R8578,C947,数据源!M12:M8578)</f>
        <v>1588.12</v>
      </c>
    </row>
    <row r="948" spans="2:5">
      <c r="B948" t="s">
        <v>2696</v>
      </c>
      <c r="C948" t="s">
        <v>2494</v>
      </c>
      <c r="D948" t="s">
        <v>27</v>
      </c>
      <c r="E948">
        <f>SUMIF(数据源!R2674:R11240,C948,数据源!M2674:M11240)</f>
        <v>1587.59</v>
      </c>
    </row>
    <row r="949" spans="2:5">
      <c r="B949" t="s">
        <v>2698</v>
      </c>
      <c r="C949" t="s">
        <v>637</v>
      </c>
      <c r="D949" t="s">
        <v>27</v>
      </c>
      <c r="E949">
        <f>SUMIF(数据源!R3180:R11746,C949,数据源!M3180:M11746)</f>
        <v>1308.196</v>
      </c>
    </row>
    <row r="950" spans="2:5">
      <c r="B950" t="s">
        <v>2690</v>
      </c>
      <c r="C950" t="s">
        <v>844</v>
      </c>
      <c r="D950" t="s">
        <v>25</v>
      </c>
      <c r="E950">
        <f>SUMIF(数据源!R1321:R9887,C950,数据源!M1321:M9887)</f>
        <v>1584.37</v>
      </c>
    </row>
    <row r="951" spans="2:5">
      <c r="B951" t="s">
        <v>2685</v>
      </c>
      <c r="C951" t="s">
        <v>2006</v>
      </c>
      <c r="D951" t="s">
        <v>25</v>
      </c>
      <c r="E951">
        <f>SUMIF(数据源!R259:R8825,C951,数据源!M259:M8825)</f>
        <v>1567.14</v>
      </c>
    </row>
    <row r="952" spans="2:5">
      <c r="B952" t="s">
        <v>2692</v>
      </c>
      <c r="C952" t="s">
        <v>1699</v>
      </c>
      <c r="D952" t="s">
        <v>25</v>
      </c>
      <c r="E952">
        <f>SUMIF(数据源!R558:R9124,C952,数据源!M558:M9124)</f>
        <v>1554.731</v>
      </c>
    </row>
    <row r="953" spans="2:5">
      <c r="B953" t="s">
        <v>2698</v>
      </c>
      <c r="C953" t="s">
        <v>59</v>
      </c>
      <c r="D953" t="s">
        <v>27</v>
      </c>
      <c r="E953">
        <f>SUMIF(数据源!R3022:R11588,C953,数据源!M3022:M11588)</f>
        <v>1376.5505</v>
      </c>
    </row>
    <row r="954" spans="2:5">
      <c r="B954" t="s">
        <v>2696</v>
      </c>
      <c r="C954" t="s">
        <v>468</v>
      </c>
      <c r="D954" t="s">
        <v>27</v>
      </c>
      <c r="E954">
        <f>SUMIF(数据源!R2719:R11285,C954,数据源!M2719:M11285)</f>
        <v>1546.3965</v>
      </c>
    </row>
    <row r="955" spans="2:5">
      <c r="B955" t="s">
        <v>2698</v>
      </c>
      <c r="C955" t="s">
        <v>2433</v>
      </c>
      <c r="D955" t="s">
        <v>27</v>
      </c>
      <c r="E955">
        <f>SUMIF(数据源!R3213:R11779,C955,数据源!M3213:M11779)</f>
        <v>1546.02</v>
      </c>
    </row>
    <row r="956" spans="2:5">
      <c r="B956" t="s">
        <v>2692</v>
      </c>
      <c r="C956" t="s">
        <v>1333</v>
      </c>
      <c r="D956" t="s">
        <v>25</v>
      </c>
      <c r="E956">
        <f>SUMIF(数据源!R605:R9171,C956,数据源!M605:M9171)</f>
        <v>2967.37</v>
      </c>
    </row>
    <row r="957" spans="2:5">
      <c r="B957" t="s">
        <v>2688</v>
      </c>
      <c r="C957" t="s">
        <v>1144</v>
      </c>
      <c r="D957" t="s">
        <v>25</v>
      </c>
      <c r="E957">
        <f>SUMIF(数据源!R1008:R9574,C957,数据源!M1008:M9574)</f>
        <v>1538.95</v>
      </c>
    </row>
    <row r="958" spans="2:5">
      <c r="B958" t="s">
        <v>2685</v>
      </c>
      <c r="C958" t="s">
        <v>824</v>
      </c>
      <c r="D958" t="s">
        <v>25</v>
      </c>
      <c r="E958">
        <f>SUMIF(数据源!R451:R9017,C958,数据源!M451:M9017)</f>
        <v>1697.16</v>
      </c>
    </row>
    <row r="959" spans="2:5">
      <c r="B959" t="s">
        <v>2698</v>
      </c>
      <c r="C959" t="s">
        <v>53</v>
      </c>
      <c r="D959" t="s">
        <v>27</v>
      </c>
      <c r="E959">
        <f>SUMIF(数据源!R3073:R11639,C959,数据源!M3073:M11639)</f>
        <v>0</v>
      </c>
    </row>
    <row r="960" spans="2:5">
      <c r="B960" t="s">
        <v>2691</v>
      </c>
      <c r="C960" t="s">
        <v>962</v>
      </c>
      <c r="D960" t="s">
        <v>26</v>
      </c>
      <c r="E960">
        <f>SUMIF(数据源!R2032:R10598,C960,数据源!M2032:M10598)</f>
        <v>620.19</v>
      </c>
    </row>
    <row r="961" spans="2:5">
      <c r="B961" t="s">
        <v>2688</v>
      </c>
      <c r="C961" t="s">
        <v>2564</v>
      </c>
      <c r="D961" t="s">
        <v>25</v>
      </c>
      <c r="E961">
        <f>SUMIF(数据源!R912:R9478,C961,数据源!M912:M9478)</f>
        <v>1537.5</v>
      </c>
    </row>
    <row r="962" spans="2:5">
      <c r="B962" t="s">
        <v>2690</v>
      </c>
      <c r="C962" t="s">
        <v>1864</v>
      </c>
      <c r="D962" t="s">
        <v>25</v>
      </c>
      <c r="E962">
        <f>SUMIF(数据源!R1327:R9893,C962,数据源!M1327:M9893)</f>
        <v>1534.69</v>
      </c>
    </row>
    <row r="963" spans="2:5">
      <c r="B963" t="s">
        <v>2698</v>
      </c>
      <c r="C963" t="s">
        <v>198</v>
      </c>
      <c r="D963" t="s">
        <v>27</v>
      </c>
      <c r="E963">
        <f>SUMIF(数据源!R3113:R11679,C963,数据源!M3113:M11679)</f>
        <v>1506.8375</v>
      </c>
    </row>
    <row r="964" spans="2:5">
      <c r="B964" t="s">
        <v>2688</v>
      </c>
      <c r="C964" t="s">
        <v>801</v>
      </c>
      <c r="D964" t="s">
        <v>25</v>
      </c>
      <c r="E964">
        <f>SUMIF(数据源!R1057:R9623,C964,数据源!M1057:M9623)</f>
        <v>1501.71</v>
      </c>
    </row>
    <row r="965" spans="2:5">
      <c r="B965" t="s">
        <v>2689</v>
      </c>
      <c r="C965" t="s">
        <v>2000</v>
      </c>
      <c r="D965" t="s">
        <v>25</v>
      </c>
      <c r="E965">
        <f>SUMIF(数据源!R128:R8694,C965,数据源!M128:M8694)</f>
        <v>1500.67</v>
      </c>
    </row>
    <row r="966" spans="2:5">
      <c r="B966" t="s">
        <v>2685</v>
      </c>
      <c r="C966" t="s">
        <v>1516</v>
      </c>
      <c r="D966" t="s">
        <v>25</v>
      </c>
      <c r="E966">
        <f>SUMIF(数据源!R383:R8949,C966,数据源!M383:M8949)</f>
        <v>1491.269</v>
      </c>
    </row>
    <row r="967" spans="2:5">
      <c r="B967" t="s">
        <v>2691</v>
      </c>
      <c r="C967" t="s">
        <v>655</v>
      </c>
      <c r="D967" t="s">
        <v>26</v>
      </c>
      <c r="E967">
        <f>SUMIF(数据源!R1987:R10553,C967,数据源!M1987:M10553)</f>
        <v>1423.1975</v>
      </c>
    </row>
    <row r="968" spans="2:5">
      <c r="B968" t="s">
        <v>2697</v>
      </c>
      <c r="C968" t="s">
        <v>2305</v>
      </c>
      <c r="D968" t="s">
        <v>26</v>
      </c>
      <c r="E968">
        <f>SUMIF(数据源!R2250:R10816,C968,数据源!M2250:M10816)</f>
        <v>1477.94</v>
      </c>
    </row>
    <row r="969" spans="2:5">
      <c r="B969" t="s">
        <v>2699</v>
      </c>
      <c r="C969" t="s">
        <v>2173</v>
      </c>
      <c r="D969" t="s">
        <v>26</v>
      </c>
      <c r="E969">
        <f>SUMIF(数据源!R2486:R11052,C969,数据源!M2486:M11052)</f>
        <v>1469.24</v>
      </c>
    </row>
    <row r="970" spans="2:5">
      <c r="B970" t="s">
        <v>2685</v>
      </c>
      <c r="C970" t="s">
        <v>2662</v>
      </c>
      <c r="D970" t="s">
        <v>25</v>
      </c>
      <c r="E970">
        <f>SUMIF(数据源!R489:R9055,C970,数据源!M489:M9055)</f>
        <v>1424.08</v>
      </c>
    </row>
    <row r="971" spans="2:5">
      <c r="B971" t="s">
        <v>2688</v>
      </c>
      <c r="C971" t="s">
        <v>2307</v>
      </c>
      <c r="D971" t="s">
        <v>25</v>
      </c>
      <c r="E971">
        <f>SUMIF(数据源!R1083:R9649,C971,数据源!M1083:M9649)</f>
        <v>1418.26</v>
      </c>
    </row>
    <row r="972" spans="2:5">
      <c r="B972" t="s">
        <v>2701</v>
      </c>
      <c r="C972" t="s">
        <v>981</v>
      </c>
      <c r="D972" t="s">
        <v>25</v>
      </c>
      <c r="E972">
        <f>SUMIF(数据源!R1624:R10190,C972,数据源!M1624:M10190)</f>
        <v>1409.65</v>
      </c>
    </row>
    <row r="973" spans="2:5">
      <c r="B973" t="s">
        <v>2699</v>
      </c>
      <c r="C973" t="s">
        <v>316</v>
      </c>
      <c r="D973" t="s">
        <v>26</v>
      </c>
      <c r="E973">
        <f>SUMIF(数据源!R2424:R10990,C973,数据源!M2424:M10990)</f>
        <v>1402.09</v>
      </c>
    </row>
    <row r="974" spans="2:5">
      <c r="B974" t="s">
        <v>2697</v>
      </c>
      <c r="C974" t="s">
        <v>978</v>
      </c>
      <c r="D974" t="s">
        <v>26</v>
      </c>
      <c r="E974">
        <f>SUMIF(数据源!R2187:R10753,C974,数据源!M2187:M10753)</f>
        <v>935.14</v>
      </c>
    </row>
    <row r="975" spans="2:5">
      <c r="B975" t="s">
        <v>2689</v>
      </c>
      <c r="C975" t="s">
        <v>1839</v>
      </c>
      <c r="D975" t="s">
        <v>25</v>
      </c>
      <c r="E975">
        <f>SUMIF(数据源!R14:R8580,C975,数据源!M14:M8580)</f>
        <v>1385.201</v>
      </c>
    </row>
    <row r="976" spans="2:5">
      <c r="B976" t="s">
        <v>2686</v>
      </c>
      <c r="C976" t="s">
        <v>1886</v>
      </c>
      <c r="D976" t="s">
        <v>27</v>
      </c>
      <c r="E976">
        <f>SUMIF(数据源!R2899:R11465,C976,数据源!M2899:M11465)</f>
        <v>1154.71</v>
      </c>
    </row>
    <row r="977" spans="2:5">
      <c r="B977" t="s">
        <v>2690</v>
      </c>
      <c r="C977" t="s">
        <v>2543</v>
      </c>
      <c r="D977" t="s">
        <v>25</v>
      </c>
      <c r="E977">
        <f>SUMIF(数据源!R1300:R9866,C977,数据源!M1300:M9866)</f>
        <v>1374.9235</v>
      </c>
    </row>
    <row r="978" spans="2:5">
      <c r="B978" t="s">
        <v>2699</v>
      </c>
      <c r="C978" t="s">
        <v>833</v>
      </c>
      <c r="D978" t="s">
        <v>26</v>
      </c>
      <c r="E978">
        <f>SUMIF(数据源!R2548:R11114,C978,数据源!M2548:M11114)</f>
        <v>1133.21</v>
      </c>
    </row>
    <row r="979" spans="2:5">
      <c r="B979" t="s">
        <v>2685</v>
      </c>
      <c r="C979" t="s">
        <v>244</v>
      </c>
      <c r="D979" t="s">
        <v>25</v>
      </c>
      <c r="E979">
        <f>SUMIF(数据源!R184:R8750,C979,数据源!M184:M8750)</f>
        <v>1365.01</v>
      </c>
    </row>
    <row r="980" spans="2:5">
      <c r="B980" t="s">
        <v>2687</v>
      </c>
      <c r="C980" t="s">
        <v>318</v>
      </c>
      <c r="D980" t="s">
        <v>25</v>
      </c>
      <c r="E980">
        <f>SUMIF(数据源!R639:R9205,C980,数据源!M639:M9205)</f>
        <v>1315.11</v>
      </c>
    </row>
    <row r="981" spans="2:5">
      <c r="B981" t="s">
        <v>2688</v>
      </c>
      <c r="C981" t="s">
        <v>1845</v>
      </c>
      <c r="D981" t="s">
        <v>25</v>
      </c>
      <c r="E981">
        <f>SUMIF(数据源!R759:R9325,C981,数据源!M759:M9325)</f>
        <v>1360.95</v>
      </c>
    </row>
    <row r="982" spans="2:5">
      <c r="B982" t="s">
        <v>2698</v>
      </c>
      <c r="C982" t="s">
        <v>798</v>
      </c>
      <c r="D982" t="s">
        <v>27</v>
      </c>
      <c r="E982">
        <f>SUMIF(数据源!R3019:R11585,C982,数据源!M3019:M11585)</f>
        <v>503.62</v>
      </c>
    </row>
    <row r="983" spans="2:5">
      <c r="B983" t="s">
        <v>2697</v>
      </c>
      <c r="C983" t="s">
        <v>2235</v>
      </c>
      <c r="D983" t="s">
        <v>26</v>
      </c>
      <c r="E983">
        <f>SUMIF(数据源!R2093:R10659,C983,数据源!M2093:M10659)</f>
        <v>1351.76</v>
      </c>
    </row>
    <row r="984" spans="2:5">
      <c r="B984" t="s">
        <v>2699</v>
      </c>
      <c r="C984" t="s">
        <v>1943</v>
      </c>
      <c r="D984" t="s">
        <v>26</v>
      </c>
      <c r="E984">
        <f>SUMIF(数据源!R2414:R10980,C984,数据源!M2414:M10980)</f>
        <v>1311.67</v>
      </c>
    </row>
    <row r="985" spans="2:5">
      <c r="B985" t="s">
        <v>2688</v>
      </c>
      <c r="C985" t="s">
        <v>839</v>
      </c>
      <c r="D985" t="s">
        <v>25</v>
      </c>
      <c r="E985">
        <f>SUMIF(数据源!R1135:R9701,C985,数据源!M1135:M9701)</f>
        <v>1343.05</v>
      </c>
    </row>
    <row r="986" spans="2:5">
      <c r="B986" t="s">
        <v>2690</v>
      </c>
      <c r="C986" t="s">
        <v>2069</v>
      </c>
      <c r="D986" t="s">
        <v>25</v>
      </c>
      <c r="E986">
        <f>SUMIF(数据源!R1466:R10032,C986,数据源!M1466:M10032)</f>
        <v>1318.73</v>
      </c>
    </row>
    <row r="987" spans="2:5">
      <c r="B987" t="s">
        <v>2685</v>
      </c>
      <c r="C987" t="s">
        <v>935</v>
      </c>
      <c r="D987" t="s">
        <v>25</v>
      </c>
      <c r="E987">
        <f>SUMIF(数据源!R448:R9014,C987,数据源!M448:M9014)</f>
        <v>1440.33</v>
      </c>
    </row>
    <row r="988" spans="2:5">
      <c r="B988" t="s">
        <v>2686</v>
      </c>
      <c r="C988" t="s">
        <v>1614</v>
      </c>
      <c r="D988" t="s">
        <v>27</v>
      </c>
      <c r="E988">
        <f>SUMIF(数据源!R3004:R11570,C988,数据源!M3004:M11570)</f>
        <v>1273.79</v>
      </c>
    </row>
    <row r="989" spans="2:5">
      <c r="B989" t="s">
        <v>2696</v>
      </c>
      <c r="C989" t="s">
        <v>1207</v>
      </c>
      <c r="D989" t="s">
        <v>27</v>
      </c>
      <c r="E989">
        <f>SUMIF(数据源!R2731:R11297,C989,数据源!M2731:M11297)</f>
        <v>1172.96</v>
      </c>
    </row>
    <row r="990" spans="2:5">
      <c r="B990" t="s">
        <v>2698</v>
      </c>
      <c r="C990" t="s">
        <v>2048</v>
      </c>
      <c r="D990" t="s">
        <v>27</v>
      </c>
      <c r="E990">
        <f>SUMIF(数据源!R3218:R11784,C990,数据源!M3218:M11784)</f>
        <v>995.693</v>
      </c>
    </row>
    <row r="991" spans="2:5">
      <c r="B991" t="s">
        <v>2689</v>
      </c>
      <c r="C991" t="s">
        <v>2248</v>
      </c>
      <c r="D991" t="s">
        <v>25</v>
      </c>
      <c r="E991">
        <f>SUMIF(数据源!R122:R8688,C991,数据源!M122:M8688)</f>
        <v>1296.674</v>
      </c>
    </row>
    <row r="992" spans="2:5">
      <c r="B992" t="s">
        <v>2685</v>
      </c>
      <c r="C992" t="s">
        <v>994</v>
      </c>
      <c r="D992" t="s">
        <v>25</v>
      </c>
      <c r="E992">
        <f>SUMIF(数据源!R378:R8944,C992,数据源!M378:M8944)</f>
        <v>1343.7585</v>
      </c>
    </row>
    <row r="993" spans="2:5">
      <c r="B993" t="s">
        <v>2685</v>
      </c>
      <c r="C993" t="s">
        <v>1177</v>
      </c>
      <c r="D993" t="s">
        <v>25</v>
      </c>
      <c r="E993">
        <f>SUMIF(数据源!R362:R8928,C993,数据源!M362:M8928)</f>
        <v>1270.76</v>
      </c>
    </row>
    <row r="994" spans="2:5">
      <c r="B994" t="s">
        <v>2689</v>
      </c>
      <c r="C994" t="s">
        <v>690</v>
      </c>
      <c r="D994" t="s">
        <v>25</v>
      </c>
      <c r="E994">
        <f>SUMIF(数据源!R84:R8650,C994,数据源!M84:M8650)</f>
        <v>1269.68</v>
      </c>
    </row>
    <row r="995" spans="2:5">
      <c r="B995" t="s">
        <v>2690</v>
      </c>
      <c r="C995" t="s">
        <v>1697</v>
      </c>
      <c r="D995" t="s">
        <v>25</v>
      </c>
      <c r="E995">
        <f>SUMIF(数据源!R1318:R9884,C995,数据源!M1318:M9884)</f>
        <v>1269.12</v>
      </c>
    </row>
    <row r="996" spans="2:5">
      <c r="B996" t="s">
        <v>2698</v>
      </c>
      <c r="C996" t="s">
        <v>662</v>
      </c>
      <c r="D996" t="s">
        <v>27</v>
      </c>
      <c r="E996">
        <f>SUMIF(数据源!R3153:R11719,C996,数据源!M3153:M11719)</f>
        <v>973.49</v>
      </c>
    </row>
    <row r="997" spans="2:5">
      <c r="B997" t="s">
        <v>2689</v>
      </c>
      <c r="C997" t="s">
        <v>757</v>
      </c>
      <c r="D997" t="s">
        <v>25</v>
      </c>
      <c r="E997">
        <f>SUMIF(数据源!R63:R8629,C997,数据源!M63:M8629)</f>
        <v>2809.78</v>
      </c>
    </row>
    <row r="998" spans="2:5">
      <c r="B998" t="s">
        <v>2688</v>
      </c>
      <c r="C998" t="s">
        <v>1135</v>
      </c>
      <c r="D998" t="s">
        <v>25</v>
      </c>
      <c r="E998">
        <f>SUMIF(数据源!R934:R9500,C998,数据源!M934:M9500)</f>
        <v>1248.35</v>
      </c>
    </row>
    <row r="999" spans="2:5">
      <c r="B999" t="s">
        <v>2690</v>
      </c>
      <c r="C999" t="s">
        <v>1693</v>
      </c>
      <c r="D999" t="s">
        <v>25</v>
      </c>
      <c r="E999">
        <f>SUMIF(数据源!R1337:R9903,C999,数据源!M1337:M9903)</f>
        <v>1245.07</v>
      </c>
    </row>
    <row r="1000" spans="2:5">
      <c r="B1000" t="s">
        <v>2686</v>
      </c>
      <c r="C1000" t="s">
        <v>1467</v>
      </c>
      <c r="D1000" t="s">
        <v>27</v>
      </c>
      <c r="E1000">
        <f>SUMIF(数据源!R2995:R11561,C1000,数据源!M2995:M11561)</f>
        <v>1076.58</v>
      </c>
    </row>
    <row r="1001" spans="2:5">
      <c r="B1001" t="s">
        <v>2698</v>
      </c>
      <c r="C1001" t="s">
        <v>985</v>
      </c>
      <c r="D1001" t="s">
        <v>27</v>
      </c>
      <c r="E1001">
        <f>SUMIF(数据源!R3301:R11867,C1001,数据源!M3301:M11867)</f>
        <v>761.64</v>
      </c>
    </row>
    <row r="1002" spans="2:5">
      <c r="B1002" t="s">
        <v>2687</v>
      </c>
      <c r="C1002" t="s">
        <v>2581</v>
      </c>
      <c r="D1002" t="s">
        <v>25</v>
      </c>
      <c r="E1002">
        <f>SUMIF(数据源!R731:R9297,C1002,数据源!M731:M9297)</f>
        <v>1217.5</v>
      </c>
    </row>
    <row r="1003" spans="2:5">
      <c r="B1003" t="s">
        <v>2690</v>
      </c>
      <c r="C1003" t="s">
        <v>287</v>
      </c>
      <c r="D1003" t="s">
        <v>25</v>
      </c>
      <c r="E1003">
        <f>SUMIF(数据源!R1437:R10003,C1003,数据源!M1437:M10003)</f>
        <v>1009.9</v>
      </c>
    </row>
    <row r="1004" spans="2:5">
      <c r="B1004" t="s">
        <v>2698</v>
      </c>
      <c r="C1004" t="s">
        <v>2480</v>
      </c>
      <c r="D1004" t="s">
        <v>27</v>
      </c>
      <c r="E1004">
        <f>SUMIF(数据源!R3210:R11776,C1004,数据源!M3210:M11776)</f>
        <v>1187.94</v>
      </c>
    </row>
    <row r="1005" spans="2:5">
      <c r="B1005" t="s">
        <v>2688</v>
      </c>
      <c r="C1005" t="s">
        <v>1709</v>
      </c>
      <c r="D1005" t="s">
        <v>25</v>
      </c>
      <c r="E1005">
        <f>SUMIF(数据源!R924:R9490,C1005,数据源!M924:M9490)</f>
        <v>1185.7</v>
      </c>
    </row>
    <row r="1006" spans="2:5">
      <c r="B1006" t="s">
        <v>2700</v>
      </c>
      <c r="C1006" t="s">
        <v>1893</v>
      </c>
      <c r="D1006" t="s">
        <v>25</v>
      </c>
      <c r="E1006">
        <f>SUMIF(数据源!R1512:R10078,C1006,数据源!M1512:M10078)</f>
        <v>1169.93</v>
      </c>
    </row>
    <row r="1007" spans="2:5">
      <c r="B1007" t="s">
        <v>2694</v>
      </c>
      <c r="C1007" t="s">
        <v>1224</v>
      </c>
      <c r="D1007" t="s">
        <v>25</v>
      </c>
      <c r="E1007">
        <f>SUMIF(数据源!R1688:R10254,C1007,数据源!M1688:M10254)</f>
        <v>748.56</v>
      </c>
    </row>
    <row r="1008" spans="2:5">
      <c r="B1008" t="s">
        <v>2686</v>
      </c>
      <c r="C1008" t="s">
        <v>1644</v>
      </c>
      <c r="D1008" t="s">
        <v>27</v>
      </c>
      <c r="E1008">
        <f>SUMIF(数据源!R2868:R11434,C1008,数据源!M2868:M11434)</f>
        <v>828.79</v>
      </c>
    </row>
    <row r="1009" spans="2:5">
      <c r="B1009" t="s">
        <v>2689</v>
      </c>
      <c r="C1009" t="s">
        <v>1481</v>
      </c>
      <c r="D1009" t="s">
        <v>25</v>
      </c>
      <c r="E1009">
        <f>SUMIF(数据源!R156:R8722,C1009,数据源!M156:M8722)</f>
        <v>2291.33</v>
      </c>
    </row>
    <row r="1010" spans="2:5">
      <c r="B1010" t="s">
        <v>2694</v>
      </c>
      <c r="C1010" t="s">
        <v>1842</v>
      </c>
      <c r="D1010" t="s">
        <v>25</v>
      </c>
      <c r="E1010">
        <f>SUMIF(数据源!R1666:R10232,C1010,数据源!M1666:M10232)</f>
        <v>1150.99</v>
      </c>
    </row>
    <row r="1011" spans="2:5">
      <c r="B1011" t="s">
        <v>2696</v>
      </c>
      <c r="C1011" t="s">
        <v>561</v>
      </c>
      <c r="D1011" t="s">
        <v>27</v>
      </c>
      <c r="E1011">
        <f>SUMIF(数据源!R2809:R11375,C1011,数据源!M2809:M11375)</f>
        <v>897.88</v>
      </c>
    </row>
    <row r="1012" spans="2:5">
      <c r="B1012" t="s">
        <v>2686</v>
      </c>
      <c r="C1012" t="s">
        <v>2476</v>
      </c>
      <c r="D1012" t="s">
        <v>27</v>
      </c>
      <c r="E1012">
        <f>SUMIF(数据源!R2993:R11559,C1012,数据源!M2993:M11559)</f>
        <v>1145.3275</v>
      </c>
    </row>
    <row r="1013" spans="2:5">
      <c r="B1013" t="s">
        <v>2685</v>
      </c>
      <c r="C1013" t="s">
        <v>2199</v>
      </c>
      <c r="D1013" t="s">
        <v>25</v>
      </c>
      <c r="E1013">
        <f>SUMIF(数据源!R529:R9095,C1013,数据源!M529:M9095)</f>
        <v>1135.05</v>
      </c>
    </row>
    <row r="1014" spans="2:5">
      <c r="B1014" t="s">
        <v>2696</v>
      </c>
      <c r="C1014" t="s">
        <v>918</v>
      </c>
      <c r="D1014" t="s">
        <v>27</v>
      </c>
      <c r="E1014">
        <f>SUMIF(数据源!R2608:R11174,C1014,数据源!M2608:M11174)</f>
        <v>1133.2575</v>
      </c>
    </row>
    <row r="1015" spans="2:5">
      <c r="B1015" t="s">
        <v>2686</v>
      </c>
      <c r="C1015" t="s">
        <v>447</v>
      </c>
      <c r="D1015" t="s">
        <v>27</v>
      </c>
      <c r="E1015">
        <f>SUMIF(数据源!R2889:R11455,C1015,数据源!M2889:M11455)</f>
        <v>1123.98</v>
      </c>
    </row>
    <row r="1016" spans="2:5">
      <c r="B1016" t="s">
        <v>2697</v>
      </c>
      <c r="C1016" t="s">
        <v>1102</v>
      </c>
      <c r="D1016" t="s">
        <v>26</v>
      </c>
      <c r="E1016">
        <f>SUMIF(数据源!R2149:R10715,C1016,数据源!M2149:M10715)</f>
        <v>413.8</v>
      </c>
    </row>
    <row r="1017" spans="2:5">
      <c r="B1017" t="s">
        <v>2685</v>
      </c>
      <c r="C1017" t="s">
        <v>939</v>
      </c>
      <c r="D1017" t="s">
        <v>25</v>
      </c>
      <c r="E1017">
        <f>SUMIF(数据源!R370:R8936,C1017,数据源!M370:M8936)</f>
        <v>2201.32</v>
      </c>
    </row>
    <row r="1018" spans="2:5">
      <c r="B1018" t="s">
        <v>2685</v>
      </c>
      <c r="C1018" t="s">
        <v>1021</v>
      </c>
      <c r="D1018" t="s">
        <v>25</v>
      </c>
      <c r="E1018">
        <f>SUMIF(数据源!R384:R8950,C1018,数据源!M384:M8950)</f>
        <v>1594.69</v>
      </c>
    </row>
    <row r="1019" spans="2:5">
      <c r="B1019" t="s">
        <v>2689</v>
      </c>
      <c r="C1019" t="s">
        <v>677</v>
      </c>
      <c r="D1019" t="s">
        <v>25</v>
      </c>
      <c r="E1019">
        <f>SUMIF(数据源!R51:R8617,C1019,数据源!M51:M8617)</f>
        <v>1561.35</v>
      </c>
    </row>
    <row r="1020" spans="2:5">
      <c r="B1020" t="s">
        <v>2692</v>
      </c>
      <c r="C1020" t="s">
        <v>1600</v>
      </c>
      <c r="D1020" t="s">
        <v>25</v>
      </c>
      <c r="E1020">
        <f>SUMIF(数据源!R557:R9123,C1020,数据源!M557:M9123)</f>
        <v>1108.2</v>
      </c>
    </row>
    <row r="1021" spans="2:5">
      <c r="B1021" t="s">
        <v>2698</v>
      </c>
      <c r="C1021" t="s">
        <v>1209</v>
      </c>
      <c r="D1021" t="s">
        <v>27</v>
      </c>
      <c r="E1021">
        <f>SUMIF(数据源!R3167:R11733,C1021,数据源!M3167:M11733)</f>
        <v>1105.91</v>
      </c>
    </row>
    <row r="1022" spans="2:5">
      <c r="B1022" t="s">
        <v>2694</v>
      </c>
      <c r="C1022" t="s">
        <v>787</v>
      </c>
      <c r="D1022" t="s">
        <v>25</v>
      </c>
      <c r="E1022">
        <f>SUMIF(数据源!R1792:R10358,C1022,数据源!M1792:M10358)</f>
        <v>1007.41</v>
      </c>
    </row>
    <row r="1023" spans="2:5">
      <c r="B1023" t="s">
        <v>2696</v>
      </c>
      <c r="C1023" t="s">
        <v>1731</v>
      </c>
      <c r="D1023" t="s">
        <v>27</v>
      </c>
      <c r="E1023">
        <f>SUMIF(数据源!R2669:R11235,C1023,数据源!M2669:M11235)</f>
        <v>971.44</v>
      </c>
    </row>
    <row r="1024" spans="2:5">
      <c r="B1024" t="s">
        <v>2691</v>
      </c>
      <c r="C1024" t="s">
        <v>2338</v>
      </c>
      <c r="D1024" t="s">
        <v>26</v>
      </c>
      <c r="E1024">
        <f>SUMIF(数据源!R2013:R10579,C1024,数据源!M2013:M10579)</f>
        <v>1090.53</v>
      </c>
    </row>
    <row r="1025" spans="2:5">
      <c r="B1025" t="s">
        <v>2688</v>
      </c>
      <c r="C1025" t="s">
        <v>544</v>
      </c>
      <c r="D1025" t="s">
        <v>25</v>
      </c>
      <c r="E1025">
        <f>SUMIF(数据源!R932:R9498,C1025,数据源!M932:M9498)</f>
        <v>1114.22</v>
      </c>
    </row>
    <row r="1026" spans="2:5">
      <c r="B1026" t="s">
        <v>2698</v>
      </c>
      <c r="C1026" t="s">
        <v>1579</v>
      </c>
      <c r="D1026" t="s">
        <v>27</v>
      </c>
      <c r="E1026">
        <f>SUMIF(数据源!R3228:R11794,C1026,数据源!M3228:M11794)</f>
        <v>4.97</v>
      </c>
    </row>
    <row r="1027" spans="2:5">
      <c r="B1027" t="s">
        <v>2685</v>
      </c>
      <c r="C1027" t="s">
        <v>702</v>
      </c>
      <c r="D1027" t="s">
        <v>25</v>
      </c>
      <c r="E1027">
        <f>SUMIF(数据源!R517:R9083,C1027,数据源!M517:M9083)</f>
        <v>635.28</v>
      </c>
    </row>
    <row r="1028" spans="2:5">
      <c r="B1028" t="s">
        <v>2688</v>
      </c>
      <c r="C1028" t="s">
        <v>2225</v>
      </c>
      <c r="D1028" t="s">
        <v>25</v>
      </c>
      <c r="E1028">
        <f>SUMIF(数据源!R1146:R9712,C1028,数据源!M1146:M9712)</f>
        <v>1065.74</v>
      </c>
    </row>
    <row r="1029" spans="2:5">
      <c r="B1029" t="s">
        <v>2700</v>
      </c>
      <c r="C1029" t="s">
        <v>1536</v>
      </c>
      <c r="D1029" t="s">
        <v>25</v>
      </c>
      <c r="E1029">
        <f>SUMIF(数据源!R1562:R10128,C1029,数据源!M1562:M10128)</f>
        <v>1053.84</v>
      </c>
    </row>
    <row r="1030" spans="2:5">
      <c r="B1030" t="s">
        <v>2688</v>
      </c>
      <c r="C1030" t="s">
        <v>641</v>
      </c>
      <c r="D1030" t="s">
        <v>25</v>
      </c>
      <c r="E1030">
        <f>SUMIF(数据源!R834:R9400,C1030,数据源!M834:M9400)</f>
        <v>961.44</v>
      </c>
    </row>
    <row r="1031" spans="2:5">
      <c r="B1031" t="s">
        <v>2694</v>
      </c>
      <c r="C1031" t="s">
        <v>1538</v>
      </c>
      <c r="D1031" t="s">
        <v>25</v>
      </c>
      <c r="E1031">
        <f>SUMIF(数据源!R1660:R10226,C1031,数据源!M1660:M10226)</f>
        <v>1037.36</v>
      </c>
    </row>
    <row r="1032" spans="2:5">
      <c r="B1032" t="s">
        <v>2691</v>
      </c>
      <c r="C1032" t="s">
        <v>2279</v>
      </c>
      <c r="D1032" t="s">
        <v>26</v>
      </c>
      <c r="E1032">
        <f>SUMIF(数据源!R1990:R10556,C1032,数据源!M1990:M10556)</f>
        <v>1034.27</v>
      </c>
    </row>
    <row r="1033" spans="2:5">
      <c r="B1033" t="s">
        <v>2689</v>
      </c>
      <c r="C1033" t="s">
        <v>1002</v>
      </c>
      <c r="D1033" t="s">
        <v>25</v>
      </c>
      <c r="E1033">
        <f>SUMIF(数据源!R60:R8626,C1033,数据源!M60:M8626)</f>
        <v>1320.18</v>
      </c>
    </row>
    <row r="1034" spans="2:5">
      <c r="B1034" t="s">
        <v>2697</v>
      </c>
      <c r="C1034" t="s">
        <v>2082</v>
      </c>
      <c r="D1034" t="s">
        <v>26</v>
      </c>
      <c r="E1034">
        <f>SUMIF(数据源!R2275:R10841,C1034,数据源!M2275:M10841)</f>
        <v>1145.95</v>
      </c>
    </row>
    <row r="1035" spans="2:5">
      <c r="B1035" t="s">
        <v>2699</v>
      </c>
      <c r="C1035" t="s">
        <v>1023</v>
      </c>
      <c r="D1035" t="s">
        <v>26</v>
      </c>
      <c r="E1035">
        <f>SUMIF(数据源!R2507:R11073,C1035,数据源!M2507:M11073)</f>
        <v>1019.78</v>
      </c>
    </row>
    <row r="1036" spans="2:5">
      <c r="B1036" t="s">
        <v>2688</v>
      </c>
      <c r="C1036" t="s">
        <v>2114</v>
      </c>
      <c r="D1036" t="s">
        <v>25</v>
      </c>
      <c r="E1036">
        <f>SUMIF(数据源!R960:R9526,C1036,数据源!M960:M9526)</f>
        <v>1013.83</v>
      </c>
    </row>
    <row r="1037" spans="2:5">
      <c r="B1037" t="s">
        <v>2699</v>
      </c>
      <c r="C1037" t="s">
        <v>487</v>
      </c>
      <c r="D1037" t="s">
        <v>26</v>
      </c>
      <c r="E1037">
        <f>SUMIF(数据源!R2526:R11092,C1037,数据源!M2526:M11092)</f>
        <v>1001.73</v>
      </c>
    </row>
    <row r="1038" spans="2:5">
      <c r="B1038" t="s">
        <v>2691</v>
      </c>
      <c r="C1038" t="s">
        <v>679</v>
      </c>
      <c r="D1038" t="s">
        <v>26</v>
      </c>
      <c r="E1038">
        <f>SUMIF(数据源!R2072:R10638,C1038,数据源!M2072:M10638)</f>
        <v>932.12</v>
      </c>
    </row>
    <row r="1039" spans="2:5">
      <c r="B1039" t="s">
        <v>2696</v>
      </c>
      <c r="C1039" t="s">
        <v>1769</v>
      </c>
      <c r="D1039" t="s">
        <v>27</v>
      </c>
      <c r="E1039">
        <f>SUMIF(数据源!R2706:R11272,C1039,数据源!M2706:M11272)</f>
        <v>417.02</v>
      </c>
    </row>
    <row r="1040" spans="2:5">
      <c r="B1040" t="s">
        <v>2696</v>
      </c>
      <c r="C1040" t="s">
        <v>847</v>
      </c>
      <c r="D1040" t="s">
        <v>27</v>
      </c>
      <c r="E1040">
        <f>SUMIF(数据源!R2745:R11311,C1040,数据源!M2745:M11311)</f>
        <v>915.65</v>
      </c>
    </row>
    <row r="1041" spans="2:5">
      <c r="B1041" t="s">
        <v>2686</v>
      </c>
      <c r="C1041" t="s">
        <v>393</v>
      </c>
      <c r="D1041" t="s">
        <v>27</v>
      </c>
      <c r="E1041">
        <f>SUMIF(数据源!R2950:R11516,C1041,数据源!M2950:M11516)</f>
        <v>993.03</v>
      </c>
    </row>
    <row r="1042" spans="2:5">
      <c r="B1042" t="s">
        <v>2688</v>
      </c>
      <c r="C1042" t="s">
        <v>1531</v>
      </c>
      <c r="D1042" t="s">
        <v>25</v>
      </c>
      <c r="E1042">
        <f>SUMIF(数据源!R1011:R9577,C1042,数据源!M1011:M9577)</f>
        <v>991.08</v>
      </c>
    </row>
    <row r="1043" spans="2:5">
      <c r="B1043" t="s">
        <v>2686</v>
      </c>
      <c r="C1043" t="s">
        <v>2250</v>
      </c>
      <c r="D1043" t="s">
        <v>27</v>
      </c>
      <c r="E1043">
        <f>SUMIF(数据源!R2934:R11500,C1043,数据源!M2934:M11500)</f>
        <v>988.78</v>
      </c>
    </row>
    <row r="1044" spans="2:5">
      <c r="B1044" t="s">
        <v>2698</v>
      </c>
      <c r="C1044" t="s">
        <v>2128</v>
      </c>
      <c r="D1044" t="s">
        <v>27</v>
      </c>
      <c r="E1044">
        <f>SUMIF(数据源!R3183:R11749,C1044,数据源!M3183:M11749)</f>
        <v>709.91</v>
      </c>
    </row>
    <row r="1045" spans="2:5">
      <c r="B1045" t="s">
        <v>2691</v>
      </c>
      <c r="C1045" t="s">
        <v>521</v>
      </c>
      <c r="D1045" t="s">
        <v>26</v>
      </c>
      <c r="E1045">
        <f>SUMIF(数据源!R2022:R10588,C1045,数据源!M2022:M10588)</f>
        <v>850.3</v>
      </c>
    </row>
    <row r="1046" spans="2:5">
      <c r="B1046" t="s">
        <v>2697</v>
      </c>
      <c r="C1046" t="s">
        <v>1265</v>
      </c>
      <c r="D1046" t="s">
        <v>26</v>
      </c>
      <c r="E1046">
        <f>SUMIF(数据源!R2262:R10828,C1046,数据源!M2262:M10828)</f>
        <v>523.17</v>
      </c>
    </row>
    <row r="1047" spans="2:5">
      <c r="B1047" t="s">
        <v>2694</v>
      </c>
      <c r="C1047" t="s">
        <v>1931</v>
      </c>
      <c r="D1047" t="s">
        <v>25</v>
      </c>
      <c r="E1047">
        <f>SUMIF(数据源!R1744:R10310,C1047,数据源!M1744:M10310)</f>
        <v>1070.66</v>
      </c>
    </row>
    <row r="1048" spans="2:5">
      <c r="B1048" t="s">
        <v>2697</v>
      </c>
      <c r="C1048" t="s">
        <v>731</v>
      </c>
      <c r="D1048" t="s">
        <v>26</v>
      </c>
      <c r="E1048">
        <f>SUMIF(数据源!R2289:R10855,C1048,数据源!M2289:M10855)</f>
        <v>736.24</v>
      </c>
    </row>
    <row r="1049" spans="2:5">
      <c r="B1049" t="s">
        <v>2685</v>
      </c>
      <c r="C1049" t="s">
        <v>1055</v>
      </c>
      <c r="D1049" t="s">
        <v>25</v>
      </c>
      <c r="E1049">
        <f>SUMIF(数据源!R488:R9054,C1049,数据源!M488:M9054)</f>
        <v>1125.19</v>
      </c>
    </row>
    <row r="1050" spans="2:5">
      <c r="B1050" t="s">
        <v>2696</v>
      </c>
      <c r="C1050" t="s">
        <v>2078</v>
      </c>
      <c r="D1050" t="s">
        <v>27</v>
      </c>
      <c r="E1050">
        <f>SUMIF(数据源!R2665:R11231,C1050,数据源!M2665:M11231)</f>
        <v>956.46</v>
      </c>
    </row>
    <row r="1051" spans="2:5">
      <c r="B1051" t="s">
        <v>2698</v>
      </c>
      <c r="C1051" t="s">
        <v>1197</v>
      </c>
      <c r="D1051" t="s">
        <v>27</v>
      </c>
      <c r="E1051">
        <f>SUMIF(数据源!R3173:R11739,C1051,数据源!M3173:M11739)</f>
        <v>939.27</v>
      </c>
    </row>
    <row r="1052" spans="2:5">
      <c r="B1052" t="s">
        <v>2691</v>
      </c>
      <c r="C1052" t="s">
        <v>1093</v>
      </c>
      <c r="D1052" t="s">
        <v>26</v>
      </c>
      <c r="E1052">
        <f>SUMIF(数据源!R1993:R10559,C1052,数据源!M1993:M10559)</f>
        <v>375.94</v>
      </c>
    </row>
    <row r="1053" spans="2:5">
      <c r="B1053" t="s">
        <v>2697</v>
      </c>
      <c r="C1053" t="s">
        <v>2381</v>
      </c>
      <c r="D1053" t="s">
        <v>26</v>
      </c>
      <c r="E1053">
        <f>SUMIF(数据源!R2251:R10817,C1053,数据源!M2251:M10817)</f>
        <v>921.76</v>
      </c>
    </row>
    <row r="1054" spans="2:5">
      <c r="B1054" t="s">
        <v>2695</v>
      </c>
      <c r="C1054" t="s">
        <v>563</v>
      </c>
      <c r="D1054" t="s">
        <v>26</v>
      </c>
      <c r="E1054">
        <f>SUMIF(数据源!R1911:R10477,C1054,数据源!M1911:M10477)</f>
        <v>444.49</v>
      </c>
    </row>
    <row r="1055" spans="2:5">
      <c r="B1055" t="s">
        <v>2697</v>
      </c>
      <c r="C1055" t="s">
        <v>2076</v>
      </c>
      <c r="D1055" t="s">
        <v>26</v>
      </c>
      <c r="E1055">
        <f>SUMIF(数据源!R2320:R10886,C1055,数据源!M2320:M10886)</f>
        <v>898.28</v>
      </c>
    </row>
    <row r="1056" spans="2:5">
      <c r="B1056" t="s">
        <v>2685</v>
      </c>
      <c r="C1056" t="s">
        <v>577</v>
      </c>
      <c r="D1056" t="s">
        <v>25</v>
      </c>
      <c r="E1056">
        <f>SUMIF(数据源!R301:R8867,C1056,数据源!M301:M8867)</f>
        <v>894.12</v>
      </c>
    </row>
    <row r="1057" spans="2:5">
      <c r="B1057" t="s">
        <v>2691</v>
      </c>
      <c r="C1057" t="s">
        <v>1275</v>
      </c>
      <c r="D1057" t="s">
        <v>26</v>
      </c>
      <c r="E1057">
        <f>SUMIF(数据源!R1931:R10497,C1057,数据源!M1931:M10497)</f>
        <v>551.86</v>
      </c>
    </row>
    <row r="1058" spans="2:5">
      <c r="B1058" t="s">
        <v>2689</v>
      </c>
      <c r="C1058" t="s">
        <v>156</v>
      </c>
      <c r="D1058" t="s">
        <v>25</v>
      </c>
      <c r="E1058">
        <f>SUMIF(数据源!R10:R8576,C1058,数据源!M10:M8576)</f>
        <v>1214.41</v>
      </c>
    </row>
    <row r="1059" spans="2:5">
      <c r="B1059" t="s">
        <v>2699</v>
      </c>
      <c r="C1059" t="s">
        <v>2422</v>
      </c>
      <c r="D1059" t="s">
        <v>26</v>
      </c>
      <c r="E1059">
        <f>SUMIF(数据源!R2502:R11068,C1059,数据源!M2502:M11068)</f>
        <v>869.7</v>
      </c>
    </row>
    <row r="1060" spans="2:5">
      <c r="B1060" t="s">
        <v>2685</v>
      </c>
      <c r="C1060" t="s">
        <v>1460</v>
      </c>
      <c r="D1060" t="s">
        <v>25</v>
      </c>
      <c r="E1060">
        <f>SUMIF(数据源!R463:R9029,C1060,数据源!M463:M9029)</f>
        <v>857.63</v>
      </c>
    </row>
    <row r="1061" spans="2:5">
      <c r="B1061" t="s">
        <v>2696</v>
      </c>
      <c r="C1061" t="s">
        <v>1561</v>
      </c>
      <c r="D1061" t="s">
        <v>27</v>
      </c>
      <c r="E1061">
        <f>SUMIF(数据源!R2694:R11260,C1061,数据源!M2694:M11260)</f>
        <v>852.19</v>
      </c>
    </row>
    <row r="1062" spans="2:5">
      <c r="B1062" t="s">
        <v>2697</v>
      </c>
      <c r="C1062" t="s">
        <v>285</v>
      </c>
      <c r="D1062" t="s">
        <v>26</v>
      </c>
      <c r="E1062">
        <f>SUMIF(数据源!R2271:R10837,C1062,数据源!M2271:M10837)</f>
        <v>846.59</v>
      </c>
    </row>
    <row r="1063" spans="2:5">
      <c r="B1063" t="s">
        <v>2685</v>
      </c>
      <c r="C1063" t="s">
        <v>1752</v>
      </c>
      <c r="D1063" t="s">
        <v>25</v>
      </c>
      <c r="E1063">
        <f>SUMIF(数据源!R482:R9048,C1063,数据源!M482:M9048)</f>
        <v>844.2</v>
      </c>
    </row>
    <row r="1064" spans="2:5">
      <c r="B1064" t="s">
        <v>2690</v>
      </c>
      <c r="C1064" t="s">
        <v>357</v>
      </c>
      <c r="D1064" t="s">
        <v>25</v>
      </c>
      <c r="E1064">
        <f>SUMIF(数据源!R1445:R10011,C1064,数据源!M1445:M10011)</f>
        <v>842.34</v>
      </c>
    </row>
    <row r="1065" spans="2:5">
      <c r="B1065" t="s">
        <v>2698</v>
      </c>
      <c r="C1065" t="s">
        <v>547</v>
      </c>
      <c r="D1065" t="s">
        <v>27</v>
      </c>
      <c r="E1065">
        <f>SUMIF(数据源!R3155:R11721,C1065,数据源!M3155:M11721)</f>
        <v>547.67</v>
      </c>
    </row>
    <row r="1066" spans="2:5">
      <c r="B1066" t="s">
        <v>2691</v>
      </c>
      <c r="C1066" t="s">
        <v>682</v>
      </c>
      <c r="D1066" t="s">
        <v>26</v>
      </c>
      <c r="E1066">
        <f>SUMIF(数据源!R1977:R10543,C1066,数据源!M1977:M10543)</f>
        <v>832.16</v>
      </c>
    </row>
    <row r="1067" spans="2:5">
      <c r="B1067" t="s">
        <v>2686</v>
      </c>
      <c r="C1067" t="s">
        <v>738</v>
      </c>
      <c r="D1067" t="s">
        <v>27</v>
      </c>
      <c r="E1067">
        <f>SUMIF(数据源!R2985:R11551,C1067,数据源!M2985:M11551)</f>
        <v>559.47</v>
      </c>
    </row>
    <row r="1068" spans="2:5">
      <c r="B1068" t="s">
        <v>2689</v>
      </c>
      <c r="C1068" t="s">
        <v>2473</v>
      </c>
      <c r="D1068" t="s">
        <v>25</v>
      </c>
      <c r="E1068">
        <f>SUMIF(数据源!R120:R8686,C1068,数据源!M120:M8686)</f>
        <v>820.03</v>
      </c>
    </row>
    <row r="1069" spans="2:5">
      <c r="B1069" t="s">
        <v>2688</v>
      </c>
      <c r="C1069" t="s">
        <v>699</v>
      </c>
      <c r="D1069" t="s">
        <v>25</v>
      </c>
      <c r="E1069">
        <f>SUMIF(数据源!R1202:R9768,C1069,数据源!M1202:M9768)</f>
        <v>382.87</v>
      </c>
    </row>
    <row r="1070" spans="2:5">
      <c r="B1070" t="s">
        <v>2700</v>
      </c>
      <c r="C1070" t="s">
        <v>1735</v>
      </c>
      <c r="D1070" t="s">
        <v>25</v>
      </c>
      <c r="E1070">
        <f>SUMIF(数据源!R1567:R10133,C1070,数据源!M1567:M10133)</f>
        <v>815.32</v>
      </c>
    </row>
    <row r="1071" spans="2:5">
      <c r="B1071" t="s">
        <v>2694</v>
      </c>
      <c r="C1071" t="s">
        <v>535</v>
      </c>
      <c r="D1071" t="s">
        <v>25</v>
      </c>
      <c r="E1071">
        <f>SUMIF(数据源!R1835:R10401,C1071,数据源!M1835:M10401)</f>
        <v>501.9</v>
      </c>
    </row>
    <row r="1072" spans="2:5">
      <c r="B1072" t="s">
        <v>2699</v>
      </c>
      <c r="C1072" t="s">
        <v>797</v>
      </c>
      <c r="D1072" t="s">
        <v>26</v>
      </c>
      <c r="E1072">
        <f>SUMIF(数据源!R2527:R11093,C1072,数据源!M2527:M11093)</f>
        <v>743.9</v>
      </c>
    </row>
    <row r="1073" spans="2:5">
      <c r="B1073" t="s">
        <v>2689</v>
      </c>
      <c r="C1073" t="s">
        <v>1729</v>
      </c>
      <c r="D1073" t="s">
        <v>25</v>
      </c>
      <c r="E1073">
        <f>SUMIF(数据源!R92:R8658,C1073,数据源!M92:M8658)</f>
        <v>807.26</v>
      </c>
    </row>
    <row r="1074" spans="2:5">
      <c r="B1074" t="s">
        <v>2698</v>
      </c>
      <c r="C1074" t="s">
        <v>281</v>
      </c>
      <c r="D1074" t="s">
        <v>27</v>
      </c>
      <c r="E1074">
        <f>SUMIF(数据源!R3271:R11837,C1074,数据源!M3271:M11837)</f>
        <v>334.96</v>
      </c>
    </row>
    <row r="1075" spans="2:5">
      <c r="B1075" t="s">
        <v>2700</v>
      </c>
      <c r="C1075" t="s">
        <v>1463</v>
      </c>
      <c r="D1075" t="s">
        <v>25</v>
      </c>
      <c r="E1075">
        <f>SUMIF(数据源!R1556:R10122,C1075,数据源!M1556:M10122)</f>
        <v>631.61</v>
      </c>
    </row>
    <row r="1076" spans="2:5">
      <c r="B1076" t="s">
        <v>2694</v>
      </c>
      <c r="C1076" t="s">
        <v>2230</v>
      </c>
      <c r="D1076" t="s">
        <v>25</v>
      </c>
      <c r="E1076">
        <f>SUMIF(数据源!R1819:R10385,C1076,数据源!M1819:M10385)</f>
        <v>794.8</v>
      </c>
    </row>
    <row r="1077" spans="2:5">
      <c r="B1077" t="s">
        <v>2688</v>
      </c>
      <c r="C1077" t="s">
        <v>292</v>
      </c>
      <c r="D1077" t="s">
        <v>25</v>
      </c>
      <c r="E1077">
        <f>SUMIF(数据源!R962:R9528,C1077,数据源!M962:M9528)</f>
        <v>793.86</v>
      </c>
    </row>
    <row r="1078" spans="2:5">
      <c r="B1078" t="s">
        <v>2696</v>
      </c>
      <c r="C1078" t="s">
        <v>1521</v>
      </c>
      <c r="D1078" t="s">
        <v>27</v>
      </c>
      <c r="E1078">
        <f>SUMIF(数据源!R2750:R11316,C1078,数据源!M2750:M11316)</f>
        <v>299.07</v>
      </c>
    </row>
    <row r="1079" spans="2:5">
      <c r="B1079" t="s">
        <v>2696</v>
      </c>
      <c r="C1079" t="s">
        <v>1123</v>
      </c>
      <c r="D1079" t="s">
        <v>27</v>
      </c>
      <c r="E1079">
        <f>SUMIF(数据源!R2760:R11326,C1079,数据源!M2760:M11326)</f>
        <v>231.65</v>
      </c>
    </row>
    <row r="1080" spans="2:5">
      <c r="B1080" t="s">
        <v>2698</v>
      </c>
      <c r="C1080" t="s">
        <v>2434</v>
      </c>
      <c r="D1080" t="s">
        <v>27</v>
      </c>
      <c r="E1080">
        <f>SUMIF(数据源!R3242:R11808,C1080,数据源!M3242:M11808)</f>
        <v>786.78</v>
      </c>
    </row>
    <row r="1081" spans="2:5">
      <c r="B1081" t="s">
        <v>2698</v>
      </c>
      <c r="C1081" t="s">
        <v>1632</v>
      </c>
      <c r="D1081" t="s">
        <v>27</v>
      </c>
      <c r="E1081">
        <f>SUMIF(数据源!R3320:R11886,C1081,数据源!M3320:M11886)</f>
        <v>637.7</v>
      </c>
    </row>
    <row r="1082" spans="2:5">
      <c r="B1082" t="s">
        <v>2699</v>
      </c>
      <c r="C1082" t="s">
        <v>507</v>
      </c>
      <c r="D1082" t="s">
        <v>26</v>
      </c>
      <c r="E1082">
        <f>SUMIF(数据源!R2558:R11124,C1082,数据源!M2558:M11124)</f>
        <v>556.18</v>
      </c>
    </row>
    <row r="1083" spans="2:5">
      <c r="B1083" t="s">
        <v>2698</v>
      </c>
      <c r="C1083" t="s">
        <v>410</v>
      </c>
      <c r="D1083" t="s">
        <v>27</v>
      </c>
      <c r="E1083">
        <f>SUMIF(数据源!R3051:R11617,C1083,数据源!M3051:M11617)</f>
        <v>445.81</v>
      </c>
    </row>
    <row r="1084" spans="2:5">
      <c r="B1084" t="s">
        <v>2691</v>
      </c>
      <c r="C1084" t="s">
        <v>1029</v>
      </c>
      <c r="D1084" t="s">
        <v>26</v>
      </c>
      <c r="E1084">
        <f>SUMIF(数据源!R1934:R10500,C1084,数据源!M1934:M10500)</f>
        <v>468.97</v>
      </c>
    </row>
    <row r="1085" spans="2:5">
      <c r="B1085" t="s">
        <v>2694</v>
      </c>
      <c r="C1085" t="s">
        <v>1878</v>
      </c>
      <c r="D1085" t="s">
        <v>25</v>
      </c>
      <c r="E1085">
        <f>SUMIF(数据源!R1640:R10206,C1085,数据源!M1640:M10206)</f>
        <v>759.65</v>
      </c>
    </row>
    <row r="1086" spans="2:5">
      <c r="B1086" t="s">
        <v>2688</v>
      </c>
      <c r="C1086" t="s">
        <v>1991</v>
      </c>
      <c r="D1086" t="s">
        <v>25</v>
      </c>
      <c r="E1086">
        <f>SUMIF(数据源!R985:R9551,C1086,数据源!M985:M9551)</f>
        <v>757.62</v>
      </c>
    </row>
    <row r="1087" spans="2:5">
      <c r="B1087" t="s">
        <v>2692</v>
      </c>
      <c r="C1087" t="s">
        <v>1426</v>
      </c>
      <c r="D1087" t="s">
        <v>25</v>
      </c>
      <c r="E1087">
        <f>SUMIF(数据源!R608:R9174,C1087,数据源!M608:M9174)</f>
        <v>756.34</v>
      </c>
    </row>
    <row r="1088" spans="2:5">
      <c r="B1088" t="s">
        <v>2690</v>
      </c>
      <c r="C1088" t="s">
        <v>1984</v>
      </c>
      <c r="D1088" t="s">
        <v>25</v>
      </c>
      <c r="E1088">
        <f>SUMIF(数据源!R1422:R9988,C1088,数据源!M1422:M9988)</f>
        <v>753.2</v>
      </c>
    </row>
    <row r="1089" spans="2:5">
      <c r="B1089" t="s">
        <v>2700</v>
      </c>
      <c r="C1089" t="s">
        <v>1801</v>
      </c>
      <c r="D1089" t="s">
        <v>25</v>
      </c>
      <c r="E1089">
        <f>SUMIF(数据源!R1480:R10046,C1089,数据源!M1480:M10046)</f>
        <v>750.48</v>
      </c>
    </row>
    <row r="1090" spans="2:5">
      <c r="B1090" t="s">
        <v>2696</v>
      </c>
      <c r="C1090" t="s">
        <v>2117</v>
      </c>
      <c r="D1090" t="s">
        <v>27</v>
      </c>
      <c r="E1090">
        <f>SUMIF(数据源!R2619:R11185,C1090,数据源!M2619:M11185)</f>
        <v>747.93</v>
      </c>
    </row>
    <row r="1091" spans="2:5">
      <c r="B1091" t="s">
        <v>2697</v>
      </c>
      <c r="C1091" t="s">
        <v>1824</v>
      </c>
      <c r="D1091" t="s">
        <v>26</v>
      </c>
      <c r="E1091">
        <f>SUMIF(数据源!R2183:R10749,C1091,数据源!M2183:M10749)</f>
        <v>524.48</v>
      </c>
    </row>
    <row r="1092" spans="2:5">
      <c r="B1092" t="s">
        <v>2699</v>
      </c>
      <c r="C1092" t="s">
        <v>822</v>
      </c>
      <c r="D1092" t="s">
        <v>26</v>
      </c>
      <c r="E1092">
        <f>SUMIF(数据源!R2470:R11036,C1092,数据源!M2470:M11036)</f>
        <v>722.07</v>
      </c>
    </row>
    <row r="1093" spans="2:5">
      <c r="B1093" t="s">
        <v>2685</v>
      </c>
      <c r="C1093" t="s">
        <v>2266</v>
      </c>
      <c r="D1093" t="s">
        <v>25</v>
      </c>
      <c r="E1093">
        <f>SUMIF(数据源!R462:R9028,C1093,数据源!M462:M9028)</f>
        <v>707.74</v>
      </c>
    </row>
    <row r="1094" spans="2:5">
      <c r="B1094" t="s">
        <v>2686</v>
      </c>
      <c r="C1094" t="s">
        <v>2361</v>
      </c>
      <c r="D1094" t="s">
        <v>27</v>
      </c>
      <c r="E1094">
        <f>SUMIF(数据源!R2975:R11541,C1094,数据源!M2975:M11541)</f>
        <v>702.3</v>
      </c>
    </row>
    <row r="1095" spans="2:5">
      <c r="B1095" t="s">
        <v>2697</v>
      </c>
      <c r="C1095" t="s">
        <v>2443</v>
      </c>
      <c r="D1095" t="s">
        <v>26</v>
      </c>
      <c r="E1095">
        <f>SUMIF(数据源!R2331:R10897,C1095,数据源!M2331:M10897)</f>
        <v>692</v>
      </c>
    </row>
    <row r="1096" spans="2:5">
      <c r="B1096" t="s">
        <v>2697</v>
      </c>
      <c r="C1096" t="s">
        <v>2405</v>
      </c>
      <c r="D1096" t="s">
        <v>26</v>
      </c>
      <c r="E1096">
        <f>SUMIF(数据源!R2231:R10797,C1096,数据源!M2231:M10797)</f>
        <v>686.424</v>
      </c>
    </row>
    <row r="1097" spans="2:5">
      <c r="B1097" t="s">
        <v>2692</v>
      </c>
      <c r="C1097" t="s">
        <v>1477</v>
      </c>
      <c r="D1097" t="s">
        <v>25</v>
      </c>
      <c r="E1097">
        <f>SUMIF(数据源!R616:R9182,C1097,数据源!M616:M9182)</f>
        <v>753.617</v>
      </c>
    </row>
    <row r="1098" spans="2:5">
      <c r="B1098" t="s">
        <v>2688</v>
      </c>
      <c r="C1098" t="s">
        <v>2014</v>
      </c>
      <c r="D1098" t="s">
        <v>25</v>
      </c>
      <c r="E1098">
        <f>SUMIF(数据源!R1054:R9620,C1098,数据源!M1054:M9620)</f>
        <v>659.8585</v>
      </c>
    </row>
    <row r="1099" spans="2:5">
      <c r="B1099" t="s">
        <v>2694</v>
      </c>
      <c r="C1099" t="s">
        <v>402</v>
      </c>
      <c r="D1099" t="s">
        <v>25</v>
      </c>
      <c r="E1099">
        <f>SUMIF(数据源!R1762:R10328,C1099,数据源!M1762:M10328)</f>
        <v>653.59</v>
      </c>
    </row>
    <row r="1100" spans="2:5">
      <c r="B1100" t="s">
        <v>2691</v>
      </c>
      <c r="C1100" t="s">
        <v>2037</v>
      </c>
      <c r="D1100" t="s">
        <v>26</v>
      </c>
      <c r="E1100">
        <f>SUMIF(数据源!R2015:R10581,C1100,数据源!M2015:M10581)</f>
        <v>651.27</v>
      </c>
    </row>
    <row r="1101" spans="2:5">
      <c r="B1101" t="s">
        <v>2699</v>
      </c>
      <c r="C1101" t="s">
        <v>1897</v>
      </c>
      <c r="D1101" t="s">
        <v>26</v>
      </c>
      <c r="E1101">
        <f>SUMIF(数据源!R2494:R11060,C1101,数据源!M2494:M11060)</f>
        <v>413.08</v>
      </c>
    </row>
    <row r="1102" spans="2:5">
      <c r="B1102" t="s">
        <v>2685</v>
      </c>
      <c r="C1102" t="s">
        <v>1503</v>
      </c>
      <c r="D1102" t="s">
        <v>25</v>
      </c>
      <c r="E1102">
        <f>SUMIF(数据源!R490:R9056,C1102,数据源!M490:M9056)</f>
        <v>640.23</v>
      </c>
    </row>
    <row r="1103" spans="2:5">
      <c r="B1103" t="s">
        <v>2687</v>
      </c>
      <c r="C1103" t="s">
        <v>745</v>
      </c>
      <c r="D1103" t="s">
        <v>25</v>
      </c>
      <c r="E1103">
        <f>SUMIF(数据源!R727:R9293,C1103,数据源!M727:M9293)</f>
        <v>597.04</v>
      </c>
    </row>
    <row r="1104" spans="2:5">
      <c r="B1104" t="s">
        <v>2697</v>
      </c>
      <c r="C1104" t="s">
        <v>627</v>
      </c>
      <c r="D1104" t="s">
        <v>26</v>
      </c>
      <c r="E1104">
        <f>SUMIF(数据源!R2136:R10702,C1104,数据源!M2136:M10702)</f>
        <v>637.29</v>
      </c>
    </row>
    <row r="1105" spans="2:5">
      <c r="B1105" t="s">
        <v>2699</v>
      </c>
      <c r="C1105" t="s">
        <v>2322</v>
      </c>
      <c r="D1105" t="s">
        <v>26</v>
      </c>
      <c r="E1105">
        <f>SUMIF(数据源!R2433:R10999,C1105,数据源!M2433:M10999)</f>
        <v>633.9</v>
      </c>
    </row>
    <row r="1106" spans="2:5">
      <c r="B1106" t="s">
        <v>2696</v>
      </c>
      <c r="C1106" t="s">
        <v>170</v>
      </c>
      <c r="D1106" t="s">
        <v>27</v>
      </c>
      <c r="E1106">
        <f>SUMIF(数据源!R2748:R11314,C1106,数据源!M2748:M11314)</f>
        <v>631.36</v>
      </c>
    </row>
    <row r="1107" spans="2:5">
      <c r="B1107" t="s">
        <v>2686</v>
      </c>
      <c r="C1107" t="s">
        <v>1540</v>
      </c>
      <c r="D1107" t="s">
        <v>27</v>
      </c>
      <c r="E1107">
        <f>SUMIF(数据源!R2961:R11527,C1107,数据源!M2961:M11527)</f>
        <v>349.24</v>
      </c>
    </row>
    <row r="1108" spans="2:5">
      <c r="B1108" t="s">
        <v>2696</v>
      </c>
      <c r="C1108" t="s">
        <v>900</v>
      </c>
      <c r="D1108" t="s">
        <v>27</v>
      </c>
      <c r="E1108">
        <f>SUMIF(数据源!R2818:R11384,C1108,数据源!M2818:M11384)</f>
        <v>363.86</v>
      </c>
    </row>
    <row r="1109" spans="2:5">
      <c r="B1109" t="s">
        <v>2697</v>
      </c>
      <c r="C1109" t="s">
        <v>2371</v>
      </c>
      <c r="D1109" t="s">
        <v>26</v>
      </c>
      <c r="E1109">
        <f>SUMIF(数据源!R2392:R10958,C1109,数据源!M2392:M10958)</f>
        <v>618.1</v>
      </c>
    </row>
    <row r="1110" spans="2:5">
      <c r="B1110" t="s">
        <v>2689</v>
      </c>
      <c r="C1110" t="s">
        <v>756</v>
      </c>
      <c r="D1110" t="s">
        <v>25</v>
      </c>
      <c r="E1110">
        <f>SUMIF(数据源!R167:R8733,C1110,数据源!M167:M8733)</f>
        <v>2188.3</v>
      </c>
    </row>
    <row r="1111" spans="2:5">
      <c r="B1111" t="s">
        <v>2688</v>
      </c>
      <c r="C1111" t="s">
        <v>554</v>
      </c>
      <c r="D1111" t="s">
        <v>25</v>
      </c>
      <c r="E1111">
        <f>SUMIF(数据源!R1142:R9708,C1111,数据源!M1142:M9708)</f>
        <v>195.4</v>
      </c>
    </row>
    <row r="1112" spans="2:5">
      <c r="B1112" t="s">
        <v>2689</v>
      </c>
      <c r="C1112" t="s">
        <v>1904</v>
      </c>
      <c r="D1112" t="s">
        <v>25</v>
      </c>
      <c r="E1112">
        <f>SUMIF(数据源!R76:R8642,C1112,数据源!M76:M8642)</f>
        <v>603.71</v>
      </c>
    </row>
    <row r="1113" spans="2:5">
      <c r="B1113" t="s">
        <v>2685</v>
      </c>
      <c r="C1113" t="s">
        <v>1515</v>
      </c>
      <c r="D1113" t="s">
        <v>25</v>
      </c>
      <c r="E1113">
        <f>SUMIF(数据源!R455:R9021,C1113,数据源!M455:M9021)</f>
        <v>593.66</v>
      </c>
    </row>
    <row r="1114" spans="2:5">
      <c r="B1114" t="s">
        <v>2700</v>
      </c>
      <c r="C1114" t="s">
        <v>2265</v>
      </c>
      <c r="D1114" t="s">
        <v>25</v>
      </c>
      <c r="E1114">
        <f>SUMIF(数据源!R1549:R10115,C1114,数据源!M1549:M10115)</f>
        <v>593.25</v>
      </c>
    </row>
    <row r="1115" spans="2:5">
      <c r="B1115" t="s">
        <v>2689</v>
      </c>
      <c r="C1115" t="s">
        <v>165</v>
      </c>
      <c r="D1115" t="s">
        <v>25</v>
      </c>
      <c r="E1115">
        <f>SUMIF(数据源!R31:R8597,C1115,数据源!M31:M8597)</f>
        <v>3565.48</v>
      </c>
    </row>
    <row r="1116" spans="2:5">
      <c r="B1116" t="s">
        <v>2685</v>
      </c>
      <c r="C1116" t="s">
        <v>1395</v>
      </c>
      <c r="D1116" t="s">
        <v>25</v>
      </c>
      <c r="E1116">
        <f>SUMIF(数据源!R218:R8784,C1116,数据源!M218:M8784)</f>
        <v>660.11</v>
      </c>
    </row>
    <row r="1117" spans="2:5">
      <c r="B1117" t="s">
        <v>2685</v>
      </c>
      <c r="C1117" t="s">
        <v>2382</v>
      </c>
      <c r="D1117" t="s">
        <v>25</v>
      </c>
      <c r="E1117">
        <f>SUMIF(数据源!R216:R8782,C1117,数据源!M216:M8782)</f>
        <v>574.49</v>
      </c>
    </row>
    <row r="1118" spans="2:5">
      <c r="B1118" t="s">
        <v>2688</v>
      </c>
      <c r="C1118" t="s">
        <v>854</v>
      </c>
      <c r="D1118" t="s">
        <v>25</v>
      </c>
      <c r="E1118">
        <f>SUMIF(数据源!R801:R9367,C1118,数据源!M801:M9367)</f>
        <v>573.86</v>
      </c>
    </row>
    <row r="1119" spans="2:5">
      <c r="B1119" t="s">
        <v>2696</v>
      </c>
      <c r="C1119" t="s">
        <v>1953</v>
      </c>
      <c r="D1119" t="s">
        <v>27</v>
      </c>
      <c r="E1119">
        <f>SUMIF(数据源!R2572:R11138,C1119,数据源!M2572:M11138)</f>
        <v>385.05</v>
      </c>
    </row>
    <row r="1120" spans="2:5">
      <c r="B1120" t="s">
        <v>2690</v>
      </c>
      <c r="C1120" t="s">
        <v>863</v>
      </c>
      <c r="D1120" t="s">
        <v>25</v>
      </c>
      <c r="E1120">
        <f>SUMIF(数据源!R1443:R10009,C1120,数据源!M1443:M10009)</f>
        <v>554.91</v>
      </c>
    </row>
    <row r="1121" spans="2:5">
      <c r="B1121" t="s">
        <v>2688</v>
      </c>
      <c r="C1121" t="s">
        <v>495</v>
      </c>
      <c r="D1121" t="s">
        <v>25</v>
      </c>
      <c r="E1121">
        <f>SUMIF(数据源!R948:R9514,C1121,数据源!M948:M9514)</f>
        <v>551.67</v>
      </c>
    </row>
    <row r="1122" spans="2:5">
      <c r="B1122" t="s">
        <v>2697</v>
      </c>
      <c r="C1122" t="s">
        <v>263</v>
      </c>
      <c r="D1122" t="s">
        <v>26</v>
      </c>
      <c r="E1122">
        <f>SUMIF(数据源!R2125:R10691,C1122,数据源!M2125:M10691)</f>
        <v>544.89</v>
      </c>
    </row>
    <row r="1123" spans="2:5">
      <c r="B1123" t="s">
        <v>2690</v>
      </c>
      <c r="C1123" t="s">
        <v>1351</v>
      </c>
      <c r="D1123" t="s">
        <v>25</v>
      </c>
      <c r="E1123">
        <f>SUMIF(数据源!R1241:R9807,C1123,数据源!M1241:M9807)</f>
        <v>503.91</v>
      </c>
    </row>
    <row r="1124" spans="2:5">
      <c r="B1124" t="s">
        <v>2688</v>
      </c>
      <c r="C1124" t="s">
        <v>1681</v>
      </c>
      <c r="D1124" t="s">
        <v>25</v>
      </c>
      <c r="E1124">
        <f>SUMIF(数据源!R1029:R9595,C1124,数据源!M1029:M9595)</f>
        <v>542.76</v>
      </c>
    </row>
    <row r="1125" spans="2:5">
      <c r="B1125" t="s">
        <v>2690</v>
      </c>
      <c r="C1125" t="s">
        <v>1607</v>
      </c>
      <c r="D1125" t="s">
        <v>25</v>
      </c>
      <c r="E1125">
        <f>SUMIF(数据源!R1424:R9990,C1125,数据源!M1424:M9990)</f>
        <v>542.44</v>
      </c>
    </row>
    <row r="1126" spans="2:5">
      <c r="B1126" t="s">
        <v>2685</v>
      </c>
      <c r="C1126" t="s">
        <v>980</v>
      </c>
      <c r="D1126" t="s">
        <v>25</v>
      </c>
      <c r="E1126">
        <f>SUMIF(数据源!R356:R8922,C1126,数据源!M356:M8922)</f>
        <v>532.8</v>
      </c>
    </row>
    <row r="1127" spans="2:5">
      <c r="B1127" t="s">
        <v>2685</v>
      </c>
      <c r="C1127" t="s">
        <v>1103</v>
      </c>
      <c r="D1127" t="s">
        <v>25</v>
      </c>
      <c r="E1127">
        <f>SUMIF(数据源!R271:R8837,C1127,数据源!M271:M8837)</f>
        <v>1201.7</v>
      </c>
    </row>
    <row r="1128" spans="2:5">
      <c r="B1128" t="s">
        <v>2690</v>
      </c>
      <c r="C1128" t="s">
        <v>194</v>
      </c>
      <c r="D1128" t="s">
        <v>25</v>
      </c>
      <c r="E1128">
        <f>SUMIF(数据源!R1286:R9852,C1128,数据源!M1286:M9852)</f>
        <v>530.96</v>
      </c>
    </row>
    <row r="1129" spans="2:5">
      <c r="B1129" t="s">
        <v>2691</v>
      </c>
      <c r="C1129" t="s">
        <v>2103</v>
      </c>
      <c r="D1129" t="s">
        <v>26</v>
      </c>
      <c r="E1129">
        <f>SUMIF(数据源!R2073:R10639,C1129,数据源!M2073:M10639)</f>
        <v>528.9</v>
      </c>
    </row>
    <row r="1130" spans="2:5">
      <c r="B1130" t="s">
        <v>2697</v>
      </c>
      <c r="C1130" t="s">
        <v>915</v>
      </c>
      <c r="D1130" t="s">
        <v>26</v>
      </c>
      <c r="E1130">
        <f>SUMIF(数据源!R2358:R10924,C1130,数据源!M2358:M10924)</f>
        <v>525.45</v>
      </c>
    </row>
    <row r="1131" spans="2:5">
      <c r="B1131" t="s">
        <v>2698</v>
      </c>
      <c r="C1131" t="s">
        <v>572</v>
      </c>
      <c r="D1131" t="s">
        <v>27</v>
      </c>
      <c r="E1131">
        <f>SUMIF(数据源!R3260:R11826,C1131,数据源!M3260:M11826)</f>
        <v>524.42</v>
      </c>
    </row>
    <row r="1132" spans="2:5">
      <c r="B1132" t="s">
        <v>2688</v>
      </c>
      <c r="C1132" t="s">
        <v>1557</v>
      </c>
      <c r="D1132" t="s">
        <v>25</v>
      </c>
      <c r="E1132">
        <f>SUMIF(数据源!R1194:R9760,C1132,数据源!M1194:M9760)</f>
        <v>517.91</v>
      </c>
    </row>
    <row r="1133" spans="2:5">
      <c r="B1133" t="s">
        <v>2697</v>
      </c>
      <c r="C1133" t="s">
        <v>2448</v>
      </c>
      <c r="D1133" t="s">
        <v>26</v>
      </c>
      <c r="E1133">
        <f>SUMIF(数据源!R2267:R10833,C1133,数据源!M2267:M10833)</f>
        <v>516.43</v>
      </c>
    </row>
    <row r="1134" spans="2:5">
      <c r="B1134" t="s">
        <v>2690</v>
      </c>
      <c r="C1134" t="s">
        <v>1733</v>
      </c>
      <c r="D1134" t="s">
        <v>25</v>
      </c>
      <c r="E1134">
        <f>SUMIF(数据源!R1342:R9908,C1134,数据源!M1342:M9908)</f>
        <v>738.4</v>
      </c>
    </row>
    <row r="1135" spans="2:5">
      <c r="B1135" t="s">
        <v>2698</v>
      </c>
      <c r="C1135" t="s">
        <v>1762</v>
      </c>
      <c r="D1135" t="s">
        <v>27</v>
      </c>
      <c r="E1135">
        <f>SUMIF(数据源!R3040:R11606,C1135,数据源!M3040:M11606)</f>
        <v>350.48</v>
      </c>
    </row>
    <row r="1136" spans="2:5">
      <c r="B1136" t="s">
        <v>2688</v>
      </c>
      <c r="C1136" t="s">
        <v>1701</v>
      </c>
      <c r="D1136" t="s">
        <v>25</v>
      </c>
      <c r="E1136">
        <f>SUMIF(数据源!R1158:R9724,C1136,数据源!M1158:M9724)</f>
        <v>509.56</v>
      </c>
    </row>
    <row r="1137" spans="2:5">
      <c r="B1137" t="s">
        <v>2689</v>
      </c>
      <c r="C1137" t="s">
        <v>1891</v>
      </c>
      <c r="D1137" t="s">
        <v>25</v>
      </c>
      <c r="E1137">
        <f>SUMIF(数据源!R27:R8593,C1137,数据源!M27:M8593)</f>
        <v>507.92</v>
      </c>
    </row>
    <row r="1138" spans="2:5">
      <c r="B1138" t="s">
        <v>2694</v>
      </c>
      <c r="C1138" t="s">
        <v>1431</v>
      </c>
      <c r="D1138" t="s">
        <v>25</v>
      </c>
      <c r="E1138">
        <f>SUMIF(数据源!R1650:R10216,C1138,数据源!M1650:M10216)</f>
        <v>421.36</v>
      </c>
    </row>
    <row r="1139" spans="2:5">
      <c r="B1139" t="s">
        <v>2696</v>
      </c>
      <c r="C1139" t="s">
        <v>2676</v>
      </c>
      <c r="D1139" t="s">
        <v>27</v>
      </c>
      <c r="E1139">
        <f>SUMIF(数据源!R2810:R11376,C1139,数据源!M2810:M11376)</f>
        <v>505.98</v>
      </c>
    </row>
    <row r="1140" spans="2:5">
      <c r="B1140" t="s">
        <v>2686</v>
      </c>
      <c r="C1140" t="s">
        <v>2586</v>
      </c>
      <c r="D1140" t="s">
        <v>27</v>
      </c>
      <c r="E1140">
        <f>SUMIF(数据源!R2996:R11562,C1140,数据源!M2996:M11562)</f>
        <v>505.41</v>
      </c>
    </row>
    <row r="1141" spans="2:5">
      <c r="B1141" t="s">
        <v>2698</v>
      </c>
      <c r="C1141" t="s">
        <v>76</v>
      </c>
      <c r="D1141" t="s">
        <v>27</v>
      </c>
      <c r="E1141">
        <f>SUMIF(数据源!R3302:R11868,C1141,数据源!M3302:M11868)</f>
        <v>504.48</v>
      </c>
    </row>
    <row r="1142" spans="2:5">
      <c r="B1142" t="s">
        <v>2695</v>
      </c>
      <c r="C1142" t="s">
        <v>360</v>
      </c>
      <c r="D1142" t="s">
        <v>26</v>
      </c>
      <c r="E1142">
        <f>SUMIF(数据源!R1880:R10446,C1142,数据源!M1880:M10446)</f>
        <v>502.23</v>
      </c>
    </row>
    <row r="1143" spans="2:5">
      <c r="B1143" t="s">
        <v>2698</v>
      </c>
      <c r="C1143" t="s">
        <v>486</v>
      </c>
      <c r="D1143" t="s">
        <v>27</v>
      </c>
      <c r="E1143">
        <f>SUMIF(数据源!R3117:R11683,C1143,数据源!M3117:M11683)</f>
        <v>297.31</v>
      </c>
    </row>
    <row r="1144" spans="2:5">
      <c r="B1144" t="s">
        <v>2697</v>
      </c>
      <c r="C1144" t="s">
        <v>965</v>
      </c>
      <c r="D1144" t="s">
        <v>26</v>
      </c>
      <c r="E1144">
        <f>SUMIF(数据源!R2143:R10709,C1144,数据源!M2143:M10709)</f>
        <v>0</v>
      </c>
    </row>
    <row r="1145" spans="2:5">
      <c r="B1145" t="s">
        <v>2690</v>
      </c>
      <c r="C1145" t="s">
        <v>565</v>
      </c>
      <c r="D1145" t="s">
        <v>25</v>
      </c>
      <c r="E1145">
        <f>SUMIF(数据源!R1271:R9837,C1145,数据源!M1271:M9837)</f>
        <v>491.54</v>
      </c>
    </row>
    <row r="1146" spans="2:5">
      <c r="B1146" t="s">
        <v>2696</v>
      </c>
      <c r="C1146" t="s">
        <v>967</v>
      </c>
      <c r="D1146" t="s">
        <v>27</v>
      </c>
      <c r="E1146">
        <f>SUMIF(数据源!R2592:R11158,C1146,数据源!M2592:M11158)</f>
        <v>145.37</v>
      </c>
    </row>
    <row r="1147" spans="2:5">
      <c r="B1147" t="s">
        <v>2698</v>
      </c>
      <c r="C1147" t="s">
        <v>2258</v>
      </c>
      <c r="D1147" t="s">
        <v>27</v>
      </c>
      <c r="E1147">
        <f>SUMIF(数据源!R3106:R11672,C1147,数据源!M3106:M11672)</f>
        <v>476.16</v>
      </c>
    </row>
    <row r="1148" spans="2:5">
      <c r="B1148" t="s">
        <v>2690</v>
      </c>
      <c r="C1148" t="s">
        <v>252</v>
      </c>
      <c r="D1148" t="s">
        <v>25</v>
      </c>
      <c r="E1148">
        <f>SUMIF(数据源!R1259:R9825,C1148,数据源!M1259:M9825)</f>
        <v>196.04</v>
      </c>
    </row>
    <row r="1149" spans="2:5">
      <c r="B1149" t="s">
        <v>2694</v>
      </c>
      <c r="C1149" t="s">
        <v>2658</v>
      </c>
      <c r="D1149" t="s">
        <v>25</v>
      </c>
      <c r="E1149">
        <f>SUMIF(数据源!R1659:R10225,C1149,数据源!M1659:M10225)</f>
        <v>469.07</v>
      </c>
    </row>
    <row r="1150" spans="2:5">
      <c r="B1150" t="s">
        <v>2685</v>
      </c>
      <c r="C1150" t="s">
        <v>2457</v>
      </c>
      <c r="D1150" t="s">
        <v>25</v>
      </c>
      <c r="E1150">
        <f>SUMIF(数据源!R260:R8826,C1150,数据源!M260:M8826)</f>
        <v>464.695</v>
      </c>
    </row>
    <row r="1151" spans="2:5">
      <c r="B1151" t="s">
        <v>2688</v>
      </c>
      <c r="C1151" t="s">
        <v>988</v>
      </c>
      <c r="D1151" t="s">
        <v>25</v>
      </c>
      <c r="E1151">
        <f>SUMIF(数据源!R1025:R9591,C1151,数据源!M1025:M9591)</f>
        <v>282.17</v>
      </c>
    </row>
    <row r="1152" spans="2:5">
      <c r="B1152" t="s">
        <v>2696</v>
      </c>
      <c r="C1152" t="s">
        <v>665</v>
      </c>
      <c r="D1152" t="s">
        <v>27</v>
      </c>
      <c r="E1152">
        <f>SUMIF(数据源!R2781:R11347,C1152,数据源!M2781:M11347)</f>
        <v>162.1</v>
      </c>
    </row>
    <row r="1153" spans="2:5">
      <c r="B1153" t="s">
        <v>2697</v>
      </c>
      <c r="C1153" t="s">
        <v>2677</v>
      </c>
      <c r="D1153" t="s">
        <v>26</v>
      </c>
      <c r="E1153">
        <f>SUMIF(数据源!R2176:R10742,C1153,数据源!M2176:M10742)</f>
        <v>449.16</v>
      </c>
    </row>
    <row r="1154" spans="2:5">
      <c r="B1154" t="s">
        <v>2699</v>
      </c>
      <c r="C1154" t="s">
        <v>2317</v>
      </c>
      <c r="D1154" t="s">
        <v>26</v>
      </c>
      <c r="E1154">
        <f>SUMIF(数据源!R2469:R11035,C1154,数据源!M2469:M11035)</f>
        <v>444.18</v>
      </c>
    </row>
    <row r="1155" spans="2:5">
      <c r="B1155" t="s">
        <v>2701</v>
      </c>
      <c r="C1155" t="s">
        <v>2255</v>
      </c>
      <c r="D1155" t="s">
        <v>25</v>
      </c>
      <c r="E1155">
        <f>SUMIF(数据源!R1592:R10158,C1155,数据源!M1592:M10158)</f>
        <v>441</v>
      </c>
    </row>
    <row r="1156" spans="2:5">
      <c r="B1156" t="s">
        <v>2688</v>
      </c>
      <c r="C1156" t="s">
        <v>1832</v>
      </c>
      <c r="D1156" t="s">
        <v>25</v>
      </c>
      <c r="E1156">
        <f>SUMIF(数据源!R1082:R9648,C1156,数据源!M1082:M9648)</f>
        <v>435.83</v>
      </c>
    </row>
    <row r="1157" spans="2:5">
      <c r="B1157" t="s">
        <v>2697</v>
      </c>
      <c r="C1157" t="s">
        <v>819</v>
      </c>
      <c r="D1157" t="s">
        <v>26</v>
      </c>
      <c r="E1157">
        <f>SUMIF(数据源!R2340:R10906,C1157,数据源!M2340:M10906)</f>
        <v>431.45</v>
      </c>
    </row>
    <row r="1158" spans="2:5">
      <c r="B1158" t="s">
        <v>2688</v>
      </c>
      <c r="C1158" t="s">
        <v>1061</v>
      </c>
      <c r="D1158" t="s">
        <v>25</v>
      </c>
      <c r="E1158">
        <f>SUMIF(数据源!R1035:R9601,C1158,数据源!M1035:M9601)</f>
        <v>509.63</v>
      </c>
    </row>
    <row r="1159" spans="2:5">
      <c r="B1159" t="s">
        <v>2694</v>
      </c>
      <c r="C1159" t="s">
        <v>2479</v>
      </c>
      <c r="D1159" t="s">
        <v>25</v>
      </c>
      <c r="E1159">
        <f>SUMIF(数据源!R1806:R10372,C1159,数据源!M1806:M10372)</f>
        <v>423.15</v>
      </c>
    </row>
    <row r="1160" spans="2:5">
      <c r="B1160" t="s">
        <v>2692</v>
      </c>
      <c r="C1160" t="s">
        <v>2415</v>
      </c>
      <c r="D1160" t="s">
        <v>25</v>
      </c>
      <c r="E1160">
        <f>SUMIF(数据源!R619:R9185,C1160,数据源!M619:M9185)</f>
        <v>423.05</v>
      </c>
    </row>
    <row r="1161" spans="2:5">
      <c r="B1161" t="s">
        <v>2695</v>
      </c>
      <c r="C1161" t="s">
        <v>1314</v>
      </c>
      <c r="D1161" t="s">
        <v>26</v>
      </c>
      <c r="E1161">
        <f>SUMIF(数据源!R1894:R10460,C1161,数据源!M1894:M10460)</f>
        <v>523.63</v>
      </c>
    </row>
    <row r="1162" spans="2:5">
      <c r="B1162" t="s">
        <v>2699</v>
      </c>
      <c r="C1162" t="s">
        <v>1203</v>
      </c>
      <c r="D1162" t="s">
        <v>26</v>
      </c>
      <c r="E1162">
        <f>SUMIF(数据源!R2495:R11061,C1162,数据源!M2495:M11061)</f>
        <v>299.97</v>
      </c>
    </row>
    <row r="1163" spans="2:5">
      <c r="B1163" t="s">
        <v>2696</v>
      </c>
      <c r="C1163" t="s">
        <v>2534</v>
      </c>
      <c r="D1163" t="s">
        <v>27</v>
      </c>
      <c r="E1163">
        <f>SUMIF(数据源!R2784:R11350,C1163,数据源!M2784:M11350)</f>
        <v>412.43</v>
      </c>
    </row>
    <row r="1164" spans="2:5">
      <c r="B1164" t="s">
        <v>2698</v>
      </c>
      <c r="C1164" t="s">
        <v>2186</v>
      </c>
      <c r="D1164" t="s">
        <v>27</v>
      </c>
      <c r="E1164">
        <f>SUMIF(数据源!R3274:R11840,C1164,数据源!M3274:M11840)</f>
        <v>406.94</v>
      </c>
    </row>
    <row r="1165" spans="2:5">
      <c r="B1165" t="s">
        <v>2696</v>
      </c>
      <c r="C1165" t="s">
        <v>793</v>
      </c>
      <c r="D1165" t="s">
        <v>27</v>
      </c>
      <c r="E1165">
        <f>SUMIF(数据源!R2622:R11188,C1165,数据源!M2622:M11188)</f>
        <v>135.91</v>
      </c>
    </row>
    <row r="1166" spans="2:5">
      <c r="B1166" t="s">
        <v>2701</v>
      </c>
      <c r="C1166" t="s">
        <v>1403</v>
      </c>
      <c r="D1166" t="s">
        <v>25</v>
      </c>
      <c r="E1166">
        <f>SUMIF(数据源!R1609:R10175,C1166,数据源!M1609:M10175)</f>
        <v>401.89</v>
      </c>
    </row>
    <row r="1167" spans="2:5">
      <c r="B1167" t="s">
        <v>2689</v>
      </c>
      <c r="C1167" t="s">
        <v>1653</v>
      </c>
      <c r="D1167" t="s">
        <v>25</v>
      </c>
      <c r="E1167">
        <f>SUMIF(数据源!R165:R8731,C1167,数据源!M165:M8731)</f>
        <v>401.73</v>
      </c>
    </row>
    <row r="1168" spans="2:5">
      <c r="B1168" t="s">
        <v>2698</v>
      </c>
      <c r="C1168" t="s">
        <v>1438</v>
      </c>
      <c r="D1168" t="s">
        <v>27</v>
      </c>
      <c r="E1168">
        <f>SUMIF(数据源!R3089:R11655,C1168,数据源!M3089:M11655)</f>
        <v>0</v>
      </c>
    </row>
    <row r="1169" spans="2:5">
      <c r="B1169" t="s">
        <v>2691</v>
      </c>
      <c r="C1169" t="s">
        <v>1680</v>
      </c>
      <c r="D1169" t="s">
        <v>26</v>
      </c>
      <c r="E1169">
        <f>SUMIF(数据源!R1986:R10552,C1169,数据源!M1986:M10552)</f>
        <v>400.7</v>
      </c>
    </row>
    <row r="1170" spans="2:5">
      <c r="B1170" t="s">
        <v>2694</v>
      </c>
      <c r="C1170" t="s">
        <v>1013</v>
      </c>
      <c r="D1170" t="s">
        <v>25</v>
      </c>
      <c r="E1170">
        <f>SUMIF(数据源!R1732:R10298,C1170,数据源!M1732:M10298)</f>
        <v>397.29</v>
      </c>
    </row>
    <row r="1171" spans="2:5">
      <c r="B1171" t="s">
        <v>2688</v>
      </c>
      <c r="C1171" t="s">
        <v>597</v>
      </c>
      <c r="D1171" t="s">
        <v>25</v>
      </c>
      <c r="E1171">
        <f>SUMIF(数据源!R1136:R9702,C1171,数据源!M1136:M9702)</f>
        <v>489.83</v>
      </c>
    </row>
    <row r="1172" spans="2:5">
      <c r="B1172" t="s">
        <v>2685</v>
      </c>
      <c r="C1172" t="s">
        <v>1421</v>
      </c>
      <c r="D1172" t="s">
        <v>25</v>
      </c>
      <c r="E1172">
        <f>SUMIF(数据源!R407:R8973,C1172,数据源!M407:M8973)</f>
        <v>543.85</v>
      </c>
    </row>
    <row r="1173" spans="2:5">
      <c r="B1173" t="s">
        <v>2690</v>
      </c>
      <c r="C1173" t="s">
        <v>895</v>
      </c>
      <c r="D1173" t="s">
        <v>25</v>
      </c>
      <c r="E1173">
        <f>SUMIF(数据源!R1279:R9845,C1173,数据源!M1279:M9845)</f>
        <v>311.79</v>
      </c>
    </row>
    <row r="1174" spans="2:5">
      <c r="B1174" t="s">
        <v>2694</v>
      </c>
      <c r="C1174" t="s">
        <v>242</v>
      </c>
      <c r="D1174" t="s">
        <v>25</v>
      </c>
      <c r="E1174">
        <f>SUMIF(数据源!R1668:R10234,C1174,数据源!M1668:M10234)</f>
        <v>386.45</v>
      </c>
    </row>
    <row r="1175" spans="2:5">
      <c r="B1175" t="s">
        <v>2686</v>
      </c>
      <c r="C1175" t="s">
        <v>1494</v>
      </c>
      <c r="D1175" t="s">
        <v>27</v>
      </c>
      <c r="E1175">
        <f>SUMIF(数据源!R3006:R11572,C1175,数据源!M3006:M11572)</f>
        <v>226.68</v>
      </c>
    </row>
    <row r="1176" spans="2:5">
      <c r="B1176" t="s">
        <v>2698</v>
      </c>
      <c r="C1176" t="s">
        <v>2031</v>
      </c>
      <c r="D1176" t="s">
        <v>27</v>
      </c>
      <c r="E1176">
        <f>SUMIF(数据源!R3014:R11580,C1176,数据源!M3014:M11580)</f>
        <v>212.85</v>
      </c>
    </row>
    <row r="1177" spans="2:5">
      <c r="B1177" t="s">
        <v>2685</v>
      </c>
      <c r="C1177" t="s">
        <v>1508</v>
      </c>
      <c r="D1177" t="s">
        <v>25</v>
      </c>
      <c r="E1177">
        <f>SUMIF(数据源!R404:R8970,C1177,数据源!M404:M8970)</f>
        <v>360.62</v>
      </c>
    </row>
    <row r="1178" spans="2:5">
      <c r="B1178" t="s">
        <v>2699</v>
      </c>
      <c r="C1178" t="s">
        <v>642</v>
      </c>
      <c r="D1178" t="s">
        <v>26</v>
      </c>
      <c r="E1178">
        <f>SUMIF(数据源!R2509:R11075,C1178,数据源!M2509:M11075)</f>
        <v>213.93</v>
      </c>
    </row>
    <row r="1179" spans="2:5">
      <c r="B1179" t="s">
        <v>2700</v>
      </c>
      <c r="C1179" t="s">
        <v>2419</v>
      </c>
      <c r="D1179" t="s">
        <v>25</v>
      </c>
      <c r="E1179">
        <f>SUMIF(数据源!R1540:R10106,C1179,数据源!M1540:M10106)</f>
        <v>355.97</v>
      </c>
    </row>
    <row r="1180" spans="2:5">
      <c r="B1180" t="s">
        <v>2701</v>
      </c>
      <c r="C1180" t="s">
        <v>713</v>
      </c>
      <c r="D1180" t="s">
        <v>25</v>
      </c>
      <c r="E1180">
        <f>SUMIF(数据源!R1619:R10185,C1180,数据源!M1619:M10185)</f>
        <v>350.84</v>
      </c>
    </row>
    <row r="1181" spans="2:5">
      <c r="B1181" t="s">
        <v>2694</v>
      </c>
      <c r="C1181" t="s">
        <v>2456</v>
      </c>
      <c r="D1181" t="s">
        <v>25</v>
      </c>
      <c r="E1181">
        <f>SUMIF(数据源!R1800:R10366,C1181,数据源!M1800:M10366)</f>
        <v>345.87</v>
      </c>
    </row>
    <row r="1182" spans="2:5">
      <c r="B1182" t="s">
        <v>2698</v>
      </c>
      <c r="C1182" t="s">
        <v>2548</v>
      </c>
      <c r="D1182" t="s">
        <v>27</v>
      </c>
      <c r="E1182">
        <f>SUMIF(数据源!R3087:R11653,C1182,数据源!M3087:M11653)</f>
        <v>345.4735</v>
      </c>
    </row>
    <row r="1183" spans="2:5">
      <c r="B1183" t="s">
        <v>2691</v>
      </c>
      <c r="C1183" t="s">
        <v>2551</v>
      </c>
      <c r="D1183" t="s">
        <v>26</v>
      </c>
      <c r="E1183">
        <f>SUMIF(数据源!R1942:R10508,C1183,数据源!M1942:M10508)</f>
        <v>340.952</v>
      </c>
    </row>
    <row r="1184" spans="2:5">
      <c r="B1184" t="s">
        <v>2690</v>
      </c>
      <c r="C1184" t="s">
        <v>1918</v>
      </c>
      <c r="D1184" t="s">
        <v>25</v>
      </c>
      <c r="E1184">
        <f>SUMIF(数据源!R1374:R9940,C1184,数据源!M1374:M9940)</f>
        <v>333.32</v>
      </c>
    </row>
    <row r="1185" spans="2:5">
      <c r="B1185" t="s">
        <v>2699</v>
      </c>
      <c r="C1185" t="s">
        <v>2391</v>
      </c>
      <c r="D1185" t="s">
        <v>26</v>
      </c>
      <c r="E1185">
        <f>SUMIF(数据源!R2553:R11119,C1185,数据源!M2553:M11119)</f>
        <v>332.87</v>
      </c>
    </row>
    <row r="1186" spans="2:5">
      <c r="B1186" t="s">
        <v>2685</v>
      </c>
      <c r="C1186" t="s">
        <v>2333</v>
      </c>
      <c r="D1186" t="s">
        <v>25</v>
      </c>
      <c r="E1186">
        <f>SUMIF(数据源!R229:R8795,C1186,数据源!M229:M8795)</f>
        <v>320.57</v>
      </c>
    </row>
    <row r="1187" spans="2:5">
      <c r="B1187" t="s">
        <v>2698</v>
      </c>
      <c r="C1187" t="s">
        <v>1827</v>
      </c>
      <c r="D1187" t="s">
        <v>27</v>
      </c>
      <c r="E1187">
        <f>SUMIF(数据源!R3241:R11807,C1187,数据源!M3241:M11807)</f>
        <v>128.86</v>
      </c>
    </row>
    <row r="1188" spans="2:5">
      <c r="B1188" t="s">
        <v>2690</v>
      </c>
      <c r="C1188" t="s">
        <v>1647</v>
      </c>
      <c r="D1188" t="s">
        <v>25</v>
      </c>
      <c r="E1188">
        <f>SUMIF(数据源!R1272:R9838,C1188,数据源!M1272:M9838)</f>
        <v>715.29</v>
      </c>
    </row>
    <row r="1189" spans="2:5">
      <c r="B1189" t="s">
        <v>2689</v>
      </c>
      <c r="C1189" t="s">
        <v>1554</v>
      </c>
      <c r="D1189" t="s">
        <v>25</v>
      </c>
      <c r="E1189">
        <f>SUMIF(数据源!R44:R8610,C1189,数据源!M44:M8610)</f>
        <v>301.56</v>
      </c>
    </row>
    <row r="1190" spans="2:5">
      <c r="B1190" t="s">
        <v>2685</v>
      </c>
      <c r="C1190" t="s">
        <v>1320</v>
      </c>
      <c r="D1190" t="s">
        <v>25</v>
      </c>
      <c r="E1190">
        <f>SUMIF(数据源!R302:R8868,C1190,数据源!M302:M8868)</f>
        <v>301.29</v>
      </c>
    </row>
    <row r="1191" spans="2:5">
      <c r="B1191" t="s">
        <v>2697</v>
      </c>
      <c r="C1191" t="s">
        <v>959</v>
      </c>
      <c r="D1191" t="s">
        <v>26</v>
      </c>
      <c r="E1191">
        <f>SUMIF(数据源!R2299:R10865,C1191,数据源!M2299:M10865)</f>
        <v>292.42</v>
      </c>
    </row>
    <row r="1192" spans="2:5">
      <c r="B1192" t="s">
        <v>2692</v>
      </c>
      <c r="C1192" t="s">
        <v>1253</v>
      </c>
      <c r="D1192" t="s">
        <v>25</v>
      </c>
      <c r="E1192">
        <f>SUMIF(数据源!R535:R9101,C1192,数据源!M535:M9101)</f>
        <v>298.56</v>
      </c>
    </row>
    <row r="1193" spans="2:5">
      <c r="B1193" t="s">
        <v>2697</v>
      </c>
      <c r="C1193" t="s">
        <v>2664</v>
      </c>
      <c r="D1193" t="s">
        <v>26</v>
      </c>
      <c r="E1193">
        <f>SUMIF(数据源!R2193:R10759,C1193,数据源!M2193:M10759)</f>
        <v>283.21</v>
      </c>
    </row>
    <row r="1194" spans="2:5">
      <c r="B1194" t="s">
        <v>2690</v>
      </c>
      <c r="C1194" t="s">
        <v>1793</v>
      </c>
      <c r="D1194" t="s">
        <v>25</v>
      </c>
      <c r="E1194">
        <f>SUMIF(数据源!R1222:R9788,C1194,数据源!M1222:M9788)</f>
        <v>280.81</v>
      </c>
    </row>
    <row r="1195" spans="2:5">
      <c r="B1195" t="s">
        <v>2688</v>
      </c>
      <c r="C1195" t="s">
        <v>1128</v>
      </c>
      <c r="D1195" t="s">
        <v>25</v>
      </c>
      <c r="E1195">
        <f>SUMIF(数据源!R773:R9339,C1195,数据源!M773:M9339)</f>
        <v>961.32</v>
      </c>
    </row>
    <row r="1196" spans="2:5">
      <c r="B1196" t="s">
        <v>2688</v>
      </c>
      <c r="C1196" t="s">
        <v>1841</v>
      </c>
      <c r="D1196" t="s">
        <v>25</v>
      </c>
      <c r="E1196">
        <f>SUMIF(数据源!R965:R9531,C1196,数据源!M965:M9531)</f>
        <v>276.11</v>
      </c>
    </row>
    <row r="1197" spans="2:5">
      <c r="B1197" t="s">
        <v>2690</v>
      </c>
      <c r="C1197" t="s">
        <v>1874</v>
      </c>
      <c r="D1197" t="s">
        <v>25</v>
      </c>
      <c r="E1197">
        <f>SUMIF(数据源!R1355:R9921,C1197,数据源!M1355:M9921)</f>
        <v>268.94</v>
      </c>
    </row>
    <row r="1198" spans="2:5">
      <c r="B1198" t="s">
        <v>2694</v>
      </c>
      <c r="C1198" t="s">
        <v>888</v>
      </c>
      <c r="D1198" t="s">
        <v>25</v>
      </c>
      <c r="E1198">
        <f>SUMIF(数据源!R1756:R10322,C1198,数据源!M1756:M10322)</f>
        <v>199.17</v>
      </c>
    </row>
    <row r="1199" spans="2:5">
      <c r="B1199" t="s">
        <v>2685</v>
      </c>
      <c r="C1199" t="s">
        <v>2240</v>
      </c>
      <c r="D1199" t="s">
        <v>25</v>
      </c>
      <c r="E1199">
        <f>SUMIF(数据源!R237:R8803,C1199,数据源!M237:M8803)</f>
        <v>252.6</v>
      </c>
    </row>
    <row r="1200" spans="2:5">
      <c r="B1200" t="s">
        <v>2691</v>
      </c>
      <c r="C1200" t="s">
        <v>1765</v>
      </c>
      <c r="D1200" t="s">
        <v>26</v>
      </c>
      <c r="E1200">
        <f>SUMIF(数据源!R2020:R10586,C1200,数据源!M2020:M10586)</f>
        <v>157.29</v>
      </c>
    </row>
    <row r="1201" spans="2:5">
      <c r="B1201" t="s">
        <v>2685</v>
      </c>
      <c r="C1201" t="s">
        <v>1994</v>
      </c>
      <c r="D1201" t="s">
        <v>25</v>
      </c>
      <c r="E1201">
        <f>SUMIF(数据源!R363:R8929,C1201,数据源!M363:M8929)</f>
        <v>3318.19</v>
      </c>
    </row>
    <row r="1202" spans="2:5">
      <c r="B1202" t="s">
        <v>2688</v>
      </c>
      <c r="C1202" t="s">
        <v>2601</v>
      </c>
      <c r="D1202" t="s">
        <v>25</v>
      </c>
      <c r="E1202">
        <f>SUMIF(数据源!R937:R9503,C1202,数据源!M937:M9503)</f>
        <v>241.1</v>
      </c>
    </row>
    <row r="1203" spans="2:5">
      <c r="B1203" t="s">
        <v>2698</v>
      </c>
      <c r="C1203" t="s">
        <v>1158</v>
      </c>
      <c r="D1203" t="s">
        <v>27</v>
      </c>
      <c r="E1203">
        <f>SUMIF(数据源!R3101:R11667,C1203,数据源!M3101:M11667)</f>
        <v>0</v>
      </c>
    </row>
    <row r="1204" spans="2:5">
      <c r="B1204" t="s">
        <v>2685</v>
      </c>
      <c r="C1204" t="s">
        <v>2253</v>
      </c>
      <c r="D1204" t="s">
        <v>25</v>
      </c>
      <c r="E1204">
        <f>SUMIF(数据源!R235:R8801,C1204,数据源!M235:M8801)</f>
        <v>235.68</v>
      </c>
    </row>
    <row r="1205" spans="2:5">
      <c r="B1205" t="s">
        <v>2696</v>
      </c>
      <c r="C1205" t="s">
        <v>829</v>
      </c>
      <c r="D1205" t="s">
        <v>27</v>
      </c>
      <c r="E1205">
        <f>SUMIF(数据源!R2770:R11336,C1205,数据源!M2770:M11336)</f>
        <v>123.26</v>
      </c>
    </row>
    <row r="1206" spans="2:5">
      <c r="B1206" t="s">
        <v>2688</v>
      </c>
      <c r="C1206" t="s">
        <v>1892</v>
      </c>
      <c r="D1206" t="s">
        <v>25</v>
      </c>
      <c r="E1206">
        <f>SUMIF(数据源!R789:R9355,C1206,数据源!M789:M9355)</f>
        <v>227.35</v>
      </c>
    </row>
    <row r="1207" spans="2:5">
      <c r="B1207" t="s">
        <v>2698</v>
      </c>
      <c r="C1207" t="s">
        <v>1690</v>
      </c>
      <c r="D1207" t="s">
        <v>27</v>
      </c>
      <c r="E1207">
        <f>SUMIF(数据源!R3152:R11718,C1207,数据源!M3152:M11718)</f>
        <v>0</v>
      </c>
    </row>
    <row r="1208" spans="2:5">
      <c r="B1208" t="s">
        <v>2697</v>
      </c>
      <c r="C1208" t="s">
        <v>1835</v>
      </c>
      <c r="D1208" t="s">
        <v>26</v>
      </c>
      <c r="E1208">
        <f>SUMIF(数据源!R2235:R10801,C1208,数据源!M2235:M10801)</f>
        <v>182.79</v>
      </c>
    </row>
    <row r="1209" spans="2:5">
      <c r="B1209" t="s">
        <v>2685</v>
      </c>
      <c r="C1209" t="s">
        <v>1113</v>
      </c>
      <c r="D1209" t="s">
        <v>25</v>
      </c>
      <c r="E1209">
        <f>SUMIF(数据源!R341:R8907,C1209,数据源!M341:M8907)</f>
        <v>209.8</v>
      </c>
    </row>
    <row r="1210" spans="2:5">
      <c r="B1210" t="s">
        <v>2688</v>
      </c>
      <c r="C1210" t="s">
        <v>2278</v>
      </c>
      <c r="D1210" t="s">
        <v>25</v>
      </c>
      <c r="E1210">
        <f>SUMIF(数据源!R820:R9386,C1210,数据源!M820:M9386)</f>
        <v>209.42</v>
      </c>
    </row>
    <row r="1211" spans="2:5">
      <c r="B1211" t="s">
        <v>2685</v>
      </c>
      <c r="C1211" t="s">
        <v>2207</v>
      </c>
      <c r="D1211" t="s">
        <v>25</v>
      </c>
      <c r="E1211">
        <f>SUMIF(数据源!R217:R8783,C1211,数据源!M217:M8783)</f>
        <v>207.56</v>
      </c>
    </row>
    <row r="1212" spans="2:5">
      <c r="B1212" t="s">
        <v>2695</v>
      </c>
      <c r="C1212" t="s">
        <v>2390</v>
      </c>
      <c r="D1212" t="s">
        <v>26</v>
      </c>
      <c r="E1212">
        <f>SUMIF(数据源!R1865:R10431,C1212,数据源!M1865:M10431)</f>
        <v>207.55</v>
      </c>
    </row>
    <row r="1213" spans="2:5">
      <c r="B1213" t="s">
        <v>2685</v>
      </c>
      <c r="C1213" t="s">
        <v>896</v>
      </c>
      <c r="D1213" t="s">
        <v>25</v>
      </c>
      <c r="E1213">
        <f>SUMIF(数据源!R470:R9036,C1213,数据源!M470:M9036)</f>
        <v>279.58</v>
      </c>
    </row>
    <row r="1214" spans="2:5">
      <c r="B1214" t="s">
        <v>2695</v>
      </c>
      <c r="C1214" t="s">
        <v>631</v>
      </c>
      <c r="D1214" t="s">
        <v>26</v>
      </c>
      <c r="E1214">
        <f>SUMIF(数据源!R1858:R10424,C1214,数据源!M1858:M10424)</f>
        <v>200.7</v>
      </c>
    </row>
    <row r="1215" spans="2:5">
      <c r="B1215" t="s">
        <v>2697</v>
      </c>
      <c r="C1215" t="s">
        <v>707</v>
      </c>
      <c r="D1215" t="s">
        <v>26</v>
      </c>
      <c r="E1215">
        <f>SUMIF(数据源!R2095:R10661,C1215,数据源!M2095:M10661)</f>
        <v>192.21</v>
      </c>
    </row>
    <row r="1216" spans="2:5">
      <c r="B1216" t="s">
        <v>2689</v>
      </c>
      <c r="C1216" t="s">
        <v>2330</v>
      </c>
      <c r="D1216" t="s">
        <v>25</v>
      </c>
      <c r="E1216">
        <f>SUMIF(数据源!R43:R8609,C1216,数据源!M43:M8609)</f>
        <v>187.33</v>
      </c>
    </row>
    <row r="1217" spans="2:5">
      <c r="B1217" t="s">
        <v>2689</v>
      </c>
      <c r="C1217" t="s">
        <v>654</v>
      </c>
      <c r="D1217" t="s">
        <v>25</v>
      </c>
      <c r="E1217">
        <f>SUMIF(数据源!R26:R8592,C1217,数据源!M26:M8592)</f>
        <v>461.28</v>
      </c>
    </row>
    <row r="1218" spans="2:5">
      <c r="B1218" t="s">
        <v>2688</v>
      </c>
      <c r="C1218" t="s">
        <v>841</v>
      </c>
      <c r="D1218" t="s">
        <v>25</v>
      </c>
      <c r="E1218">
        <f>SUMIF(数据源!R1017:R9583,C1218,数据源!M1017:M9583)</f>
        <v>0</v>
      </c>
    </row>
    <row r="1219" spans="2:5">
      <c r="B1219" t="s">
        <v>2694</v>
      </c>
      <c r="C1219" t="s">
        <v>1683</v>
      </c>
      <c r="D1219" t="s">
        <v>25</v>
      </c>
      <c r="E1219">
        <f>SUMIF(数据源!R1741:R10307,C1219,数据源!M1741:M10307)</f>
        <v>173.33</v>
      </c>
    </row>
    <row r="1220" spans="2:5">
      <c r="B1220" t="s">
        <v>2685</v>
      </c>
      <c r="C1220" t="s">
        <v>1771</v>
      </c>
      <c r="D1220" t="s">
        <v>25</v>
      </c>
      <c r="E1220">
        <f>SUMIF(数据源!R393:R8959,C1220,数据源!M393:M8959)</f>
        <v>163.49</v>
      </c>
    </row>
    <row r="1221" spans="2:5">
      <c r="B1221" t="s">
        <v>2695</v>
      </c>
      <c r="C1221" t="s">
        <v>552</v>
      </c>
      <c r="D1221" t="s">
        <v>26</v>
      </c>
      <c r="E1221">
        <f>SUMIF(数据源!R1893:R10459,C1221,数据源!M1893:M10459)</f>
        <v>157.99</v>
      </c>
    </row>
    <row r="1222" spans="2:5">
      <c r="B1222" t="s">
        <v>2690</v>
      </c>
      <c r="C1222" t="s">
        <v>905</v>
      </c>
      <c r="D1222" t="s">
        <v>25</v>
      </c>
      <c r="E1222">
        <f>SUMIF(数据源!R1336:R9902,C1222,数据源!M1336:M9902)</f>
        <v>156.5</v>
      </c>
    </row>
    <row r="1223" spans="2:5">
      <c r="B1223" t="s">
        <v>2696</v>
      </c>
      <c r="C1223" t="s">
        <v>711</v>
      </c>
      <c r="D1223" t="s">
        <v>27</v>
      </c>
      <c r="E1223">
        <f>SUMIF(数据源!R2597:R11163,C1223,数据源!M2597:M11163)</f>
        <v>88.23</v>
      </c>
    </row>
    <row r="1224" spans="2:5">
      <c r="B1224" t="s">
        <v>2698</v>
      </c>
      <c r="C1224" t="s">
        <v>2402</v>
      </c>
      <c r="D1224" t="s">
        <v>27</v>
      </c>
      <c r="E1224">
        <f>SUMIF(数据源!R3108:R11674,C1224,数据源!M3108:M11674)</f>
        <v>149.31</v>
      </c>
    </row>
    <row r="1225" spans="2:5">
      <c r="B1225" t="s">
        <v>2698</v>
      </c>
      <c r="C1225" t="s">
        <v>2538</v>
      </c>
      <c r="D1225" t="s">
        <v>27</v>
      </c>
      <c r="E1225">
        <f>SUMIF(数据源!R3023:R11589,C1225,数据源!M3023:M11589)</f>
        <v>135.88</v>
      </c>
    </row>
    <row r="1226" spans="2:5">
      <c r="B1226" t="s">
        <v>2697</v>
      </c>
      <c r="C1226" t="s">
        <v>1046</v>
      </c>
      <c r="D1226" t="s">
        <v>26</v>
      </c>
      <c r="E1226">
        <f>SUMIF(数据源!R2094:R10660,C1226,数据源!M2094:M10660)</f>
        <v>133.31</v>
      </c>
    </row>
    <row r="1227" spans="2:5">
      <c r="B1227" t="s">
        <v>2685</v>
      </c>
      <c r="C1227" t="s">
        <v>2669</v>
      </c>
      <c r="D1227" t="s">
        <v>25</v>
      </c>
      <c r="E1227">
        <f>SUMIF(数据源!R353:R8919,C1227,数据源!M353:M8919)</f>
        <v>132.51</v>
      </c>
    </row>
    <row r="1228" spans="2:5">
      <c r="B1228" t="s">
        <v>2694</v>
      </c>
      <c r="C1228" t="s">
        <v>2488</v>
      </c>
      <c r="D1228" t="s">
        <v>25</v>
      </c>
      <c r="E1228">
        <f>SUMIF(数据源!R1736:R10302,C1228,数据源!M1736:M10302)</f>
        <v>127.32</v>
      </c>
    </row>
    <row r="1229" spans="2:5">
      <c r="B1229" t="s">
        <v>2698</v>
      </c>
      <c r="C1229" t="s">
        <v>2593</v>
      </c>
      <c r="D1229" t="s">
        <v>27</v>
      </c>
      <c r="E1229">
        <f>SUMIF(数据源!R3253:R11819,C1229,数据源!M3253:M11819)</f>
        <v>118.51</v>
      </c>
    </row>
    <row r="1230" spans="2:5">
      <c r="B1230" t="s">
        <v>2685</v>
      </c>
      <c r="C1230" t="s">
        <v>2423</v>
      </c>
      <c r="D1230" t="s">
        <v>25</v>
      </c>
      <c r="E1230">
        <f>SUMIF(数据源!R225:R8791,C1230,数据源!M225:M8791)</f>
        <v>117.8</v>
      </c>
    </row>
    <row r="1231" spans="2:5">
      <c r="B1231" t="s">
        <v>2686</v>
      </c>
      <c r="C1231" t="s">
        <v>709</v>
      </c>
      <c r="D1231" t="s">
        <v>27</v>
      </c>
      <c r="E1231">
        <f>SUMIF(数据源!R2887:R11453,C1231,数据源!M2887:M11453)</f>
        <v>14.61</v>
      </c>
    </row>
    <row r="1232" spans="2:5">
      <c r="B1232" t="s">
        <v>2691</v>
      </c>
      <c r="C1232" t="s">
        <v>2565</v>
      </c>
      <c r="D1232" t="s">
        <v>26</v>
      </c>
      <c r="E1232">
        <f>SUMIF(数据源!R1953:R10519,C1232,数据源!M1953:M10519)</f>
        <v>115.2</v>
      </c>
    </row>
    <row r="1233" spans="2:5">
      <c r="B1233" t="s">
        <v>2698</v>
      </c>
      <c r="C1233" t="s">
        <v>1981</v>
      </c>
      <c r="D1233" t="s">
        <v>27</v>
      </c>
      <c r="E1233">
        <f>SUMIF(数据源!R3075:R11641,C1233,数据源!M3075:M11641)</f>
        <v>24.37</v>
      </c>
    </row>
    <row r="1234" spans="2:5">
      <c r="B1234" t="s">
        <v>2692</v>
      </c>
      <c r="C1234" t="s">
        <v>1375</v>
      </c>
      <c r="D1234" t="s">
        <v>25</v>
      </c>
      <c r="E1234">
        <f>SUMIF(数据源!R589:R9155,C1234,数据源!M589:M9155)</f>
        <v>103.89</v>
      </c>
    </row>
    <row r="1235" spans="2:5">
      <c r="B1235" t="s">
        <v>2688</v>
      </c>
      <c r="C1235" t="s">
        <v>1938</v>
      </c>
      <c r="D1235" t="s">
        <v>25</v>
      </c>
      <c r="E1235">
        <f>SUMIF(数据源!R963:R9529,C1235,数据源!M963:M9529)</f>
        <v>103.68</v>
      </c>
    </row>
    <row r="1236" spans="2:5">
      <c r="B1236" t="s">
        <v>2692</v>
      </c>
      <c r="C1236" t="s">
        <v>2670</v>
      </c>
      <c r="D1236" t="s">
        <v>25</v>
      </c>
      <c r="E1236">
        <f>SUMIF(数据源!R568:R9134,C1236,数据源!M568:M9134)</f>
        <v>101.97</v>
      </c>
    </row>
    <row r="1237" spans="2:5">
      <c r="B1237" t="s">
        <v>2688</v>
      </c>
      <c r="C1237" t="s">
        <v>2460</v>
      </c>
      <c r="D1237" t="s">
        <v>25</v>
      </c>
      <c r="E1237">
        <f>SUMIF(数据源!R892:R9458,C1237,数据源!M892:M9458)</f>
        <v>97.06</v>
      </c>
    </row>
    <row r="1238" spans="2:5">
      <c r="B1238" t="s">
        <v>2685</v>
      </c>
      <c r="C1238" t="s">
        <v>1073</v>
      </c>
      <c r="D1238" t="s">
        <v>25</v>
      </c>
      <c r="E1238">
        <f>SUMIF(数据源!R331:R8897,C1238,数据源!M331:M8897)</f>
        <v>170.6</v>
      </c>
    </row>
    <row r="1239" spans="2:5">
      <c r="B1239" t="s">
        <v>2688</v>
      </c>
      <c r="C1239" t="s">
        <v>2632</v>
      </c>
      <c r="D1239" t="s">
        <v>25</v>
      </c>
      <c r="E1239">
        <f>SUMIF(数据源!R906:R9472,C1239,数据源!M906:M9472)</f>
        <v>90.88</v>
      </c>
    </row>
    <row r="1240" spans="2:5">
      <c r="B1240" t="s">
        <v>2698</v>
      </c>
      <c r="C1240" t="s">
        <v>715</v>
      </c>
      <c r="D1240" t="s">
        <v>27</v>
      </c>
      <c r="E1240">
        <f>SUMIF(数据源!R3233:R11799,C1240,数据源!M3233:M11799)</f>
        <v>79.53</v>
      </c>
    </row>
    <row r="1241" spans="2:5">
      <c r="B1241" t="s">
        <v>2698</v>
      </c>
      <c r="C1241" t="s">
        <v>2464</v>
      </c>
      <c r="D1241" t="s">
        <v>27</v>
      </c>
      <c r="E1241">
        <f>SUMIF(数据源!R3058:R11624,C1241,数据源!M3058:M11624)</f>
        <v>78.03</v>
      </c>
    </row>
    <row r="1242" spans="2:5">
      <c r="B1242" t="s">
        <v>2691</v>
      </c>
      <c r="C1242" t="s">
        <v>2450</v>
      </c>
      <c r="D1242" t="s">
        <v>26</v>
      </c>
      <c r="E1242">
        <f>SUMIF(数据源!R1936:R10502,C1242,数据源!M1936:M10502)</f>
        <v>75.6</v>
      </c>
    </row>
    <row r="1243" spans="2:5">
      <c r="B1243" t="s">
        <v>2694</v>
      </c>
      <c r="C1243" t="s">
        <v>1718</v>
      </c>
      <c r="D1243" t="s">
        <v>25</v>
      </c>
      <c r="E1243">
        <f>SUMIF(数据源!R1847:R10413,C1243,数据源!M1847:M10413)</f>
        <v>70.08</v>
      </c>
    </row>
    <row r="1244" spans="2:5">
      <c r="B1244" t="s">
        <v>2688</v>
      </c>
      <c r="C1244" t="s">
        <v>2444</v>
      </c>
      <c r="D1244" t="s">
        <v>25</v>
      </c>
      <c r="E1244">
        <f>SUMIF(数据源!R969:R9535,C1244,数据源!M969:M9535)</f>
        <v>70.02</v>
      </c>
    </row>
    <row r="1245" spans="2:5">
      <c r="B1245" t="s">
        <v>2696</v>
      </c>
      <c r="C1245" t="s">
        <v>2141</v>
      </c>
      <c r="D1245" t="s">
        <v>27</v>
      </c>
      <c r="E1245">
        <f>SUMIF(数据源!R2807:R11373,C1245,数据源!M2807:M11373)</f>
        <v>66.88</v>
      </c>
    </row>
    <row r="1246" spans="2:5">
      <c r="B1246" t="s">
        <v>2694</v>
      </c>
      <c r="C1246" t="s">
        <v>223</v>
      </c>
      <c r="D1246" t="s">
        <v>25</v>
      </c>
      <c r="E1246">
        <f>SUMIF(数据源!R1654:R10220,C1246,数据源!M1654:M10220)</f>
        <v>56.91</v>
      </c>
    </row>
    <row r="1247" spans="2:5">
      <c r="B1247" t="s">
        <v>2694</v>
      </c>
      <c r="C1247" t="s">
        <v>1585</v>
      </c>
      <c r="D1247" t="s">
        <v>25</v>
      </c>
      <c r="E1247">
        <f>SUMIF(数据源!R1769:R10335,C1247,数据源!M1769:M10335)</f>
        <v>55.49</v>
      </c>
    </row>
    <row r="1248" spans="2:5">
      <c r="B1248" t="s">
        <v>2691</v>
      </c>
      <c r="C1248" t="s">
        <v>2535</v>
      </c>
      <c r="D1248" t="s">
        <v>26</v>
      </c>
      <c r="E1248">
        <f>SUMIF(数据源!R2043:R10609,C1248,数据源!M2043:M10609)</f>
        <v>53.34</v>
      </c>
    </row>
    <row r="1249" spans="2:5">
      <c r="B1249" t="s">
        <v>2696</v>
      </c>
      <c r="C1249" t="s">
        <v>1948</v>
      </c>
      <c r="D1249" t="s">
        <v>27</v>
      </c>
      <c r="E1249">
        <f>SUMIF(数据源!R2650:R11216,C1249,数据源!M2650:M11216)</f>
        <v>0</v>
      </c>
    </row>
    <row r="1250" spans="2:5">
      <c r="B1250" t="s">
        <v>2698</v>
      </c>
      <c r="C1250" t="s">
        <v>432</v>
      </c>
      <c r="D1250" t="s">
        <v>27</v>
      </c>
      <c r="E1250">
        <f>SUMIF(数据源!R3176:R11742,C1250,数据源!M3176:M11742)</f>
        <v>0</v>
      </c>
    </row>
    <row r="1251" spans="2:5">
      <c r="B1251" t="s">
        <v>2687</v>
      </c>
      <c r="C1251" t="s">
        <v>2499</v>
      </c>
      <c r="D1251" t="s">
        <v>25</v>
      </c>
      <c r="E1251">
        <f>SUMIF(数据源!R667:R9233,C1251,数据源!M667:M9233)</f>
        <v>34.18</v>
      </c>
    </row>
    <row r="1252" spans="2:5">
      <c r="B1252" t="s">
        <v>2688</v>
      </c>
      <c r="C1252" t="s">
        <v>925</v>
      </c>
      <c r="D1252" t="s">
        <v>25</v>
      </c>
      <c r="E1252">
        <f>SUMIF(数据源!R812:R9378,C1252,数据源!M812:M9378)</f>
        <v>28.81</v>
      </c>
    </row>
    <row r="1253" spans="2:5">
      <c r="B1253" t="s">
        <v>2690</v>
      </c>
      <c r="C1253" t="s">
        <v>353</v>
      </c>
      <c r="D1253" t="s">
        <v>25</v>
      </c>
      <c r="E1253">
        <f>SUMIF(数据源!R1246:R9812,C1253,数据源!M1246:M9812)</f>
        <v>24.32</v>
      </c>
    </row>
    <row r="1254" spans="2:5">
      <c r="B1254" t="s">
        <v>2690</v>
      </c>
      <c r="C1254" t="s">
        <v>517</v>
      </c>
      <c r="D1254" t="s">
        <v>25</v>
      </c>
      <c r="E1254">
        <f>SUMIF(数据源!R1238:R9804,C1254,数据源!M1238:M9804)</f>
        <v>17.06</v>
      </c>
    </row>
    <row r="1255" spans="2:5">
      <c r="B1255" t="s">
        <v>2694</v>
      </c>
      <c r="C1255" t="s">
        <v>2651</v>
      </c>
      <c r="D1255" t="s">
        <v>25</v>
      </c>
      <c r="E1255">
        <f>SUMIF(数据源!R1649:R10215,C1255,数据源!M1649:M10215)</f>
        <v>10.12</v>
      </c>
    </row>
    <row r="1256" spans="2:5">
      <c r="B1256" t="s">
        <v>2696</v>
      </c>
      <c r="C1256" t="s">
        <v>346</v>
      </c>
      <c r="D1256" t="s">
        <v>27</v>
      </c>
      <c r="E1256">
        <f>SUMIF(数据源!R2589:R11155,C1256,数据源!M2589:M11155)</f>
        <v>8.87</v>
      </c>
    </row>
    <row r="1257" spans="2:5">
      <c r="B1257" t="s">
        <v>2686</v>
      </c>
      <c r="C1257" t="s">
        <v>2495</v>
      </c>
      <c r="D1257" t="s">
        <v>27</v>
      </c>
      <c r="E1257">
        <f>SUMIF(数据源!R2877:R11443,C1257,数据源!M2877:M11443)</f>
        <v>7.75</v>
      </c>
    </row>
    <row r="1258" spans="2:5">
      <c r="B1258" t="s">
        <v>2698</v>
      </c>
      <c r="C1258" t="s">
        <v>1423</v>
      </c>
      <c r="D1258" t="s">
        <v>27</v>
      </c>
      <c r="E1258">
        <f>SUMIF(数据源!R3099:R11665,C1258,数据源!M3099:M11665)</f>
        <v>0</v>
      </c>
    </row>
    <row r="1259" spans="2:5">
      <c r="B1259" t="s">
        <v>2701</v>
      </c>
      <c r="C1259" t="s">
        <v>806</v>
      </c>
      <c r="D1259" t="s">
        <v>25</v>
      </c>
      <c r="E1259">
        <f>SUMIF(数据源!R1587:R10153,C1259,数据源!M1587:M10153)</f>
        <v>0</v>
      </c>
    </row>
    <row r="1260" spans="2:5">
      <c r="B1260" t="s">
        <v>2698</v>
      </c>
      <c r="C1260" t="s">
        <v>1577</v>
      </c>
      <c r="D1260" t="s">
        <v>27</v>
      </c>
      <c r="E1260">
        <f>SUMIF(数据源!R3046:R11612,C1260,数据源!M3046:M11612)</f>
        <v>0</v>
      </c>
    </row>
    <row r="1261" spans="2:5">
      <c r="B1261" t="s">
        <v>2685</v>
      </c>
      <c r="C1261" t="s">
        <v>1997</v>
      </c>
      <c r="D1261" t="s">
        <v>25</v>
      </c>
      <c r="E1261">
        <f>SUMIF(数据源!R284:R8850,C1261,数据源!M284:M8850)</f>
        <v>965.82</v>
      </c>
    </row>
    <row r="1262" spans="2:5">
      <c r="B1262" t="s">
        <v>2699</v>
      </c>
      <c r="C1262" t="s">
        <v>1004</v>
      </c>
      <c r="D1262" t="s">
        <v>26</v>
      </c>
      <c r="E1262">
        <f>SUMIF(数据源!R2431:R10997,C1262,数据源!M2431:M10997)</f>
        <v>0</v>
      </c>
    </row>
    <row r="1263" spans="2:5">
      <c r="B1263" t="s">
        <v>2692</v>
      </c>
      <c r="C1263" t="s">
        <v>1165</v>
      </c>
      <c r="D1263" t="s">
        <v>25</v>
      </c>
      <c r="E1263">
        <f>SUMIF(数据源!R598:R9164,C1263,数据源!M598:M9164)</f>
        <v>18316.3</v>
      </c>
    </row>
    <row r="1264" spans="2:5">
      <c r="B1264" t="s">
        <v>2696</v>
      </c>
      <c r="C1264" t="s">
        <v>494</v>
      </c>
      <c r="D1264" t="s">
        <v>27</v>
      </c>
      <c r="E1264">
        <f>SUMIF(数据源!R2672:R11238,C1264,数据源!M2672:M11238)</f>
        <v>0</v>
      </c>
    </row>
    <row r="1265" spans="2:5">
      <c r="B1265" t="s">
        <v>2697</v>
      </c>
      <c r="C1265" t="s">
        <v>89</v>
      </c>
      <c r="D1265" t="s">
        <v>26</v>
      </c>
      <c r="E1265">
        <f>SUMIF(数据源!R2263:R10829,C1265,数据源!M2263:M10829)</f>
        <v>0</v>
      </c>
    </row>
    <row r="1266" spans="2:5">
      <c r="B1266" t="s">
        <v>2699</v>
      </c>
      <c r="C1266" t="s">
        <v>1052</v>
      </c>
      <c r="D1266" t="s">
        <v>26</v>
      </c>
      <c r="E1266">
        <f>SUMIF(数据源!R2503:R11069,C1266,数据源!M2503:M11069)</f>
        <v>0</v>
      </c>
    </row>
    <row r="1267" spans="2:5">
      <c r="B1267" t="s">
        <v>2688</v>
      </c>
      <c r="C1267" t="s">
        <v>777</v>
      </c>
      <c r="D1267" t="s">
        <v>25</v>
      </c>
      <c r="E1267">
        <f>SUMIF(数据源!R940:R9506,C1267,数据源!M940:M9506)</f>
        <v>0</v>
      </c>
    </row>
    <row r="1268" spans="2:5">
      <c r="B1268" t="s">
        <v>2685</v>
      </c>
      <c r="C1268" t="s">
        <v>1296</v>
      </c>
      <c r="D1268" t="s">
        <v>25</v>
      </c>
      <c r="E1268">
        <f>SUMIF(数据源!R233:R8799,C1268,数据源!M233:M8799)</f>
        <v>3898.814</v>
      </c>
    </row>
    <row r="1269" spans="2:5">
      <c r="B1269" t="s">
        <v>2687</v>
      </c>
      <c r="C1269" t="s">
        <v>952</v>
      </c>
      <c r="D1269" t="s">
        <v>25</v>
      </c>
      <c r="E1269">
        <f>SUMIF(数据源!R716:R9282,C1269,数据源!M716:M9282)</f>
        <v>14357.85</v>
      </c>
    </row>
    <row r="1270" spans="2:5">
      <c r="B1270" t="s">
        <v>2697</v>
      </c>
      <c r="C1270" t="s">
        <v>1776</v>
      </c>
      <c r="D1270" t="s">
        <v>26</v>
      </c>
      <c r="E1270">
        <f>SUMIF(数据源!R2243:R10809,C1270,数据源!M2243:M10809)</f>
        <v>0</v>
      </c>
    </row>
    <row r="1271" spans="2:5">
      <c r="B1271" t="s">
        <v>2699</v>
      </c>
      <c r="C1271" t="s">
        <v>1520</v>
      </c>
      <c r="D1271" t="s">
        <v>26</v>
      </c>
      <c r="E1271">
        <f>SUMIF(数据源!R2480:R11046,C1271,数据源!M2480:M11046)</f>
        <v>0</v>
      </c>
    </row>
    <row r="1272" spans="2:5">
      <c r="B1272" t="s">
        <v>2688</v>
      </c>
      <c r="C1272" t="s">
        <v>1808</v>
      </c>
      <c r="D1272" t="s">
        <v>25</v>
      </c>
      <c r="E1272">
        <f>SUMIF(数据源!R833:R9399,C1272,数据源!M833:M9399)</f>
        <v>2703.37</v>
      </c>
    </row>
    <row r="1273" spans="2:5">
      <c r="B1273" t="s">
        <v>2685</v>
      </c>
      <c r="C1273" t="s">
        <v>1355</v>
      </c>
      <c r="D1273" t="s">
        <v>25</v>
      </c>
      <c r="E1273">
        <f>SUMIF(数据源!R316:R8882,C1273,数据源!M316:M8882)</f>
        <v>343.64</v>
      </c>
    </row>
    <row r="1274" spans="2:5">
      <c r="B1274" t="s">
        <v>2692</v>
      </c>
      <c r="C1274" t="s">
        <v>1299</v>
      </c>
      <c r="D1274" t="s">
        <v>25</v>
      </c>
      <c r="E1274">
        <f>SUMIF(数据源!R574:R9140,C1274,数据源!M574:M9140)</f>
        <v>141.92</v>
      </c>
    </row>
    <row r="1275" spans="2:5">
      <c r="B1275" t="s">
        <v>2688</v>
      </c>
      <c r="C1275" t="s">
        <v>761</v>
      </c>
      <c r="D1275" t="s">
        <v>25</v>
      </c>
      <c r="E1275">
        <f>SUMIF(数据源!R899:R9465,C1275,数据源!M899:M9465)</f>
        <v>0</v>
      </c>
    </row>
    <row r="1276" spans="2:5">
      <c r="B1276" t="s">
        <v>2701</v>
      </c>
      <c r="C1276" t="s">
        <v>1096</v>
      </c>
      <c r="D1276" t="s">
        <v>25</v>
      </c>
      <c r="E1276">
        <f>SUMIF(数据源!R1597:R10163,C1276,数据源!M1597:M10163)</f>
        <v>0</v>
      </c>
    </row>
    <row r="1277" spans="2:5">
      <c r="B1277" t="s">
        <v>2696</v>
      </c>
      <c r="C1277" t="s">
        <v>610</v>
      </c>
      <c r="D1277" t="s">
        <v>27</v>
      </c>
      <c r="E1277">
        <f>SUMIF(数据源!R2662:R11228,C1277,数据源!M2662:M11228)</f>
        <v>0</v>
      </c>
    </row>
    <row r="1278" spans="2:5">
      <c r="B1278" t="s">
        <v>2701</v>
      </c>
      <c r="C1278" t="s">
        <v>659</v>
      </c>
      <c r="D1278" t="s">
        <v>25</v>
      </c>
      <c r="E1278">
        <f>SUMIF(数据源!R1582:R10148,C1278,数据源!M1582:M10148)</f>
        <v>0</v>
      </c>
    </row>
    <row r="1279" spans="2:5">
      <c r="B1279" t="s">
        <v>2685</v>
      </c>
      <c r="D1279" t="s">
        <v>25</v>
      </c>
      <c r="E1279">
        <f>SUMIF(数据源!R253:R8819,C1279,数据源!M253:M8819)</f>
        <v>0</v>
      </c>
    </row>
    <row r="1280" spans="2:5">
      <c r="B1280" t="s">
        <v>2692</v>
      </c>
      <c r="D1280" t="s">
        <v>25</v>
      </c>
      <c r="E1280">
        <f>SUMIF(数据源!R555:R9121,C1280,数据源!M555:M9121)</f>
        <v>0</v>
      </c>
    </row>
    <row r="1281" spans="2:5">
      <c r="B1281" t="s">
        <v>2696</v>
      </c>
      <c r="D1281" t="s">
        <v>27</v>
      </c>
      <c r="E1281">
        <f>SUMIF(数据源!R2561:R11127,C1281,数据源!M2561:M11127)</f>
        <v>0</v>
      </c>
    </row>
    <row r="1282" spans="2:5">
      <c r="B1282" t="s">
        <v>2699</v>
      </c>
      <c r="D1282" t="s">
        <v>26</v>
      </c>
      <c r="E1282">
        <f>SUMIF(数据源!R2411:R10977,C1282,数据源!M2411:M10977)</f>
        <v>0</v>
      </c>
    </row>
    <row r="1283" spans="2:5">
      <c r="B1283" t="s">
        <v>2688</v>
      </c>
      <c r="D1283" t="s">
        <v>25</v>
      </c>
      <c r="E1283">
        <f>SUMIF(数据源!R1107:R9673,C1283,数据源!M1107:M9673)</f>
        <v>0</v>
      </c>
    </row>
    <row r="1284" spans="2:5">
      <c r="B1284" t="s">
        <v>2690</v>
      </c>
      <c r="D1284" t="s">
        <v>25</v>
      </c>
      <c r="E1284">
        <f>SUMIF(数据源!R1463:R10029,C1284,数据源!M1463:M10029)</f>
        <v>0</v>
      </c>
    </row>
    <row r="1285" spans="2:5">
      <c r="B1285" t="s">
        <v>2694</v>
      </c>
      <c r="D1285" t="s">
        <v>25</v>
      </c>
      <c r="E1285">
        <f>SUMIF(数据源!R1844:R10410,C1285,数据源!M1844:M10410)</f>
        <v>0</v>
      </c>
    </row>
    <row r="1286" spans="2:5">
      <c r="B1286" t="s">
        <v>2691</v>
      </c>
      <c r="D1286" t="s">
        <v>26</v>
      </c>
      <c r="E1286">
        <f>SUMIF(数据源!R1946:R10512,C1286,数据源!M1946:M10512)</f>
        <v>0</v>
      </c>
    </row>
    <row r="1287" spans="2:5">
      <c r="B1287" t="s">
        <v>2685</v>
      </c>
      <c r="D1287" t="s">
        <v>25</v>
      </c>
      <c r="E1287">
        <f>SUMIF(数据源!R275:R8841,C1287,数据源!M275:M8841)</f>
        <v>0</v>
      </c>
    </row>
    <row r="1288" spans="2:5">
      <c r="B1288" t="s">
        <v>2694</v>
      </c>
      <c r="D1288" t="s">
        <v>25</v>
      </c>
      <c r="E1288">
        <f>SUMIF(数据源!R1673:R10239,C1288,数据源!M1673:M10239)</f>
        <v>0</v>
      </c>
    </row>
    <row r="1289" spans="2:5">
      <c r="B1289" t="s">
        <v>2687</v>
      </c>
      <c r="D1289" t="s">
        <v>25</v>
      </c>
      <c r="E1289">
        <f>SUMIF(数据源!R692:R9258,C1289,数据源!M692:M9258)</f>
        <v>0</v>
      </c>
    </row>
    <row r="1290" spans="2:5">
      <c r="B1290" t="s">
        <v>2698</v>
      </c>
      <c r="D1290" t="s">
        <v>27</v>
      </c>
      <c r="E1290">
        <f>SUMIF(数据源!R3118:R11684,C1290,数据源!M3118:M11684)</f>
        <v>0</v>
      </c>
    </row>
    <row r="1291" spans="2:5">
      <c r="B1291" t="s">
        <v>2691</v>
      </c>
      <c r="D1291" t="s">
        <v>26</v>
      </c>
      <c r="E1291">
        <f>SUMIF(数据源!R1932:R10498,C1291,数据源!M1932:M10498)</f>
        <v>0</v>
      </c>
    </row>
    <row r="1292" spans="2:5">
      <c r="B1292" t="s">
        <v>2689</v>
      </c>
      <c r="D1292" t="s">
        <v>25</v>
      </c>
      <c r="E1292">
        <f>SUMIF(数据源!R119:R8685,C1292,数据源!M119:M8685)</f>
        <v>0</v>
      </c>
    </row>
    <row r="1293" spans="2:5">
      <c r="B1293" t="s">
        <v>2700</v>
      </c>
      <c r="D1293" t="s">
        <v>25</v>
      </c>
      <c r="E1293">
        <f>SUMIF(数据源!R1500:R10066,C1293,数据源!M1500:M10066)</f>
        <v>0</v>
      </c>
    </row>
    <row r="1294" spans="2:5">
      <c r="B1294" t="s">
        <v>2687</v>
      </c>
      <c r="D1294" t="s">
        <v>25</v>
      </c>
      <c r="E1294">
        <f>SUMIF(数据源!R736:R9302,C1294,数据源!M736:M9302)</f>
        <v>0</v>
      </c>
    </row>
    <row r="1295" spans="2:5">
      <c r="B1295" t="s">
        <v>2688</v>
      </c>
      <c r="D1295" t="s">
        <v>25</v>
      </c>
      <c r="E1295">
        <f>SUMIF(数据源!R1068:R9634,C1295,数据源!M1068:M9634)</f>
        <v>0</v>
      </c>
    </row>
    <row r="1296" spans="2:5">
      <c r="B1296" t="s">
        <v>2698</v>
      </c>
      <c r="D1296" t="s">
        <v>27</v>
      </c>
      <c r="E1296">
        <f>SUMIF(数据源!R3115:R11681,C1296,数据源!M3115:M11681)</f>
        <v>0</v>
      </c>
    </row>
    <row r="1297" spans="2:5">
      <c r="B1297" t="s">
        <v>2695</v>
      </c>
      <c r="D1297" t="s">
        <v>26</v>
      </c>
      <c r="E1297">
        <f>SUMIF(数据源!R1868:R10434,C1297,数据源!M1868:M10434)</f>
        <v>0</v>
      </c>
    </row>
    <row r="1298" spans="2:5">
      <c r="B1298" t="s">
        <v>2697</v>
      </c>
      <c r="D1298" t="s">
        <v>26</v>
      </c>
      <c r="E1298">
        <f>SUMIF(数据源!R2142:R10708,C1298,数据源!M2142:M10708)</f>
        <v>0</v>
      </c>
    </row>
    <row r="1299" spans="2:5">
      <c r="B1299" t="s">
        <v>2689</v>
      </c>
      <c r="D1299" t="s">
        <v>25</v>
      </c>
      <c r="E1299">
        <f>SUMIF(数据源!R163:R8729,C1299,数据源!M163:M8729)</f>
        <v>0</v>
      </c>
    </row>
    <row r="1300" spans="2:5">
      <c r="B1300" t="s">
        <v>2685</v>
      </c>
      <c r="D1300" t="s">
        <v>25</v>
      </c>
      <c r="E1300">
        <f>SUMIF(数据源!R507:R9073,C1300,数据源!M507:M9073)</f>
        <v>0</v>
      </c>
    </row>
    <row r="1301" spans="2:5">
      <c r="B1301" t="s">
        <v>2696</v>
      </c>
      <c r="D1301" t="s">
        <v>27</v>
      </c>
      <c r="E1301">
        <f>SUMIF(数据源!R2786:R11352,C1301,数据源!M2786:M11352)</f>
        <v>0</v>
      </c>
    </row>
    <row r="1302" spans="2:5">
      <c r="B1302" t="s">
        <v>2698</v>
      </c>
      <c r="D1302" t="s">
        <v>27</v>
      </c>
      <c r="E1302">
        <f>SUMIF(数据源!R3277:R11843,C1302,数据源!M3277:M11843)</f>
        <v>0</v>
      </c>
    </row>
    <row r="1303" spans="2:5">
      <c r="B1303" t="s">
        <v>2685</v>
      </c>
      <c r="D1303" t="s">
        <v>25</v>
      </c>
      <c r="E1303">
        <f>SUMIF(数据源!R298:R8864,C1303,数据源!M298:M8864)</f>
        <v>0</v>
      </c>
    </row>
    <row r="1304" spans="2:5">
      <c r="B1304" t="s">
        <v>2685</v>
      </c>
      <c r="D1304" t="s">
        <v>25</v>
      </c>
      <c r="E1304">
        <f>SUMIF(数据源!R454:R9020,C1304,数据源!M454:M9020)</f>
        <v>0</v>
      </c>
    </row>
    <row r="1305" spans="2:5">
      <c r="B1305" t="s">
        <v>2698</v>
      </c>
      <c r="D1305" t="s">
        <v>27</v>
      </c>
      <c r="E1305">
        <f>SUMIF(数据源!R3036:R11602,C1305,数据源!M3036:M11602)</f>
        <v>0</v>
      </c>
    </row>
    <row r="1306" spans="2:5">
      <c r="B1306" t="s">
        <v>2691</v>
      </c>
      <c r="D1306" t="s">
        <v>26</v>
      </c>
      <c r="E1306">
        <f>SUMIF(数据源!R1933:R10499,C1306,数据源!M1933:M10499)</f>
        <v>0</v>
      </c>
    </row>
    <row r="1307" spans="2:5">
      <c r="B1307" t="s">
        <v>2689</v>
      </c>
      <c r="D1307" t="s">
        <v>25</v>
      </c>
      <c r="E1307">
        <f>SUMIF(数据源!R11:R8577,C1307,数据源!M11:M8577)</f>
        <v>0</v>
      </c>
    </row>
    <row r="1308" spans="2:5">
      <c r="B1308" t="s">
        <v>2692</v>
      </c>
      <c r="D1308" t="s">
        <v>25</v>
      </c>
      <c r="E1308">
        <f>SUMIF(数据源!R542:R9108,C1308,数据源!M542:M9108)</f>
        <v>0</v>
      </c>
    </row>
    <row r="1309" spans="2:5">
      <c r="B1309" t="s">
        <v>2688</v>
      </c>
      <c r="D1309" t="s">
        <v>25</v>
      </c>
      <c r="E1309">
        <f>SUMIF(数据源!R764:R9330,C1309,数据源!M764:M9330)</f>
        <v>0</v>
      </c>
    </row>
    <row r="1310" spans="2:5">
      <c r="B1310" t="s">
        <v>2700</v>
      </c>
      <c r="D1310" t="s">
        <v>25</v>
      </c>
      <c r="E1310">
        <f>SUMIF(数据源!R1481:R10047,C1310,数据源!M1481:M10047)</f>
        <v>0</v>
      </c>
    </row>
    <row r="1311" spans="2:5">
      <c r="B1311" t="s">
        <v>2689</v>
      </c>
      <c r="D1311" t="s">
        <v>25</v>
      </c>
      <c r="E1311">
        <f>SUMIF(数据源!R170:R8736,C1311,数据源!M170:M8736)</f>
        <v>0</v>
      </c>
    </row>
    <row r="1312" spans="2:5">
      <c r="B1312" t="s">
        <v>2692</v>
      </c>
      <c r="D1312" t="s">
        <v>25</v>
      </c>
      <c r="E1312">
        <f>SUMIF(数据源!R632:R9198,C1312,数据源!M632:M9198)</f>
        <v>0</v>
      </c>
    </row>
    <row r="1313" spans="2:5">
      <c r="B1313" t="s">
        <v>2685</v>
      </c>
      <c r="D1313" t="s">
        <v>25</v>
      </c>
      <c r="E1313">
        <f>SUMIF(数据源!R368:R8934,C1313,数据源!M368:M8934)</f>
        <v>0</v>
      </c>
    </row>
    <row r="1314" spans="2:5">
      <c r="B1314" t="s">
        <v>2689</v>
      </c>
      <c r="D1314" t="s">
        <v>25</v>
      </c>
      <c r="E1314">
        <f>SUMIF(数据源!R90:R8656,C1314,数据源!M90:M8656)</f>
        <v>0</v>
      </c>
    </row>
    <row r="1315" spans="2:5">
      <c r="B1315" t="s">
        <v>2685</v>
      </c>
      <c r="D1315" t="s">
        <v>25</v>
      </c>
      <c r="E1315">
        <f>SUMIF(数据源!R334:R8900,C1315,数据源!M334:M8900)</f>
        <v>0</v>
      </c>
    </row>
    <row r="1316" spans="2:5">
      <c r="B1316" t="s">
        <v>2688</v>
      </c>
      <c r="D1316" t="s">
        <v>25</v>
      </c>
      <c r="E1316">
        <f>SUMIF(数据源!R907:R9473,C1316,数据源!M907:M9473)</f>
        <v>0</v>
      </c>
    </row>
    <row r="1317" spans="2:5">
      <c r="B1317" t="s">
        <v>2689</v>
      </c>
      <c r="D1317" t="s">
        <v>25</v>
      </c>
      <c r="E1317">
        <f>SUMIF(数据源!R162:R8728,C1317,数据源!M162:M8728)</f>
        <v>0</v>
      </c>
    </row>
    <row r="1318" spans="2:5">
      <c r="B1318" t="s">
        <v>2689</v>
      </c>
      <c r="D1318" t="s">
        <v>25</v>
      </c>
      <c r="E1318">
        <f>SUMIF(数据源!R81:R8647,C1318,数据源!M81:M8647)</f>
        <v>0</v>
      </c>
    </row>
    <row r="1319" spans="2:5">
      <c r="B1319" t="s">
        <v>2698</v>
      </c>
      <c r="D1319" t="s">
        <v>27</v>
      </c>
      <c r="E1319">
        <f>SUMIF(数据源!R3105:R11671,C1319,数据源!M3105:M11671)</f>
        <v>0</v>
      </c>
    </row>
    <row r="1320" spans="2:5">
      <c r="B1320" t="s">
        <v>2694</v>
      </c>
      <c r="D1320" t="s">
        <v>25</v>
      </c>
      <c r="E1320">
        <f>SUMIF(数据源!R1747:R10313,C1320,数据源!M1747:M10313)</f>
        <v>0</v>
      </c>
    </row>
    <row r="1321" spans="2:5">
      <c r="B1321" t="s">
        <v>2687</v>
      </c>
      <c r="D1321" t="s">
        <v>25</v>
      </c>
      <c r="E1321">
        <f>SUMIF(数据源!R641:R9207,C1321,数据源!M641:M9207)</f>
        <v>0</v>
      </c>
    </row>
    <row r="1322" spans="2:5">
      <c r="B1322" t="s">
        <v>2701</v>
      </c>
      <c r="D1322" t="s">
        <v>25</v>
      </c>
      <c r="E1322">
        <f>SUMIF(数据源!R1585:R10151,C1322,数据源!M1585:M10151)</f>
        <v>0</v>
      </c>
    </row>
    <row r="1323" spans="2:5">
      <c r="B1323" t="s">
        <v>2698</v>
      </c>
      <c r="D1323" t="s">
        <v>27</v>
      </c>
      <c r="E1323">
        <f>SUMIF(数据源!R3212:R11778,C1323,数据源!M3212:M11778)</f>
        <v>0</v>
      </c>
    </row>
    <row r="1324" spans="2:5">
      <c r="B1324" t="s">
        <v>2695</v>
      </c>
      <c r="D1324" t="s">
        <v>26</v>
      </c>
      <c r="E1324">
        <f>SUMIF(数据源!R1881:R10447,C1324,数据源!M1881:M10447)</f>
        <v>0</v>
      </c>
    </row>
    <row r="1325" spans="2:5">
      <c r="B1325" t="s">
        <v>2697</v>
      </c>
      <c r="D1325" t="s">
        <v>26</v>
      </c>
      <c r="E1325">
        <f>SUMIF(数据源!R2189:R10755,C1325,数据源!M2189:M10755)</f>
        <v>0</v>
      </c>
    </row>
    <row r="1326" spans="2:5">
      <c r="B1326" t="s">
        <v>2692</v>
      </c>
      <c r="D1326" t="s">
        <v>25</v>
      </c>
      <c r="E1326">
        <f>SUMIF(数据源!R612:R9178,C1326,数据源!M612:M9178)</f>
        <v>0</v>
      </c>
    </row>
    <row r="1327" spans="2:5">
      <c r="B1327" t="s">
        <v>2694</v>
      </c>
      <c r="D1327" t="s">
        <v>25</v>
      </c>
      <c r="E1327">
        <f>SUMIF(数据源!R1848:R10414,C1327,数据源!M1848:M10414)</f>
        <v>0</v>
      </c>
    </row>
    <row r="1328" spans="2:5">
      <c r="B1328" t="s">
        <v>2697</v>
      </c>
      <c r="D1328" t="s">
        <v>26</v>
      </c>
      <c r="E1328">
        <f>SUMIF(数据源!R2192:R10758,C1328,数据源!M2192:M10758)</f>
        <v>0</v>
      </c>
    </row>
    <row r="1329" spans="2:5">
      <c r="B1329" t="s">
        <v>2688</v>
      </c>
      <c r="D1329" t="s">
        <v>25</v>
      </c>
      <c r="E1329">
        <f>SUMIF(数据源!R1091:R9657,C1329,数据源!M1091:M9657)</f>
        <v>0</v>
      </c>
    </row>
    <row r="1330" spans="2:5">
      <c r="B1330" t="s">
        <v>2685</v>
      </c>
      <c r="D1330" t="s">
        <v>25</v>
      </c>
      <c r="E1330">
        <f>SUMIF(数据源!R449:R9015,C1330,数据源!M449:M9015)</f>
        <v>0</v>
      </c>
    </row>
    <row r="1331" spans="2:5">
      <c r="B1331" t="s">
        <v>2689</v>
      </c>
      <c r="D1331" t="s">
        <v>25</v>
      </c>
      <c r="E1331">
        <f>SUMIF(数据源!R150:R8716,C1331,数据源!M150:M8716)</f>
        <v>0</v>
      </c>
    </row>
    <row r="1332" spans="2:5">
      <c r="B1332" t="s">
        <v>2688</v>
      </c>
      <c r="D1332" t="s">
        <v>25</v>
      </c>
      <c r="E1332">
        <f>SUMIF(数据源!R1033:R9599,C1332,数据源!M1033:M9599)</f>
        <v>0</v>
      </c>
    </row>
    <row r="1333" spans="2:5">
      <c r="B1333" t="s">
        <v>2688</v>
      </c>
      <c r="D1333" t="s">
        <v>25</v>
      </c>
      <c r="E1333">
        <f>SUMIF(数据源!R930:R9496,C1333,数据源!M930:M9496)</f>
        <v>0</v>
      </c>
    </row>
    <row r="1334" spans="2:5">
      <c r="B1334" t="s">
        <v>2685</v>
      </c>
      <c r="D1334" t="s">
        <v>25</v>
      </c>
      <c r="E1334">
        <f>SUMIF(数据源!R494:R9060,C1334,数据源!M494:M9060)</f>
        <v>0</v>
      </c>
    </row>
    <row r="1335" spans="2:5">
      <c r="B1335" t="s">
        <v>2698</v>
      </c>
      <c r="D1335" t="s">
        <v>27</v>
      </c>
      <c r="E1335">
        <f>SUMIF(数据源!R3149:R11715,C1335,数据源!M3149:M11715)</f>
        <v>0</v>
      </c>
    </row>
    <row r="1336" spans="2:5">
      <c r="B1336" t="s">
        <v>2685</v>
      </c>
      <c r="D1336" t="s">
        <v>25</v>
      </c>
      <c r="E1336">
        <f>SUMIF(数据源!R457:R9023,C1336,数据源!M457:M9023)</f>
        <v>0</v>
      </c>
    </row>
    <row r="1337" spans="2:5">
      <c r="B1337" t="s">
        <v>2692</v>
      </c>
      <c r="D1337" t="s">
        <v>25</v>
      </c>
      <c r="E1337">
        <f>SUMIF(数据源!R615:R9181,C1337,数据源!M615:M9181)</f>
        <v>0</v>
      </c>
    </row>
    <row r="1338" spans="2:5">
      <c r="B1338" t="s">
        <v>2688</v>
      </c>
      <c r="D1338" t="s">
        <v>25</v>
      </c>
      <c r="E1338">
        <f>SUMIF(数据源!R1047:R9613,C1338,数据源!M1047:M9613)</f>
        <v>0</v>
      </c>
    </row>
    <row r="1339" spans="2:5">
      <c r="B1339" t="s">
        <v>2690</v>
      </c>
      <c r="D1339" t="s">
        <v>25</v>
      </c>
      <c r="E1339">
        <f>SUMIF(数据源!R1438:R10004,C1339,数据源!M1438:M10004)</f>
        <v>0</v>
      </c>
    </row>
    <row r="1340" spans="2:5">
      <c r="B1340" t="s">
        <v>2700</v>
      </c>
      <c r="D1340" t="s">
        <v>25</v>
      </c>
      <c r="E1340">
        <f>SUMIF(数据源!R1551:R10117,C1340,数据源!M1551:M10117)</f>
        <v>0</v>
      </c>
    </row>
    <row r="1341" spans="2:5">
      <c r="B1341" t="s">
        <v>2694</v>
      </c>
      <c r="D1341" t="s">
        <v>25</v>
      </c>
      <c r="E1341">
        <f>SUMIF(数据源!R1812:R10378,C1341,数据源!M1812:M10378)</f>
        <v>0</v>
      </c>
    </row>
    <row r="1342" spans="2:5">
      <c r="B1342" t="s">
        <v>2691</v>
      </c>
      <c r="D1342" t="s">
        <v>26</v>
      </c>
      <c r="E1342">
        <f>SUMIF(数据源!R2068:R10634,C1342,数据源!M2068:M10634)</f>
        <v>0</v>
      </c>
    </row>
    <row r="1343" spans="2:5">
      <c r="B1343" t="s">
        <v>2690</v>
      </c>
      <c r="D1343" t="s">
        <v>25</v>
      </c>
      <c r="E1343">
        <f>SUMIF(数据源!R1428:R9994,C1343,数据源!M1428:M9994)</f>
        <v>0</v>
      </c>
    </row>
    <row r="1344" spans="2:5">
      <c r="B1344" t="s">
        <v>2689</v>
      </c>
      <c r="D1344" t="s">
        <v>25</v>
      </c>
      <c r="E1344">
        <f>SUMIF(数据源!R160:R8726,C1344,数据源!M160:M8726)</f>
        <v>0</v>
      </c>
    </row>
    <row r="1345" spans="2:5">
      <c r="B1345" t="s">
        <v>2692</v>
      </c>
      <c r="D1345" t="s">
        <v>25</v>
      </c>
      <c r="E1345">
        <f>SUMIF(数据源!R624:R9190,C1345,数据源!M624:M9190)</f>
        <v>0</v>
      </c>
    </row>
    <row r="1346" spans="2:5">
      <c r="B1346" t="s">
        <v>2694</v>
      </c>
      <c r="D1346" t="s">
        <v>25</v>
      </c>
      <c r="E1346">
        <f>SUMIF(数据源!R1757:R10323,C1346,数据源!M1757:M10323)</f>
        <v>0</v>
      </c>
    </row>
    <row r="1347" spans="2:5">
      <c r="B1347" t="s">
        <v>2688</v>
      </c>
      <c r="D1347" t="s">
        <v>25</v>
      </c>
      <c r="E1347">
        <f>SUMIF(数据源!R1101:R9667,C1347,数据源!M1101:M9667)</f>
        <v>0</v>
      </c>
    </row>
    <row r="1348" spans="2:5">
      <c r="B1348" t="s">
        <v>2701</v>
      </c>
      <c r="D1348" t="s">
        <v>25</v>
      </c>
      <c r="E1348">
        <f>SUMIF(数据源!R1600:R10166,C1348,数据源!M1600:M10166)</f>
        <v>0</v>
      </c>
    </row>
    <row r="1349" spans="2:5">
      <c r="B1349" t="s">
        <v>2696</v>
      </c>
      <c r="D1349" t="s">
        <v>27</v>
      </c>
      <c r="E1349">
        <f>SUMIF(数据源!R2723:R11289,C1349,数据源!M2723:M11289)</f>
        <v>0</v>
      </c>
    </row>
    <row r="1350" spans="2:5">
      <c r="B1350" t="s">
        <v>2686</v>
      </c>
      <c r="D1350" t="s">
        <v>27</v>
      </c>
      <c r="E1350">
        <f>SUMIF(数据源!R2945:R11511,C1350,数据源!M2945:M11511)</f>
        <v>0</v>
      </c>
    </row>
    <row r="1351" spans="2:5">
      <c r="B1351" t="s">
        <v>2695</v>
      </c>
      <c r="D1351" t="s">
        <v>26</v>
      </c>
      <c r="E1351">
        <f>SUMIF(数据源!R1887:R10453,C1351,数据源!M1887:M10453)</f>
        <v>0</v>
      </c>
    </row>
    <row r="1352" spans="2:5">
      <c r="B1352" t="s">
        <v>2697</v>
      </c>
      <c r="D1352" t="s">
        <v>26</v>
      </c>
      <c r="E1352">
        <f>SUMIF(数据源!R2224:R10790,C1352,数据源!M2224:M10790)</f>
        <v>0</v>
      </c>
    </row>
    <row r="1353" spans="2:5">
      <c r="B1353" t="s">
        <v>2690</v>
      </c>
      <c r="D1353" t="s">
        <v>25</v>
      </c>
      <c r="E1353">
        <f>SUMIF(数据源!R1313:R9879,C1353,数据源!M1313:M9879)</f>
        <v>0</v>
      </c>
    </row>
    <row r="1354" spans="2:5">
      <c r="B1354" t="s">
        <v>2688</v>
      </c>
      <c r="D1354" t="s">
        <v>25</v>
      </c>
      <c r="E1354">
        <f>SUMIF(数据源!R1171:R9737,C1354,数据源!M1171:M9737)</f>
        <v>0</v>
      </c>
    </row>
    <row r="1355" spans="2:5">
      <c r="B1355" t="s">
        <v>2686</v>
      </c>
      <c r="D1355" t="s">
        <v>27</v>
      </c>
      <c r="E1355">
        <f>SUMIF(数据源!R2954:R11520,C1355,数据源!M2954:M11520)</f>
        <v>0</v>
      </c>
    </row>
    <row r="1356" spans="2:5">
      <c r="B1356" t="s">
        <v>2698</v>
      </c>
      <c r="D1356" t="s">
        <v>27</v>
      </c>
      <c r="E1356">
        <f>SUMIF(数据源!R3259:R11825,C1356,数据源!M3259:M11825)</f>
        <v>0</v>
      </c>
    </row>
    <row r="1357" spans="2:5">
      <c r="B1357" t="s">
        <v>2690</v>
      </c>
      <c r="D1357" t="s">
        <v>25</v>
      </c>
      <c r="E1357">
        <f>SUMIF(数据源!R1436:R10002,C1357,数据源!M1436:M10002)</f>
        <v>0</v>
      </c>
    </row>
    <row r="1358" spans="2:5">
      <c r="B1358" t="s">
        <v>2696</v>
      </c>
      <c r="D1358" t="s">
        <v>27</v>
      </c>
      <c r="E1358">
        <f>SUMIF(数据源!R2670:R11236,C1358,数据源!M2670:M11236)</f>
        <v>0</v>
      </c>
    </row>
    <row r="1359" spans="2:5">
      <c r="B1359" t="s">
        <v>2699</v>
      </c>
      <c r="D1359" t="s">
        <v>26</v>
      </c>
      <c r="E1359">
        <f>SUMIF(数据源!R2501:R11067,C1359,数据源!M2501:M11067)</f>
        <v>0</v>
      </c>
    </row>
    <row r="1360" spans="2:5">
      <c r="B1360" t="s">
        <v>2689</v>
      </c>
      <c r="D1360" t="s">
        <v>25</v>
      </c>
      <c r="E1360">
        <f>SUMIF(数据源!R114:R8680,C1360,数据源!M114:M8680)</f>
        <v>0</v>
      </c>
    </row>
    <row r="1361" spans="2:5">
      <c r="B1361" t="s">
        <v>2690</v>
      </c>
      <c r="D1361" t="s">
        <v>25</v>
      </c>
      <c r="E1361">
        <f>SUMIF(数据源!R1456:R10022,C1361,数据源!M1456:M10022)</f>
        <v>0</v>
      </c>
    </row>
    <row r="1362" spans="2:5">
      <c r="B1362" t="s">
        <v>2690</v>
      </c>
      <c r="D1362" t="s">
        <v>25</v>
      </c>
      <c r="E1362">
        <f>SUMIF(数据源!R1328:R9894,C1362,数据源!M1328:M9894)</f>
        <v>0</v>
      </c>
    </row>
    <row r="1363" spans="2:5">
      <c r="B1363" t="s">
        <v>2696</v>
      </c>
      <c r="D1363" t="s">
        <v>27</v>
      </c>
      <c r="E1363">
        <f>SUMIF(数据源!R2811:R11377,C1363,数据源!M2811:M11377)</f>
        <v>0</v>
      </c>
    </row>
    <row r="1364" spans="2:5">
      <c r="B1364" t="s">
        <v>2699</v>
      </c>
      <c r="D1364" t="s">
        <v>26</v>
      </c>
      <c r="E1364">
        <f>SUMIF(数据源!R2546:R11112,C1364,数据源!M2546:M11112)</f>
        <v>0</v>
      </c>
    </row>
    <row r="1365" spans="2:5">
      <c r="B1365" t="s">
        <v>2687</v>
      </c>
      <c r="D1365" t="s">
        <v>25</v>
      </c>
      <c r="E1365">
        <f>SUMIF(数据源!R661:R9227,C1365,数据源!M661:M9227)</f>
        <v>0</v>
      </c>
    </row>
    <row r="1366" spans="2:5">
      <c r="B1366" t="s">
        <v>2688</v>
      </c>
      <c r="D1366" t="s">
        <v>25</v>
      </c>
      <c r="E1366">
        <f>SUMIF(数据源!R809:R9375,C1366,数据源!M809:M9375)</f>
        <v>0</v>
      </c>
    </row>
    <row r="1367" spans="2:5">
      <c r="B1367" t="s">
        <v>2694</v>
      </c>
      <c r="D1367" t="s">
        <v>25</v>
      </c>
      <c r="E1367">
        <f>SUMIF(数据源!R1852:R10418,C1367,数据源!M1852:M10418)</f>
        <v>0</v>
      </c>
    </row>
    <row r="1368" spans="2:5">
      <c r="B1368" t="s">
        <v>2689</v>
      </c>
      <c r="D1368" t="s">
        <v>25</v>
      </c>
      <c r="E1368">
        <f>SUMIF(数据源!R171:R8737,C1368,数据源!M171:M8737)</f>
        <v>0</v>
      </c>
    </row>
    <row r="1369" spans="2:5">
      <c r="B1369" t="s">
        <v>2688</v>
      </c>
      <c r="D1369" t="s">
        <v>25</v>
      </c>
      <c r="E1369">
        <f>SUMIF(数据源!R1172:R9738,C1369,数据源!M1172:M9738)</f>
        <v>0</v>
      </c>
    </row>
    <row r="1370" spans="2:5">
      <c r="B1370" t="s">
        <v>2698</v>
      </c>
      <c r="D1370" t="s">
        <v>27</v>
      </c>
      <c r="E1370">
        <f>SUMIF(数据源!R3028:R11594,C1370,数据源!M3028:M11594)</f>
        <v>0</v>
      </c>
    </row>
    <row r="1371" spans="2:5">
      <c r="B1371" t="s">
        <v>2689</v>
      </c>
      <c r="D1371" t="s">
        <v>25</v>
      </c>
      <c r="E1371">
        <f>SUMIF(数据源!R100:R8666,C1371,数据源!M100:M8666)</f>
        <v>0</v>
      </c>
    </row>
    <row r="1372" spans="2:5">
      <c r="B1372" t="s">
        <v>2691</v>
      </c>
      <c r="D1372" t="s">
        <v>26</v>
      </c>
      <c r="E1372">
        <f>SUMIF(数据源!R1976:R10542,C1372,数据源!M1976:M10542)</f>
        <v>0</v>
      </c>
    </row>
    <row r="1373" spans="2:5">
      <c r="B1373" t="s">
        <v>2697</v>
      </c>
      <c r="D1373" t="s">
        <v>26</v>
      </c>
      <c r="E1373">
        <f>SUMIF(数据源!R2103:R10669,C1373,数据源!M2103:M10669)</f>
        <v>0</v>
      </c>
    </row>
    <row r="1374" spans="2:5">
      <c r="B1374" t="s">
        <v>2690</v>
      </c>
      <c r="D1374" t="s">
        <v>25</v>
      </c>
      <c r="E1374">
        <f>SUMIF(数据源!R1365:R9931,C1374,数据源!M1365:M9931)</f>
        <v>0</v>
      </c>
    </row>
    <row r="1375" spans="2:5">
      <c r="B1375" t="s">
        <v>2689</v>
      </c>
      <c r="D1375" t="s">
        <v>25</v>
      </c>
      <c r="E1375">
        <f>SUMIF(数据源!R28:R8594,C1375,数据源!M28:M8594)</f>
        <v>0</v>
      </c>
    </row>
    <row r="1376" spans="2:5">
      <c r="B1376" t="s">
        <v>2698</v>
      </c>
      <c r="D1376" t="s">
        <v>27</v>
      </c>
      <c r="E1376">
        <f>SUMIF(数据源!R3026:R11592,C1376,数据源!M3026:M11592)</f>
        <v>0</v>
      </c>
    </row>
    <row r="1377" spans="2:5">
      <c r="B1377" t="s">
        <v>2698</v>
      </c>
      <c r="D1377" t="s">
        <v>27</v>
      </c>
      <c r="E1377">
        <f>SUMIF(数据源!R3261:R11827,C1377,数据源!M3261:M11827)</f>
        <v>0</v>
      </c>
    </row>
    <row r="1378" spans="2:5">
      <c r="B1378" t="s">
        <v>2690</v>
      </c>
      <c r="D1378" t="s">
        <v>25</v>
      </c>
      <c r="E1378">
        <f>SUMIF(数据源!R1389:R9955,C1378,数据源!M1389:M9955)</f>
        <v>0</v>
      </c>
    </row>
    <row r="1379" spans="2:5">
      <c r="B1379" t="s">
        <v>2686</v>
      </c>
      <c r="D1379" t="s">
        <v>27</v>
      </c>
      <c r="E1379">
        <f>SUMIF(数据源!R2999:R11565,C1379,数据源!M2999:M11565)</f>
        <v>0</v>
      </c>
    </row>
    <row r="1380" spans="2:5">
      <c r="B1380" t="s">
        <v>2698</v>
      </c>
      <c r="D1380" t="s">
        <v>27</v>
      </c>
      <c r="E1380">
        <f>SUMIF(数据源!R3304:R11870,C1380,数据源!M3304:M11870)</f>
        <v>0</v>
      </c>
    </row>
    <row r="1381" spans="2:5">
      <c r="B1381" t="s">
        <v>2697</v>
      </c>
      <c r="D1381" t="s">
        <v>26</v>
      </c>
      <c r="E1381">
        <f>SUMIF(数据源!R2381:R10947,C1381,数据源!M2381:M10947)</f>
        <v>0</v>
      </c>
    </row>
    <row r="1382" spans="2:5">
      <c r="B1382" t="s">
        <v>2688</v>
      </c>
      <c r="D1382" t="s">
        <v>25</v>
      </c>
      <c r="E1382">
        <f>SUMIF(数据源!R861:R9427,C1382,数据源!M861:M9427)</f>
        <v>0</v>
      </c>
    </row>
    <row r="1383" spans="2:5">
      <c r="B1383" t="s">
        <v>2685</v>
      </c>
      <c r="D1383" t="s">
        <v>25</v>
      </c>
      <c r="E1383">
        <f>SUMIF(数据源!R496:R9062,C1383,数据源!M496:M9062)</f>
        <v>0</v>
      </c>
    </row>
    <row r="1384" spans="2:5">
      <c r="B1384" t="s">
        <v>2696</v>
      </c>
      <c r="D1384" t="s">
        <v>27</v>
      </c>
      <c r="E1384">
        <f>SUMIF(数据源!R2588:R11154,C1384,数据源!M2588:M11154)</f>
        <v>0</v>
      </c>
    </row>
    <row r="1385" spans="2:5">
      <c r="B1385" t="s">
        <v>2697</v>
      </c>
      <c r="D1385" t="s">
        <v>26</v>
      </c>
      <c r="E1385">
        <f>SUMIF(数据源!R2400:R10966,C1385,数据源!M2400:M10966)</f>
        <v>0</v>
      </c>
    </row>
    <row r="1386" spans="2:5">
      <c r="B1386" t="s">
        <v>2699</v>
      </c>
      <c r="D1386" t="s">
        <v>26</v>
      </c>
      <c r="E1386">
        <f>SUMIF(数据源!R2555:R11121,C1386,数据源!M2555:M11121)</f>
        <v>0</v>
      </c>
    </row>
    <row r="1387" spans="2:5">
      <c r="B1387" t="s">
        <v>2688</v>
      </c>
      <c r="D1387" t="s">
        <v>25</v>
      </c>
      <c r="E1387">
        <f>SUMIF(数据源!R1183:R9749,C1387,数据源!M1183:M9749)</f>
        <v>0</v>
      </c>
    </row>
    <row r="1388" spans="2:5">
      <c r="B1388" t="s">
        <v>2700</v>
      </c>
      <c r="D1388" t="s">
        <v>25</v>
      </c>
      <c r="E1388">
        <f>SUMIF(数据源!R1565:R10131,C1388,数据源!M1565:M10131)</f>
        <v>0</v>
      </c>
    </row>
    <row r="1389" spans="2:5">
      <c r="B1389" t="s">
        <v>2686</v>
      </c>
      <c r="D1389" t="s">
        <v>27</v>
      </c>
      <c r="E1389">
        <f>SUMIF(数据源!R2948:R11514,C1389,数据源!M2948:M11514)</f>
        <v>0</v>
      </c>
    </row>
    <row r="1390" spans="2:5">
      <c r="B1390" t="s">
        <v>2697</v>
      </c>
      <c r="D1390" t="s">
        <v>26</v>
      </c>
      <c r="E1390">
        <f>SUMIF(数据源!R2305:R10871,C1390,数据源!M2305:M10871)</f>
        <v>0</v>
      </c>
    </row>
    <row r="1391" spans="2:5">
      <c r="B1391" t="s">
        <v>2686</v>
      </c>
      <c r="D1391" t="s">
        <v>27</v>
      </c>
      <c r="E1391">
        <f>SUMIF(数据源!R2917:R11483,C1391,数据源!M2917:M11483)</f>
        <v>0</v>
      </c>
    </row>
    <row r="1392" spans="2:5">
      <c r="B1392" t="s">
        <v>2685</v>
      </c>
      <c r="D1392" t="s">
        <v>25</v>
      </c>
      <c r="E1392">
        <f>SUMIF(数据源!R214:R8780,C1392,数据源!M214:M8780)</f>
        <v>0</v>
      </c>
    </row>
    <row r="1393" spans="2:5">
      <c r="B1393" t="s">
        <v>2698</v>
      </c>
      <c r="D1393" t="s">
        <v>27</v>
      </c>
      <c r="E1393">
        <f>SUMIF(数据源!R3147:R11713,C1393,数据源!M3147:M11713)</f>
        <v>0</v>
      </c>
    </row>
    <row r="1394" spans="2:5">
      <c r="B1394" t="s">
        <v>2688</v>
      </c>
      <c r="D1394" t="s">
        <v>25</v>
      </c>
      <c r="E1394">
        <f>SUMIF(数据源!R817:R9383,C1394,数据源!M817:M9383)</f>
        <v>0</v>
      </c>
    </row>
    <row r="1395" spans="2:5">
      <c r="B1395" t="s">
        <v>2690</v>
      </c>
      <c r="D1395" t="s">
        <v>25</v>
      </c>
      <c r="E1395">
        <f>SUMIF(数据源!R1249:R9815,C1395,数据源!M1249:M9815)</f>
        <v>0</v>
      </c>
    </row>
    <row r="1396" spans="2:5">
      <c r="B1396" t="s">
        <v>2688</v>
      </c>
      <c r="D1396" t="s">
        <v>25</v>
      </c>
      <c r="E1396">
        <f>SUMIF(数据源!R975:R9541,C1396,数据源!M975:M9541)</f>
        <v>0</v>
      </c>
    </row>
    <row r="1397" spans="2:5">
      <c r="B1397" t="s">
        <v>2694</v>
      </c>
      <c r="D1397" t="s">
        <v>25</v>
      </c>
      <c r="E1397">
        <f>SUMIF(数据源!R1765:R10331,C1397,数据源!M1765:M10331)</f>
        <v>0</v>
      </c>
    </row>
    <row r="1398" spans="2:5">
      <c r="B1398" t="s">
        <v>2701</v>
      </c>
      <c r="D1398" t="s">
        <v>25</v>
      </c>
      <c r="E1398">
        <f>SUMIF(数据源!R1596:R10162,C1398,数据源!M1596:M10162)</f>
        <v>0</v>
      </c>
    </row>
    <row r="1399" spans="2:5">
      <c r="B1399" t="s">
        <v>2694</v>
      </c>
      <c r="D1399" t="s">
        <v>25</v>
      </c>
      <c r="E1399">
        <f>SUMIF(数据源!R1725:R10291,C1399,数据源!M1725:M10291)</f>
        <v>0</v>
      </c>
    </row>
    <row r="1400" spans="2:5">
      <c r="B1400" t="s">
        <v>2698</v>
      </c>
      <c r="D1400" t="s">
        <v>27</v>
      </c>
      <c r="E1400">
        <f>SUMIF(数据源!R3024:R11590,C1400,数据源!M3024:M11590)</f>
        <v>0</v>
      </c>
    </row>
    <row r="1401" spans="2:5">
      <c r="B1401" t="s">
        <v>2697</v>
      </c>
      <c r="D1401" t="s">
        <v>26</v>
      </c>
      <c r="E1401">
        <f>SUMIF(数据源!R2238:R10804,C1401,数据源!M2238:M10804)</f>
        <v>0</v>
      </c>
    </row>
    <row r="1402" spans="2:5">
      <c r="B1402" t="s">
        <v>2697</v>
      </c>
      <c r="D1402" t="s">
        <v>26</v>
      </c>
      <c r="E1402">
        <f>SUMIF(数据源!R2246:R10812,C1402,数据源!M2246:M10812)</f>
        <v>0</v>
      </c>
    </row>
    <row r="1403" spans="2:5">
      <c r="B1403" t="s">
        <v>2691</v>
      </c>
      <c r="D1403" t="s">
        <v>26</v>
      </c>
      <c r="E1403">
        <f>SUMIF(数据源!R1943:R10509,C1403,数据源!M1943:M10509)</f>
        <v>0</v>
      </c>
    </row>
    <row r="1404" spans="2:5">
      <c r="B1404" t="s">
        <v>2698</v>
      </c>
      <c r="D1404" t="s">
        <v>27</v>
      </c>
      <c r="E1404">
        <f>SUMIF(数据源!R3096:R11662,C1404,数据源!M3096:M11662)</f>
        <v>0</v>
      </c>
    </row>
    <row r="1405" spans="2:5">
      <c r="B1405" t="s">
        <v>2697</v>
      </c>
      <c r="D1405" t="s">
        <v>26</v>
      </c>
      <c r="E1405">
        <f>SUMIF(数据源!R2171:R10737,C1405,数据源!M2171:M10737)</f>
        <v>0</v>
      </c>
    </row>
    <row r="1406" spans="2:5">
      <c r="B1406" t="s">
        <v>2690</v>
      </c>
      <c r="D1406" t="s">
        <v>25</v>
      </c>
      <c r="E1406">
        <f>SUMIF(数据源!R1295:R9861,C1406,数据源!M1295:M9861)</f>
        <v>0</v>
      </c>
    </row>
    <row r="1407" spans="2:5">
      <c r="B1407" t="s">
        <v>2694</v>
      </c>
      <c r="D1407" t="s">
        <v>25</v>
      </c>
      <c r="E1407">
        <f>SUMIF(数据源!R1683:R10249,C1407,数据源!M1683:M10249)</f>
        <v>0</v>
      </c>
    </row>
    <row r="1408" spans="2:5">
      <c r="B1408" t="s">
        <v>2699</v>
      </c>
      <c r="D1408" t="s">
        <v>26</v>
      </c>
      <c r="E1408">
        <f>SUMIF(数据源!R2442:R11008,C1408,数据源!M2442:M11008)</f>
        <v>0</v>
      </c>
    </row>
    <row r="1409" spans="2:5">
      <c r="B1409" t="s">
        <v>2686</v>
      </c>
      <c r="D1409" t="s">
        <v>27</v>
      </c>
      <c r="E1409">
        <f>SUMIF(数据源!R2947:R11513,C1409,数据源!M2947:M11513)</f>
        <v>0</v>
      </c>
    </row>
    <row r="1410" spans="2:5">
      <c r="B1410" t="s">
        <v>2687</v>
      </c>
      <c r="D1410" t="s">
        <v>25</v>
      </c>
      <c r="E1410">
        <f>SUMIF(数据源!R747:R9313,C1410,数据源!M747:M9313)</f>
        <v>0</v>
      </c>
    </row>
    <row r="1411" spans="2:5">
      <c r="B1411" t="s">
        <v>2688</v>
      </c>
      <c r="D1411" t="s">
        <v>25</v>
      </c>
      <c r="E1411">
        <f>SUMIF(数据源!R1207:R9773,C1411,数据源!M1207:M9773)</f>
        <v>0</v>
      </c>
    </row>
    <row r="1412" spans="2:5">
      <c r="B1412" t="s">
        <v>2696</v>
      </c>
      <c r="D1412" t="s">
        <v>27</v>
      </c>
      <c r="E1412">
        <f>SUMIF(数据源!R2675:R11241,C1412,数据源!M2675:M11241)</f>
        <v>0</v>
      </c>
    </row>
    <row r="1413" spans="2:5">
      <c r="B1413" t="s">
        <v>2686</v>
      </c>
      <c r="D1413" t="s">
        <v>27</v>
      </c>
      <c r="E1413">
        <f>SUMIF(数据源!R2935:R11501,C1413,数据源!M2935:M11501)</f>
        <v>0</v>
      </c>
    </row>
    <row r="1414" spans="2:5">
      <c r="B1414" t="s">
        <v>2696</v>
      </c>
      <c r="D1414" t="s">
        <v>27</v>
      </c>
      <c r="E1414">
        <f>SUMIF(数据源!R2775:R11341,C1414,数据源!M2775:M11341)</f>
        <v>0</v>
      </c>
    </row>
    <row r="1415" spans="2:5">
      <c r="B1415" t="s">
        <v>2697</v>
      </c>
      <c r="D1415" t="s">
        <v>26</v>
      </c>
      <c r="E1415">
        <f>SUMIF(数据源!R2346:R10912,C1415,数据源!M2346:M10912)</f>
        <v>0</v>
      </c>
    </row>
    <row r="1416" spans="2:5">
      <c r="B1416" t="s">
        <v>2699</v>
      </c>
      <c r="D1416" t="s">
        <v>26</v>
      </c>
      <c r="E1416">
        <f>SUMIF(数据源!R2538:R11104,C1416,数据源!M2538:M11104)</f>
        <v>0</v>
      </c>
    </row>
    <row r="1417" spans="2:5">
      <c r="B1417" t="s">
        <v>2698</v>
      </c>
      <c r="D1417" t="s">
        <v>27</v>
      </c>
      <c r="E1417">
        <f>SUMIF(数据源!R3309:R11875,C1417,数据源!M3309:M11875)</f>
        <v>0</v>
      </c>
    </row>
    <row r="1418" spans="2:5">
      <c r="B1418" t="s">
        <v>2688</v>
      </c>
      <c r="D1418" t="s">
        <v>25</v>
      </c>
      <c r="E1418">
        <f>SUMIF(数据源!R1102:R9668,C1418,数据源!M1102:M9668)</f>
        <v>0</v>
      </c>
    </row>
    <row r="1419" spans="2:5">
      <c r="B1419" t="s">
        <v>2694</v>
      </c>
      <c r="D1419" t="s">
        <v>25</v>
      </c>
      <c r="E1419">
        <f>SUMIF(数据源!R1843:R10409,C1419,数据源!M1843:M10409)</f>
        <v>0</v>
      </c>
    </row>
    <row r="1420" spans="2:5">
      <c r="B1420" t="s">
        <v>2694</v>
      </c>
      <c r="D1420" t="s">
        <v>25</v>
      </c>
      <c r="E1420">
        <f>SUMIF(数据源!R1662:R10228,C1420,数据源!M1662:M10228)</f>
        <v>0</v>
      </c>
    </row>
    <row r="1421" spans="2:5">
      <c r="B1421" t="s">
        <v>2696</v>
      </c>
      <c r="D1421" t="s">
        <v>27</v>
      </c>
      <c r="E1421">
        <f>SUMIF(数据源!R2722:R11288,C1421,数据源!M2722:M11288)</f>
        <v>0</v>
      </c>
    </row>
    <row r="1422" spans="2:5">
      <c r="B1422" t="s">
        <v>2685</v>
      </c>
      <c r="D1422" t="s">
        <v>25</v>
      </c>
      <c r="E1422">
        <f>SUMIF(数据源!R506:R9072,C1422,数据源!M506:M9072)</f>
        <v>0</v>
      </c>
    </row>
    <row r="1423" spans="2:5">
      <c r="B1423" t="s">
        <v>2692</v>
      </c>
      <c r="D1423" t="s">
        <v>25</v>
      </c>
      <c r="E1423">
        <f>SUMIF(数据源!R548:R9114,C1423,数据源!M548:M9114)</f>
        <v>0</v>
      </c>
    </row>
    <row r="1424" spans="2:5">
      <c r="B1424" t="s">
        <v>2689</v>
      </c>
      <c r="D1424" t="s">
        <v>25</v>
      </c>
      <c r="E1424">
        <f>SUMIF(数据源!R59:R8625,C1424,数据源!M59:M8625)</f>
        <v>0</v>
      </c>
    </row>
    <row r="1425" spans="2:5">
      <c r="B1425" t="s">
        <v>2685</v>
      </c>
      <c r="D1425" t="s">
        <v>25</v>
      </c>
      <c r="E1425">
        <f>SUMIF(数据源!R282:R8848,C1425,数据源!M282:M8848)</f>
        <v>0</v>
      </c>
    </row>
    <row r="1426" spans="2:5">
      <c r="B1426" t="s">
        <v>2697</v>
      </c>
      <c r="D1426" t="s">
        <v>26</v>
      </c>
      <c r="E1426">
        <f>SUMIF(数据源!R2121:R10687,C1426,数据源!M2121:M10687)</f>
        <v>0</v>
      </c>
    </row>
    <row r="1427" spans="2:5">
      <c r="B1427" t="s">
        <v>2700</v>
      </c>
      <c r="D1427" t="s">
        <v>25</v>
      </c>
      <c r="E1427">
        <f>SUMIF(数据源!R1489:R10055,C1427,数据源!M1489:M10055)</f>
        <v>0</v>
      </c>
    </row>
    <row r="1428" spans="2:5">
      <c r="B1428" t="s">
        <v>2696</v>
      </c>
      <c r="D1428" t="s">
        <v>27</v>
      </c>
      <c r="E1428">
        <f>SUMIF(数据源!R2584:R11150,C1428,数据源!M2584:M11150)</f>
        <v>0</v>
      </c>
    </row>
    <row r="1429" spans="2:5">
      <c r="B1429" t="s">
        <v>2699</v>
      </c>
      <c r="D1429" t="s">
        <v>26</v>
      </c>
      <c r="E1429">
        <f>SUMIF(数据源!R2425:R10991,C1429,数据源!M2425:M10991)</f>
        <v>0</v>
      </c>
    </row>
    <row r="1430" spans="2:5">
      <c r="B1430" t="s">
        <v>2686</v>
      </c>
      <c r="D1430" t="s">
        <v>27</v>
      </c>
      <c r="E1430">
        <f>SUMIF(数据源!R2864:R11430,C1430,数据源!M2864:M11430)</f>
        <v>0</v>
      </c>
    </row>
    <row r="1431" spans="2:5">
      <c r="B1431" t="s">
        <v>2698</v>
      </c>
      <c r="D1431" t="s">
        <v>27</v>
      </c>
      <c r="E1431">
        <f>SUMIF(数据源!R3060:R11626,C1431,数据源!M3060:M11626)</f>
        <v>0</v>
      </c>
    </row>
    <row r="1432" spans="2:5">
      <c r="B1432" t="s">
        <v>2695</v>
      </c>
      <c r="D1432" t="s">
        <v>26</v>
      </c>
      <c r="E1432">
        <f>SUMIF(数据源!R1860:R10426,C1432,数据源!M1860:M10426)</f>
        <v>0</v>
      </c>
    </row>
    <row r="1433" spans="2:5">
      <c r="B1433" t="s">
        <v>2690</v>
      </c>
      <c r="D1433" t="s">
        <v>25</v>
      </c>
      <c r="E1433">
        <f>SUMIF(数据源!R1230:R9796,C1433,数据源!M1230:M9796)</f>
        <v>0</v>
      </c>
    </row>
    <row r="1434" spans="2:5">
      <c r="B1434" t="s">
        <v>2694</v>
      </c>
      <c r="D1434" t="s">
        <v>25</v>
      </c>
      <c r="E1434">
        <f>SUMIF(数据源!R1639:R10205,C1434,数据源!M1639:M10205)</f>
        <v>0</v>
      </c>
    </row>
    <row r="1435" spans="2:5">
      <c r="B1435" t="s">
        <v>2688</v>
      </c>
      <c r="D1435" t="s">
        <v>25</v>
      </c>
      <c r="E1435">
        <f>SUMIF(数据源!R1097:R9663,C1435,数据源!M1097:M9663)</f>
        <v>0</v>
      </c>
    </row>
    <row r="1436" spans="2:5">
      <c r="B1436" t="s">
        <v>2691</v>
      </c>
      <c r="D1436" t="s">
        <v>26</v>
      </c>
      <c r="E1436">
        <f>SUMIF(数据源!R2067:R10633,C1436,数据源!M2067:M10633)</f>
        <v>0</v>
      </c>
    </row>
    <row r="1437" spans="2:5">
      <c r="B1437" t="s">
        <v>2699</v>
      </c>
      <c r="D1437" t="s">
        <v>26</v>
      </c>
      <c r="E1437">
        <f>SUMIF(数据源!R2534:R11100,C1437,数据源!M2534:M11100)</f>
        <v>0</v>
      </c>
    </row>
    <row r="1438" spans="2:5">
      <c r="B1438" t="s">
        <v>2691</v>
      </c>
      <c r="D1438" t="s">
        <v>26</v>
      </c>
      <c r="E1438">
        <f>SUMIF(数据源!R1935:R10501,C1438,数据源!M1935:M10501)</f>
        <v>0</v>
      </c>
    </row>
    <row r="1439" spans="2:5">
      <c r="B1439" t="s">
        <v>2697</v>
      </c>
      <c r="D1439" t="s">
        <v>26</v>
      </c>
      <c r="E1439">
        <f>SUMIF(数据源!R2106:R10672,C1439,数据源!M2106:M10672)</f>
        <v>0</v>
      </c>
    </row>
    <row r="1440" spans="2:5">
      <c r="B1440" t="s">
        <v>2697</v>
      </c>
      <c r="D1440" t="s">
        <v>26</v>
      </c>
      <c r="E1440">
        <f>SUMIF(数据源!R2261:R10827,C1440,数据源!M2261:M10827)</f>
        <v>0</v>
      </c>
    </row>
    <row r="1441" spans="2:5">
      <c r="B1441" t="s">
        <v>2688</v>
      </c>
      <c r="D1441" t="s">
        <v>25</v>
      </c>
      <c r="E1441">
        <f>SUMIF(数据源!R939:R9505,C1441,数据源!M939:M9505)</f>
        <v>0</v>
      </c>
    </row>
    <row r="1442" spans="2:5">
      <c r="B1442" t="s">
        <v>2685</v>
      </c>
      <c r="D1442" t="s">
        <v>25</v>
      </c>
      <c r="E1442">
        <f>SUMIF(数据源!R397:R8963,C1442,数据源!M397:M8963)</f>
        <v>0</v>
      </c>
    </row>
    <row r="1443" spans="2:5">
      <c r="B1443" t="s">
        <v>2696</v>
      </c>
      <c r="D1443" t="s">
        <v>27</v>
      </c>
      <c r="E1443">
        <f>SUMIF(数据源!R2638:R11204,C1443,数据源!M2638:M11204)</f>
        <v>0</v>
      </c>
    </row>
    <row r="1444" spans="2:5">
      <c r="B1444" t="s">
        <v>2685</v>
      </c>
      <c r="D1444" t="s">
        <v>25</v>
      </c>
      <c r="E1444">
        <f>SUMIF(数据源!R465:R9031,C1444,数据源!M465:M9031)</f>
        <v>0</v>
      </c>
    </row>
    <row r="1445" spans="2:5">
      <c r="B1445" t="s">
        <v>2692</v>
      </c>
      <c r="D1445" t="s">
        <v>25</v>
      </c>
      <c r="E1445">
        <f>SUMIF(数据源!R618:R9184,C1445,数据源!M618:M9184)</f>
        <v>0</v>
      </c>
    </row>
    <row r="1446" spans="2:5">
      <c r="B1446" t="s">
        <v>2688</v>
      </c>
      <c r="D1446" t="s">
        <v>25</v>
      </c>
      <c r="E1446">
        <f>SUMIF(数据源!R1058:R9624,C1446,数据源!M1058:M9624)</f>
        <v>0</v>
      </c>
    </row>
    <row r="1447" spans="2:5">
      <c r="B1447" t="s">
        <v>2689</v>
      </c>
      <c r="D1447" t="s">
        <v>25</v>
      </c>
      <c r="E1447">
        <f>SUMIF(数据源!R102:R8668,C1447,数据源!M102:M8668)</f>
        <v>0</v>
      </c>
    </row>
    <row r="1448" spans="2:5">
      <c r="B1448" t="s">
        <v>2691</v>
      </c>
      <c r="D1448" t="s">
        <v>26</v>
      </c>
      <c r="E1448">
        <f>SUMIF(数据源!R2087:R10653,C1448,数据源!M2087:M10653)</f>
        <v>0</v>
      </c>
    </row>
    <row r="1449" spans="2:5">
      <c r="B1449" t="s">
        <v>2697</v>
      </c>
      <c r="D1449" t="s">
        <v>26</v>
      </c>
      <c r="E1449">
        <f>SUMIF(数据源!R2399:R10965,C1449,数据源!M2399:M10965)</f>
        <v>0</v>
      </c>
    </row>
    <row r="1450" spans="2:5">
      <c r="B1450" t="s">
        <v>2692</v>
      </c>
      <c r="D1450" t="s">
        <v>25</v>
      </c>
      <c r="E1450">
        <f>SUMIF(数据源!R633:R9199,C1450,数据源!M633:M9199)</f>
        <v>0</v>
      </c>
    </row>
    <row r="1451" spans="2:5">
      <c r="B1451" t="s">
        <v>2687</v>
      </c>
      <c r="D1451" t="s">
        <v>25</v>
      </c>
      <c r="E1451">
        <f>SUMIF(数据源!R745:R9311,C1451,数据源!M745:M9311)</f>
        <v>0</v>
      </c>
    </row>
    <row r="1452" spans="2:5">
      <c r="B1452" t="s">
        <v>2688</v>
      </c>
      <c r="D1452" t="s">
        <v>25</v>
      </c>
      <c r="E1452">
        <f>SUMIF(数据源!R1178:R9744,C1452,数据源!M1178:M9744)</f>
        <v>0</v>
      </c>
    </row>
    <row r="1453" spans="2:5">
      <c r="B1453" t="s">
        <v>2686</v>
      </c>
      <c r="D1453" t="s">
        <v>27</v>
      </c>
      <c r="E1453">
        <f>SUMIF(数据源!R2880:R11446,C1453,数据源!M2880:M11446)</f>
        <v>0</v>
      </c>
    </row>
    <row r="1454" spans="2:5">
      <c r="B1454" t="s">
        <v>2690</v>
      </c>
      <c r="D1454" t="s">
        <v>25</v>
      </c>
      <c r="E1454">
        <f>SUMIF(数据源!R1261:R9827,C1454,数据源!M1261:M9827)</f>
        <v>0</v>
      </c>
    </row>
    <row r="1455" spans="2:5">
      <c r="B1455" t="s">
        <v>2701</v>
      </c>
      <c r="D1455" t="s">
        <v>25</v>
      </c>
      <c r="E1455">
        <f>SUMIF(数据源!R1589:R10155,C1455,数据源!M1589:M10155)</f>
        <v>0</v>
      </c>
    </row>
    <row r="1456" spans="2:5">
      <c r="B1456" t="s">
        <v>2698</v>
      </c>
      <c r="D1456" t="s">
        <v>27</v>
      </c>
      <c r="E1456">
        <f>SUMIF(数据源!R3203:R11769,C1456,数据源!M3203:M11769)</f>
        <v>0</v>
      </c>
    </row>
    <row r="1457" spans="2:5">
      <c r="B1457" t="s">
        <v>2688</v>
      </c>
      <c r="D1457" t="s">
        <v>25</v>
      </c>
      <c r="E1457">
        <f>SUMIF(数据源!R782:R9348,C1457,数据源!M782:M9348)</f>
        <v>0</v>
      </c>
    </row>
    <row r="1458" spans="2:5">
      <c r="B1458" t="s">
        <v>2689</v>
      </c>
      <c r="D1458" t="s">
        <v>25</v>
      </c>
      <c r="E1458">
        <f>SUMIF(数据源!R157:R8723,C1458,数据源!M157:M8723)</f>
        <v>0</v>
      </c>
    </row>
    <row r="1459" spans="2:5">
      <c r="B1459" t="s">
        <v>2697</v>
      </c>
      <c r="D1459" t="s">
        <v>26</v>
      </c>
      <c r="E1459">
        <f>SUMIF(数据源!R2181:R10747,C1459,数据源!M2181:M10747)</f>
        <v>0</v>
      </c>
    </row>
    <row r="1460" spans="2:5">
      <c r="B1460" t="s">
        <v>2685</v>
      </c>
      <c r="D1460" t="s">
        <v>25</v>
      </c>
      <c r="E1460">
        <f>SUMIF(数据源!R305:R8871,C1460,数据源!M305:M8871)</f>
        <v>0</v>
      </c>
    </row>
    <row r="1461" spans="2:5">
      <c r="B1461" t="s">
        <v>2696</v>
      </c>
      <c r="D1461" t="s">
        <v>27</v>
      </c>
      <c r="E1461">
        <f>SUMIF(数据源!R2824:R11390,C1461,数据源!M2824:M11390)</f>
        <v>0</v>
      </c>
    </row>
    <row r="1462" spans="2:5">
      <c r="B1462" t="s">
        <v>2698</v>
      </c>
      <c r="D1462" t="s">
        <v>27</v>
      </c>
      <c r="E1462">
        <f>SUMIF(数据源!R3322:R11888,C1462,数据源!M3322:M11888)</f>
        <v>0</v>
      </c>
    </row>
    <row r="1463" spans="2:5">
      <c r="B1463" t="s">
        <v>2691</v>
      </c>
      <c r="D1463" t="s">
        <v>26</v>
      </c>
      <c r="E1463">
        <f>SUMIF(数据源!R2089:R10655,C1463,数据源!M2089:M10655)</f>
        <v>0</v>
      </c>
    </row>
    <row r="1464" spans="2:5">
      <c r="B1464" t="s">
        <v>2696</v>
      </c>
      <c r="D1464" t="s">
        <v>27</v>
      </c>
      <c r="E1464">
        <f>SUMIF(数据源!R2821:R11387,C1464,数据源!M2821:M11387)</f>
        <v>0</v>
      </c>
    </row>
    <row r="1465" spans="2:5">
      <c r="B1465" t="s">
        <v>2693</v>
      </c>
      <c r="D1465" t="s">
        <v>27</v>
      </c>
      <c r="E1465">
        <f>SUMIF(数据源!R2858:R11424,C1465,数据源!M2858:M11424)</f>
        <v>0</v>
      </c>
    </row>
    <row r="1466" spans="2:5">
      <c r="B1466" t="s">
        <v>2688</v>
      </c>
      <c r="D1466" t="s">
        <v>25</v>
      </c>
      <c r="E1466">
        <f>SUMIF(数据源!R1196:R9762,C1466,数据源!M1196:M9762)</f>
        <v>0</v>
      </c>
    </row>
    <row r="1467" spans="2:5">
      <c r="B1467" t="s">
        <v>2697</v>
      </c>
      <c r="D1467" t="s">
        <v>26</v>
      </c>
      <c r="E1467">
        <f>SUMIF(数据源!R2158:R10724,C1467,数据源!M2158:M10724)</f>
        <v>0</v>
      </c>
    </row>
    <row r="1468" spans="2:5">
      <c r="B1468" t="s">
        <v>2688</v>
      </c>
      <c r="D1468" t="s">
        <v>25</v>
      </c>
      <c r="E1468">
        <f>SUMIF(数据源!R859:R9425,C1468,数据源!M859:M9425)</f>
        <v>0</v>
      </c>
    </row>
    <row r="1469" spans="2:5">
      <c r="B1469" t="s">
        <v>2690</v>
      </c>
      <c r="D1469" t="s">
        <v>25</v>
      </c>
      <c r="E1469">
        <f>SUMIF(数据源!R1290:R9856,C1469,数据源!M1290:M9856)</f>
        <v>0</v>
      </c>
    </row>
    <row r="1470" spans="2:5">
      <c r="B1470" t="s">
        <v>2694</v>
      </c>
      <c r="D1470" t="s">
        <v>25</v>
      </c>
      <c r="E1470">
        <f>SUMIF(数据源!R1680:R10246,C1470,数据源!M1680:M10246)</f>
        <v>0</v>
      </c>
    </row>
    <row r="1471" spans="2:5">
      <c r="B1471" t="s">
        <v>2696</v>
      </c>
      <c r="D1471" t="s">
        <v>27</v>
      </c>
      <c r="E1471">
        <f>SUMIF(数据源!R2583:R11149,C1471,数据源!M2583:M11149)</f>
        <v>0</v>
      </c>
    </row>
    <row r="1472" spans="2:5">
      <c r="B1472" t="s">
        <v>2696</v>
      </c>
      <c r="D1472" t="s">
        <v>27</v>
      </c>
      <c r="E1472">
        <f>SUMIF(数据源!R2814:R11380,C1472,数据源!M2814:M11380)</f>
        <v>0</v>
      </c>
    </row>
    <row r="1473" spans="2:5">
      <c r="B1473" t="s">
        <v>2688</v>
      </c>
      <c r="D1473" t="s">
        <v>25</v>
      </c>
      <c r="E1473">
        <f>SUMIF(数据源!R1100:R9666,C1473,数据源!M1100:M9666)</f>
        <v>0</v>
      </c>
    </row>
    <row r="1474" spans="2:5">
      <c r="B1474" t="s">
        <v>2690</v>
      </c>
      <c r="D1474" t="s">
        <v>25</v>
      </c>
      <c r="E1474">
        <f>SUMIF(数据源!R1461:R10027,C1474,数据源!M1461:M10027)</f>
        <v>0</v>
      </c>
    </row>
    <row r="1475" spans="2:5">
      <c r="B1475" t="s">
        <v>2698</v>
      </c>
      <c r="D1475" t="s">
        <v>27</v>
      </c>
      <c r="E1475">
        <f>SUMIF(数据源!R3308:R11874,C1475,数据源!M3308:M11874)</f>
        <v>0</v>
      </c>
    </row>
    <row r="1476" spans="2:5">
      <c r="B1476" t="s">
        <v>2685</v>
      </c>
      <c r="D1476" t="s">
        <v>25</v>
      </c>
      <c r="E1476">
        <f>SUMIF(数据源!R208:R8774,C1476,数据源!M208:M8774)</f>
        <v>0</v>
      </c>
    </row>
    <row r="1477" spans="2:5">
      <c r="B1477" t="s">
        <v>2685</v>
      </c>
      <c r="D1477" t="s">
        <v>25</v>
      </c>
      <c r="E1477">
        <f>SUMIF(数据源!R381:R8947,C1477,数据源!M381:M8947)</f>
        <v>0</v>
      </c>
    </row>
    <row r="1478" spans="2:5">
      <c r="B1478" t="s">
        <v>2692</v>
      </c>
      <c r="D1478" t="s">
        <v>25</v>
      </c>
      <c r="E1478">
        <f>SUMIF(数据源!R585:R9151,C1478,数据源!M585:M9151)</f>
        <v>0</v>
      </c>
    </row>
    <row r="1479" spans="2:5">
      <c r="B1479" t="s">
        <v>2690</v>
      </c>
      <c r="D1479" t="s">
        <v>25</v>
      </c>
      <c r="E1479">
        <f>SUMIF(数据源!R1350:R9916,C1479,数据源!M1350:M9916)</f>
        <v>0</v>
      </c>
    </row>
    <row r="1480" spans="2:5">
      <c r="B1480" t="s">
        <v>2689</v>
      </c>
      <c r="D1480" t="s">
        <v>25</v>
      </c>
      <c r="E1480">
        <f>SUMIF(数据源!R169:R8735,C1480,数据源!M169:M8735)</f>
        <v>0</v>
      </c>
    </row>
    <row r="1481" spans="2:5">
      <c r="B1481" t="s">
        <v>2685</v>
      </c>
      <c r="D1481" t="s">
        <v>25</v>
      </c>
      <c r="E1481">
        <f>SUMIF(数据源!R522:R9088,C1481,数据源!M522:M9088)</f>
        <v>0</v>
      </c>
    </row>
    <row r="1482" spans="2:5">
      <c r="B1482" t="s">
        <v>2688</v>
      </c>
      <c r="D1482" t="s">
        <v>25</v>
      </c>
      <c r="E1482">
        <f>SUMIF(数据源!R1165:R9731,C1482,数据源!M1165:M9731)</f>
        <v>0</v>
      </c>
    </row>
    <row r="1483" spans="2:5">
      <c r="B1483" t="s">
        <v>2694</v>
      </c>
      <c r="D1483" t="s">
        <v>25</v>
      </c>
      <c r="E1483">
        <f>SUMIF(数据源!R1850:R10416,C1483,数据源!M1850:M10416)</f>
        <v>0</v>
      </c>
    </row>
    <row r="1484" spans="2:5">
      <c r="B1484" t="s">
        <v>2698</v>
      </c>
      <c r="D1484" t="s">
        <v>27</v>
      </c>
      <c r="E1484">
        <f>SUMIF(数据源!R3195:R11761,C1484,数据源!M3195:M11761)</f>
        <v>0</v>
      </c>
    </row>
    <row r="1485" spans="2:5">
      <c r="B1485" t="s">
        <v>2698</v>
      </c>
      <c r="D1485" t="s">
        <v>27</v>
      </c>
      <c r="E1485">
        <f>SUMIF(数据源!R3316:R11882,C1485,数据源!M3316:M11882)</f>
        <v>0</v>
      </c>
    </row>
    <row r="1486" spans="2:5">
      <c r="B1486" t="s">
        <v>2697</v>
      </c>
      <c r="D1486" t="s">
        <v>26</v>
      </c>
      <c r="E1486">
        <f>SUMIF(数据源!R2298:R10864,C1486,数据源!M2298:M10864)</f>
        <v>0</v>
      </c>
    </row>
    <row r="1487" spans="2:5">
      <c r="B1487" t="s">
        <v>2689</v>
      </c>
      <c r="D1487" t="s">
        <v>25</v>
      </c>
      <c r="E1487">
        <f>SUMIF(数据源!R48:R8614,C1487,数据源!M48:M8614)</f>
        <v>0</v>
      </c>
    </row>
    <row r="1488" spans="2:5">
      <c r="B1488" t="s">
        <v>2685</v>
      </c>
      <c r="D1488" t="s">
        <v>25</v>
      </c>
      <c r="E1488">
        <f>SUMIF(数据源!R347:R8913,C1488,数据源!M347:M8913)</f>
        <v>0</v>
      </c>
    </row>
    <row r="1489" spans="2:5">
      <c r="B1489" t="s">
        <v>2692</v>
      </c>
      <c r="D1489" t="s">
        <v>25</v>
      </c>
      <c r="E1489">
        <f>SUMIF(数据源!R575:R9141,C1489,数据源!M575:M9141)</f>
        <v>0</v>
      </c>
    </row>
    <row r="1490" spans="2:5">
      <c r="B1490" t="s">
        <v>2691</v>
      </c>
      <c r="D1490" t="s">
        <v>26</v>
      </c>
      <c r="E1490">
        <f>SUMIF(数据源!R2074:R10640,C1490,数据源!M2074:M10640)</f>
        <v>0</v>
      </c>
    </row>
    <row r="1491" spans="2:5">
      <c r="B1491" t="s">
        <v>2697</v>
      </c>
      <c r="D1491" t="s">
        <v>26</v>
      </c>
      <c r="E1491">
        <f>SUMIF(数据源!R2360:R10926,C1491,数据源!M2360:M10926)</f>
        <v>0</v>
      </c>
    </row>
    <row r="1492" spans="2:5">
      <c r="B1492" t="s">
        <v>2685</v>
      </c>
      <c r="D1492" t="s">
        <v>25</v>
      </c>
      <c r="E1492">
        <f>SUMIF(数据源!R469:R9035,C1492,数据源!M469:M9035)</f>
        <v>0</v>
      </c>
    </row>
    <row r="1493" spans="2:5">
      <c r="B1493" t="s">
        <v>2687</v>
      </c>
      <c r="D1493" t="s">
        <v>25</v>
      </c>
      <c r="E1493">
        <f>SUMIF(数据源!R733:R9299,C1493,数据源!M733:M9299)</f>
        <v>0</v>
      </c>
    </row>
    <row r="1494" spans="2:5">
      <c r="B1494" t="s">
        <v>2694</v>
      </c>
      <c r="D1494" t="s">
        <v>25</v>
      </c>
      <c r="E1494">
        <f>SUMIF(数据源!R1828:R10394,C1494,数据源!M1828:M10394)</f>
        <v>0</v>
      </c>
    </row>
    <row r="1495" spans="2:5">
      <c r="B1495" t="s">
        <v>2698</v>
      </c>
      <c r="D1495" t="s">
        <v>27</v>
      </c>
      <c r="E1495">
        <f>SUMIF(数据源!R3190:R11756,C1495,数据源!M3190:M11756)</f>
        <v>0</v>
      </c>
    </row>
    <row r="1496" spans="2:5">
      <c r="B1496" t="s">
        <v>2696</v>
      </c>
      <c r="D1496" t="s">
        <v>27</v>
      </c>
      <c r="E1496">
        <f>SUMIF(数据源!R2617:R11183,C1496,数据源!M2617:M11183)</f>
        <v>0</v>
      </c>
    </row>
    <row r="1497" spans="2:5">
      <c r="B1497" t="s">
        <v>2698</v>
      </c>
      <c r="D1497" t="s">
        <v>27</v>
      </c>
      <c r="E1497">
        <f>SUMIF(数据源!R3317:R11883,C1497,数据源!M3317:M11883)</f>
        <v>0</v>
      </c>
    </row>
    <row r="1498" spans="2:5">
      <c r="B1498" t="s">
        <v>2696</v>
      </c>
      <c r="D1498" t="s">
        <v>27</v>
      </c>
      <c r="E1498">
        <f>SUMIF(数据源!R2798:R11364,C1498,数据源!M2798:M11364)</f>
        <v>0</v>
      </c>
    </row>
    <row r="1499" spans="2:5">
      <c r="B1499" t="s">
        <v>2691</v>
      </c>
      <c r="D1499" t="s">
        <v>26</v>
      </c>
      <c r="E1499">
        <f>SUMIF(数据源!R1944:R10510,C1499,数据源!M1944:M10510)</f>
        <v>0</v>
      </c>
    </row>
    <row r="1500" spans="2:5">
      <c r="B1500" t="s">
        <v>2697</v>
      </c>
      <c r="D1500" t="s">
        <v>26</v>
      </c>
      <c r="E1500">
        <f>SUMIF(数据源!R2127:R10693,C1500,数据源!M2127:M10693)</f>
        <v>0</v>
      </c>
    </row>
    <row r="1501" spans="2:5">
      <c r="B1501" t="s">
        <v>2685</v>
      </c>
      <c r="D1501" t="s">
        <v>25</v>
      </c>
      <c r="E1501">
        <f>SUMIF(数据源!R509:R9075,C1501,数据源!M509:M9075)</f>
        <v>0</v>
      </c>
    </row>
    <row r="1502" spans="2:5">
      <c r="B1502" t="s">
        <v>2688</v>
      </c>
      <c r="D1502" t="s">
        <v>25</v>
      </c>
      <c r="E1502">
        <f>SUMIF(数据源!R1111:R9677,C1502,数据源!M1111:M9677)</f>
        <v>0</v>
      </c>
    </row>
    <row r="1503" spans="2:5">
      <c r="B1503" t="s">
        <v>2685</v>
      </c>
      <c r="D1503" t="s">
        <v>25</v>
      </c>
      <c r="E1503">
        <f>SUMIF(数据源!R474:R9040,C1503,数据源!M474:M9040)</f>
        <v>0</v>
      </c>
    </row>
    <row r="1504" spans="2:5">
      <c r="B1504" t="s">
        <v>2696</v>
      </c>
      <c r="D1504" t="s">
        <v>27</v>
      </c>
      <c r="E1504">
        <f>SUMIF(数据源!R2568:R11134,C1504,数据源!M2568:M11134)</f>
        <v>0</v>
      </c>
    </row>
    <row r="1505" spans="2:5">
      <c r="B1505" t="s">
        <v>2690</v>
      </c>
      <c r="D1505" t="s">
        <v>25</v>
      </c>
      <c r="E1505">
        <f>SUMIF(数据源!R1229:R9795,C1505,数据源!M1229:M9795)</f>
        <v>0</v>
      </c>
    </row>
    <row r="1506" spans="2:5">
      <c r="B1506" t="s">
        <v>2694</v>
      </c>
      <c r="D1506" t="s">
        <v>25</v>
      </c>
      <c r="E1506">
        <f>SUMIF(数据源!R1636:R10202,C1506,数据源!M1636:M10202)</f>
        <v>0</v>
      </c>
    </row>
    <row r="1507" spans="2:5">
      <c r="B1507" t="s">
        <v>2697</v>
      </c>
      <c r="D1507" t="s">
        <v>26</v>
      </c>
      <c r="E1507">
        <f>SUMIF(数据源!R2363:R10929,C1507,数据源!M2363:M10929)</f>
        <v>0</v>
      </c>
    </row>
    <row r="1508" spans="2:5">
      <c r="B1508" t="s">
        <v>2690</v>
      </c>
      <c r="D1508" t="s">
        <v>25</v>
      </c>
      <c r="E1508">
        <f>SUMIF(数据源!R1399:R9965,C1508,数据源!M1399:M9965)</f>
        <v>0</v>
      </c>
    </row>
    <row r="1509" spans="2:5">
      <c r="B1509" t="s">
        <v>2688</v>
      </c>
      <c r="D1509" t="s">
        <v>25</v>
      </c>
      <c r="E1509">
        <f>SUMIF(数据源!R799:R9365,C1509,数据源!M799:M9365)</f>
        <v>0</v>
      </c>
    </row>
    <row r="1510" spans="2:5">
      <c r="B1510" t="s">
        <v>2685</v>
      </c>
      <c r="D1510" t="s">
        <v>25</v>
      </c>
      <c r="E1510">
        <f>SUMIF(数据源!R358:R8924,C1510,数据源!M358:M8924)</f>
        <v>0</v>
      </c>
    </row>
    <row r="1511" spans="2:5">
      <c r="B1511" t="s">
        <v>2693</v>
      </c>
      <c r="D1511" t="s">
        <v>27</v>
      </c>
      <c r="E1511">
        <f>SUMIF(数据源!R2838:R11404,C1511,数据源!M2838:M11404)</f>
        <v>0</v>
      </c>
    </row>
    <row r="1512" spans="2:5">
      <c r="B1512" t="s">
        <v>2697</v>
      </c>
      <c r="D1512" t="s">
        <v>26</v>
      </c>
      <c r="E1512">
        <f>SUMIF(数据源!R2190:R10756,C1512,数据源!M2190:M10756)</f>
        <v>0</v>
      </c>
    </row>
    <row r="1513" spans="2:5">
      <c r="B1513" t="s">
        <v>2688</v>
      </c>
      <c r="D1513" t="s">
        <v>25</v>
      </c>
      <c r="E1513">
        <f>SUMIF(数据源!R874:R9440,C1513,数据源!M874:M9440)</f>
        <v>0</v>
      </c>
    </row>
    <row r="1514" spans="2:5">
      <c r="B1514" t="s">
        <v>2698</v>
      </c>
      <c r="D1514" t="s">
        <v>27</v>
      </c>
      <c r="E1514">
        <f>SUMIF(数据源!R3110:R11676,C1514,数据源!M3110:M11676)</f>
        <v>0</v>
      </c>
    </row>
    <row r="1515" spans="2:5">
      <c r="B1515" t="s">
        <v>2685</v>
      </c>
      <c r="D1515" t="s">
        <v>25</v>
      </c>
      <c r="E1515">
        <f>SUMIF(数据源!R342:R8908,C1515,数据源!M342:M8908)</f>
        <v>0</v>
      </c>
    </row>
    <row r="1516" spans="2:5">
      <c r="B1516" t="s">
        <v>2688</v>
      </c>
      <c r="D1516" t="s">
        <v>25</v>
      </c>
      <c r="E1516">
        <f>SUMIF(数据源!R1080:R9646,C1516,数据源!M1080:M9646)</f>
        <v>0</v>
      </c>
    </row>
    <row r="1517" spans="2:5">
      <c r="B1517" t="s">
        <v>2698</v>
      </c>
      <c r="D1517" t="s">
        <v>27</v>
      </c>
      <c r="E1517">
        <f>SUMIF(数据源!R3216:R11782,C1517,数据源!M3216:M11782)</f>
        <v>0</v>
      </c>
    </row>
    <row r="1518" spans="2:5">
      <c r="B1518" t="s">
        <v>2697</v>
      </c>
      <c r="D1518" t="s">
        <v>26</v>
      </c>
      <c r="E1518">
        <f>SUMIF(数据源!R2282:R10848,C1518,数据源!M2282:M10848)</f>
        <v>0</v>
      </c>
    </row>
    <row r="1519" spans="2:5">
      <c r="B1519" t="s">
        <v>2698</v>
      </c>
      <c r="D1519" t="s">
        <v>27</v>
      </c>
      <c r="E1519">
        <f>SUMIF(数据源!R3278:R11844,C1519,数据源!M3278:M11844)</f>
        <v>0</v>
      </c>
    </row>
    <row r="1520" spans="2:5">
      <c r="B1520" t="s">
        <v>2686</v>
      </c>
      <c r="D1520" t="s">
        <v>27</v>
      </c>
      <c r="E1520">
        <f>SUMIF(数据源!R2940:R11506,C1520,数据源!M2940:M11506)</f>
        <v>0</v>
      </c>
    </row>
    <row r="1521" spans="2:5">
      <c r="B1521" t="s">
        <v>2689</v>
      </c>
      <c r="D1521" t="s">
        <v>25</v>
      </c>
      <c r="E1521">
        <f>SUMIF(数据源!R55:R8621,C1521,数据源!M55:M8621)</f>
        <v>0</v>
      </c>
    </row>
    <row r="1522" spans="2:5">
      <c r="B1522" t="s">
        <v>2685</v>
      </c>
      <c r="D1522" t="s">
        <v>25</v>
      </c>
      <c r="E1522">
        <f>SUMIF(数据源!R272:R8838,C1522,数据源!M272:M8838)</f>
        <v>0</v>
      </c>
    </row>
    <row r="1523" spans="2:5">
      <c r="B1523" t="s">
        <v>2685</v>
      </c>
      <c r="D1523" t="s">
        <v>25</v>
      </c>
      <c r="E1523">
        <f>SUMIF(数据源!R412:R8978,C1523,数据源!M412:M8978)</f>
        <v>0</v>
      </c>
    </row>
    <row r="1524" spans="2:5">
      <c r="B1524" t="s">
        <v>2697</v>
      </c>
      <c r="D1524" t="s">
        <v>26</v>
      </c>
      <c r="E1524">
        <f>SUMIF(数据源!R2378:R10944,C1524,数据源!M2378:M10944)</f>
        <v>0</v>
      </c>
    </row>
    <row r="1525" spans="2:5">
      <c r="B1525" t="s">
        <v>2685</v>
      </c>
      <c r="D1525" t="s">
        <v>25</v>
      </c>
      <c r="E1525">
        <f>SUMIF(数据源!R295:R8861,C1525,数据源!M295:M8861)</f>
        <v>0</v>
      </c>
    </row>
    <row r="1526" spans="2:5">
      <c r="B1526" t="s">
        <v>2687</v>
      </c>
      <c r="D1526" t="s">
        <v>25</v>
      </c>
      <c r="E1526">
        <f>SUMIF(数据源!R694:R9260,C1526,数据源!M694:M9260)</f>
        <v>0</v>
      </c>
    </row>
    <row r="1527" spans="2:5">
      <c r="B1527" t="s">
        <v>2696</v>
      </c>
      <c r="D1527" t="s">
        <v>27</v>
      </c>
      <c r="E1527">
        <f>SUMIF(数据源!R2591:R11157,C1527,数据源!M2591:M11157)</f>
        <v>0</v>
      </c>
    </row>
    <row r="1528" spans="2:5">
      <c r="B1528" t="s">
        <v>2685</v>
      </c>
      <c r="D1528" t="s">
        <v>25</v>
      </c>
      <c r="E1528">
        <f>SUMIF(数据源!R476:R9042,C1528,数据源!M476:M9042)</f>
        <v>0</v>
      </c>
    </row>
    <row r="1529" spans="2:5">
      <c r="B1529" t="s">
        <v>2688</v>
      </c>
      <c r="D1529" t="s">
        <v>25</v>
      </c>
      <c r="E1529">
        <f>SUMIF(数据源!R1067:R9633,C1529,数据源!M1067:M9633)</f>
        <v>0</v>
      </c>
    </row>
    <row r="1530" spans="2:5">
      <c r="B1530" t="s">
        <v>2690</v>
      </c>
      <c r="D1530" t="s">
        <v>25</v>
      </c>
      <c r="E1530">
        <f>SUMIF(数据源!R1450:R10016,C1530,数据源!M1450:M10016)</f>
        <v>0</v>
      </c>
    </row>
    <row r="1531" spans="2:5">
      <c r="B1531" t="s">
        <v>2685</v>
      </c>
      <c r="D1531" t="s">
        <v>25</v>
      </c>
      <c r="E1531">
        <f>SUMIF(数据源!R528:R9094,C1531,数据源!M528:M9094)</f>
        <v>0</v>
      </c>
    </row>
    <row r="1532" spans="2:5">
      <c r="B1532" t="s">
        <v>2688</v>
      </c>
      <c r="D1532" t="s">
        <v>25</v>
      </c>
      <c r="E1532">
        <f>SUMIF(数据源!R1201:R9767,C1532,数据源!M1201:M9767)</f>
        <v>0</v>
      </c>
    </row>
    <row r="1533" spans="2:5">
      <c r="B1533" t="s">
        <v>2689</v>
      </c>
      <c r="D1533" t="s">
        <v>25</v>
      </c>
      <c r="E1533">
        <f>SUMIF(数据源!R142:R8708,C1533,数据源!M142:M8708)</f>
        <v>0</v>
      </c>
    </row>
    <row r="1534" spans="2:5">
      <c r="B1534" t="s">
        <v>2692</v>
      </c>
      <c r="D1534" t="s">
        <v>25</v>
      </c>
      <c r="E1534">
        <f>SUMIF(数据源!R602:R9168,C1534,数据源!M602:M9168)</f>
        <v>0</v>
      </c>
    </row>
    <row r="1535" spans="2:5">
      <c r="B1535" t="s">
        <v>2685</v>
      </c>
      <c r="D1535" t="s">
        <v>25</v>
      </c>
      <c r="E1535">
        <f>SUMIF(数据源!R472:R9038,C1535,数据源!M472:M9038)</f>
        <v>0</v>
      </c>
    </row>
    <row r="1536" spans="2:5">
      <c r="B1536" t="s">
        <v>2687</v>
      </c>
      <c r="D1536" t="s">
        <v>25</v>
      </c>
      <c r="E1536">
        <f>SUMIF(数据源!R734:R9300,C1536,数据源!M734:M9300)</f>
        <v>0</v>
      </c>
    </row>
    <row r="1537" spans="2:5">
      <c r="B1537" t="s">
        <v>2696</v>
      </c>
      <c r="D1537" t="s">
        <v>27</v>
      </c>
      <c r="E1537">
        <f>SUMIF(数据源!R2754:R11320,C1537,数据源!M2754:M11320)</f>
        <v>0</v>
      </c>
    </row>
    <row r="1538" spans="2:5">
      <c r="B1538" t="s">
        <v>2698</v>
      </c>
      <c r="D1538" t="s">
        <v>27</v>
      </c>
      <c r="E1538">
        <f>SUMIF(数据源!R3236:R11802,C1538,数据源!M3236:M11802)</f>
        <v>0</v>
      </c>
    </row>
    <row r="1539" spans="2:5">
      <c r="B1539" t="s">
        <v>2697</v>
      </c>
      <c r="D1539" t="s">
        <v>26</v>
      </c>
      <c r="E1539">
        <f>SUMIF(数据源!R2317:R10883,C1539,数据源!M2317:M10883)</f>
        <v>0</v>
      </c>
    </row>
    <row r="1540" spans="2:5">
      <c r="B1540" t="s">
        <v>2686</v>
      </c>
      <c r="D1540" t="s">
        <v>27</v>
      </c>
      <c r="E1540">
        <f>SUMIF(数据源!R2933:R11499,C1540,数据源!M2933:M11499)</f>
        <v>0</v>
      </c>
    </row>
    <row r="1541" spans="2:5">
      <c r="B1541" t="s">
        <v>2698</v>
      </c>
      <c r="D1541" t="s">
        <v>27</v>
      </c>
      <c r="E1541">
        <f>SUMIF(数据源!R3258:R11824,C1541,数据源!M3258:M11824)</f>
        <v>0</v>
      </c>
    </row>
    <row r="1542" spans="2:5">
      <c r="B1542" t="s">
        <v>2698</v>
      </c>
      <c r="D1542" t="s">
        <v>27</v>
      </c>
      <c r="E1542">
        <f>SUMIF(数据源!R3080:R11646,C1542,数据源!M3080:M11646)</f>
        <v>0</v>
      </c>
    </row>
    <row r="1543" spans="2:5">
      <c r="B1543" t="s">
        <v>2699</v>
      </c>
      <c r="D1543" t="s">
        <v>26</v>
      </c>
      <c r="E1543">
        <f>SUMIF(数据源!R2491:R11057,C1543,数据源!M2491:M11057)</f>
        <v>0</v>
      </c>
    </row>
    <row r="1544" spans="2:5">
      <c r="B1544" t="s">
        <v>2700</v>
      </c>
      <c r="D1544" t="s">
        <v>25</v>
      </c>
      <c r="E1544">
        <f>SUMIF(数据源!R1514:R10080,C1544,数据源!M1514:M10080)</f>
        <v>0</v>
      </c>
    </row>
    <row r="1545" spans="2:5">
      <c r="B1545" t="s">
        <v>2697</v>
      </c>
      <c r="D1545" t="s">
        <v>26</v>
      </c>
      <c r="E1545">
        <f>SUMIF(数据源!R2162:R10728,C1545,数据源!M2162:M10728)</f>
        <v>0</v>
      </c>
    </row>
    <row r="1546" spans="2:5">
      <c r="B1546" t="s">
        <v>2696</v>
      </c>
      <c r="D1546" t="s">
        <v>27</v>
      </c>
      <c r="E1546">
        <f>SUMIF(数据源!R2642:R11208,C1546,数据源!M2642:M11208)</f>
        <v>0</v>
      </c>
    </row>
    <row r="1547" spans="2:5">
      <c r="B1547" t="s">
        <v>2685</v>
      </c>
      <c r="D1547" t="s">
        <v>25</v>
      </c>
      <c r="E1547">
        <f>SUMIF(数据源!R498:R9064,C1547,数据源!M498:M9064)</f>
        <v>0</v>
      </c>
    </row>
    <row r="1548" spans="2:5">
      <c r="B1548" t="s">
        <v>2692</v>
      </c>
      <c r="D1548" t="s">
        <v>25</v>
      </c>
      <c r="E1548">
        <f>SUMIF(数据源!R628:R9194,C1548,数据源!M628:M9194)</f>
        <v>0</v>
      </c>
    </row>
    <row r="1549" spans="2:5">
      <c r="B1549" t="s">
        <v>2697</v>
      </c>
      <c r="D1549" t="s">
        <v>26</v>
      </c>
      <c r="E1549">
        <f>SUMIF(数据源!R2383:R10949,C1549,数据源!M2383:M10949)</f>
        <v>0</v>
      </c>
    </row>
    <row r="1550" spans="2:5">
      <c r="B1550" t="s">
        <v>2685</v>
      </c>
      <c r="D1550" t="s">
        <v>25</v>
      </c>
      <c r="E1550">
        <f>SUMIF(数据源!R499:R9065,C1550,数据源!M499:M9065)</f>
        <v>0</v>
      </c>
    </row>
    <row r="1551" spans="2:5">
      <c r="B1551" t="s">
        <v>2696</v>
      </c>
      <c r="D1551" t="s">
        <v>27</v>
      </c>
      <c r="E1551">
        <f>SUMIF(数据源!R2616:R11182,C1551,数据源!M2616:M11182)</f>
        <v>0</v>
      </c>
    </row>
    <row r="1552" spans="2:5">
      <c r="B1552" t="s">
        <v>2697</v>
      </c>
      <c r="D1552" t="s">
        <v>26</v>
      </c>
      <c r="E1552">
        <f>SUMIF(数据源!R2157:R10723,C1552,数据源!M2157:M10723)</f>
        <v>0</v>
      </c>
    </row>
    <row r="1553" spans="2:5">
      <c r="B1553" t="s">
        <v>2696</v>
      </c>
      <c r="D1553" t="s">
        <v>27</v>
      </c>
      <c r="E1553">
        <f>SUMIF(数据源!R2717:R11283,C1553,数据源!M2717:M11283)</f>
        <v>0</v>
      </c>
    </row>
    <row r="1554" spans="2:5">
      <c r="B1554" t="s">
        <v>2699</v>
      </c>
      <c r="D1554" t="s">
        <v>26</v>
      </c>
      <c r="E1554">
        <f>SUMIF(数据源!R2512:R11078,C1554,数据源!M2512:M11078)</f>
        <v>0</v>
      </c>
    </row>
    <row r="1555" spans="2:5">
      <c r="B1555" t="s">
        <v>2694</v>
      </c>
      <c r="D1555" t="s">
        <v>25</v>
      </c>
      <c r="E1555">
        <f>SUMIF(数据源!R1761:R10327,C1555,数据源!M1761:M10327)</f>
        <v>0</v>
      </c>
    </row>
    <row r="1556" spans="2:5">
      <c r="B1556" t="s">
        <v>2688</v>
      </c>
      <c r="D1556" t="s">
        <v>25</v>
      </c>
      <c r="E1556">
        <f>SUMIF(数据源!R927:R9493,C1556,数据源!M927:M9493)</f>
        <v>0</v>
      </c>
    </row>
    <row r="1557" spans="2:5">
      <c r="B1557" t="s">
        <v>2688</v>
      </c>
      <c r="D1557" t="s">
        <v>25</v>
      </c>
      <c r="E1557">
        <f>SUMIF(数据源!R858:R9424,C1557,数据源!M858:M9424)</f>
        <v>0</v>
      </c>
    </row>
    <row r="1558" spans="2:5">
      <c r="B1558" t="s">
        <v>2699</v>
      </c>
      <c r="D1558" t="s">
        <v>26</v>
      </c>
      <c r="E1558">
        <f>SUMIF(数据源!R2537:R11103,C1558,数据源!M2537:M11103)</f>
        <v>0</v>
      </c>
    </row>
    <row r="1559" spans="2:5">
      <c r="B1559" t="s">
        <v>2688</v>
      </c>
      <c r="D1559" t="s">
        <v>25</v>
      </c>
      <c r="E1559">
        <f>SUMIF(数据源!R846:R9412,C1559,数据源!M846:M9412)</f>
        <v>0</v>
      </c>
    </row>
    <row r="1560" spans="2:5">
      <c r="B1560" t="s">
        <v>2698</v>
      </c>
      <c r="D1560" t="s">
        <v>27</v>
      </c>
      <c r="E1560">
        <f>SUMIF(数据源!R3172:R11738,C1560,数据源!M3172:M11738)</f>
        <v>0</v>
      </c>
    </row>
    <row r="1561" spans="2:5">
      <c r="B1561" t="s">
        <v>2698</v>
      </c>
      <c r="D1561" t="s">
        <v>27</v>
      </c>
      <c r="E1561">
        <f>SUMIF(数据源!R3037:R11603,C1561,数据源!M3037:M11603)</f>
        <v>0</v>
      </c>
    </row>
    <row r="1562" spans="2:5">
      <c r="B1562" t="s">
        <v>2695</v>
      </c>
      <c r="D1562" t="s">
        <v>26</v>
      </c>
      <c r="E1562">
        <f>SUMIF(数据源!R1899:R10465,C1562,数据源!M1899:M10465)</f>
        <v>0</v>
      </c>
    </row>
    <row r="1563" spans="2:5">
      <c r="B1563" t="s">
        <v>2699</v>
      </c>
      <c r="D1563" t="s">
        <v>26</v>
      </c>
      <c r="E1563">
        <f>SUMIF(数据源!R2448:R11014,C1563,数据源!M2448:M11014)</f>
        <v>0</v>
      </c>
    </row>
    <row r="1564" spans="2:5">
      <c r="B1564" t="s">
        <v>2698</v>
      </c>
      <c r="D1564" t="s">
        <v>27</v>
      </c>
      <c r="E1564">
        <f>SUMIF(数据源!R3125:R11691,C1564,数据源!M3125:M11691)</f>
        <v>0</v>
      </c>
    </row>
    <row r="1565" spans="2:5">
      <c r="B1565" t="s">
        <v>2697</v>
      </c>
      <c r="D1565" t="s">
        <v>26</v>
      </c>
      <c r="E1565">
        <f>SUMIF(数据源!R2152:R10718,C1565,数据源!M2152:M10718)</f>
        <v>0</v>
      </c>
    </row>
    <row r="1566" spans="2:5">
      <c r="B1566" t="s">
        <v>2694</v>
      </c>
      <c r="D1566" t="s">
        <v>25</v>
      </c>
      <c r="E1566">
        <f>SUMIF(数据源!R1672:R10238,C1566,数据源!M1672:M10238)</f>
        <v>0</v>
      </c>
    </row>
    <row r="1567" spans="2:5">
      <c r="B1567" t="s">
        <v>2696</v>
      </c>
      <c r="D1567" t="s">
        <v>27</v>
      </c>
      <c r="E1567">
        <f>SUMIF(数据源!R2699:R11265,C1567,数据源!M2699:M11265)</f>
        <v>0</v>
      </c>
    </row>
    <row r="1568" spans="2:5">
      <c r="B1568" t="s">
        <v>2697</v>
      </c>
      <c r="D1568" t="s">
        <v>26</v>
      </c>
      <c r="E1568">
        <f>SUMIF(数据源!R2272:R10838,C1568,数据源!M2272:M10838)</f>
        <v>0</v>
      </c>
    </row>
    <row r="1569" spans="2:5">
      <c r="B1569" t="s">
        <v>2689</v>
      </c>
      <c r="D1569" t="s">
        <v>25</v>
      </c>
      <c r="E1569">
        <f>SUMIF(数据源!R20:R8586,C1569,数据源!M20:M8586)</f>
        <v>0</v>
      </c>
    </row>
    <row r="1570" spans="2:5">
      <c r="B1570" t="s">
        <v>2688</v>
      </c>
      <c r="D1570" t="s">
        <v>25</v>
      </c>
      <c r="E1570">
        <f>SUMIF(数据源!R1087:R9653,C1570,数据源!M1087:M9653)</f>
        <v>0</v>
      </c>
    </row>
    <row r="1571" spans="2:5">
      <c r="B1571" t="s">
        <v>2697</v>
      </c>
      <c r="D1571" t="s">
        <v>26</v>
      </c>
      <c r="E1571">
        <f>SUMIF(数据源!R2285:R10851,C1571,数据源!M2285:M10851)</f>
        <v>0</v>
      </c>
    </row>
    <row r="1572" spans="2:5">
      <c r="B1572" t="s">
        <v>2685</v>
      </c>
      <c r="D1572" t="s">
        <v>25</v>
      </c>
      <c r="E1572">
        <f>SUMIF(数据源!R333:R8899,C1572,数据源!M333:M8899)</f>
        <v>0</v>
      </c>
    </row>
    <row r="1573" spans="2:5">
      <c r="B1573" t="s">
        <v>2697</v>
      </c>
      <c r="D1573" t="s">
        <v>26</v>
      </c>
      <c r="E1573">
        <f>SUMIF(数据源!R2180:R10746,C1573,数据源!M2180:M10746)</f>
        <v>0</v>
      </c>
    </row>
    <row r="1574" spans="2:5">
      <c r="B1574" t="s">
        <v>2688</v>
      </c>
      <c r="D1574" t="s">
        <v>25</v>
      </c>
      <c r="E1574">
        <f>SUMIF(数据源!R864:R9430,C1574,数据源!M864:M9430)</f>
        <v>0</v>
      </c>
    </row>
    <row r="1575" spans="2:5">
      <c r="B1575" t="s">
        <v>2694</v>
      </c>
      <c r="D1575" t="s">
        <v>25</v>
      </c>
      <c r="E1575">
        <f>SUMIF(数据源!R1687:R10253,C1575,数据源!M1687:M10253)</f>
        <v>0</v>
      </c>
    </row>
    <row r="1576" spans="2:5">
      <c r="B1576" t="s">
        <v>2689</v>
      </c>
      <c r="D1576" t="s">
        <v>25</v>
      </c>
      <c r="E1576">
        <f>SUMIF(数据源!R153:R8719,C1576,数据源!M153:M8719)</f>
        <v>0</v>
      </c>
    </row>
    <row r="1577" spans="2:5">
      <c r="B1577" t="s">
        <v>2688</v>
      </c>
      <c r="D1577" t="s">
        <v>25</v>
      </c>
      <c r="E1577">
        <f>SUMIF(数据源!R1044:R9610,C1577,数据源!M1044:M9610)</f>
        <v>0</v>
      </c>
    </row>
    <row r="1578" spans="2:5">
      <c r="B1578" t="s">
        <v>2700</v>
      </c>
      <c r="D1578" t="s">
        <v>25</v>
      </c>
      <c r="E1578">
        <f>SUMIF(数据源!R1546:R10112,C1578,数据源!M1546:M10112)</f>
        <v>0</v>
      </c>
    </row>
    <row r="1579" spans="2:5">
      <c r="B1579" t="s">
        <v>2689</v>
      </c>
      <c r="D1579" t="s">
        <v>25</v>
      </c>
      <c r="E1579">
        <f>SUMIF(数据源!R74:R8640,C1579,数据源!M74:M8640)</f>
        <v>0</v>
      </c>
    </row>
    <row r="1580" spans="2:5">
      <c r="B1580" t="s">
        <v>2691</v>
      </c>
      <c r="D1580" t="s">
        <v>26</v>
      </c>
      <c r="E1580">
        <f>SUMIF(数据源!R2035:R10601,C1580,数据源!M2035:M10601)</f>
        <v>0</v>
      </c>
    </row>
    <row r="1581" spans="2:5">
      <c r="B1581" t="s">
        <v>2691</v>
      </c>
      <c r="D1581" t="s">
        <v>26</v>
      </c>
      <c r="E1581">
        <f>SUMIF(数据源!R1983:R10549,C1581,数据源!M1983:M10549)</f>
        <v>0</v>
      </c>
    </row>
    <row r="1582" spans="2:5">
      <c r="B1582" t="s">
        <v>2696</v>
      </c>
      <c r="D1582" t="s">
        <v>27</v>
      </c>
      <c r="E1582">
        <f>SUMIF(数据源!R2793:R11359,C1582,数据源!M2793:M11359)</f>
        <v>0</v>
      </c>
    </row>
    <row r="1583" spans="2:5">
      <c r="B1583" t="s">
        <v>2696</v>
      </c>
      <c r="D1583" t="s">
        <v>27</v>
      </c>
      <c r="E1583">
        <f>SUMIF(数据源!R2714:R11280,C1583,数据源!M2714:M11280)</f>
        <v>0</v>
      </c>
    </row>
    <row r="1584" spans="2:5">
      <c r="B1584" t="s">
        <v>2689</v>
      </c>
      <c r="D1584" t="s">
        <v>25</v>
      </c>
      <c r="E1584">
        <f>SUMIF(数据源!R40:R8606,C1584,数据源!M40:M8606)</f>
        <v>0</v>
      </c>
    </row>
    <row r="1585" spans="2:5">
      <c r="B1585" t="s">
        <v>2687</v>
      </c>
      <c r="D1585" t="s">
        <v>25</v>
      </c>
      <c r="E1585">
        <f>SUMIF(数据源!R703:R9269,C1585,数据源!M703:M9269)</f>
        <v>0</v>
      </c>
    </row>
    <row r="1586" spans="2:5">
      <c r="B1586" t="s">
        <v>2686</v>
      </c>
      <c r="D1586" t="s">
        <v>27</v>
      </c>
      <c r="E1586">
        <f>SUMIF(数据源!R2942:R11508,C1586,数据源!M2942:M11508)</f>
        <v>0</v>
      </c>
    </row>
    <row r="1587" spans="2:5">
      <c r="B1587" t="s">
        <v>2698</v>
      </c>
      <c r="D1587" t="s">
        <v>27</v>
      </c>
      <c r="E1587">
        <f>SUMIF(数据源!R3012:R11578,C1587,数据源!M3012:M11578)</f>
        <v>0</v>
      </c>
    </row>
    <row r="1588" spans="2:5">
      <c r="B1588" t="s">
        <v>2697</v>
      </c>
      <c r="D1588" t="s">
        <v>26</v>
      </c>
      <c r="E1588">
        <f>SUMIF(数据源!R2092:R10658,C1588,数据源!M2092:M10658)</f>
        <v>0</v>
      </c>
    </row>
    <row r="1589" spans="2:5">
      <c r="B1589" t="s">
        <v>2690</v>
      </c>
      <c r="D1589" t="s">
        <v>25</v>
      </c>
      <c r="E1589">
        <f>SUMIF(数据源!R1226:R9792,C1589,数据源!M1226:M9792)</f>
        <v>0</v>
      </c>
    </row>
    <row r="1590" spans="2:5">
      <c r="B1590" t="s">
        <v>2691</v>
      </c>
      <c r="D1590" t="s">
        <v>26</v>
      </c>
      <c r="E1590">
        <f>SUMIF(数据源!R2034:R10600,C1590,数据源!M2034:M10600)</f>
        <v>0</v>
      </c>
    </row>
    <row r="1591" spans="2:5">
      <c r="B1591" t="s">
        <v>2697</v>
      </c>
      <c r="D1591" t="s">
        <v>26</v>
      </c>
      <c r="E1591">
        <f>SUMIF(数据源!R2277:R10843,C1591,数据源!M2277:M10843)</f>
        <v>0</v>
      </c>
    </row>
    <row r="1592" spans="2:5">
      <c r="B1592" t="s">
        <v>2698</v>
      </c>
      <c r="D1592" t="s">
        <v>27</v>
      </c>
      <c r="E1592">
        <f>SUMIF(数据源!R3132:R11698,C1592,数据源!M3132:M11698)</f>
        <v>0</v>
      </c>
    </row>
    <row r="1593" spans="2:5">
      <c r="B1593" t="s">
        <v>2686</v>
      </c>
      <c r="D1593" t="s">
        <v>27</v>
      </c>
      <c r="E1593">
        <f>SUMIF(数据源!R2874:R11440,C1593,数据源!M2874:M11440)</f>
        <v>0</v>
      </c>
    </row>
    <row r="1594" spans="2:5">
      <c r="B1594" t="s">
        <v>2698</v>
      </c>
      <c r="D1594" t="s">
        <v>27</v>
      </c>
      <c r="E1594">
        <f>SUMIF(数据源!R3090:R11656,C1594,数据源!M3090:M11656)</f>
        <v>0</v>
      </c>
    </row>
    <row r="1595" spans="2:5">
      <c r="B1595" t="s">
        <v>2698</v>
      </c>
      <c r="D1595" t="s">
        <v>27</v>
      </c>
      <c r="E1595">
        <f>SUMIF(数据源!R3319:R11885,C1595,数据源!M3319:M11885)</f>
        <v>0</v>
      </c>
    </row>
    <row r="1596" spans="2:5">
      <c r="B1596" t="s">
        <v>2688</v>
      </c>
      <c r="D1596" t="s">
        <v>25</v>
      </c>
      <c r="E1596">
        <f>SUMIF(数据源!R1195:R9761,C1596,数据源!M1195:M9761)</f>
        <v>0</v>
      </c>
    </row>
    <row r="1597" spans="2:5">
      <c r="B1597" t="s">
        <v>2688</v>
      </c>
      <c r="D1597" t="s">
        <v>25</v>
      </c>
      <c r="E1597">
        <f>SUMIF(数据源!R1000:R9566,C1597,数据源!M1000:M9566)</f>
        <v>0</v>
      </c>
    </row>
    <row r="1598" spans="2:5">
      <c r="B1598" t="s">
        <v>2698</v>
      </c>
      <c r="D1598" t="s">
        <v>27</v>
      </c>
      <c r="E1598">
        <f>SUMIF(数据源!R3243:R11809,C1598,数据源!M3243:M11809)</f>
        <v>0</v>
      </c>
    </row>
    <row r="1599" spans="2:5">
      <c r="B1599" t="s">
        <v>2695</v>
      </c>
      <c r="D1599" t="s">
        <v>26</v>
      </c>
      <c r="E1599">
        <f>SUMIF(数据源!R1912:R10478,C1599,数据源!M1912:M10478)</f>
        <v>0</v>
      </c>
    </row>
    <row r="1600" spans="2:5">
      <c r="B1600" t="s">
        <v>2697</v>
      </c>
      <c r="D1600" t="s">
        <v>26</v>
      </c>
      <c r="E1600">
        <f>SUMIF(数据源!R2321:R10887,C1600,数据源!M2321:M10887)</f>
        <v>0</v>
      </c>
    </row>
    <row r="1601" spans="2:5">
      <c r="B1601" t="s">
        <v>2690</v>
      </c>
      <c r="D1601" t="s">
        <v>25</v>
      </c>
      <c r="E1601">
        <f>SUMIF(数据源!R1408:R9974,C1601,数据源!M1408:M9974)</f>
        <v>0</v>
      </c>
    </row>
    <row r="1602" spans="2:5">
      <c r="B1602" t="s">
        <v>2698</v>
      </c>
      <c r="D1602" t="s">
        <v>27</v>
      </c>
      <c r="E1602">
        <f>SUMIF(数据源!R3289:R11855,C1602,数据源!M3289:M11855)</f>
        <v>0</v>
      </c>
    </row>
    <row r="1603" spans="2:5">
      <c r="B1603" t="s">
        <v>2697</v>
      </c>
      <c r="D1603" t="s">
        <v>26</v>
      </c>
      <c r="E1603">
        <f>SUMIF(数据源!R2292:R10858,C1603,数据源!M2292:M10858)</f>
        <v>0</v>
      </c>
    </row>
    <row r="1604" spans="2:5">
      <c r="B1604" t="s">
        <v>2698</v>
      </c>
      <c r="D1604" t="s">
        <v>27</v>
      </c>
      <c r="E1604">
        <f>SUMIF(数据源!R3307:R11873,C1604,数据源!M3307:M11873)</f>
        <v>0</v>
      </c>
    </row>
    <row r="1605" spans="2:5">
      <c r="B1605" t="s">
        <v>2692</v>
      </c>
      <c r="D1605" t="s">
        <v>25</v>
      </c>
      <c r="E1605">
        <f>SUMIF(数据源!R613:R9179,C1605,数据源!M613:M9179)</f>
        <v>0</v>
      </c>
    </row>
    <row r="1606" spans="2:5">
      <c r="B1606" t="s">
        <v>2688</v>
      </c>
      <c r="D1606" t="s">
        <v>25</v>
      </c>
      <c r="E1606">
        <f>SUMIF(数据源!R1043:R9609,C1606,数据源!M1043:M9609)</f>
        <v>0</v>
      </c>
    </row>
    <row r="1607" spans="2:5">
      <c r="B1607" t="s">
        <v>2686</v>
      </c>
      <c r="D1607" t="s">
        <v>27</v>
      </c>
      <c r="E1607">
        <f>SUMIF(数据源!R2971:R11537,C1607,数据源!M2971:M11537)</f>
        <v>0</v>
      </c>
    </row>
    <row r="1608" spans="2:5">
      <c r="B1608" t="s">
        <v>2697</v>
      </c>
      <c r="D1608" t="s">
        <v>26</v>
      </c>
      <c r="E1608">
        <f>SUMIF(数据源!R2319:R10885,C1608,数据源!M2319:M10885)</f>
        <v>0</v>
      </c>
    </row>
    <row r="1609" spans="2:5">
      <c r="B1609" t="s">
        <v>2692</v>
      </c>
      <c r="D1609" t="s">
        <v>25</v>
      </c>
      <c r="E1609">
        <f>SUMIF(数据源!R604:R9170,C1609,数据源!M604:M9170)</f>
        <v>0</v>
      </c>
    </row>
    <row r="1610" spans="2:5">
      <c r="B1610" t="s">
        <v>2690</v>
      </c>
      <c r="D1610" t="s">
        <v>25</v>
      </c>
      <c r="E1610">
        <f>SUMIF(数据源!R1314:R9880,C1610,数据源!M1314:M9880)</f>
        <v>0</v>
      </c>
    </row>
    <row r="1611" spans="2:5">
      <c r="B1611" t="s">
        <v>2690</v>
      </c>
      <c r="D1611" t="s">
        <v>25</v>
      </c>
      <c r="E1611">
        <f>SUMIF(数据源!R1458:R10024,C1611,数据源!M1458:M10024)</f>
        <v>0</v>
      </c>
    </row>
    <row r="1612" spans="2:5">
      <c r="B1612" t="s">
        <v>2698</v>
      </c>
      <c r="D1612" t="s">
        <v>27</v>
      </c>
      <c r="E1612">
        <f>SUMIF(数据源!R3047:R11613,C1612,数据源!M3047:M11613)</f>
        <v>0</v>
      </c>
    </row>
    <row r="1613" spans="2:5">
      <c r="B1613" t="s">
        <v>2689</v>
      </c>
      <c r="D1613" t="s">
        <v>25</v>
      </c>
      <c r="E1613">
        <f>SUMIF(数据源!R24:R8590,C1613,数据源!M24:M8590)</f>
        <v>0</v>
      </c>
    </row>
    <row r="1614" spans="2:5">
      <c r="B1614" t="s">
        <v>2685</v>
      </c>
      <c r="D1614" t="s">
        <v>25</v>
      </c>
      <c r="E1614">
        <f>SUMIF(数据源!R205:R8771,C1614,数据源!M205:M8771)</f>
        <v>0</v>
      </c>
    </row>
    <row r="1615" spans="2:5">
      <c r="B1615" t="s">
        <v>2696</v>
      </c>
      <c r="D1615" t="s">
        <v>27</v>
      </c>
      <c r="E1615">
        <f>SUMIF(数据源!R2635:R11201,C1615,数据源!M2635:M11201)</f>
        <v>0</v>
      </c>
    </row>
    <row r="1616" spans="2:5">
      <c r="B1616" t="s">
        <v>2697</v>
      </c>
      <c r="D1616" t="s">
        <v>26</v>
      </c>
      <c r="E1616">
        <f>SUMIF(数据源!R2226:R10792,C1616,数据源!M2226:M10792)</f>
        <v>0</v>
      </c>
    </row>
    <row r="1617" spans="2:5">
      <c r="B1617" t="s">
        <v>2696</v>
      </c>
      <c r="D1617" t="s">
        <v>27</v>
      </c>
      <c r="E1617">
        <f>SUMIF(数据源!R2801:R11367,C1617,数据源!M2801:M11367)</f>
        <v>0</v>
      </c>
    </row>
    <row r="1618" spans="2:5">
      <c r="B1618" t="s">
        <v>2697</v>
      </c>
      <c r="D1618" t="s">
        <v>26</v>
      </c>
      <c r="E1618">
        <f>SUMIF(数据源!R2376:R10942,C1618,数据源!M2376:M10942)</f>
        <v>0</v>
      </c>
    </row>
    <row r="1619" spans="2:5">
      <c r="B1619" t="s">
        <v>2685</v>
      </c>
      <c r="D1619" t="s">
        <v>25</v>
      </c>
      <c r="E1619">
        <f>SUMIF(数据源!R181:R8747,C1619,数据源!M181:M8747)</f>
        <v>0</v>
      </c>
    </row>
    <row r="1620" spans="2:5">
      <c r="B1620" t="s">
        <v>2687</v>
      </c>
      <c r="D1620" t="s">
        <v>25</v>
      </c>
      <c r="E1620">
        <f>SUMIF(数据源!R637:R9203,C1620,数据源!M637:M9203)</f>
        <v>0</v>
      </c>
    </row>
    <row r="1621" spans="2:5">
      <c r="B1621" t="s">
        <v>2694</v>
      </c>
      <c r="D1621" t="s">
        <v>25</v>
      </c>
      <c r="E1621">
        <f>SUMIF(数据源!R1635:R10201,C1621,数据源!M1635:M10201)</f>
        <v>0</v>
      </c>
    </row>
    <row r="1622" spans="2:5">
      <c r="B1622" t="s">
        <v>2685</v>
      </c>
      <c r="D1622" t="s">
        <v>25</v>
      </c>
      <c r="E1622">
        <f>SUMIF(数据源!R399:R8965,C1622,数据源!M399:M8965)</f>
        <v>0</v>
      </c>
    </row>
    <row r="1623" spans="2:5">
      <c r="B1623" t="s">
        <v>2700</v>
      </c>
      <c r="D1623" t="s">
        <v>25</v>
      </c>
      <c r="E1623">
        <f>SUMIF(数据源!R1484:R10050,C1623,数据源!M1484:M10050)</f>
        <v>0</v>
      </c>
    </row>
    <row r="1624" spans="2:5">
      <c r="B1624" t="s">
        <v>2701</v>
      </c>
      <c r="D1624" t="s">
        <v>25</v>
      </c>
      <c r="E1624">
        <f>SUMIF(数据源!R1573:R10139,C1624,数据源!M1573:M10139)</f>
        <v>0</v>
      </c>
    </row>
    <row r="1625" spans="2:5">
      <c r="B1625" t="s">
        <v>2686</v>
      </c>
      <c r="D1625" t="s">
        <v>27</v>
      </c>
      <c r="E1625">
        <f>SUMIF(数据源!R2872:R11438,C1625,数据源!M2872:M11438)</f>
        <v>0</v>
      </c>
    </row>
    <row r="1626" spans="2:5">
      <c r="B1626" t="s">
        <v>2699</v>
      </c>
      <c r="D1626" t="s">
        <v>26</v>
      </c>
      <c r="E1626">
        <f>SUMIF(数据源!R2426:R10992,C1626,数据源!M2426:M10992)</f>
        <v>0</v>
      </c>
    </row>
    <row r="1627" spans="2:5">
      <c r="B1627" t="s">
        <v>2698</v>
      </c>
      <c r="D1627" t="s">
        <v>27</v>
      </c>
      <c r="E1627">
        <f>SUMIF(数据源!R3191:R11757,C1627,数据源!M3191:M11757)</f>
        <v>0</v>
      </c>
    </row>
    <row r="1628" spans="2:5">
      <c r="B1628" t="s">
        <v>2694</v>
      </c>
      <c r="D1628" t="s">
        <v>25</v>
      </c>
      <c r="E1628">
        <f>SUMIF(数据源!R1746:R10312,C1628,数据源!M1746:M10312)</f>
        <v>0</v>
      </c>
    </row>
    <row r="1629" spans="2:5">
      <c r="B1629" t="s">
        <v>2694</v>
      </c>
      <c r="D1629" t="s">
        <v>25</v>
      </c>
      <c r="E1629">
        <f>SUMIF(数据源!R1775:R10341,C1629,数据源!M1775:M10341)</f>
        <v>0</v>
      </c>
    </row>
    <row r="1630" spans="2:5">
      <c r="B1630" t="s">
        <v>2686</v>
      </c>
      <c r="D1630" t="s">
        <v>27</v>
      </c>
      <c r="E1630">
        <f>SUMIF(数据源!R3000:R11566,C1630,数据源!M3000:M11566)</f>
        <v>0</v>
      </c>
    </row>
    <row r="1631" spans="2:5">
      <c r="B1631" t="s">
        <v>2699</v>
      </c>
      <c r="D1631" t="s">
        <v>26</v>
      </c>
      <c r="E1631">
        <f>SUMIF(数据源!R2544:R11110,C1631,数据源!M2544:M11110)</f>
        <v>0</v>
      </c>
    </row>
    <row r="1632" spans="2:5">
      <c r="B1632" t="s">
        <v>2693</v>
      </c>
      <c r="D1632" t="s">
        <v>27</v>
      </c>
      <c r="E1632">
        <f>SUMIF(数据源!R2857:R11423,C1632,数据源!M2857:M11423)</f>
        <v>0</v>
      </c>
    </row>
    <row r="1633" spans="2:5">
      <c r="B1633" t="s">
        <v>2688</v>
      </c>
      <c r="D1633" t="s">
        <v>25</v>
      </c>
      <c r="E1633">
        <f>SUMIF(数据源!R933:R9499,C1633,数据源!M933:M9499)</f>
        <v>0</v>
      </c>
    </row>
    <row r="1634" spans="2:5">
      <c r="B1634" t="s">
        <v>2701</v>
      </c>
      <c r="D1634" t="s">
        <v>25</v>
      </c>
      <c r="E1634">
        <f>SUMIF(数据源!R1605:R10171,C1634,数据源!M1605:M10171)</f>
        <v>0</v>
      </c>
    </row>
    <row r="1635" spans="2:5">
      <c r="B1635" t="s">
        <v>2698</v>
      </c>
      <c r="D1635" t="s">
        <v>27</v>
      </c>
      <c r="E1635">
        <f>SUMIF(数据源!R3100:R11666,C1635,数据源!M3100:M11666)</f>
        <v>0</v>
      </c>
    </row>
    <row r="1636" spans="2:5">
      <c r="B1636" t="s">
        <v>2697</v>
      </c>
      <c r="D1636" t="s">
        <v>26</v>
      </c>
      <c r="E1636">
        <f>SUMIF(数据源!R2255:R10821,C1636,数据源!M2255:M10821)</f>
        <v>0</v>
      </c>
    </row>
    <row r="1637" spans="2:5">
      <c r="B1637" t="s">
        <v>2700</v>
      </c>
      <c r="D1637" t="s">
        <v>25</v>
      </c>
      <c r="E1637">
        <f>SUMIF(数据源!R1513:R10079,C1637,数据源!M1513:M10079)</f>
        <v>0</v>
      </c>
    </row>
    <row r="1638" spans="2:5">
      <c r="B1638" t="s">
        <v>2691</v>
      </c>
      <c r="D1638" t="s">
        <v>26</v>
      </c>
      <c r="E1638">
        <f>SUMIF(数据源!R1949:R10515,C1638,数据源!M1949:M10515)</f>
        <v>0</v>
      </c>
    </row>
    <row r="1639" spans="2:5">
      <c r="B1639" t="s">
        <v>2696</v>
      </c>
      <c r="D1639" t="s">
        <v>27</v>
      </c>
      <c r="E1639">
        <f>SUMIF(数据源!R2647:R11213,C1639,数据源!M2647:M11213)</f>
        <v>0</v>
      </c>
    </row>
    <row r="1640" spans="2:5">
      <c r="B1640" t="s">
        <v>2685</v>
      </c>
      <c r="D1640" t="s">
        <v>25</v>
      </c>
      <c r="E1640">
        <f>SUMIF(数据源!R324:R8890,C1640,数据源!M324:M8890)</f>
        <v>0</v>
      </c>
    </row>
    <row r="1641" spans="2:5">
      <c r="B1641" t="s">
        <v>2688</v>
      </c>
      <c r="D1641" t="s">
        <v>25</v>
      </c>
      <c r="E1641">
        <f>SUMIF(数据源!R904:R9470,C1641,数据源!M904:M9470)</f>
        <v>0</v>
      </c>
    </row>
    <row r="1642" spans="2:5">
      <c r="B1642" t="s">
        <v>2698</v>
      </c>
      <c r="D1642" t="s">
        <v>27</v>
      </c>
      <c r="E1642">
        <f>SUMIF(数据源!R3306:R11872,C1642,数据源!M3306:M11872)</f>
        <v>0</v>
      </c>
    </row>
    <row r="1643" spans="2:5">
      <c r="B1643" t="s">
        <v>2689</v>
      </c>
      <c r="D1643" t="s">
        <v>25</v>
      </c>
      <c r="E1643">
        <f>SUMIF(数据源!R16:R8582,C1643,数据源!M16:M8582)</f>
        <v>0</v>
      </c>
    </row>
    <row r="1644" spans="2:5">
      <c r="B1644" t="s">
        <v>2696</v>
      </c>
      <c r="D1644" t="s">
        <v>27</v>
      </c>
      <c r="E1644">
        <f>SUMIF(数据源!R2700:R11266,C1644,数据源!M2700:M11266)</f>
        <v>0</v>
      </c>
    </row>
    <row r="1645" spans="2:5">
      <c r="B1645" t="s">
        <v>2698</v>
      </c>
      <c r="D1645" t="s">
        <v>27</v>
      </c>
      <c r="E1645">
        <f>SUMIF(数据源!R3200:R11766,C1645,数据源!M3200:M11766)</f>
        <v>0</v>
      </c>
    </row>
    <row r="1646" spans="2:5">
      <c r="B1646" t="s">
        <v>2685</v>
      </c>
      <c r="D1646" t="s">
        <v>25</v>
      </c>
      <c r="E1646">
        <f>SUMIF(数据源!R380:R8946,C1646,数据源!M380:M8946)</f>
        <v>0</v>
      </c>
    </row>
    <row r="1647" spans="2:5">
      <c r="B1647" t="s">
        <v>2688</v>
      </c>
      <c r="D1647" t="s">
        <v>25</v>
      </c>
      <c r="E1647">
        <f>SUMIF(数据源!R954:R9520,C1647,数据源!M954:M9520)</f>
        <v>0</v>
      </c>
    </row>
    <row r="1648" spans="2:5">
      <c r="B1648" t="s">
        <v>2694</v>
      </c>
      <c r="D1648" t="s">
        <v>25</v>
      </c>
      <c r="E1648">
        <f>SUMIF(数据源!R1748:R10314,C1648,数据源!M1748:M10314)</f>
        <v>0</v>
      </c>
    </row>
    <row r="1649" spans="2:5">
      <c r="B1649" t="s">
        <v>2694</v>
      </c>
      <c r="D1649" t="s">
        <v>25</v>
      </c>
      <c r="E1649">
        <f>SUMIF(数据源!R1831:R10397,C1649,数据源!M1831:M10397)</f>
        <v>0</v>
      </c>
    </row>
    <row r="1650" spans="2:5">
      <c r="B1650" t="s">
        <v>2697</v>
      </c>
      <c r="D1650" t="s">
        <v>26</v>
      </c>
      <c r="E1650">
        <f>SUMIF(数据源!R2362:R10928,C1650,数据源!M2362:M10928)</f>
        <v>0</v>
      </c>
    </row>
    <row r="1651" spans="2:5">
      <c r="B1651" t="s">
        <v>2696</v>
      </c>
      <c r="D1651" t="s">
        <v>27</v>
      </c>
      <c r="E1651">
        <f>SUMIF(数据源!R2579:R11145,C1651,数据源!M2579:M11145)</f>
        <v>0</v>
      </c>
    </row>
    <row r="1652" spans="2:5">
      <c r="B1652" t="s">
        <v>2691</v>
      </c>
      <c r="D1652" t="s">
        <v>26</v>
      </c>
      <c r="E1652">
        <f>SUMIF(数据源!R1985:R10551,C1652,数据源!M1985:M10551)</f>
        <v>0</v>
      </c>
    </row>
    <row r="1653" spans="2:5">
      <c r="B1653" t="s">
        <v>2698</v>
      </c>
      <c r="D1653" t="s">
        <v>27</v>
      </c>
      <c r="E1653">
        <f>SUMIF(数据源!R3315:R11881,C1653,数据源!M3315:M11881)</f>
        <v>0</v>
      </c>
    </row>
    <row r="1654" spans="2:5">
      <c r="B1654" t="s">
        <v>2689</v>
      </c>
      <c r="D1654" t="s">
        <v>25</v>
      </c>
      <c r="E1654">
        <f>SUMIF(数据源!R123:R8689,C1654,数据源!M123:M8689)</f>
        <v>0</v>
      </c>
    </row>
    <row r="1655" spans="2:5">
      <c r="B1655" t="s">
        <v>2686</v>
      </c>
      <c r="D1655" t="s">
        <v>27</v>
      </c>
      <c r="E1655">
        <f>SUMIF(数据源!R2983:R11549,C1655,数据源!M2983:M11549)</f>
        <v>0</v>
      </c>
    </row>
    <row r="1656" spans="2:5">
      <c r="B1656" t="s">
        <v>2695</v>
      </c>
      <c r="D1656" t="s">
        <v>26</v>
      </c>
      <c r="E1656">
        <f>SUMIF(数据源!R1898:R10464,C1656,数据源!M1898:M10464)</f>
        <v>0</v>
      </c>
    </row>
    <row r="1657" spans="2:5">
      <c r="B1657" t="s">
        <v>2691</v>
      </c>
      <c r="D1657" t="s">
        <v>26</v>
      </c>
      <c r="E1657">
        <f>SUMIF(数据源!R2031:R10597,C1657,数据源!M2031:M10597)</f>
        <v>0</v>
      </c>
    </row>
    <row r="1658" spans="2:5">
      <c r="B1658" t="s">
        <v>2699</v>
      </c>
      <c r="D1658" t="s">
        <v>26</v>
      </c>
      <c r="E1658">
        <f>SUMIF(数据源!R2508:R11074,C1658,数据源!M2508:M11074)</f>
        <v>0</v>
      </c>
    </row>
    <row r="1659" spans="2:5">
      <c r="B1659" t="s">
        <v>2697</v>
      </c>
      <c r="D1659" t="s">
        <v>26</v>
      </c>
      <c r="E1659">
        <f>SUMIF(数据源!R2156:R10722,C1659,数据源!M2156:M10722)</f>
        <v>0</v>
      </c>
    </row>
    <row r="1660" spans="2:5">
      <c r="B1660" t="s">
        <v>2685</v>
      </c>
      <c r="D1660" t="s">
        <v>25</v>
      </c>
      <c r="E1660">
        <f>SUMIF(数据源!R280:R8846,C1660,数据源!M280:M8846)</f>
        <v>0</v>
      </c>
    </row>
    <row r="1661" spans="2:5">
      <c r="B1661" t="s">
        <v>2692</v>
      </c>
      <c r="D1661" t="s">
        <v>25</v>
      </c>
      <c r="E1661">
        <f>SUMIF(数据源!R564:R9130,C1661,数据源!M564:M9130)</f>
        <v>0</v>
      </c>
    </row>
    <row r="1662" spans="2:5">
      <c r="B1662" t="s">
        <v>2695</v>
      </c>
      <c r="D1662" t="s">
        <v>26</v>
      </c>
      <c r="E1662">
        <f>SUMIF(数据源!R1859:R10425,C1662,数据源!M1859:M10425)</f>
        <v>0</v>
      </c>
    </row>
    <row r="1663" spans="2:5">
      <c r="B1663" t="s">
        <v>2686</v>
      </c>
      <c r="D1663" t="s">
        <v>27</v>
      </c>
      <c r="E1663">
        <f>SUMIF(数据源!R2941:R11507,C1663,数据源!M2941:M11507)</f>
        <v>0</v>
      </c>
    </row>
    <row r="1664" spans="2:5">
      <c r="B1664" t="s">
        <v>2691</v>
      </c>
      <c r="D1664" t="s">
        <v>26</v>
      </c>
      <c r="E1664">
        <f>SUMIF(数据源!R1989:R10555,C1664,数据源!M1989:M10555)</f>
        <v>0</v>
      </c>
    </row>
    <row r="1665" spans="2:5">
      <c r="B1665" t="s">
        <v>2685</v>
      </c>
      <c r="D1665" t="s">
        <v>25</v>
      </c>
      <c r="E1665">
        <f>SUMIF(数据源!R222:R8788,C1665,数据源!M222:M8788)</f>
        <v>0</v>
      </c>
    </row>
    <row r="1666" spans="2:5">
      <c r="B1666" t="s">
        <v>2699</v>
      </c>
      <c r="D1666" t="s">
        <v>26</v>
      </c>
      <c r="E1666">
        <f>SUMIF(数据源!R2468:R11034,C1666,数据源!M2468:M11034)</f>
        <v>0</v>
      </c>
    </row>
    <row r="1667" spans="2:5">
      <c r="B1667" t="s">
        <v>2685</v>
      </c>
      <c r="D1667" t="s">
        <v>25</v>
      </c>
      <c r="E1667">
        <f>SUMIF(数据源!R245:R8811,C1667,数据源!M245:M8811)</f>
        <v>0</v>
      </c>
    </row>
    <row r="1668" spans="2:5">
      <c r="B1668" t="s">
        <v>2688</v>
      </c>
      <c r="D1668" t="s">
        <v>25</v>
      </c>
      <c r="E1668">
        <f>SUMIF(数据源!R825:R9391,C1668,数据源!M825:M9391)</f>
        <v>0</v>
      </c>
    </row>
    <row r="1669" spans="2:5">
      <c r="B1669" t="s">
        <v>2696</v>
      </c>
      <c r="D1669" t="s">
        <v>27</v>
      </c>
      <c r="E1669">
        <f>SUMIF(数据源!R2780:R11346,C1669,数据源!M2780:M11346)</f>
        <v>0</v>
      </c>
    </row>
    <row r="1670" spans="2:5">
      <c r="B1670" t="s">
        <v>2698</v>
      </c>
      <c r="D1670" t="s">
        <v>27</v>
      </c>
      <c r="E1670">
        <f>SUMIF(数据源!R3268:R11834,C1670,数据源!M3268:M11834)</f>
        <v>0</v>
      </c>
    </row>
    <row r="1671" spans="2:5">
      <c r="B1671" t="s">
        <v>2698</v>
      </c>
      <c r="D1671" t="s">
        <v>27</v>
      </c>
      <c r="E1671">
        <f>SUMIF(数据源!R3246:R11812,C1671,数据源!M3246:M11812)</f>
        <v>0</v>
      </c>
    </row>
    <row r="1672" spans="2:5">
      <c r="B1672" t="s">
        <v>2697</v>
      </c>
      <c r="D1672" t="s">
        <v>26</v>
      </c>
      <c r="E1672">
        <f>SUMIF(数据源!R2326:R10892,C1672,数据源!M2326:M10892)</f>
        <v>0</v>
      </c>
    </row>
    <row r="1673" spans="2:5">
      <c r="B1673" t="s">
        <v>2694</v>
      </c>
      <c r="D1673" t="s">
        <v>25</v>
      </c>
      <c r="E1673">
        <f>SUMIF(数据源!R1795:R10361,C1673,数据源!M1795:M10361)</f>
        <v>0</v>
      </c>
    </row>
    <row r="1674" spans="2:5">
      <c r="B1674" t="s">
        <v>2685</v>
      </c>
      <c r="D1674" t="s">
        <v>25</v>
      </c>
      <c r="E1674">
        <f>SUMIF(数据源!R338:R8904,C1674,数据源!M338:M8904)</f>
        <v>0</v>
      </c>
    </row>
    <row r="1675" spans="2:5">
      <c r="B1675" t="s">
        <v>2697</v>
      </c>
      <c r="D1675" t="s">
        <v>26</v>
      </c>
      <c r="E1675">
        <f>SUMIF(数据源!R2283:R10849,C1675,数据源!M2283:M10849)</f>
        <v>0</v>
      </c>
    </row>
    <row r="1676" spans="2:5">
      <c r="B1676" t="s">
        <v>2698</v>
      </c>
      <c r="D1676" t="s">
        <v>27</v>
      </c>
      <c r="E1676">
        <f>SUMIF(数据源!R3079:R11645,C1676,数据源!M3079:M11645)</f>
        <v>0</v>
      </c>
    </row>
    <row r="1677" spans="2:5">
      <c r="B1677" t="s">
        <v>2690</v>
      </c>
      <c r="D1677" t="s">
        <v>25</v>
      </c>
      <c r="E1677">
        <f>SUMIF(数据源!R1349:R9915,C1677,数据源!M1349:M9915)</f>
        <v>0</v>
      </c>
    </row>
    <row r="1678" spans="2:5">
      <c r="B1678" t="s">
        <v>2685</v>
      </c>
      <c r="D1678" t="s">
        <v>25</v>
      </c>
      <c r="E1678">
        <f>SUMIF(数据源!R513:R9079,C1678,数据源!M513:M9079)</f>
        <v>0</v>
      </c>
    </row>
    <row r="1679" spans="2:5">
      <c r="B1679" t="s">
        <v>2696</v>
      </c>
      <c r="D1679" t="s">
        <v>27</v>
      </c>
      <c r="E1679">
        <f>SUMIF(数据源!R2654:R11220,C1679,数据源!M2654:M11220)</f>
        <v>0</v>
      </c>
    </row>
    <row r="1680" spans="2:5">
      <c r="B1680" t="s">
        <v>2697</v>
      </c>
      <c r="D1680" t="s">
        <v>26</v>
      </c>
      <c r="E1680">
        <f>SUMIF(数据源!R2248:R10814,C1680,数据源!M2248:M10814)</f>
        <v>0</v>
      </c>
    </row>
    <row r="1681" spans="2:5">
      <c r="B1681" t="s">
        <v>2699</v>
      </c>
      <c r="D1681" t="s">
        <v>26</v>
      </c>
      <c r="E1681">
        <f>SUMIF(数据源!R2485:R11051,C1681,数据源!M2485:M11051)</f>
        <v>0</v>
      </c>
    </row>
    <row r="1682" spans="2:5">
      <c r="B1682" t="s">
        <v>2694</v>
      </c>
      <c r="D1682" t="s">
        <v>25</v>
      </c>
      <c r="E1682">
        <f>SUMIF(数据源!R1730:R10296,C1682,数据源!M1730:M10296)</f>
        <v>0</v>
      </c>
    </row>
    <row r="1683" spans="2:5">
      <c r="B1683" t="s">
        <v>2688</v>
      </c>
      <c r="D1683" t="s">
        <v>25</v>
      </c>
      <c r="E1683">
        <f>SUMIF(数据源!R970:R9536,C1683,数据源!M970:M9536)</f>
        <v>0</v>
      </c>
    </row>
    <row r="1684" spans="2:5">
      <c r="B1684" t="s">
        <v>2694</v>
      </c>
      <c r="D1684" t="s">
        <v>25</v>
      </c>
      <c r="E1684">
        <f>SUMIF(数据源!R1825:R10391,C1684,数据源!M1825:M10391)</f>
        <v>0</v>
      </c>
    </row>
    <row r="1685" spans="2:5">
      <c r="B1685" t="s">
        <v>2698</v>
      </c>
      <c r="D1685" t="s">
        <v>27</v>
      </c>
      <c r="E1685">
        <f>SUMIF(数据源!R3130:R11696,C1685,数据源!M3130:M11696)</f>
        <v>0</v>
      </c>
    </row>
    <row r="1686" spans="2:5">
      <c r="B1686" t="s">
        <v>2687</v>
      </c>
      <c r="D1686" t="s">
        <v>25</v>
      </c>
      <c r="E1686">
        <f>SUMIF(数据源!R658:R9224,C1686,数据源!M658:M9224)</f>
        <v>0</v>
      </c>
    </row>
    <row r="1687" spans="2:5">
      <c r="B1687" t="s">
        <v>2691</v>
      </c>
      <c r="D1687" t="s">
        <v>26</v>
      </c>
      <c r="E1687">
        <f>SUMIF(数据源!R1939:R10505,C1687,数据源!M1939:M10505)</f>
        <v>0</v>
      </c>
    </row>
    <row r="1688" spans="2:5">
      <c r="B1688" t="s">
        <v>2685</v>
      </c>
      <c r="D1688" t="s">
        <v>25</v>
      </c>
      <c r="E1688">
        <f>SUMIF(数据源!R202:R8768,C1688,数据源!M202:M8768)</f>
        <v>0</v>
      </c>
    </row>
    <row r="1689" spans="2:5">
      <c r="B1689" t="s">
        <v>2696</v>
      </c>
      <c r="D1689" t="s">
        <v>27</v>
      </c>
      <c r="E1689">
        <f>SUMIF(数据源!R2631:R11197,C1689,数据源!M2631:M11197)</f>
        <v>0</v>
      </c>
    </row>
    <row r="1690" spans="2:5">
      <c r="B1690" t="s">
        <v>2691</v>
      </c>
      <c r="D1690" t="s">
        <v>26</v>
      </c>
      <c r="E1690">
        <f>SUMIF(数据源!R1967:R10533,C1690,数据源!M1967:M10533)</f>
        <v>0</v>
      </c>
    </row>
    <row r="1691" spans="2:5">
      <c r="B1691" t="s">
        <v>2697</v>
      </c>
      <c r="D1691" t="s">
        <v>26</v>
      </c>
      <c r="E1691">
        <f>SUMIF(数据源!R2214:R10780,C1691,数据源!M2214:M10780)</f>
        <v>0</v>
      </c>
    </row>
    <row r="1692" spans="2:5">
      <c r="B1692" t="s">
        <v>2689</v>
      </c>
      <c r="D1692" t="s">
        <v>25</v>
      </c>
      <c r="E1692">
        <f>SUMIF(数据源!R125:R8691,C1692,数据源!M125:M8691)</f>
        <v>0</v>
      </c>
    </row>
    <row r="1693" spans="2:5">
      <c r="B1693" t="s">
        <v>2698</v>
      </c>
      <c r="D1693" t="s">
        <v>27</v>
      </c>
      <c r="E1693">
        <f>SUMIF(数据源!R3283:R11849,C1693,数据源!M3283:M11849)</f>
        <v>0</v>
      </c>
    </row>
    <row r="1694" spans="2:5">
      <c r="B1694" t="s">
        <v>2688</v>
      </c>
      <c r="D1694" t="s">
        <v>25</v>
      </c>
      <c r="E1694">
        <f>SUMIF(数据源!R832:R9398,C1694,数据源!M832:M9398)</f>
        <v>0</v>
      </c>
    </row>
    <row r="1695" spans="2:5">
      <c r="B1695" t="s">
        <v>2698</v>
      </c>
      <c r="D1695" t="s">
        <v>27</v>
      </c>
      <c r="E1695">
        <f>SUMIF(数据源!R3054:R11620,C1695,数据源!M3054:M11620)</f>
        <v>0</v>
      </c>
    </row>
    <row r="1696" spans="2:5">
      <c r="B1696" t="s">
        <v>2689</v>
      </c>
      <c r="D1696" t="s">
        <v>25</v>
      </c>
      <c r="E1696">
        <f>SUMIF(数据源!R15:R8581,C1696,数据源!M15:M8581)</f>
        <v>0</v>
      </c>
    </row>
    <row r="1697" spans="2:5">
      <c r="B1697" t="s">
        <v>2685</v>
      </c>
      <c r="D1697" t="s">
        <v>25</v>
      </c>
      <c r="E1697">
        <f>SUMIF(数据源!R191:R8757,C1697,数据源!M191:M8757)</f>
        <v>0</v>
      </c>
    </row>
    <row r="1698" spans="2:5">
      <c r="B1698" t="s">
        <v>2698</v>
      </c>
      <c r="D1698" t="s">
        <v>27</v>
      </c>
      <c r="E1698">
        <f>SUMIF(数据源!R3148:R11714,C1698,数据源!M3148:M11714)</f>
        <v>0</v>
      </c>
    </row>
    <row r="1699" spans="2:5">
      <c r="B1699" t="s">
        <v>2688</v>
      </c>
      <c r="D1699" t="s">
        <v>25</v>
      </c>
      <c r="E1699">
        <f>SUMIF(数据源!R1074:R9640,C1699,数据源!M1074:M9640)</f>
        <v>0</v>
      </c>
    </row>
    <row r="1700" spans="2:5">
      <c r="B1700" t="s">
        <v>2694</v>
      </c>
      <c r="D1700" t="s">
        <v>25</v>
      </c>
      <c r="E1700">
        <f>SUMIF(数据源!R1689:R10255,C1700,数据源!M1689:M10255)</f>
        <v>0</v>
      </c>
    </row>
    <row r="1701" spans="2:5">
      <c r="B1701" t="s">
        <v>2700</v>
      </c>
      <c r="D1701" t="s">
        <v>25</v>
      </c>
      <c r="E1701">
        <f>SUMIF(数据源!R1518:R10084,C1701,数据源!M1518:M10084)</f>
        <v>0</v>
      </c>
    </row>
    <row r="1702" spans="2:5">
      <c r="B1702" t="s">
        <v>2696</v>
      </c>
      <c r="D1702" t="s">
        <v>27</v>
      </c>
      <c r="E1702">
        <f>SUMIF(数据源!R2698:R11264,C1702,数据源!M2698:M11264)</f>
        <v>0</v>
      </c>
    </row>
    <row r="1703" spans="2:5">
      <c r="B1703" t="s">
        <v>2697</v>
      </c>
      <c r="D1703" t="s">
        <v>26</v>
      </c>
      <c r="E1703">
        <f>SUMIF(数据源!R2219:R10785,C1703,数据源!M2219:M10785)</f>
        <v>0</v>
      </c>
    </row>
    <row r="1704" spans="2:5">
      <c r="B1704" t="s">
        <v>2697</v>
      </c>
      <c r="D1704" t="s">
        <v>26</v>
      </c>
      <c r="E1704">
        <f>SUMIF(数据源!R2354:R10920,C1704,数据源!M2354:M10920)</f>
        <v>0</v>
      </c>
    </row>
    <row r="1705" spans="2:5">
      <c r="B1705" t="s">
        <v>2698</v>
      </c>
      <c r="D1705" t="s">
        <v>27</v>
      </c>
      <c r="E1705">
        <f>SUMIF(数据源!R3194:R11760,C1705,数据源!M3194:M11760)</f>
        <v>0</v>
      </c>
    </row>
    <row r="1706" spans="2:5">
      <c r="B1706" t="s">
        <v>2698</v>
      </c>
      <c r="D1706" t="s">
        <v>27</v>
      </c>
      <c r="E1706">
        <f>SUMIF(数据源!R3188:R11754,C1706,数据源!M3188:M11754)</f>
        <v>0</v>
      </c>
    </row>
    <row r="1707" spans="2:5">
      <c r="B1707" t="s">
        <v>2697</v>
      </c>
      <c r="D1707" t="s">
        <v>26</v>
      </c>
      <c r="E1707">
        <f>SUMIF(数据源!R2124:R10690,C1707,数据源!M2124:M10690)</f>
        <v>0</v>
      </c>
    </row>
    <row r="1708" spans="2:5">
      <c r="B1708" t="s">
        <v>2692</v>
      </c>
      <c r="D1708" t="s">
        <v>25</v>
      </c>
      <c r="E1708">
        <f>SUMIF(数据源!R550:R9116,C1708,数据源!M550:M9116)</f>
        <v>0</v>
      </c>
    </row>
    <row r="1709" spans="2:5">
      <c r="B1709" t="s">
        <v>2688</v>
      </c>
      <c r="D1709" t="s">
        <v>25</v>
      </c>
      <c r="E1709">
        <f>SUMIF(数据源!R797:R9363,C1709,数据源!M797:M9363)</f>
        <v>0</v>
      </c>
    </row>
    <row r="1710" spans="2:5">
      <c r="B1710" t="s">
        <v>2694</v>
      </c>
      <c r="D1710" t="s">
        <v>25</v>
      </c>
      <c r="E1710">
        <f>SUMIF(数据源!R1707:R10273,C1710,数据源!M1707:M10273)</f>
        <v>0</v>
      </c>
    </row>
    <row r="1711" spans="2:5">
      <c r="B1711" t="s">
        <v>2694</v>
      </c>
      <c r="D1711" t="s">
        <v>25</v>
      </c>
      <c r="E1711">
        <f>SUMIF(数据源!R1807:R10373,C1711,数据源!M1807:M10373)</f>
        <v>0</v>
      </c>
    </row>
    <row r="1712" spans="2:5">
      <c r="B1712" t="s">
        <v>2688</v>
      </c>
      <c r="D1712" t="s">
        <v>25</v>
      </c>
      <c r="E1712">
        <f>SUMIF(数据源!R753:R9319,C1712,数据源!M753:M9319)</f>
        <v>0</v>
      </c>
    </row>
    <row r="1713" spans="2:5">
      <c r="B1713" t="s">
        <v>2694</v>
      </c>
      <c r="D1713" t="s">
        <v>25</v>
      </c>
      <c r="E1713">
        <f>SUMIF(数据源!R1632:R10198,C1713,数据源!M1632:M10198)</f>
        <v>0</v>
      </c>
    </row>
    <row r="1714" spans="2:5">
      <c r="B1714" t="s">
        <v>2699</v>
      </c>
      <c r="D1714" t="s">
        <v>26</v>
      </c>
      <c r="E1714">
        <f>SUMIF(数据源!R2421:R10987,C1714,数据源!M2421:M10987)</f>
        <v>0</v>
      </c>
    </row>
    <row r="1715" spans="2:5">
      <c r="B1715" t="s">
        <v>2698</v>
      </c>
      <c r="D1715" t="s">
        <v>27</v>
      </c>
      <c r="E1715">
        <f>SUMIF(数据源!R3184:R11750,C1715,数据源!M3184:M11750)</f>
        <v>0</v>
      </c>
    </row>
    <row r="1716" spans="2:5">
      <c r="B1716" t="s">
        <v>2688</v>
      </c>
      <c r="D1716" t="s">
        <v>25</v>
      </c>
      <c r="E1716">
        <f>SUMIF(数据源!R944:R9510,C1716,数据源!M944:M9510)</f>
        <v>0</v>
      </c>
    </row>
    <row r="1717" spans="2:5">
      <c r="B1717" t="s">
        <v>2689</v>
      </c>
      <c r="D1717" t="s">
        <v>25</v>
      </c>
      <c r="E1717">
        <f>SUMIF(数据源!R47:R8613,C1717,数据源!M47:M8613)</f>
        <v>0</v>
      </c>
    </row>
    <row r="1718" spans="2:5">
      <c r="B1718" t="s">
        <v>2685</v>
      </c>
      <c r="D1718" t="s">
        <v>25</v>
      </c>
      <c r="E1718">
        <f>SUMIF(数据源!R211:R8777,C1718,数据源!M211:M8777)</f>
        <v>0</v>
      </c>
    </row>
    <row r="1719" spans="2:5">
      <c r="B1719" t="s">
        <v>2693</v>
      </c>
      <c r="D1719" t="s">
        <v>27</v>
      </c>
      <c r="E1719">
        <f>SUMIF(数据源!R2852:R11418,C1719,数据源!M2852:M11418)</f>
        <v>0</v>
      </c>
    </row>
    <row r="1720" spans="2:5">
      <c r="B1720" t="s">
        <v>2691</v>
      </c>
      <c r="D1720" t="s">
        <v>26</v>
      </c>
      <c r="E1720">
        <f>SUMIF(数据源!R2008:R10574,C1720,数据源!M2008:M10574)</f>
        <v>0</v>
      </c>
    </row>
    <row r="1721" spans="2:5">
      <c r="B1721" t="s">
        <v>2689</v>
      </c>
      <c r="D1721" t="s">
        <v>25</v>
      </c>
      <c r="E1721">
        <f>SUMIF(数据源!R4:R8570,C1721,数据源!M4:M8570)</f>
        <v>0</v>
      </c>
    </row>
    <row r="1722" spans="2:5">
      <c r="B1722" t="s">
        <v>2685</v>
      </c>
      <c r="D1722" t="s">
        <v>25</v>
      </c>
      <c r="E1722">
        <f>SUMIF(数据源!R178:R8744,C1722,数据源!M178:M8744)</f>
        <v>0</v>
      </c>
    </row>
    <row r="1723" spans="2:5">
      <c r="B1723" t="s">
        <v>2690</v>
      </c>
      <c r="D1723" t="s">
        <v>25</v>
      </c>
      <c r="E1723">
        <f>SUMIF(数据源!R1225:R9791,C1723,数据源!M1225:M9791)</f>
        <v>0</v>
      </c>
    </row>
    <row r="1724" spans="2:5">
      <c r="B1724" t="s">
        <v>2685</v>
      </c>
      <c r="D1724" t="s">
        <v>25</v>
      </c>
      <c r="E1724">
        <f>SUMIF(数据源!R198:R8764,C1724,数据源!M198:M8764)</f>
        <v>0</v>
      </c>
    </row>
    <row r="1725" spans="2:5">
      <c r="B1725" t="s">
        <v>2697</v>
      </c>
      <c r="D1725" t="s">
        <v>26</v>
      </c>
      <c r="E1725">
        <f>SUMIF(数据源!R2131:R10697,C1725,数据源!M2131:M10697)</f>
        <v>0</v>
      </c>
    </row>
    <row r="1726" spans="2:5">
      <c r="B1726" t="s">
        <v>2688</v>
      </c>
      <c r="D1726" t="s">
        <v>25</v>
      </c>
      <c r="E1726">
        <f>SUMIF(数据源!R752:R9318,C1726,数据源!M752:M9318)</f>
        <v>0</v>
      </c>
    </row>
    <row r="1727" spans="2:5">
      <c r="B1727" t="s">
        <v>2696</v>
      </c>
      <c r="D1727" t="s">
        <v>27</v>
      </c>
      <c r="E1727">
        <f>SUMIF(数据源!R2796:R11362,C1727,数据源!M2796:M11362)</f>
        <v>0</v>
      </c>
    </row>
    <row r="1728" spans="2:5">
      <c r="B1728" t="s">
        <v>2688</v>
      </c>
      <c r="D1728" t="s">
        <v>25</v>
      </c>
      <c r="E1728">
        <f>SUMIF(数据源!R1113:R9679,C1728,数据源!M1113:M9679)</f>
        <v>0</v>
      </c>
    </row>
    <row r="1729" spans="2:5">
      <c r="B1729" t="s">
        <v>2691</v>
      </c>
      <c r="D1729" t="s">
        <v>26</v>
      </c>
      <c r="E1729">
        <f>SUMIF(数据源!R2044:R10610,C1729,数据源!M2044:M10610)</f>
        <v>0</v>
      </c>
    </row>
    <row r="1730" spans="2:5">
      <c r="B1730" t="s">
        <v>2697</v>
      </c>
      <c r="D1730" t="s">
        <v>26</v>
      </c>
      <c r="E1730">
        <f>SUMIF(数据源!R2308:R10874,C1730,数据源!M2308:M10874)</f>
        <v>0</v>
      </c>
    </row>
    <row r="1731" spans="2:5">
      <c r="B1731" t="s">
        <v>2692</v>
      </c>
      <c r="D1731" t="s">
        <v>25</v>
      </c>
      <c r="E1731">
        <f>SUMIF(数据源!R601:R9167,C1731,数据源!M601:M9167)</f>
        <v>0</v>
      </c>
    </row>
    <row r="1732" spans="2:5">
      <c r="B1732" t="s">
        <v>2688</v>
      </c>
      <c r="D1732" t="s">
        <v>25</v>
      </c>
      <c r="E1732">
        <f>SUMIF(数据源!R999:R9565,C1732,数据源!M999:M9565)</f>
        <v>0</v>
      </c>
    </row>
    <row r="1733" spans="2:5">
      <c r="B1733" t="s">
        <v>2690</v>
      </c>
      <c r="D1733" t="s">
        <v>25</v>
      </c>
      <c r="E1733">
        <f>SUMIF(数据源!R1224:R9790,C1733,数据源!M1224:M9790)</f>
        <v>0</v>
      </c>
    </row>
    <row r="1734" spans="2:5">
      <c r="B1734" t="s">
        <v>2686</v>
      </c>
      <c r="D1734" t="s">
        <v>27</v>
      </c>
      <c r="E1734">
        <f>SUMIF(数据源!R2896:R11462,C1734,数据源!M2896:M11462)</f>
        <v>0</v>
      </c>
    </row>
    <row r="1735" spans="2:5">
      <c r="B1735" t="s">
        <v>2696</v>
      </c>
      <c r="D1735" t="s">
        <v>27</v>
      </c>
      <c r="E1735">
        <f>SUMIF(数据源!R2721:R11287,C1735,数据源!M2721:M11287)</f>
        <v>0</v>
      </c>
    </row>
    <row r="1736" spans="2:5">
      <c r="B1736" t="s">
        <v>2698</v>
      </c>
      <c r="D1736" t="s">
        <v>27</v>
      </c>
      <c r="E1736">
        <f>SUMIF(数据源!R3215:R11781,C1736,数据源!M3215:M11781)</f>
        <v>0</v>
      </c>
    </row>
    <row r="1737" spans="2:5">
      <c r="B1737" t="s">
        <v>2686</v>
      </c>
      <c r="D1737" t="s">
        <v>27</v>
      </c>
      <c r="E1737">
        <f>SUMIF(数据源!R2938:R11504,C1737,数据源!M2938:M11504)</f>
        <v>0</v>
      </c>
    </row>
    <row r="1738" spans="2:5">
      <c r="B1738" t="s">
        <v>2700</v>
      </c>
      <c r="D1738" t="s">
        <v>25</v>
      </c>
      <c r="E1738">
        <f>SUMIF(数据源!R1519:R10085,C1738,数据源!M1519:M10085)</f>
        <v>0</v>
      </c>
    </row>
    <row r="1739" spans="2:5">
      <c r="B1739" t="s">
        <v>2696</v>
      </c>
      <c r="D1739" t="s">
        <v>27</v>
      </c>
      <c r="E1739">
        <f>SUMIF(数据源!R2564:R11130,C1739,数据源!M2564:M11130)</f>
        <v>0</v>
      </c>
    </row>
    <row r="1740" spans="2:5">
      <c r="B1740" t="s">
        <v>2696</v>
      </c>
      <c r="D1740" t="s">
        <v>27</v>
      </c>
      <c r="E1740">
        <f>SUMIF(数据源!R2563:R11129,C1740,数据源!M2563:M11129)</f>
        <v>0</v>
      </c>
    </row>
    <row r="1741" spans="2:5">
      <c r="B1741" t="s">
        <v>2698</v>
      </c>
      <c r="D1741" t="s">
        <v>27</v>
      </c>
      <c r="E1741">
        <f>SUMIF(数据源!R3011:R11577,C1741,数据源!M3011:M11577)</f>
        <v>0</v>
      </c>
    </row>
    <row r="1742" spans="2:5">
      <c r="B1742" t="s">
        <v>2697</v>
      </c>
      <c r="D1742" t="s">
        <v>26</v>
      </c>
      <c r="E1742">
        <f>SUMIF(数据源!R2091:R10657,C1742,数据源!M2091:M10657)</f>
        <v>0</v>
      </c>
    </row>
    <row r="1743" spans="2:5">
      <c r="B1743" t="s">
        <v>2690</v>
      </c>
      <c r="D1743" t="s">
        <v>25</v>
      </c>
      <c r="E1743">
        <f>SUMIF(数据源!R1397:R9963,C1743,数据源!M1397:M9963)</f>
        <v>0</v>
      </c>
    </row>
    <row r="1744" spans="2:5">
      <c r="B1744" t="s">
        <v>2694</v>
      </c>
      <c r="D1744" t="s">
        <v>25</v>
      </c>
      <c r="E1744">
        <f>SUMIF(数据源!R1773:R10339,C1744,数据源!M1773:M10339)</f>
        <v>0</v>
      </c>
    </row>
    <row r="1745" spans="2:5">
      <c r="B1745" t="s">
        <v>2696</v>
      </c>
      <c r="D1745" t="s">
        <v>27</v>
      </c>
      <c r="E1745">
        <f>SUMIF(数据源!R2771:R11337,C1745,数据源!M2771:M11337)</f>
        <v>0</v>
      </c>
    </row>
    <row r="1746" spans="2:5">
      <c r="B1746" t="s">
        <v>2698</v>
      </c>
      <c r="D1746" t="s">
        <v>27</v>
      </c>
      <c r="E1746">
        <f>SUMIF(数据源!R3255:R11821,C1746,数据源!M3255:M11821)</f>
        <v>0</v>
      </c>
    </row>
    <row r="1747" spans="2:5">
      <c r="B1747" t="s">
        <v>2696</v>
      </c>
      <c r="D1747" t="s">
        <v>27</v>
      </c>
      <c r="E1747">
        <f>SUMIF(数据源!R2593:R11159,C1747,数据源!M2593:M11159)</f>
        <v>0</v>
      </c>
    </row>
    <row r="1748" spans="2:5">
      <c r="B1748" t="s">
        <v>2699</v>
      </c>
      <c r="D1748" t="s">
        <v>26</v>
      </c>
      <c r="E1748">
        <f>SUMIF(数据源!R2436:R11002,C1748,数据源!M2436:M11002)</f>
        <v>0</v>
      </c>
    </row>
    <row r="1749" spans="2:5">
      <c r="B1749" t="s">
        <v>2696</v>
      </c>
      <c r="D1749" t="s">
        <v>27</v>
      </c>
      <c r="E1749">
        <f>SUMIF(数据源!R2815:R11381,C1749,数据源!M2815:M11381)</f>
        <v>0</v>
      </c>
    </row>
    <row r="1750" spans="2:5">
      <c r="B1750" t="s">
        <v>2698</v>
      </c>
      <c r="D1750" t="s">
        <v>27</v>
      </c>
      <c r="E1750">
        <f>SUMIF(数据源!R3312:R11878,C1750,数据源!M3312:M11878)</f>
        <v>0</v>
      </c>
    </row>
    <row r="1751" spans="2:5">
      <c r="B1751" t="s">
        <v>2699</v>
      </c>
      <c r="D1751" t="s">
        <v>26</v>
      </c>
      <c r="E1751">
        <f>SUMIF(数据源!R2511:R11077,C1751,数据源!M2511:M11077)</f>
        <v>0</v>
      </c>
    </row>
    <row r="1752" spans="2:5">
      <c r="B1752" t="s">
        <v>2692</v>
      </c>
      <c r="D1752" t="s">
        <v>25</v>
      </c>
      <c r="E1752">
        <f>SUMIF(数据源!R546:R9112,C1752,数据源!M546:M9112)</f>
        <v>0</v>
      </c>
    </row>
    <row r="1753" spans="2:5">
      <c r="B1753" t="s">
        <v>2687</v>
      </c>
      <c r="D1753" t="s">
        <v>25</v>
      </c>
      <c r="E1753">
        <f>SUMIF(数据源!R678:R9244,C1753,数据源!M678:M9244)</f>
        <v>0</v>
      </c>
    </row>
    <row r="1754" spans="2:5">
      <c r="B1754" t="s">
        <v>2689</v>
      </c>
      <c r="D1754" t="s">
        <v>25</v>
      </c>
      <c r="E1754">
        <f>SUMIF(数据源!R101:R8667,C1754,数据源!M101:M8667)</f>
        <v>0</v>
      </c>
    </row>
    <row r="1755" spans="2:5">
      <c r="B1755" t="s">
        <v>2696</v>
      </c>
      <c r="D1755" t="s">
        <v>27</v>
      </c>
      <c r="E1755">
        <f>SUMIF(数据源!R2711:R11277,C1755,数据源!M2711:M11277)</f>
        <v>0</v>
      </c>
    </row>
    <row r="1756" spans="2:5">
      <c r="B1756" t="s">
        <v>2697</v>
      </c>
      <c r="D1756" t="s">
        <v>26</v>
      </c>
      <c r="E1756">
        <f>SUMIF(数据源!R2281:R10847,C1756,数据源!M2281:M10847)</f>
        <v>0</v>
      </c>
    </row>
    <row r="1757" spans="2:5">
      <c r="B1757" t="s">
        <v>2699</v>
      </c>
      <c r="D1757" t="s">
        <v>26</v>
      </c>
      <c r="E1757">
        <f>SUMIF(数据源!R2412:R10978,C1757,数据源!M2412:M10978)</f>
        <v>0</v>
      </c>
    </row>
    <row r="1758" spans="2:5">
      <c r="B1758" t="s">
        <v>2690</v>
      </c>
      <c r="D1758" t="s">
        <v>25</v>
      </c>
      <c r="E1758">
        <f>SUMIF(数据源!R1242:R9808,C1758,数据源!M1242:M9808)</f>
        <v>0</v>
      </c>
    </row>
    <row r="1759" spans="2:5">
      <c r="B1759" t="s">
        <v>2694</v>
      </c>
      <c r="D1759" t="s">
        <v>25</v>
      </c>
      <c r="E1759">
        <f>SUMIF(数据源!R1827:R10393,C1759,数据源!M1827:M10393)</f>
        <v>0</v>
      </c>
    </row>
    <row r="1760" spans="2:5">
      <c r="B1760" t="s">
        <v>2685</v>
      </c>
      <c r="D1760" t="s">
        <v>25</v>
      </c>
      <c r="E1760">
        <f>SUMIF(数据源!R357:R8923,C1760,数据源!M357:M8923)</f>
        <v>0</v>
      </c>
    </row>
    <row r="1761" spans="2:5">
      <c r="B1761" t="s">
        <v>2689</v>
      </c>
      <c r="D1761" t="s">
        <v>25</v>
      </c>
      <c r="E1761">
        <f>SUMIF(数据源!R22:R8588,C1761,数据源!M22:M8588)</f>
        <v>0</v>
      </c>
    </row>
    <row r="1762" spans="2:5">
      <c r="B1762" t="s">
        <v>2689</v>
      </c>
      <c r="D1762" t="s">
        <v>25</v>
      </c>
      <c r="E1762">
        <f>SUMIF(数据源!R109:R8675,C1762,数据源!M109:M8675)</f>
        <v>0</v>
      </c>
    </row>
    <row r="1763" spans="2:5">
      <c r="B1763" t="s">
        <v>2698</v>
      </c>
      <c r="D1763" t="s">
        <v>27</v>
      </c>
      <c r="E1763">
        <f>SUMIF(数据源!R3137:R11703,C1763,数据源!M3137:M11703)</f>
        <v>0</v>
      </c>
    </row>
    <row r="1764" spans="2:5">
      <c r="B1764" t="s">
        <v>2698</v>
      </c>
      <c r="D1764" t="s">
        <v>27</v>
      </c>
      <c r="E1764">
        <f>SUMIF(数据源!R3094:R11660,C1764,数据源!M3094:M11660)</f>
        <v>0</v>
      </c>
    </row>
    <row r="1765" spans="2:5">
      <c r="B1765" t="s">
        <v>2700</v>
      </c>
      <c r="D1765" t="s">
        <v>25</v>
      </c>
      <c r="E1765">
        <f>SUMIF(数据源!R1523:R10089,C1765,数据源!M1523:M10089)</f>
        <v>0</v>
      </c>
    </row>
    <row r="1766" spans="2:5">
      <c r="B1766" t="s">
        <v>2689</v>
      </c>
      <c r="D1766" t="s">
        <v>25</v>
      </c>
      <c r="E1766">
        <f>SUMIF(数据源!R126:R8692,C1766,数据源!M126:M8692)</f>
        <v>0</v>
      </c>
    </row>
    <row r="1767" spans="2:5">
      <c r="B1767" t="s">
        <v>2697</v>
      </c>
      <c r="D1767" t="s">
        <v>26</v>
      </c>
      <c r="E1767">
        <f>SUMIF(数据源!R2102:R10668,C1767,数据源!M2102:M10668)</f>
        <v>0</v>
      </c>
    </row>
    <row r="1768" spans="2:5">
      <c r="B1768" t="s">
        <v>2688</v>
      </c>
      <c r="D1768" t="s">
        <v>25</v>
      </c>
      <c r="E1768">
        <f>SUMIF(数据源!R769:R9335,C1768,数据源!M769:M9335)</f>
        <v>0</v>
      </c>
    </row>
    <row r="1769" spans="2:5">
      <c r="B1769" t="s">
        <v>2694</v>
      </c>
      <c r="D1769" t="s">
        <v>25</v>
      </c>
      <c r="E1769">
        <f>SUMIF(数据源!R1638:R10204,C1769,数据源!M1638:M10204)</f>
        <v>0</v>
      </c>
    </row>
    <row r="1770" spans="2:5">
      <c r="B1770" t="s">
        <v>2697</v>
      </c>
      <c r="D1770" t="s">
        <v>26</v>
      </c>
      <c r="E1770">
        <f>SUMIF(数据源!R2204:R10770,C1770,数据源!M2204:M10770)</f>
        <v>0</v>
      </c>
    </row>
    <row r="1771" spans="2:5">
      <c r="B1771" t="s">
        <v>2688</v>
      </c>
      <c r="D1771" t="s">
        <v>25</v>
      </c>
      <c r="E1771">
        <f>SUMIF(数据源!R1219:R9785,C1771,数据源!M1219:M9785)</f>
        <v>0</v>
      </c>
    </row>
    <row r="1772" spans="2:5">
      <c r="B1772" t="s">
        <v>2700</v>
      </c>
      <c r="D1772" t="s">
        <v>25</v>
      </c>
      <c r="E1772">
        <f>SUMIF(数据源!R1501:R10067,C1772,数据源!M1501:M10067)</f>
        <v>0</v>
      </c>
    </row>
    <row r="1773" spans="2:5">
      <c r="B1773" t="s">
        <v>2689</v>
      </c>
      <c r="D1773" t="s">
        <v>25</v>
      </c>
      <c r="E1773">
        <f>SUMIF(数据源!R138:R8704,C1773,数据源!M138:M8704)</f>
        <v>0</v>
      </c>
    </row>
    <row r="1774" spans="2:5">
      <c r="B1774" t="s">
        <v>2688</v>
      </c>
      <c r="D1774" t="s">
        <v>25</v>
      </c>
      <c r="E1774">
        <f>SUMIF(数据源!R984:R9550,C1774,数据源!M984:M9550)</f>
        <v>0</v>
      </c>
    </row>
    <row r="1775" spans="2:5">
      <c r="B1775" t="s">
        <v>2690</v>
      </c>
      <c r="D1775" t="s">
        <v>25</v>
      </c>
      <c r="E1775">
        <f>SUMIF(数据源!R1393:R9959,C1775,数据源!M1393:M9959)</f>
        <v>0</v>
      </c>
    </row>
    <row r="1776" spans="2:5">
      <c r="B1776" t="s">
        <v>2694</v>
      </c>
      <c r="D1776" t="s">
        <v>25</v>
      </c>
      <c r="E1776">
        <f>SUMIF(数据源!R1738:R10304,C1776,数据源!M1738:M10304)</f>
        <v>0</v>
      </c>
    </row>
    <row r="1777" spans="2:5">
      <c r="B1777" t="s">
        <v>2698</v>
      </c>
      <c r="D1777" t="s">
        <v>27</v>
      </c>
      <c r="E1777">
        <f>SUMIF(数据源!R3017:R11583,C1777,数据源!M3017:M11583)</f>
        <v>0</v>
      </c>
    </row>
    <row r="1778" spans="2:5">
      <c r="B1778" t="s">
        <v>2698</v>
      </c>
      <c r="D1778" t="s">
        <v>27</v>
      </c>
      <c r="E1778">
        <f>SUMIF(数据源!R3078:R11644,C1778,数据源!M3078:M11644)</f>
        <v>0</v>
      </c>
    </row>
    <row r="1779" spans="2:5">
      <c r="B1779" t="s">
        <v>2697</v>
      </c>
      <c r="D1779" t="s">
        <v>26</v>
      </c>
      <c r="E1779">
        <f>SUMIF(数据源!R2112:R10678,C1779,数据源!M2112:M10678)</f>
        <v>0</v>
      </c>
    </row>
    <row r="1780" spans="2:5">
      <c r="B1780" t="s">
        <v>2696</v>
      </c>
      <c r="D1780" t="s">
        <v>27</v>
      </c>
      <c r="E1780">
        <f>SUMIF(数据源!R2577:R11143,C1780,数据源!M2577:M11143)</f>
        <v>0</v>
      </c>
    </row>
    <row r="1781" spans="2:5">
      <c r="B1781" t="s">
        <v>2691</v>
      </c>
      <c r="D1781" t="s">
        <v>26</v>
      </c>
      <c r="E1781">
        <f>SUMIF(数据源!R2079:R10645,C1781,数据源!M2079:M10645)</f>
        <v>0</v>
      </c>
    </row>
    <row r="1782" spans="2:5">
      <c r="B1782" t="s">
        <v>2689</v>
      </c>
      <c r="D1782" t="s">
        <v>25</v>
      </c>
      <c r="E1782">
        <f>SUMIF(数据源!R13:R8579,C1782,数据源!M13:M8579)</f>
        <v>0</v>
      </c>
    </row>
    <row r="1783" spans="2:5">
      <c r="B1783" t="s">
        <v>2698</v>
      </c>
      <c r="D1783" t="s">
        <v>27</v>
      </c>
      <c r="E1783">
        <f>SUMIF(数据源!R3029:R11595,C1783,数据源!M3029:M11595)</f>
        <v>0</v>
      </c>
    </row>
    <row r="1784" spans="2:5">
      <c r="B1784" t="s">
        <v>2696</v>
      </c>
      <c r="D1784" t="s">
        <v>27</v>
      </c>
      <c r="E1784">
        <f>SUMIF(数据源!R2787:R11353,C1784,数据源!M2787:M11353)</f>
        <v>0</v>
      </c>
    </row>
    <row r="1785" spans="2:5">
      <c r="B1785" t="s">
        <v>2698</v>
      </c>
      <c r="D1785" t="s">
        <v>27</v>
      </c>
      <c r="E1785">
        <f>SUMIF(数据源!R3214:R11780,C1785,数据源!M3214:M11780)</f>
        <v>0</v>
      </c>
    </row>
    <row r="1786" spans="2:5">
      <c r="B1786" t="s">
        <v>2695</v>
      </c>
      <c r="D1786" t="s">
        <v>26</v>
      </c>
      <c r="E1786">
        <f>SUMIF(数据源!R1897:R10463,C1786,数据源!M1897:M10463)</f>
        <v>0</v>
      </c>
    </row>
    <row r="1787" spans="2:5">
      <c r="B1787" t="s">
        <v>2689</v>
      </c>
      <c r="D1787" t="s">
        <v>25</v>
      </c>
      <c r="E1787">
        <f>SUMIF(数据源!R110:R8676,C1787,数据源!M110:M8676)</f>
        <v>0</v>
      </c>
    </row>
    <row r="1788" spans="2:5">
      <c r="B1788" t="s">
        <v>2687</v>
      </c>
      <c r="D1788" t="s">
        <v>25</v>
      </c>
      <c r="E1788">
        <f>SUMIF(数据源!R709:R9275,C1788,数据源!M709:M9275)</f>
        <v>0</v>
      </c>
    </row>
    <row r="1789" spans="2:5">
      <c r="B1789" t="s">
        <v>2698</v>
      </c>
      <c r="D1789" t="s">
        <v>27</v>
      </c>
      <c r="E1789">
        <f>SUMIF(数据源!R3262:R11828,C1789,数据源!M3262:M11828)</f>
        <v>0</v>
      </c>
    </row>
    <row r="1790" spans="2:5">
      <c r="B1790" t="s">
        <v>2697</v>
      </c>
      <c r="D1790" t="s">
        <v>26</v>
      </c>
      <c r="E1790">
        <f>SUMIF(数据源!R2366:R10932,C1790,数据源!M2366:M10932)</f>
        <v>0</v>
      </c>
    </row>
    <row r="1791" spans="2:5">
      <c r="B1791" t="s">
        <v>2685</v>
      </c>
      <c r="D1791" t="s">
        <v>25</v>
      </c>
      <c r="E1791">
        <f>SUMIF(数据源!R526:R9092,C1791,数据源!M526:M9092)</f>
        <v>0</v>
      </c>
    </row>
    <row r="1792" spans="2:5">
      <c r="B1792" t="s">
        <v>2687</v>
      </c>
      <c r="D1792" t="s">
        <v>25</v>
      </c>
      <c r="E1792">
        <f>SUMIF(数据源!R746:R9312,C1792,数据源!M746:M9312)</f>
        <v>0</v>
      </c>
    </row>
    <row r="1793" spans="2:5">
      <c r="B1793" t="s">
        <v>2698</v>
      </c>
      <c r="D1793" t="s">
        <v>27</v>
      </c>
      <c r="E1793">
        <f>SUMIF(数据源!R3282:R11848,C1793,数据源!M3282:M11848)</f>
        <v>0</v>
      </c>
    </row>
    <row r="1794" spans="2:5">
      <c r="B1794" t="s">
        <v>2689</v>
      </c>
      <c r="D1794" t="s">
        <v>25</v>
      </c>
      <c r="E1794">
        <f>SUMIF(数据源!R164:R8730,C1794,数据源!M164:M8730)</f>
        <v>0</v>
      </c>
    </row>
    <row r="1795" spans="2:5">
      <c r="B1795" t="s">
        <v>2685</v>
      </c>
      <c r="D1795" t="s">
        <v>25</v>
      </c>
      <c r="E1795">
        <f>SUMIF(数据源!R511:R9077,C1795,数据源!M511:M9077)</f>
        <v>0</v>
      </c>
    </row>
    <row r="1796" spans="2:5">
      <c r="B1796" t="s">
        <v>2692</v>
      </c>
      <c r="D1796" t="s">
        <v>25</v>
      </c>
      <c r="E1796">
        <f>SUMIF(数据源!R630:R9196,C1796,数据源!M630:M9196)</f>
        <v>0</v>
      </c>
    </row>
    <row r="1797" spans="2:5">
      <c r="B1797" t="s">
        <v>2688</v>
      </c>
      <c r="D1797" t="s">
        <v>25</v>
      </c>
      <c r="E1797">
        <f>SUMIF(数据源!R1127:R9693,C1797,数据源!M1127:M9693)</f>
        <v>0</v>
      </c>
    </row>
    <row r="1798" spans="2:5">
      <c r="B1798" t="s">
        <v>2698</v>
      </c>
      <c r="D1798" t="s">
        <v>27</v>
      </c>
      <c r="E1798">
        <f>SUMIF(数据源!R3164:R11730,C1798,数据源!M3164:M11730)</f>
        <v>0</v>
      </c>
    </row>
    <row r="1799" spans="2:5">
      <c r="B1799" t="s">
        <v>2699</v>
      </c>
      <c r="D1799" t="s">
        <v>26</v>
      </c>
      <c r="E1799">
        <f>SUMIF(数据源!R2550:R11116,C1799,数据源!M2550:M11116)</f>
        <v>0</v>
      </c>
    </row>
    <row r="1800" spans="2:5">
      <c r="B1800" t="s">
        <v>2695</v>
      </c>
      <c r="D1800" t="s">
        <v>26</v>
      </c>
      <c r="E1800">
        <f>SUMIF(数据源!R1920:R10486,C1800,数据源!M1920:M10486)</f>
        <v>0</v>
      </c>
    </row>
    <row r="1801" spans="2:5">
      <c r="B1801" t="s">
        <v>2697</v>
      </c>
      <c r="D1801" t="s">
        <v>26</v>
      </c>
      <c r="E1801">
        <f>SUMIF(数据源!R2137:R10703,C1801,数据源!M2137:M10703)</f>
        <v>0</v>
      </c>
    </row>
    <row r="1802" spans="2:5">
      <c r="B1802" t="s">
        <v>2687</v>
      </c>
      <c r="D1802" t="s">
        <v>25</v>
      </c>
      <c r="E1802">
        <f>SUMIF(数据源!R698:R9264,C1802,数据源!M698:M9264)</f>
        <v>0</v>
      </c>
    </row>
    <row r="1803" spans="2:5">
      <c r="B1803" t="s">
        <v>2694</v>
      </c>
      <c r="D1803" t="s">
        <v>25</v>
      </c>
      <c r="E1803">
        <f>SUMIF(数据源!R1711:R10277,C1803,数据源!M1711:M10277)</f>
        <v>0</v>
      </c>
    </row>
    <row r="1804" spans="2:5">
      <c r="B1804" t="s">
        <v>2696</v>
      </c>
      <c r="D1804" t="s">
        <v>27</v>
      </c>
      <c r="E1804">
        <f>SUMIF(数据源!R2762:R11328,C1804,数据源!M2762:M11328)</f>
        <v>0</v>
      </c>
    </row>
    <row r="1805" spans="2:5">
      <c r="B1805" t="s">
        <v>2697</v>
      </c>
      <c r="D1805" t="s">
        <v>26</v>
      </c>
      <c r="E1805">
        <f>SUMIF(数据源!R2325:R10891,C1805,数据源!M2325:M10891)</f>
        <v>0</v>
      </c>
    </row>
    <row r="1806" spans="2:5">
      <c r="B1806" t="s">
        <v>2699</v>
      </c>
      <c r="D1806" t="s">
        <v>26</v>
      </c>
      <c r="E1806">
        <f>SUMIF(数据源!R2529:R11095,C1806,数据源!M2529:M11095)</f>
        <v>0</v>
      </c>
    </row>
    <row r="1807" spans="2:5">
      <c r="B1807" t="s">
        <v>2688</v>
      </c>
      <c r="D1807" t="s">
        <v>25</v>
      </c>
      <c r="E1807">
        <f>SUMIF(数据源!R972:R9538,C1807,数据源!M972:M9538)</f>
        <v>0</v>
      </c>
    </row>
    <row r="1808" spans="2:5">
      <c r="B1808" t="s">
        <v>2688</v>
      </c>
      <c r="D1808" t="s">
        <v>25</v>
      </c>
      <c r="E1808">
        <f>SUMIF(数据源!R979:R9545,C1808,数据源!M979:M9545)</f>
        <v>0</v>
      </c>
    </row>
    <row r="1809" spans="2:5">
      <c r="B1809" t="s">
        <v>2696</v>
      </c>
      <c r="D1809" t="s">
        <v>27</v>
      </c>
      <c r="E1809">
        <f>SUMIF(数据源!R2729:R11295,C1809,数据源!M2729:M11295)</f>
        <v>0</v>
      </c>
    </row>
    <row r="1810" spans="2:5">
      <c r="B1810" t="s">
        <v>2690</v>
      </c>
      <c r="D1810" t="s">
        <v>25</v>
      </c>
      <c r="E1810">
        <f>SUMIF(数据源!R1360:R9926,C1810,数据源!M1360:M9926)</f>
        <v>0</v>
      </c>
    </row>
    <row r="1811" spans="2:5">
      <c r="B1811" t="s">
        <v>2694</v>
      </c>
      <c r="D1811" t="s">
        <v>25</v>
      </c>
      <c r="E1811">
        <f>SUMIF(数据源!R1679:R10245,C1811,数据源!M1679:M10245)</f>
        <v>0</v>
      </c>
    </row>
    <row r="1812" spans="2:5">
      <c r="B1812" t="s">
        <v>2696</v>
      </c>
      <c r="D1812" t="s">
        <v>27</v>
      </c>
      <c r="E1812">
        <f>SUMIF(数据源!R2634:R11200,C1812,数据源!M2634:M11200)</f>
        <v>0</v>
      </c>
    </row>
    <row r="1813" spans="2:5">
      <c r="B1813" t="s">
        <v>2689</v>
      </c>
      <c r="D1813" t="s">
        <v>25</v>
      </c>
      <c r="E1813">
        <f>SUMIF(数据源!R152:R8718,C1813,数据源!M152:M8718)</f>
        <v>0</v>
      </c>
    </row>
    <row r="1814" spans="2:5">
      <c r="B1814" t="s">
        <v>2685</v>
      </c>
      <c r="D1814" t="s">
        <v>25</v>
      </c>
      <c r="E1814">
        <f>SUMIF(数据源!R453:R9019,C1814,数据源!M453:M9019)</f>
        <v>0</v>
      </c>
    </row>
    <row r="1815" spans="2:5">
      <c r="B1815" t="s">
        <v>2692</v>
      </c>
      <c r="D1815" t="s">
        <v>25</v>
      </c>
      <c r="E1815">
        <f>SUMIF(数据源!R611:R9177,C1815,数据源!M611:M9177)</f>
        <v>0</v>
      </c>
    </row>
    <row r="1816" spans="2:5">
      <c r="B1816" t="s">
        <v>2688</v>
      </c>
      <c r="D1816" t="s">
        <v>25</v>
      </c>
      <c r="E1816">
        <f>SUMIF(数据源!R1041:R9607,C1816,数据源!M1041:M9607)</f>
        <v>0</v>
      </c>
    </row>
    <row r="1817" spans="2:5">
      <c r="B1817" t="s">
        <v>2701</v>
      </c>
      <c r="D1817" t="s">
        <v>25</v>
      </c>
      <c r="E1817">
        <f>SUMIF(数据源!R1620:R10186,C1817,数据源!M1620:M10186)</f>
        <v>0</v>
      </c>
    </row>
    <row r="1818" spans="2:5">
      <c r="B1818" t="s">
        <v>2699</v>
      </c>
      <c r="D1818" t="s">
        <v>26</v>
      </c>
      <c r="E1818">
        <f>SUMIF(数据源!R2517:R11083,C1818,数据源!M2517:M11083)</f>
        <v>0</v>
      </c>
    </row>
    <row r="1819" spans="2:5">
      <c r="B1819" t="s">
        <v>2698</v>
      </c>
      <c r="D1819" t="s">
        <v>27</v>
      </c>
      <c r="E1819">
        <f>SUMIF(数据源!R3033:R11599,C1819,数据源!M3033:M11599)</f>
        <v>0</v>
      </c>
    </row>
    <row r="1820" spans="2:5">
      <c r="B1820" t="s">
        <v>2698</v>
      </c>
      <c r="D1820" t="s">
        <v>27</v>
      </c>
      <c r="E1820">
        <f>SUMIF(数据源!R3291:R11857,C1820,数据源!M3291:M11857)</f>
        <v>0</v>
      </c>
    </row>
    <row r="1821" spans="2:5">
      <c r="B1821" t="s">
        <v>2686</v>
      </c>
      <c r="D1821" t="s">
        <v>27</v>
      </c>
      <c r="E1821">
        <f>SUMIF(数据源!R2893:R11459,C1821,数据源!M2893:M11459)</f>
        <v>0</v>
      </c>
    </row>
    <row r="1822" spans="2:5">
      <c r="B1822" t="s">
        <v>2685</v>
      </c>
      <c r="D1822" t="s">
        <v>25</v>
      </c>
      <c r="E1822">
        <f>SUMIF(数据源!R475:R9041,C1822,数据源!M475:M9041)</f>
        <v>0</v>
      </c>
    </row>
    <row r="1823" spans="2:5">
      <c r="B1823" t="s">
        <v>2687</v>
      </c>
      <c r="D1823" t="s">
        <v>25</v>
      </c>
      <c r="E1823">
        <f>SUMIF(数据源!R735:R9301,C1823,数据源!M735:M9301)</f>
        <v>0</v>
      </c>
    </row>
    <row r="1824" spans="2:5">
      <c r="B1824" t="s">
        <v>2685</v>
      </c>
      <c r="D1824" t="s">
        <v>25</v>
      </c>
      <c r="E1824">
        <f>SUMIF(数据源!R189:R8755,C1824,数据源!M189:M8755)</f>
        <v>0</v>
      </c>
    </row>
    <row r="1825" spans="2:5">
      <c r="B1825" t="s">
        <v>2695</v>
      </c>
      <c r="D1825" t="s">
        <v>26</v>
      </c>
      <c r="E1825">
        <f>SUMIF(数据源!R1867:R10433,C1825,数据源!M1867:M10433)</f>
        <v>0</v>
      </c>
    </row>
    <row r="1826" spans="2:5">
      <c r="B1826" t="s">
        <v>2686</v>
      </c>
      <c r="D1826" t="s">
        <v>27</v>
      </c>
      <c r="E1826">
        <f>SUMIF(数据源!R2898:R11464,C1826,数据源!M2898:M11464)</f>
        <v>0</v>
      </c>
    </row>
    <row r="1827" spans="2:5">
      <c r="B1827" t="s">
        <v>2690</v>
      </c>
      <c r="D1827" t="s">
        <v>25</v>
      </c>
      <c r="E1827">
        <f>SUMIF(数据源!R1383:R9949,C1827,数据源!M1383:M9949)</f>
        <v>0</v>
      </c>
    </row>
    <row r="1828" spans="2:5">
      <c r="B1828" t="s">
        <v>2700</v>
      </c>
      <c r="D1828" t="s">
        <v>25</v>
      </c>
      <c r="E1828">
        <f>SUMIF(数据源!R1529:R10095,C1828,数据源!M1529:M10095)</f>
        <v>0</v>
      </c>
    </row>
    <row r="1829" spans="2:5">
      <c r="B1829" t="s">
        <v>2696</v>
      </c>
      <c r="D1829" t="s">
        <v>27</v>
      </c>
      <c r="E1829">
        <f>SUMIF(数据源!R2703:R11269,C1829,数据源!M2703:M11269)</f>
        <v>0</v>
      </c>
    </row>
    <row r="1830" spans="2:5">
      <c r="B1830" t="s">
        <v>2686</v>
      </c>
      <c r="D1830" t="s">
        <v>27</v>
      </c>
      <c r="E1830">
        <f>SUMIF(数据源!R2920:R11486,C1830,数据源!M2920:M11486)</f>
        <v>0</v>
      </c>
    </row>
    <row r="1831" spans="2:5">
      <c r="B1831" t="s">
        <v>2685</v>
      </c>
      <c r="D1831" t="s">
        <v>25</v>
      </c>
      <c r="E1831">
        <f>SUMIF(数据源!R515:R9081,C1831,数据源!M515:M9081)</f>
        <v>0</v>
      </c>
    </row>
    <row r="1832" spans="2:5">
      <c r="B1832" t="s">
        <v>2695</v>
      </c>
      <c r="D1832" t="s">
        <v>26</v>
      </c>
      <c r="E1832">
        <f>SUMIF(数据源!R1922:R10488,C1832,数据源!M1922:M10488)</f>
        <v>0</v>
      </c>
    </row>
    <row r="1833" spans="2:5">
      <c r="B1833" t="s">
        <v>2689</v>
      </c>
      <c r="D1833" t="s">
        <v>25</v>
      </c>
      <c r="E1833">
        <f>SUMIF(数据源!R52:R8618,C1833,数据源!M52:M8618)</f>
        <v>0</v>
      </c>
    </row>
    <row r="1834" spans="2:5">
      <c r="B1834" t="s">
        <v>2690</v>
      </c>
      <c r="D1834" t="s">
        <v>25</v>
      </c>
      <c r="E1834">
        <f>SUMIF(数据源!R1277:R9843,C1834,数据源!M1277:M9843)</f>
        <v>0</v>
      </c>
    </row>
    <row r="1835" spans="2:5">
      <c r="B1835" t="s">
        <v>2698</v>
      </c>
      <c r="D1835" t="s">
        <v>27</v>
      </c>
      <c r="E1835">
        <f>SUMIF(数据源!R3284:R11850,C1835,数据源!M3284:M11850)</f>
        <v>0</v>
      </c>
    </row>
    <row r="1836" spans="2:5">
      <c r="B1836" t="s">
        <v>2688</v>
      </c>
      <c r="D1836" t="s">
        <v>25</v>
      </c>
      <c r="E1836">
        <f>SUMIF(数据源!R974:R9540,C1836,数据源!M974:M9540)</f>
        <v>0</v>
      </c>
    </row>
    <row r="1837" spans="2:5">
      <c r="B1837" t="s">
        <v>2688</v>
      </c>
      <c r="D1837" t="s">
        <v>25</v>
      </c>
      <c r="E1837">
        <f>SUMIF(数据源!R1199:R9765,C1837,数据源!M1199:M9765)</f>
        <v>0</v>
      </c>
    </row>
    <row r="1838" spans="2:5">
      <c r="B1838" t="s">
        <v>2685</v>
      </c>
      <c r="D1838" t="s">
        <v>25</v>
      </c>
      <c r="E1838">
        <f>SUMIF(数据源!R221:R8787,C1838,数据源!M221:M8787)</f>
        <v>0</v>
      </c>
    </row>
    <row r="1839" spans="2:5">
      <c r="B1839" t="s">
        <v>2687</v>
      </c>
      <c r="D1839" t="s">
        <v>25</v>
      </c>
      <c r="E1839">
        <f>SUMIF(数据源!R656:R9222,C1839,数据源!M656:M9222)</f>
        <v>0</v>
      </c>
    </row>
    <row r="1840" spans="2:5">
      <c r="B1840" t="s">
        <v>2685</v>
      </c>
      <c r="D1840" t="s">
        <v>25</v>
      </c>
      <c r="E1840">
        <f>SUMIF(数据源!R426:R8992,C1840,数据源!M426:M8992)</f>
        <v>0</v>
      </c>
    </row>
    <row r="1841" spans="2:5">
      <c r="B1841" t="s">
        <v>2690</v>
      </c>
      <c r="D1841" t="s">
        <v>25</v>
      </c>
      <c r="E1841">
        <f>SUMIF(数据源!R1401:R9967,C1841,数据源!M1401:M9967)</f>
        <v>0</v>
      </c>
    </row>
    <row r="1842" spans="2:5">
      <c r="B1842" t="s">
        <v>2698</v>
      </c>
      <c r="D1842" t="s">
        <v>27</v>
      </c>
      <c r="E1842">
        <f>SUMIF(数据源!R3062:R11628,C1842,数据源!M3062:M11628)</f>
        <v>0</v>
      </c>
    </row>
    <row r="1843" spans="2:5">
      <c r="B1843" t="s">
        <v>2687</v>
      </c>
      <c r="D1843" t="s">
        <v>25</v>
      </c>
      <c r="E1843">
        <f>SUMIF(数据源!R697:R9263,C1843,数据源!M697:M9263)</f>
        <v>0</v>
      </c>
    </row>
    <row r="1844" spans="2:5">
      <c r="B1844" t="s">
        <v>2698</v>
      </c>
      <c r="D1844" t="s">
        <v>27</v>
      </c>
      <c r="E1844">
        <f>SUMIF(数据源!R3181:R11747,C1844,数据源!M3181:M11747)</f>
        <v>0</v>
      </c>
    </row>
    <row r="1845" spans="2:5">
      <c r="B1845" t="s">
        <v>2691</v>
      </c>
      <c r="D1845" t="s">
        <v>26</v>
      </c>
      <c r="E1845">
        <f>SUMIF(数据源!R2042:R10608,C1845,数据源!M2042:M10608)</f>
        <v>0</v>
      </c>
    </row>
    <row r="1846" spans="2:5">
      <c r="B1846" t="s">
        <v>2685</v>
      </c>
      <c r="D1846" t="s">
        <v>25</v>
      </c>
      <c r="E1846">
        <f>SUMIF(数据源!R473:R9039,C1846,数据源!M473:M9039)</f>
        <v>0</v>
      </c>
    </row>
    <row r="1847" spans="2:5">
      <c r="B1847" t="s">
        <v>2688</v>
      </c>
      <c r="D1847" t="s">
        <v>25</v>
      </c>
      <c r="E1847">
        <f>SUMIF(数据源!R1066:R9632,C1847,数据源!M1066:M9632)</f>
        <v>0</v>
      </c>
    </row>
    <row r="1848" spans="2:5">
      <c r="B1848" t="s">
        <v>2690</v>
      </c>
      <c r="D1848" t="s">
        <v>25</v>
      </c>
      <c r="E1848">
        <f>SUMIF(数据源!R1448:R10014,C1848,数据源!M1448:M10014)</f>
        <v>0</v>
      </c>
    </row>
    <row r="1849" spans="2:5">
      <c r="B1849" t="s">
        <v>2685</v>
      </c>
      <c r="D1849" t="s">
        <v>25</v>
      </c>
      <c r="E1849">
        <f>SUMIF(数据源!R257:R8823,C1849,数据源!M257:M8823)</f>
        <v>0</v>
      </c>
    </row>
    <row r="1850" spans="2:5">
      <c r="B1850" t="s">
        <v>2689</v>
      </c>
      <c r="D1850" t="s">
        <v>25</v>
      </c>
      <c r="E1850">
        <f>SUMIF(数据源!R155:R8721,C1850,数据源!M155:M8721)</f>
        <v>0</v>
      </c>
    </row>
    <row r="1851" spans="2:5">
      <c r="B1851" t="s">
        <v>2696</v>
      </c>
      <c r="D1851" t="s">
        <v>27</v>
      </c>
      <c r="E1851">
        <f>SUMIF(数据源!R2755:R11321,C1851,数据源!M2755:M11321)</f>
        <v>0</v>
      </c>
    </row>
    <row r="1852" spans="2:5">
      <c r="B1852" t="s">
        <v>2688</v>
      </c>
      <c r="D1852" t="s">
        <v>25</v>
      </c>
      <c r="E1852">
        <f>SUMIF(数据源!R1014:R9580,C1852,数据源!M1014:M9580)</f>
        <v>0</v>
      </c>
    </row>
    <row r="1853" spans="2:5">
      <c r="B1853" t="s">
        <v>2690</v>
      </c>
      <c r="D1853" t="s">
        <v>25</v>
      </c>
      <c r="E1853">
        <f>SUMIF(数据源!R1410:R9976,C1853,数据源!M1410:M9976)</f>
        <v>0</v>
      </c>
    </row>
    <row r="1854" spans="2:5">
      <c r="B1854" t="s">
        <v>2689</v>
      </c>
      <c r="D1854" t="s">
        <v>25</v>
      </c>
      <c r="E1854">
        <f>SUMIF(数据源!R6:R8572,C1854,数据源!M6:M8572)</f>
        <v>0</v>
      </c>
    </row>
    <row r="1855" spans="2:5">
      <c r="B1855" t="s">
        <v>2685</v>
      </c>
      <c r="D1855" t="s">
        <v>25</v>
      </c>
      <c r="E1855">
        <f>SUMIF(数据源!R180:R8746,C1855,数据源!M180:M8746)</f>
        <v>0</v>
      </c>
    </row>
    <row r="1856" spans="2:5">
      <c r="B1856" t="s">
        <v>2698</v>
      </c>
      <c r="D1856" t="s">
        <v>27</v>
      </c>
      <c r="E1856">
        <f>SUMIF(数据源!R3077:R11643,C1856,数据源!M3077:M11643)</f>
        <v>0</v>
      </c>
    </row>
    <row r="1857" spans="2:5">
      <c r="B1857" t="s">
        <v>2689</v>
      </c>
      <c r="D1857" t="s">
        <v>25</v>
      </c>
      <c r="E1857">
        <f>SUMIF(数据源!R145:R8711,C1857,数据源!M145:M8711)</f>
        <v>0</v>
      </c>
    </row>
    <row r="1858" spans="2:5">
      <c r="B1858" t="s">
        <v>2696</v>
      </c>
      <c r="D1858" t="s">
        <v>27</v>
      </c>
      <c r="E1858">
        <f>SUMIF(数据源!R2627:R11193,C1858,数据源!M2627:M11193)</f>
        <v>0</v>
      </c>
    </row>
    <row r="1859" spans="2:5">
      <c r="B1859" t="s">
        <v>2697</v>
      </c>
      <c r="D1859" t="s">
        <v>26</v>
      </c>
      <c r="E1859">
        <f>SUMIF(数据源!R2194:R10760,C1859,数据源!M2194:M10760)</f>
        <v>0</v>
      </c>
    </row>
    <row r="1860" spans="2:5">
      <c r="B1860" t="s">
        <v>2699</v>
      </c>
      <c r="D1860" t="s">
        <v>26</v>
      </c>
      <c r="E1860">
        <f>SUMIF(数据源!R2473:R11039,C1860,数据源!M2473:M11039)</f>
        <v>0</v>
      </c>
    </row>
    <row r="1861" spans="2:5">
      <c r="B1861" t="s">
        <v>2697</v>
      </c>
      <c r="D1861" t="s">
        <v>26</v>
      </c>
      <c r="E1861">
        <f>SUMIF(数据源!R2130:R10696,C1861,数据源!M2130:M10696)</f>
        <v>0</v>
      </c>
    </row>
    <row r="1862" spans="2:5">
      <c r="B1862" t="s">
        <v>2695</v>
      </c>
      <c r="D1862" t="s">
        <v>26</v>
      </c>
      <c r="E1862">
        <f>SUMIF(数据源!R1862:R10428,C1862,数据源!M1862:M10428)</f>
        <v>0</v>
      </c>
    </row>
    <row r="1863" spans="2:5">
      <c r="B1863" t="s">
        <v>2697</v>
      </c>
      <c r="D1863" t="s">
        <v>26</v>
      </c>
      <c r="E1863">
        <f>SUMIF(数据源!R2117:R10683,C1863,数据源!M2117:M10683)</f>
        <v>0</v>
      </c>
    </row>
    <row r="1864" spans="2:5">
      <c r="B1864" t="s">
        <v>2691</v>
      </c>
      <c r="D1864" t="s">
        <v>26</v>
      </c>
      <c r="E1864">
        <f>SUMIF(数据源!R2041:R10607,C1864,数据源!M2041:M10607)</f>
        <v>0</v>
      </c>
    </row>
    <row r="1865" spans="2:5">
      <c r="B1865" t="s">
        <v>2689</v>
      </c>
      <c r="D1865" t="s">
        <v>25</v>
      </c>
      <c r="E1865">
        <f>SUMIF(数据源!R72:R8638,C1865,数据源!M72:M8638)</f>
        <v>0</v>
      </c>
    </row>
    <row r="1866" spans="2:5">
      <c r="B1866" t="s">
        <v>2688</v>
      </c>
      <c r="D1866" t="s">
        <v>25</v>
      </c>
      <c r="E1866">
        <f>SUMIF(数据源!R891:R9457,C1866,数据源!M891:M9457)</f>
        <v>0</v>
      </c>
    </row>
    <row r="1867" spans="2:5">
      <c r="B1867" t="s">
        <v>2699</v>
      </c>
      <c r="D1867" t="s">
        <v>26</v>
      </c>
      <c r="E1867">
        <f>SUMIF(数据源!R2490:R11056,C1867,数据源!M2490:M11056)</f>
        <v>0</v>
      </c>
    </row>
    <row r="1868" spans="2:5">
      <c r="B1868" t="s">
        <v>2698</v>
      </c>
      <c r="D1868" t="s">
        <v>27</v>
      </c>
      <c r="E1868">
        <f>SUMIF(数据源!R3267:R11833,C1868,数据源!M3267:M11833)</f>
        <v>0</v>
      </c>
    </row>
    <row r="1869" spans="2:5">
      <c r="B1869" t="s">
        <v>2697</v>
      </c>
      <c r="D1869" t="s">
        <v>26</v>
      </c>
      <c r="E1869">
        <f>SUMIF(数据源!R2355:R10921,C1869,数据源!M2355:M10921)</f>
        <v>0</v>
      </c>
    </row>
    <row r="1870" spans="2:5">
      <c r="B1870" t="s">
        <v>2690</v>
      </c>
      <c r="D1870" t="s">
        <v>25</v>
      </c>
      <c r="E1870">
        <f>SUMIF(数据源!R1440:R10006,C1870,数据源!M1440:M10006)</f>
        <v>0</v>
      </c>
    </row>
    <row r="1871" spans="2:5">
      <c r="B1871" t="s">
        <v>2697</v>
      </c>
      <c r="D1871" t="s">
        <v>26</v>
      </c>
      <c r="E1871">
        <f>SUMIF(数据源!R2179:R10745,C1871,数据源!M2179:M10745)</f>
        <v>0</v>
      </c>
    </row>
    <row r="1872" spans="2:5">
      <c r="B1872" t="s">
        <v>2685</v>
      </c>
      <c r="D1872" t="s">
        <v>25</v>
      </c>
      <c r="E1872">
        <f>SUMIF(数据源!R288:R8854,C1872,数据源!M288:M8854)</f>
        <v>0</v>
      </c>
    </row>
    <row r="1873" spans="2:5">
      <c r="B1873" t="s">
        <v>2696</v>
      </c>
      <c r="D1873" t="s">
        <v>27</v>
      </c>
      <c r="E1873">
        <f>SUMIF(数据源!R2724:R11290,C1873,数据源!M2724:M11290)</f>
        <v>0</v>
      </c>
    </row>
    <row r="1874" spans="2:5">
      <c r="B1874" t="s">
        <v>2700</v>
      </c>
      <c r="D1874" t="s">
        <v>25</v>
      </c>
      <c r="E1874">
        <f>SUMIF(数据源!R1566:R10132,C1874,数据源!M1566:M10132)</f>
        <v>0</v>
      </c>
    </row>
    <row r="1875" spans="2:5">
      <c r="B1875" t="s">
        <v>2688</v>
      </c>
      <c r="D1875" t="s">
        <v>25</v>
      </c>
      <c r="E1875">
        <f>SUMIF(数据源!R1137:R9703,C1875,数据源!M1137:M9703)</f>
        <v>0</v>
      </c>
    </row>
    <row r="1876" spans="2:5">
      <c r="B1876" t="s">
        <v>2690</v>
      </c>
      <c r="D1876" t="s">
        <v>25</v>
      </c>
      <c r="E1876">
        <f>SUMIF(数据源!R1467:R10033,C1876,数据源!M1467:M10033)</f>
        <v>0</v>
      </c>
    </row>
    <row r="1877" spans="2:5">
      <c r="B1877" t="s">
        <v>2688</v>
      </c>
      <c r="D1877" t="s">
        <v>25</v>
      </c>
      <c r="E1877">
        <f>SUMIF(数据源!R1143:R9709,C1877,数据源!M1143:M9709)</f>
        <v>0</v>
      </c>
    </row>
    <row r="1878" spans="2:5">
      <c r="B1878" t="s">
        <v>2696</v>
      </c>
      <c r="D1878" t="s">
        <v>27</v>
      </c>
      <c r="E1878">
        <f>SUMIF(数据源!R2573:R11139,C1878,数据源!M2573:M11139)</f>
        <v>0</v>
      </c>
    </row>
    <row r="1879" spans="2:5">
      <c r="B1879" t="s">
        <v>2697</v>
      </c>
      <c r="D1879" t="s">
        <v>26</v>
      </c>
      <c r="E1879">
        <f>SUMIF(数据源!R2237:R10803,C1879,数据源!M2237:M10803)</f>
        <v>0</v>
      </c>
    </row>
    <row r="1880" spans="2:5">
      <c r="B1880" t="s">
        <v>2699</v>
      </c>
      <c r="D1880" t="s">
        <v>26</v>
      </c>
      <c r="E1880">
        <f>SUMIF(数据源!R2477:R11043,C1880,数据源!M2477:M11043)</f>
        <v>0</v>
      </c>
    </row>
    <row r="1881" spans="2:5">
      <c r="B1881" t="s">
        <v>2689</v>
      </c>
      <c r="D1881" t="s">
        <v>25</v>
      </c>
      <c r="E1881">
        <f>SUMIF(数据源!R86:R8652,C1881,数据源!M86:M8652)</f>
        <v>0</v>
      </c>
    </row>
    <row r="1882" spans="2:5">
      <c r="B1882" t="s">
        <v>2689</v>
      </c>
      <c r="D1882" t="s">
        <v>25</v>
      </c>
      <c r="E1882">
        <f>SUMIF(数据源!R34:R8600,C1882,数据源!M34:M8600)</f>
        <v>0</v>
      </c>
    </row>
    <row r="1883" spans="2:5">
      <c r="B1883" t="s">
        <v>2685</v>
      </c>
      <c r="D1883" t="s">
        <v>25</v>
      </c>
      <c r="E1883">
        <f>SUMIF(数据源!R227:R8793,C1883,数据源!M227:M8793)</f>
        <v>0</v>
      </c>
    </row>
    <row r="1884" spans="2:5">
      <c r="B1884" t="s">
        <v>2687</v>
      </c>
      <c r="D1884" t="s">
        <v>25</v>
      </c>
      <c r="E1884">
        <f>SUMIF(数据源!R669:R9235,C1884,数据源!M669:M9235)</f>
        <v>0</v>
      </c>
    </row>
    <row r="1885" spans="2:5">
      <c r="B1885" t="s">
        <v>2696</v>
      </c>
      <c r="D1885" t="s">
        <v>27</v>
      </c>
      <c r="E1885">
        <f>SUMIF(数据源!R2683:R11249,C1885,数据源!M2683:M11249)</f>
        <v>0</v>
      </c>
    </row>
    <row r="1886" spans="2:5">
      <c r="B1886" t="s">
        <v>2698</v>
      </c>
      <c r="D1886" t="s">
        <v>27</v>
      </c>
      <c r="E1886">
        <f>SUMIF(数据源!R3196:R11762,C1886,数据源!M3196:M11762)</f>
        <v>0</v>
      </c>
    </row>
    <row r="1887" spans="2:5">
      <c r="B1887" t="s">
        <v>2685</v>
      </c>
      <c r="D1887" t="s">
        <v>25</v>
      </c>
      <c r="E1887">
        <f>SUMIF(数据源!R523:R9089,C1887,数据源!M523:M9089)</f>
        <v>0</v>
      </c>
    </row>
    <row r="1888" spans="2:5">
      <c r="B1888" t="s">
        <v>2688</v>
      </c>
      <c r="D1888" t="s">
        <v>25</v>
      </c>
      <c r="E1888">
        <f>SUMIF(数据源!R1177:R9743,C1888,数据源!M1177:M9743)</f>
        <v>0</v>
      </c>
    </row>
    <row r="1889" spans="2:5">
      <c r="B1889" t="s">
        <v>2690</v>
      </c>
      <c r="D1889" t="s">
        <v>25</v>
      </c>
      <c r="E1889">
        <f>SUMIF(数据源!R1471:R10037,C1889,数据源!M1471:M10037)</f>
        <v>0</v>
      </c>
    </row>
    <row r="1890" spans="2:5">
      <c r="B1890" t="s">
        <v>2696</v>
      </c>
      <c r="D1890" t="s">
        <v>27</v>
      </c>
      <c r="E1890">
        <f>SUMIF(数据源!R2740:R11306,C1890,数据源!M2740:M11306)</f>
        <v>0</v>
      </c>
    </row>
    <row r="1891" spans="2:5">
      <c r="B1891" t="s">
        <v>2688</v>
      </c>
      <c r="D1891" t="s">
        <v>25</v>
      </c>
      <c r="E1891">
        <f>SUMIF(数据源!R1206:R9772,C1891,数据源!M1206:M9772)</f>
        <v>0</v>
      </c>
    </row>
    <row r="1892" spans="2:5">
      <c r="B1892" t="s">
        <v>2696</v>
      </c>
      <c r="D1892" t="s">
        <v>27</v>
      </c>
      <c r="E1892">
        <f>SUMIF(数据源!R2756:R11322,C1892,数据源!M2756:M11322)</f>
        <v>0</v>
      </c>
    </row>
    <row r="1893" spans="2:5">
      <c r="B1893" t="s">
        <v>2689</v>
      </c>
      <c r="D1893" t="s">
        <v>25</v>
      </c>
      <c r="E1893">
        <f>SUMIF(数据源!R143:R8709,C1893,数据源!M143:M8709)</f>
        <v>0</v>
      </c>
    </row>
    <row r="1894" spans="2:5">
      <c r="B1894" t="s">
        <v>2687</v>
      </c>
      <c r="D1894" t="s">
        <v>25</v>
      </c>
      <c r="E1894">
        <f>SUMIF(数据源!R720:R9286,C1894,数据源!M720:M9286)</f>
        <v>0</v>
      </c>
    </row>
    <row r="1895" spans="2:5">
      <c r="B1895" t="s">
        <v>2690</v>
      </c>
      <c r="D1895" t="s">
        <v>25</v>
      </c>
      <c r="E1895">
        <f>SUMIF(数据源!R1402:R9968,C1895,数据源!M1402:M9968)</f>
        <v>0</v>
      </c>
    </row>
    <row r="1896" spans="2:5">
      <c r="B1896" t="s">
        <v>2699</v>
      </c>
      <c r="D1896" t="s">
        <v>26</v>
      </c>
      <c r="E1896">
        <f>SUMIF(数据源!R2441:R11007,C1896,数据源!M2441:M11007)</f>
        <v>0</v>
      </c>
    </row>
    <row r="1897" spans="2:5">
      <c r="B1897" t="s">
        <v>2698</v>
      </c>
      <c r="D1897" t="s">
        <v>27</v>
      </c>
      <c r="E1897">
        <f>SUMIF(数据源!R3237:R11803,C1897,数据源!M3237:M11803)</f>
        <v>0</v>
      </c>
    </row>
    <row r="1898" spans="2:5">
      <c r="B1898" t="s">
        <v>2696</v>
      </c>
      <c r="D1898" t="s">
        <v>27</v>
      </c>
      <c r="E1898">
        <f>SUMIF(数据源!R2733:R11299,C1898,数据源!M2733:M11299)</f>
        <v>0</v>
      </c>
    </row>
    <row r="1899" spans="2:5">
      <c r="B1899" t="s">
        <v>2690</v>
      </c>
      <c r="D1899" t="s">
        <v>25</v>
      </c>
      <c r="E1899">
        <f>SUMIF(数据源!R1361:R9927,C1899,数据源!M1361:M9927)</f>
        <v>0</v>
      </c>
    </row>
    <row r="1900" spans="2:5">
      <c r="B1900" t="s">
        <v>2690</v>
      </c>
      <c r="D1900" t="s">
        <v>25</v>
      </c>
      <c r="E1900">
        <f>SUMIF(数据源!R1235:R9801,C1900,数据源!M1235:M9801)</f>
        <v>0</v>
      </c>
    </row>
    <row r="1901" spans="2:5">
      <c r="B1901" t="s">
        <v>2688</v>
      </c>
      <c r="D1901" t="s">
        <v>25</v>
      </c>
      <c r="E1901">
        <f>SUMIF(数据源!R1012:R9578,C1901,数据源!M1012:M9578)</f>
        <v>0</v>
      </c>
    </row>
    <row r="1902" spans="2:5">
      <c r="B1902" t="s">
        <v>2690</v>
      </c>
      <c r="D1902" t="s">
        <v>25</v>
      </c>
      <c r="E1902">
        <f>SUMIF(数据源!R1325:R9891,C1902,数据源!M1325:M9891)</f>
        <v>0</v>
      </c>
    </row>
    <row r="1903" spans="2:5">
      <c r="B1903" t="s">
        <v>2690</v>
      </c>
      <c r="D1903" t="s">
        <v>25</v>
      </c>
      <c r="E1903">
        <f>SUMIF(数据源!R1293:R9859,C1903,数据源!M1293:M9859)</f>
        <v>0</v>
      </c>
    </row>
    <row r="1904" spans="2:5">
      <c r="B1904" t="s">
        <v>2685</v>
      </c>
      <c r="D1904" t="s">
        <v>25</v>
      </c>
      <c r="E1904">
        <f>SUMIF(数据源!R487:R9053,C1904,数据源!M487:M9053)</f>
        <v>0</v>
      </c>
    </row>
    <row r="1905" spans="2:5">
      <c r="B1905" t="s">
        <v>2694</v>
      </c>
      <c r="D1905" t="s">
        <v>25</v>
      </c>
      <c r="E1905">
        <f>SUMIF(数据源!R1833:R10399,C1905,数据源!M1833:M10399)</f>
        <v>0</v>
      </c>
    </row>
    <row r="1906" spans="2:5">
      <c r="B1906" t="s">
        <v>2698</v>
      </c>
      <c r="D1906" t="s">
        <v>27</v>
      </c>
      <c r="E1906">
        <f>SUMIF(数据源!R3224:R11790,C1906,数据源!M3224:M11790)</f>
        <v>0</v>
      </c>
    </row>
    <row r="1907" spans="2:5">
      <c r="B1907" t="s">
        <v>2700</v>
      </c>
      <c r="D1907" t="s">
        <v>25</v>
      </c>
      <c r="E1907">
        <f>SUMIF(数据源!R1525:R10091,C1907,数据源!M1525:M10091)</f>
        <v>0</v>
      </c>
    </row>
    <row r="1908" spans="2:5">
      <c r="B1908" t="s">
        <v>2689</v>
      </c>
      <c r="D1908" t="s">
        <v>25</v>
      </c>
      <c r="E1908">
        <f>SUMIF(数据源!R71:R8637,C1908,数据源!M71:M8637)</f>
        <v>0</v>
      </c>
    </row>
    <row r="1909" spans="2:5">
      <c r="B1909" t="s">
        <v>2696</v>
      </c>
      <c r="D1909" t="s">
        <v>27</v>
      </c>
      <c r="E1909">
        <f>SUMIF(数据源!R2626:R11192,C1909,数据源!M2626:M11192)</f>
        <v>0</v>
      </c>
    </row>
    <row r="1910" spans="2:5">
      <c r="B1910" t="s">
        <v>2698</v>
      </c>
      <c r="D1910" t="s">
        <v>27</v>
      </c>
      <c r="E1910">
        <f>SUMIF(数据源!R3124:R11690,C1910,数据源!M3124:M11690)</f>
        <v>0</v>
      </c>
    </row>
    <row r="1911" spans="2:5">
      <c r="B1911" t="s">
        <v>2696</v>
      </c>
      <c r="D1911" t="s">
        <v>27</v>
      </c>
      <c r="E1911">
        <f>SUMIF(数据源!R2822:R11388,C1911,数据源!M2822:M11388)</f>
        <v>0</v>
      </c>
    </row>
    <row r="1912" spans="2:5">
      <c r="B1912" t="s">
        <v>2699</v>
      </c>
      <c r="D1912" t="s">
        <v>26</v>
      </c>
      <c r="E1912">
        <f>SUMIF(数据源!R2557:R11123,C1912,数据源!M2557:M11123)</f>
        <v>0</v>
      </c>
    </row>
    <row r="1913" spans="2:5">
      <c r="B1913" t="s">
        <v>2688</v>
      </c>
      <c r="D1913" t="s">
        <v>25</v>
      </c>
      <c r="E1913">
        <f>SUMIF(数据源!R814:R9380,C1913,数据源!M814:M9380)</f>
        <v>0</v>
      </c>
    </row>
    <row r="1914" spans="2:5">
      <c r="B1914" t="s">
        <v>2686</v>
      </c>
      <c r="D1914" t="s">
        <v>27</v>
      </c>
      <c r="E1914">
        <f>SUMIF(数据源!R2873:R11439,C1914,数据源!M2873:M11439)</f>
        <v>0</v>
      </c>
    </row>
    <row r="1915" spans="2:5">
      <c r="B1915" t="s">
        <v>2688</v>
      </c>
      <c r="D1915" t="s">
        <v>25</v>
      </c>
      <c r="E1915">
        <f>SUMIF(数据源!R1078:R9644,C1915,数据源!M1078:M9644)</f>
        <v>0</v>
      </c>
    </row>
    <row r="1916" spans="2:5">
      <c r="B1916" t="s">
        <v>2698</v>
      </c>
      <c r="D1916" t="s">
        <v>27</v>
      </c>
      <c r="E1916">
        <f>SUMIF(数据源!R3066:R11632,C1916,数据源!M3066:M11632)</f>
        <v>0</v>
      </c>
    </row>
    <row r="1917" spans="2:5">
      <c r="B1917" t="s">
        <v>2689</v>
      </c>
      <c r="D1917" t="s">
        <v>25</v>
      </c>
      <c r="E1917">
        <f>SUMIF(数据源!R33:R8599,C1917,数据源!M33:M8599)</f>
        <v>0</v>
      </c>
    </row>
    <row r="1918" spans="2:5">
      <c r="B1918" t="s">
        <v>2685</v>
      </c>
      <c r="D1918" t="s">
        <v>25</v>
      </c>
      <c r="E1918">
        <f>SUMIF(数据源!R226:R8792,C1918,数据源!M226:M8792)</f>
        <v>0</v>
      </c>
    </row>
    <row r="1919" spans="2:5">
      <c r="B1919" t="s">
        <v>2692</v>
      </c>
      <c r="D1919" t="s">
        <v>25</v>
      </c>
      <c r="E1919">
        <f>SUMIF(数据源!R552:R9118,C1919,数据源!M552:M9118)</f>
        <v>0</v>
      </c>
    </row>
    <row r="1920" spans="2:5">
      <c r="B1920" t="s">
        <v>2690</v>
      </c>
      <c r="D1920" t="s">
        <v>25</v>
      </c>
      <c r="E1920">
        <f>SUMIF(数据源!R1312:R9878,C1920,数据源!M1312:M9878)</f>
        <v>0</v>
      </c>
    </row>
    <row r="1921" spans="2:5">
      <c r="B1921" t="s">
        <v>2687</v>
      </c>
      <c r="D1921" t="s">
        <v>25</v>
      </c>
      <c r="E1921">
        <f>SUMIF(数据源!R662:R9228,C1921,数据源!M662:M9228)</f>
        <v>0</v>
      </c>
    </row>
    <row r="1922" spans="2:5">
      <c r="B1922" t="s">
        <v>2688</v>
      </c>
      <c r="D1922" t="s">
        <v>25</v>
      </c>
      <c r="E1922">
        <f>SUMIF(数据源!R810:R9376,C1922,数据源!M810:M9376)</f>
        <v>0</v>
      </c>
    </row>
    <row r="1923" spans="2:5">
      <c r="B1923" t="s">
        <v>2698</v>
      </c>
      <c r="D1923" t="s">
        <v>27</v>
      </c>
      <c r="E1923">
        <f>SUMIF(数据源!R3251:R11817,C1923,数据源!M3251:M11817)</f>
        <v>0</v>
      </c>
    </row>
    <row r="1924" spans="2:5">
      <c r="B1924" t="s">
        <v>2685</v>
      </c>
      <c r="D1924" t="s">
        <v>25</v>
      </c>
      <c r="E1924">
        <f>SUMIF(数据源!R480:R9046,C1924,数据源!M480:M9046)</f>
        <v>0</v>
      </c>
    </row>
    <row r="1925" spans="2:5">
      <c r="B1925" t="s">
        <v>2698</v>
      </c>
      <c r="D1925" t="s">
        <v>27</v>
      </c>
      <c r="E1925">
        <f>SUMIF(数据源!R3182:R11748,C1925,数据源!M3182:M11748)</f>
        <v>0</v>
      </c>
    </row>
    <row r="1926" spans="2:5">
      <c r="B1926" t="s">
        <v>2696</v>
      </c>
      <c r="D1926" t="s">
        <v>27</v>
      </c>
      <c r="E1926">
        <f>SUMIF(数据源!R2639:R11205,C1926,数据源!M2639:M11205)</f>
        <v>0</v>
      </c>
    </row>
    <row r="1927" spans="2:5">
      <c r="B1927" t="s">
        <v>2696</v>
      </c>
      <c r="D1927" t="s">
        <v>27</v>
      </c>
      <c r="E1927">
        <f>SUMIF(数据源!R2713:R11279,C1927,数据源!M2713:M11279)</f>
        <v>0</v>
      </c>
    </row>
    <row r="1928" spans="2:5">
      <c r="B1928" t="s">
        <v>2699</v>
      </c>
      <c r="D1928" t="s">
        <v>26</v>
      </c>
      <c r="E1928">
        <f>SUMIF(数据源!R2510:R11076,C1928,数据源!M2510:M11076)</f>
        <v>0</v>
      </c>
    </row>
    <row r="1929" spans="2:5">
      <c r="B1929" t="s">
        <v>2694</v>
      </c>
      <c r="D1929" t="s">
        <v>25</v>
      </c>
      <c r="E1929">
        <f>SUMIF(数据源!R1826:R10392,C1929,数据源!M1826:M10392)</f>
        <v>0</v>
      </c>
    </row>
    <row r="1930" spans="2:5">
      <c r="B1930" t="s">
        <v>2695</v>
      </c>
      <c r="D1930" t="s">
        <v>26</v>
      </c>
      <c r="E1930">
        <f>SUMIF(数据源!R1885:R10451,C1930,数据源!M1885:M10451)</f>
        <v>0</v>
      </c>
    </row>
    <row r="1931" spans="2:5">
      <c r="B1931" t="s">
        <v>2697</v>
      </c>
      <c r="D1931" t="s">
        <v>26</v>
      </c>
      <c r="E1931">
        <f>SUMIF(数据源!R2206:R10772,C1931,数据源!M2206:M10772)</f>
        <v>0</v>
      </c>
    </row>
    <row r="1932" spans="2:5">
      <c r="B1932" t="s">
        <v>2689</v>
      </c>
      <c r="D1932" t="s">
        <v>25</v>
      </c>
      <c r="E1932">
        <f>SUMIF(数据源!R67:R8633,C1932,数据源!M67:M8633)</f>
        <v>0</v>
      </c>
    </row>
    <row r="1933" spans="2:5">
      <c r="B1933" t="s">
        <v>2688</v>
      </c>
      <c r="D1933" t="s">
        <v>25</v>
      </c>
      <c r="E1933">
        <f>SUMIF(数据源!R880:R9446,C1933,数据源!M880:M9446)</f>
        <v>0</v>
      </c>
    </row>
    <row r="1934" spans="2:5">
      <c r="B1934" t="s">
        <v>2690</v>
      </c>
      <c r="D1934" t="s">
        <v>25</v>
      </c>
      <c r="E1934">
        <f>SUMIF(数据源!R1309:R9875,C1934,数据源!M1309:M9875)</f>
        <v>0</v>
      </c>
    </row>
    <row r="1935" spans="2:5">
      <c r="B1935" t="s">
        <v>2699</v>
      </c>
      <c r="D1935" t="s">
        <v>26</v>
      </c>
      <c r="E1935">
        <f>SUMIF(数据源!R2474:R11040,C1935,数据源!M2474:M11040)</f>
        <v>0</v>
      </c>
    </row>
    <row r="1936" spans="2:5">
      <c r="B1936" t="s">
        <v>2700</v>
      </c>
      <c r="D1936" t="s">
        <v>25</v>
      </c>
      <c r="E1936">
        <f>SUMIF(数据源!R1508:R10074,C1936,数据源!M1508:M10074)</f>
        <v>0</v>
      </c>
    </row>
    <row r="1937" spans="2:5">
      <c r="B1937" t="s">
        <v>2690</v>
      </c>
      <c r="D1937" t="s">
        <v>25</v>
      </c>
      <c r="E1937">
        <f>SUMIF(数据源!R1400:R9966,C1937,数据源!M1400:M9966)</f>
        <v>0</v>
      </c>
    </row>
    <row r="1938" spans="2:5">
      <c r="B1938" t="s">
        <v>2688</v>
      </c>
      <c r="D1938" t="s">
        <v>25</v>
      </c>
      <c r="E1938">
        <f>SUMIF(数据源!R1125:R9691,C1938,数据源!M1125:M9691)</f>
        <v>0</v>
      </c>
    </row>
    <row r="1939" spans="2:5">
      <c r="B1939" t="s">
        <v>2699</v>
      </c>
      <c r="D1939" t="s">
        <v>26</v>
      </c>
      <c r="E1939">
        <f>SUMIF(数据源!R2430:R10996,C1939,数据源!M2430:M10996)</f>
        <v>0</v>
      </c>
    </row>
    <row r="1940" spans="2:5">
      <c r="B1940" t="s">
        <v>2698</v>
      </c>
      <c r="D1940" t="s">
        <v>27</v>
      </c>
      <c r="E1940">
        <f>SUMIF(数据源!R3107:R11673,C1940,数据源!M3107:M11673)</f>
        <v>0</v>
      </c>
    </row>
    <row r="1941" spans="2:5">
      <c r="B1941" t="s">
        <v>2685</v>
      </c>
      <c r="D1941" t="s">
        <v>25</v>
      </c>
      <c r="E1941">
        <f>SUMIF(数据源!R505:R9071,C1941,数据源!M505:M9071)</f>
        <v>0</v>
      </c>
    </row>
    <row r="1942" spans="2:5">
      <c r="B1942" t="s">
        <v>2688</v>
      </c>
      <c r="D1942" t="s">
        <v>25</v>
      </c>
      <c r="E1942">
        <f>SUMIF(数据源!R1094:R9660,C1942,数据源!M1094:M9660)</f>
        <v>0</v>
      </c>
    </row>
    <row r="1943" spans="2:5">
      <c r="B1943" t="s">
        <v>2697</v>
      </c>
      <c r="D1943" t="s">
        <v>26</v>
      </c>
      <c r="E1943">
        <f>SUMIF(数据源!R2155:R10721,C1943,数据源!M2155:M10721)</f>
        <v>0</v>
      </c>
    </row>
    <row r="1944" spans="2:5">
      <c r="B1944" t="s">
        <v>2694</v>
      </c>
      <c r="D1944" t="s">
        <v>25</v>
      </c>
      <c r="E1944">
        <f>SUMIF(数据源!R1678:R10244,C1944,数据源!M1678:M10244)</f>
        <v>0</v>
      </c>
    </row>
    <row r="1945" spans="2:5">
      <c r="B1945" t="s">
        <v>2689</v>
      </c>
      <c r="D1945" t="s">
        <v>25</v>
      </c>
      <c r="E1945">
        <f>SUMIF(数据源!R65:R8631,C1945,数据源!M65:M8631)</f>
        <v>0</v>
      </c>
    </row>
    <row r="1946" spans="2:5">
      <c r="B1946" t="s">
        <v>2698</v>
      </c>
      <c r="D1946" t="s">
        <v>27</v>
      </c>
      <c r="E1946">
        <f>SUMIF(数据源!R3254:R11820,C1946,数据源!M3254:M11820)</f>
        <v>0</v>
      </c>
    </row>
    <row r="1947" spans="2:5">
      <c r="B1947" t="s">
        <v>2697</v>
      </c>
      <c r="D1947" t="s">
        <v>26</v>
      </c>
      <c r="E1947">
        <f>SUMIF(数据源!R2334:R10900,C1947,数据源!M2334:M10900)</f>
        <v>0</v>
      </c>
    </row>
    <row r="1948" spans="2:5">
      <c r="B1948" t="s">
        <v>2687</v>
      </c>
      <c r="D1948" t="s">
        <v>25</v>
      </c>
      <c r="E1948">
        <f>SUMIF(数据源!R668:R9234,C1948,数据源!M668:M9234)</f>
        <v>0</v>
      </c>
    </row>
    <row r="1949" spans="2:5">
      <c r="B1949" t="s">
        <v>2688</v>
      </c>
      <c r="D1949" t="s">
        <v>25</v>
      </c>
      <c r="E1949">
        <f>SUMIF(数据源!R813:R9379,C1949,数据源!M813:M9379)</f>
        <v>0</v>
      </c>
    </row>
    <row r="1950" spans="2:5">
      <c r="B1950" t="s">
        <v>2698</v>
      </c>
      <c r="D1950" t="s">
        <v>27</v>
      </c>
      <c r="E1950">
        <f>SUMIF(数据源!R3048:R11614,C1950,数据源!M3048:M11614)</f>
        <v>0</v>
      </c>
    </row>
    <row r="1951" spans="2:5">
      <c r="B1951" t="s">
        <v>2697</v>
      </c>
      <c r="D1951" t="s">
        <v>26</v>
      </c>
      <c r="E1951">
        <f>SUMIF(数据源!R2323:R10889,C1951,数据源!M2323:M10889)</f>
        <v>0</v>
      </c>
    </row>
    <row r="1952" spans="2:5">
      <c r="B1952" t="s">
        <v>2694</v>
      </c>
      <c r="D1952" t="s">
        <v>25</v>
      </c>
      <c r="E1952">
        <f>SUMIF(数据源!R1789:R10355,C1952,数据源!M1789:M10355)</f>
        <v>0</v>
      </c>
    </row>
    <row r="1953" spans="2:5">
      <c r="B1953" t="s">
        <v>2689</v>
      </c>
      <c r="D1953" t="s">
        <v>25</v>
      </c>
      <c r="E1953">
        <f>SUMIF(数据源!R8:R8574,C1953,数据源!M8:M8574)</f>
        <v>0</v>
      </c>
    </row>
    <row r="1954" spans="2:5">
      <c r="B1954" t="s">
        <v>2688</v>
      </c>
      <c r="D1954" t="s">
        <v>25</v>
      </c>
      <c r="E1954">
        <f>SUMIF(数据源!R760:R9326,C1954,数据源!M760:M9326)</f>
        <v>0</v>
      </c>
    </row>
    <row r="1955" spans="2:5">
      <c r="B1955" t="s">
        <v>2696</v>
      </c>
      <c r="D1955" t="s">
        <v>27</v>
      </c>
      <c r="E1955">
        <f>SUMIF(数据源!R2823:R11389,C1955,数据源!M2823:M11389)</f>
        <v>0</v>
      </c>
    </row>
    <row r="1956" spans="2:5">
      <c r="B1956" t="s">
        <v>2698</v>
      </c>
      <c r="D1956" t="s">
        <v>27</v>
      </c>
      <c r="E1956">
        <f>SUMIF(数据源!R3321:R11887,C1956,数据源!M3321:M11887)</f>
        <v>0</v>
      </c>
    </row>
    <row r="1957" spans="2:5">
      <c r="B1957" t="s">
        <v>2697</v>
      </c>
      <c r="D1957" t="s">
        <v>26</v>
      </c>
      <c r="E1957">
        <f>SUMIF(数据源!R2406:R10972,C1957,数据源!M2406:M10972)</f>
        <v>0</v>
      </c>
    </row>
    <row r="1958" spans="2:5">
      <c r="B1958" t="s">
        <v>2698</v>
      </c>
      <c r="D1958" t="s">
        <v>27</v>
      </c>
      <c r="E1958">
        <f>SUMIF(数据源!R3290:R11856,C1958,数据源!M3290:M11856)</f>
        <v>0</v>
      </c>
    </row>
    <row r="1959" spans="2:5">
      <c r="B1959" t="s">
        <v>2689</v>
      </c>
      <c r="D1959" t="s">
        <v>25</v>
      </c>
      <c r="E1959">
        <f>SUMIF(数据源!R2:R8568,C1959,数据源!M2:M8568)</f>
        <v>0</v>
      </c>
    </row>
    <row r="1960" spans="2:5">
      <c r="B1960" t="s">
        <v>2685</v>
      </c>
      <c r="D1960" t="s">
        <v>25</v>
      </c>
      <c r="E1960">
        <f>SUMIF(数据源!R176:R8742,C1960,数据源!M176:M8742)</f>
        <v>0</v>
      </c>
    </row>
    <row r="1961" spans="2:5">
      <c r="B1961" t="s">
        <v>2695</v>
      </c>
      <c r="D1961" t="s">
        <v>26</v>
      </c>
      <c r="E1961">
        <f>SUMIF(数据源!R1919:R10485,C1961,数据源!M1919:M10485)</f>
        <v>0</v>
      </c>
    </row>
    <row r="1962" spans="2:5">
      <c r="B1962" t="s">
        <v>2694</v>
      </c>
      <c r="D1962" t="s">
        <v>25</v>
      </c>
      <c r="E1962">
        <f>SUMIF(数据源!R1697:R10263,C1962,数据源!M1697:M10263)</f>
        <v>0</v>
      </c>
    </row>
    <row r="1963" spans="2:5">
      <c r="B1963" t="s">
        <v>2692</v>
      </c>
      <c r="D1963" t="s">
        <v>25</v>
      </c>
      <c r="E1963">
        <f>SUMIF(数据源!R571:R9137,C1963,数据源!M571:M9137)</f>
        <v>0</v>
      </c>
    </row>
    <row r="1964" spans="2:5">
      <c r="B1964" t="s">
        <v>2688</v>
      </c>
      <c r="D1964" t="s">
        <v>25</v>
      </c>
      <c r="E1964">
        <f>SUMIF(数据源!R1042:R9608,C1964,数据源!M1042:M9608)</f>
        <v>0</v>
      </c>
    </row>
    <row r="1965" spans="2:5">
      <c r="B1965" t="s">
        <v>2690</v>
      </c>
      <c r="D1965" t="s">
        <v>25</v>
      </c>
      <c r="E1965">
        <f>SUMIF(数据源!R1432:R9998,C1965,数据源!M1432:M9998)</f>
        <v>0</v>
      </c>
    </row>
    <row r="1966" spans="2:5">
      <c r="B1966" t="s">
        <v>2688</v>
      </c>
      <c r="D1966" t="s">
        <v>25</v>
      </c>
      <c r="E1966">
        <f>SUMIF(数据源!R788:R9354,C1966,数据源!M788:M9354)</f>
        <v>0</v>
      </c>
    </row>
    <row r="1967" spans="2:5">
      <c r="B1967" t="s">
        <v>2689</v>
      </c>
      <c r="D1967" t="s">
        <v>25</v>
      </c>
      <c r="E1967">
        <f>SUMIF(数据源!R77:R8643,C1967,数据源!M77:M8643)</f>
        <v>0</v>
      </c>
    </row>
    <row r="1968" spans="2:5">
      <c r="B1968" t="s">
        <v>2685</v>
      </c>
      <c r="D1968" t="s">
        <v>25</v>
      </c>
      <c r="E1968">
        <f>SUMIF(数据源!R256:R8822,C1968,数据源!M256:M8822)</f>
        <v>0</v>
      </c>
    </row>
    <row r="1969" spans="2:5">
      <c r="B1969" t="s">
        <v>2696</v>
      </c>
      <c r="D1969" t="s">
        <v>27</v>
      </c>
      <c r="E1969">
        <f>SUMIF(数据源!R2594:R11160,C1969,数据源!M2594:M11160)</f>
        <v>0</v>
      </c>
    </row>
    <row r="1970" spans="2:5">
      <c r="B1970" t="s">
        <v>2692</v>
      </c>
      <c r="D1970" t="s">
        <v>25</v>
      </c>
      <c r="E1970">
        <f>SUMIF(数据源!R534:R9100,C1970,数据源!M534:M9100)</f>
        <v>0</v>
      </c>
    </row>
    <row r="1971" spans="2:5">
      <c r="B1971" t="s">
        <v>2688</v>
      </c>
      <c r="D1971" t="s">
        <v>25</v>
      </c>
      <c r="E1971">
        <f>SUMIF(数据源!R750:R9316,C1971,数据源!M750:M9316)</f>
        <v>0</v>
      </c>
    </row>
    <row r="1972" spans="2:5">
      <c r="B1972" t="s">
        <v>2695</v>
      </c>
      <c r="D1972" t="s">
        <v>26</v>
      </c>
      <c r="E1972">
        <f>SUMIF(数据源!R1883:R10449,C1972,数据源!M1883:M10449)</f>
        <v>0</v>
      </c>
    </row>
    <row r="1973" spans="2:5">
      <c r="B1973" t="s">
        <v>2688</v>
      </c>
      <c r="D1973" t="s">
        <v>25</v>
      </c>
      <c r="E1973">
        <f>SUMIF(数据源!R901:R9467,C1973,数据源!M901:M9467)</f>
        <v>0</v>
      </c>
    </row>
    <row r="1974" spans="2:5">
      <c r="B1974" t="s">
        <v>2698</v>
      </c>
      <c r="D1974" t="s">
        <v>27</v>
      </c>
      <c r="E1974">
        <f>SUMIF(数据源!R3097:R11663,C1974,数据源!M3097:M11663)</f>
        <v>0</v>
      </c>
    </row>
    <row r="1975" spans="2:5">
      <c r="B1975" t="s">
        <v>2695</v>
      </c>
      <c r="D1975" t="s">
        <v>26</v>
      </c>
      <c r="E1975">
        <f>SUMIF(数据源!R1877:R10443,C1975,数据源!M1877:M10443)</f>
        <v>0</v>
      </c>
    </row>
    <row r="1976" spans="2:5">
      <c r="B1976" t="s">
        <v>2697</v>
      </c>
      <c r="D1976" t="s">
        <v>26</v>
      </c>
      <c r="E1976">
        <f>SUMIF(数据源!R2170:R10736,C1976,数据源!M2170:M10736)</f>
        <v>0</v>
      </c>
    </row>
    <row r="1977" spans="2:5">
      <c r="B1977" t="s">
        <v>2690</v>
      </c>
      <c r="D1977" t="s">
        <v>25</v>
      </c>
      <c r="E1977">
        <f>SUMIF(数据源!R1294:R9860,C1977,数据源!M1294:M9860)</f>
        <v>0</v>
      </c>
    </row>
    <row r="1978" spans="2:5">
      <c r="B1978" t="s">
        <v>2696</v>
      </c>
      <c r="D1978" t="s">
        <v>27</v>
      </c>
      <c r="E1978">
        <f>SUMIF(数据源!R2645:R11211,C1978,数据源!M2645:M11211)</f>
        <v>0</v>
      </c>
    </row>
    <row r="1979" spans="2:5">
      <c r="B1979" t="s">
        <v>2693</v>
      </c>
      <c r="D1979" t="s">
        <v>27</v>
      </c>
      <c r="E1979">
        <f>SUMIF(数据源!R2846:R11412,C1979,数据源!M2846:M11412)</f>
        <v>0</v>
      </c>
    </row>
    <row r="1980" spans="2:5">
      <c r="B1980" t="s">
        <v>2694</v>
      </c>
      <c r="D1980" t="s">
        <v>25</v>
      </c>
      <c r="E1980">
        <f>SUMIF(数据源!R1642:R10208,C1980,数据源!M1642:M10208)</f>
        <v>0</v>
      </c>
    </row>
    <row r="1981" spans="2:5">
      <c r="B1981" t="s">
        <v>2688</v>
      </c>
      <c r="D1981" t="s">
        <v>25</v>
      </c>
      <c r="E1981">
        <f>SUMIF(数据源!R1118:R9684,C1981,数据源!M1118:M9684)</f>
        <v>0</v>
      </c>
    </row>
    <row r="1982" spans="2:5">
      <c r="B1982" t="s">
        <v>2689</v>
      </c>
      <c r="D1982" t="s">
        <v>25</v>
      </c>
      <c r="E1982">
        <f>SUMIF(数据源!R173:R8739,C1982,数据源!M173:M8739)</f>
        <v>0</v>
      </c>
    </row>
    <row r="1983" spans="2:5">
      <c r="B1983" t="s">
        <v>2685</v>
      </c>
      <c r="D1983" t="s">
        <v>25</v>
      </c>
      <c r="E1983">
        <f>SUMIF(数据源!R532:R9098,C1983,数据源!M532:M9098)</f>
        <v>0</v>
      </c>
    </row>
    <row r="1984" spans="2:5">
      <c r="B1984" t="s">
        <v>2699</v>
      </c>
      <c r="D1984" t="s">
        <v>26</v>
      </c>
      <c r="E1984">
        <f>SUMIF(数据源!R2481:R11047,C1984,数据源!M2481:M11047)</f>
        <v>0</v>
      </c>
    </row>
    <row r="1985" spans="2:5">
      <c r="B1985" t="s">
        <v>2690</v>
      </c>
      <c r="D1985" t="s">
        <v>25</v>
      </c>
      <c r="E1985">
        <f>SUMIF(数据源!R1435:R10001,C1985,数据源!M1435:M10001)</f>
        <v>0</v>
      </c>
    </row>
    <row r="1986" spans="2:5">
      <c r="B1986" t="s">
        <v>2691</v>
      </c>
      <c r="D1986" t="s">
        <v>26</v>
      </c>
      <c r="E1986">
        <f>SUMIF(数据源!R2090:R10656,C1986,数据源!M2090:M10656)</f>
        <v>0</v>
      </c>
    </row>
    <row r="1987" spans="2:5">
      <c r="B1987" t="s">
        <v>2697</v>
      </c>
      <c r="D1987" t="s">
        <v>26</v>
      </c>
      <c r="E1987">
        <f>SUMIF(数据源!R2408:R10974,C1987,数据源!M2408:M10974)</f>
        <v>0</v>
      </c>
    </row>
    <row r="1988" spans="2:5">
      <c r="B1988" t="s">
        <v>2690</v>
      </c>
      <c r="D1988" t="s">
        <v>25</v>
      </c>
      <c r="E1988">
        <f>SUMIF(数据源!R1477:R10043,C1988,数据源!M1477:M10043)</f>
        <v>0</v>
      </c>
    </row>
    <row r="1989" spans="2:5">
      <c r="B1989" t="s">
        <v>2694</v>
      </c>
      <c r="D1989" t="s">
        <v>25</v>
      </c>
      <c r="E1989">
        <f>SUMIF(数据源!R1782:R10348,C1989,数据源!M1782:M10348)</f>
        <v>0</v>
      </c>
    </row>
    <row r="1990" spans="2:5">
      <c r="B1990" t="s">
        <v>2698</v>
      </c>
      <c r="D1990" t="s">
        <v>27</v>
      </c>
      <c r="E1990">
        <f>SUMIF(数据源!R3021:R11587,C1990,数据源!M3021:M11587)</f>
        <v>0</v>
      </c>
    </row>
    <row r="1991" spans="2:5">
      <c r="B1991" t="s">
        <v>2698</v>
      </c>
      <c r="D1991" t="s">
        <v>27</v>
      </c>
      <c r="E1991">
        <f>SUMIF(数据源!R3156:R11722,C1991,数据源!M3156:M11722)</f>
        <v>0</v>
      </c>
    </row>
    <row r="1992" spans="2:5">
      <c r="B1992" t="s">
        <v>2697</v>
      </c>
      <c r="D1992" t="s">
        <v>26</v>
      </c>
      <c r="E1992">
        <f>SUMIF(数据源!R2409:R10975,C1992,数据源!M2409:M10975)</f>
        <v>0</v>
      </c>
    </row>
    <row r="1993" spans="2:5">
      <c r="B1993" t="s">
        <v>2698</v>
      </c>
      <c r="D1993" t="s">
        <v>27</v>
      </c>
      <c r="E1993">
        <f>SUMIF(数据源!R3119:R11685,C1993,数据源!M3119:M11685)</f>
        <v>0</v>
      </c>
    </row>
    <row r="1994" spans="2:5">
      <c r="B1994" t="s">
        <v>2698</v>
      </c>
      <c r="D1994" t="s">
        <v>27</v>
      </c>
      <c r="E1994">
        <f>SUMIF(数据源!R3131:R11697,C1994,数据源!M3131:M11697)</f>
        <v>0</v>
      </c>
    </row>
    <row r="1995" spans="2:5">
      <c r="B1995" t="s">
        <v>2698</v>
      </c>
      <c r="D1995" t="s">
        <v>27</v>
      </c>
      <c r="E1995">
        <f>SUMIF(数据源!R3209:R11775,C1995,数据源!M3209:M11775)</f>
        <v>0</v>
      </c>
    </row>
    <row r="1996" spans="2:5">
      <c r="B1996" t="s">
        <v>2697</v>
      </c>
      <c r="D1996" t="s">
        <v>26</v>
      </c>
      <c r="E1996">
        <f>SUMIF(数据源!R2359:R10925,C1996,数据源!M2359:M10925)</f>
        <v>0</v>
      </c>
    </row>
    <row r="1997" spans="2:5">
      <c r="B1997" t="s">
        <v>2685</v>
      </c>
      <c r="D1997" t="s">
        <v>25</v>
      </c>
      <c r="E1997">
        <f>SUMIF(数据源!R467:R9033,C1997,数据源!M467:M9033)</f>
        <v>0</v>
      </c>
    </row>
    <row r="1998" spans="2:5">
      <c r="B1998" t="s">
        <v>2696</v>
      </c>
      <c r="D1998" t="s">
        <v>27</v>
      </c>
      <c r="E1998">
        <f>SUMIF(数据源!R2569:R11135,C1998,数据源!M2569:M11135)</f>
        <v>0</v>
      </c>
    </row>
    <row r="1999" spans="2:5">
      <c r="B1999" t="s">
        <v>2698</v>
      </c>
      <c r="D1999" t="s">
        <v>27</v>
      </c>
      <c r="E1999">
        <f>SUMIF(数据源!R3035:R11601,C1999,数据源!M3035:M11601)</f>
        <v>0</v>
      </c>
    </row>
    <row r="2000" spans="2:5">
      <c r="B2000" t="s">
        <v>2696</v>
      </c>
      <c r="D2000" t="s">
        <v>27</v>
      </c>
      <c r="E2000">
        <f>SUMIF(数据源!R2795:R11361,C2000,数据源!M2795:M11361)</f>
        <v>0</v>
      </c>
    </row>
    <row r="2001" spans="2:5">
      <c r="B2001" t="s">
        <v>2698</v>
      </c>
      <c r="D2001" t="s">
        <v>27</v>
      </c>
      <c r="E2001">
        <f>SUMIF(数据源!R3285:R11851,C2001,数据源!M3285:M11851)</f>
        <v>0</v>
      </c>
    </row>
    <row r="2002" spans="2:5">
      <c r="B2002" t="s">
        <v>2685</v>
      </c>
      <c r="D2002" t="s">
        <v>25</v>
      </c>
      <c r="E2002">
        <f>SUMIF(数据源!R307:R8873,C2002,数据源!M307:M8873)</f>
        <v>0</v>
      </c>
    </row>
    <row r="2003" spans="2:5">
      <c r="B2003" t="s">
        <v>2688</v>
      </c>
      <c r="D2003" t="s">
        <v>25</v>
      </c>
      <c r="E2003">
        <f>SUMIF(数据源!R777:R9343,C2003,数据源!M777:M9343)</f>
        <v>0</v>
      </c>
    </row>
    <row r="2004" spans="2:5">
      <c r="B2004" t="s">
        <v>2696</v>
      </c>
      <c r="D2004" t="s">
        <v>27</v>
      </c>
      <c r="E2004">
        <f>SUMIF(数据源!R2803:R11369,C2004,数据源!M2803:M11369)</f>
        <v>0</v>
      </c>
    </row>
    <row r="2005" spans="2:5">
      <c r="B2005" t="s">
        <v>2686</v>
      </c>
      <c r="D2005" t="s">
        <v>27</v>
      </c>
      <c r="E2005">
        <f>SUMIF(数据源!R2992:R11558,C2005,数据源!M2992:M11558)</f>
        <v>0</v>
      </c>
    </row>
    <row r="2006" spans="2:5">
      <c r="B2006" t="s">
        <v>2688</v>
      </c>
      <c r="D2006" t="s">
        <v>25</v>
      </c>
      <c r="E2006">
        <f>SUMIF(数据源!R1214:R9780,C2006,数据源!M1214:M9780)</f>
        <v>0</v>
      </c>
    </row>
    <row r="2007" spans="2:5">
      <c r="B2007" t="s">
        <v>2699</v>
      </c>
      <c r="D2007" t="s">
        <v>26</v>
      </c>
      <c r="E2007">
        <f>SUMIF(数据源!R2549:R11115,C2007,数据源!M2549:M11115)</f>
        <v>0</v>
      </c>
    </row>
    <row r="2008" spans="2:5">
      <c r="B2008" t="s">
        <v>2688</v>
      </c>
      <c r="D2008" t="s">
        <v>25</v>
      </c>
      <c r="E2008">
        <f>SUMIF(数据源!R1112:R9678,C2008,数据源!M1112:M9678)</f>
        <v>0</v>
      </c>
    </row>
    <row r="2009" spans="2:5">
      <c r="B2009" t="s">
        <v>2700</v>
      </c>
      <c r="D2009" t="s">
        <v>25</v>
      </c>
      <c r="E2009">
        <f>SUMIF(数据源!R1559:R10125,C2009,数据源!M1559:M10125)</f>
        <v>0</v>
      </c>
    </row>
    <row r="2010" spans="2:5">
      <c r="B2010" t="s">
        <v>2685</v>
      </c>
      <c r="D2010" t="s">
        <v>25</v>
      </c>
      <c r="E2010">
        <f>SUMIF(数据源!R468:R9034,C2010,数据源!M468:M9034)</f>
        <v>0</v>
      </c>
    </row>
    <row r="2011" spans="2:5">
      <c r="B2011" t="s">
        <v>2699</v>
      </c>
      <c r="D2011" t="s">
        <v>26</v>
      </c>
      <c r="E2011">
        <f>SUMIF(数据源!R2429:R10995,C2011,数据源!M2429:M10995)</f>
        <v>0</v>
      </c>
    </row>
    <row r="2012" spans="2:5">
      <c r="B2012" t="s">
        <v>2687</v>
      </c>
      <c r="D2012" t="s">
        <v>25</v>
      </c>
      <c r="E2012">
        <f>SUMIF(数据源!R651:R9217,C2012,数据源!M651:M9217)</f>
        <v>0</v>
      </c>
    </row>
    <row r="2013" spans="2:5">
      <c r="B2013" t="s">
        <v>2690</v>
      </c>
      <c r="D2013" t="s">
        <v>25</v>
      </c>
      <c r="E2013">
        <f>SUMIF(数据源!R1245:R9811,C2013,数据源!M1245:M9811)</f>
        <v>0</v>
      </c>
    </row>
    <row r="2014" spans="2:5">
      <c r="B2014" t="s">
        <v>2696</v>
      </c>
      <c r="D2014" t="s">
        <v>27</v>
      </c>
      <c r="E2014">
        <f>SUMIF(数据源!R2581:R11147,C2014,数据源!M2581:M11147)</f>
        <v>0</v>
      </c>
    </row>
    <row r="2015" spans="2:5">
      <c r="B2015" t="s">
        <v>2691</v>
      </c>
      <c r="D2015" t="s">
        <v>26</v>
      </c>
      <c r="E2015">
        <f>SUMIF(数据源!R1941:R10507,C2015,数据源!M1941:M10507)</f>
        <v>0</v>
      </c>
    </row>
    <row r="2016" spans="2:5">
      <c r="B2016" t="s">
        <v>2688</v>
      </c>
      <c r="D2016" t="s">
        <v>25</v>
      </c>
      <c r="E2016">
        <f>SUMIF(数据源!R793:R9359,C2016,数据源!M793:M9359)</f>
        <v>0</v>
      </c>
    </row>
    <row r="2017" spans="2:5">
      <c r="B2017" t="s">
        <v>2691</v>
      </c>
      <c r="D2017" t="s">
        <v>26</v>
      </c>
      <c r="E2017">
        <f>SUMIF(数据源!R1948:R10514,C2017,数据源!M1948:M10514)</f>
        <v>0</v>
      </c>
    </row>
    <row r="2018" spans="2:5">
      <c r="B2018" t="s">
        <v>2699</v>
      </c>
      <c r="D2018" t="s">
        <v>26</v>
      </c>
      <c r="E2018">
        <f>SUMIF(数据源!R2434:R11000,C2018,数据源!M2434:M11000)</f>
        <v>0</v>
      </c>
    </row>
    <row r="2019" spans="2:5">
      <c r="B2019" t="s">
        <v>2689</v>
      </c>
      <c r="D2019" t="s">
        <v>25</v>
      </c>
      <c r="E2019">
        <f>SUMIF(数据源!R64:R8630,C2019,数据源!M64:M8630)</f>
        <v>0</v>
      </c>
    </row>
    <row r="2020" spans="2:5">
      <c r="B2020" t="s">
        <v>2698</v>
      </c>
      <c r="D2020" t="s">
        <v>27</v>
      </c>
      <c r="E2020">
        <f>SUMIF(数据源!R3280:R11846,C2020,数据源!M3280:M11846)</f>
        <v>0</v>
      </c>
    </row>
    <row r="2021" spans="2:5">
      <c r="B2021" t="s">
        <v>2688</v>
      </c>
      <c r="D2021" t="s">
        <v>25</v>
      </c>
      <c r="E2021">
        <f>SUMIF(数据源!R839:R9405,C2021,数据源!M839:M9405)</f>
        <v>0</v>
      </c>
    </row>
    <row r="2022" spans="2:5">
      <c r="B2022" t="s">
        <v>2697</v>
      </c>
      <c r="D2022" t="s">
        <v>26</v>
      </c>
      <c r="E2022">
        <f>SUMIF(数据源!R2273:R10839,C2022,数据源!M2273:M10839)</f>
        <v>0</v>
      </c>
    </row>
    <row r="2023" spans="2:5">
      <c r="B2023" t="s">
        <v>2699</v>
      </c>
      <c r="D2023" t="s">
        <v>26</v>
      </c>
      <c r="E2023">
        <f>SUMIF(数据源!R2417:R10983,C2023,数据源!M2417:M10983)</f>
        <v>0</v>
      </c>
    </row>
    <row r="2024" spans="2:5">
      <c r="B2024" t="s">
        <v>2697</v>
      </c>
      <c r="D2024" t="s">
        <v>26</v>
      </c>
      <c r="E2024">
        <f>SUMIF(数据源!R2178:R10744,C2024,数据源!M2178:M10744)</f>
        <v>0</v>
      </c>
    </row>
    <row r="2025" spans="2:5">
      <c r="B2025" t="s">
        <v>2689</v>
      </c>
      <c r="D2025" t="s">
        <v>25</v>
      </c>
      <c r="E2025">
        <f>SUMIF(数据源!R168:R8734,C2025,数据源!M168:M8734)</f>
        <v>0</v>
      </c>
    </row>
    <row r="2026" spans="2:5">
      <c r="B2026" t="s">
        <v>2691</v>
      </c>
      <c r="D2026" t="s">
        <v>26</v>
      </c>
      <c r="E2026">
        <f>SUMIF(数据源!R2069:R10635,C2026,数据源!M2069:M10635)</f>
        <v>0</v>
      </c>
    </row>
    <row r="2027" spans="2:5">
      <c r="B2027" t="s">
        <v>2690</v>
      </c>
      <c r="D2027" t="s">
        <v>25</v>
      </c>
      <c r="E2027">
        <f>SUMIF(数据源!R1433:R9999,C2027,数据源!M1433:M9999)</f>
        <v>0</v>
      </c>
    </row>
    <row r="2028" spans="2:5">
      <c r="B2028" t="s">
        <v>2700</v>
      </c>
      <c r="D2028" t="s">
        <v>25</v>
      </c>
      <c r="E2028">
        <f>SUMIF(数据源!R1547:R10113,C2028,数据源!M1547:M10113)</f>
        <v>0</v>
      </c>
    </row>
    <row r="2029" spans="2:5">
      <c r="B2029" t="s">
        <v>2692</v>
      </c>
      <c r="D2029" t="s">
        <v>25</v>
      </c>
      <c r="E2029">
        <f>SUMIF(数据源!R625:R9191,C2029,数据源!M625:M9191)</f>
        <v>0</v>
      </c>
    </row>
    <row r="2030" spans="2:5">
      <c r="B2030" t="s">
        <v>2691</v>
      </c>
      <c r="D2030" t="s">
        <v>26</v>
      </c>
      <c r="E2030">
        <f>SUMIF(数据源!R2083:R10649,C2030,数据源!M2083:M10649)</f>
        <v>0</v>
      </c>
    </row>
    <row r="2031" spans="2:5">
      <c r="B2031" t="s">
        <v>2697</v>
      </c>
      <c r="D2031" t="s">
        <v>26</v>
      </c>
      <c r="E2031">
        <f>SUMIF(数据源!R2388:R10954,C2031,数据源!M2388:M10954)</f>
        <v>0</v>
      </c>
    </row>
    <row r="2032" spans="2:5">
      <c r="B2032" t="s">
        <v>2698</v>
      </c>
      <c r="D2032" t="s">
        <v>27</v>
      </c>
      <c r="E2032">
        <f>SUMIF(数据源!R3056:R11622,C2032,数据源!M3056:M11622)</f>
        <v>0</v>
      </c>
    </row>
    <row r="2033" spans="2:5">
      <c r="B2033" t="s">
        <v>2688</v>
      </c>
      <c r="D2033" t="s">
        <v>25</v>
      </c>
      <c r="E2033">
        <f>SUMIF(数据源!R1062:R9628,C2033,数据源!M1062:M9628)</f>
        <v>0</v>
      </c>
    </row>
    <row r="2034" spans="2:5">
      <c r="B2034" t="s">
        <v>2686</v>
      </c>
      <c r="D2034" t="s">
        <v>27</v>
      </c>
      <c r="E2034">
        <f>SUMIF(数据源!R3005:R11571,C2034,数据源!M3005:M11571)</f>
        <v>0</v>
      </c>
    </row>
    <row r="2035" spans="2:5">
      <c r="B2035" t="s">
        <v>2685</v>
      </c>
      <c r="D2035" t="s">
        <v>25</v>
      </c>
      <c r="E2035">
        <f>SUMIF(数据源!R303:R8869,C2035,数据源!M303:M8869)</f>
        <v>0</v>
      </c>
    </row>
    <row r="2036" spans="2:5">
      <c r="B2036" t="s">
        <v>2696</v>
      </c>
      <c r="D2036" t="s">
        <v>27</v>
      </c>
      <c r="E2036">
        <f>SUMIF(数据源!R2790:R11356,C2036,数据源!M2790:M11356)</f>
        <v>0</v>
      </c>
    </row>
    <row r="2037" spans="2:5">
      <c r="B2037" t="s">
        <v>2690</v>
      </c>
      <c r="D2037" t="s">
        <v>25</v>
      </c>
      <c r="E2037">
        <f>SUMIF(数据源!R1446:R10012,C2037,数据源!M1446:M10012)</f>
        <v>0</v>
      </c>
    </row>
    <row r="2038" spans="2:5">
      <c r="B2038" t="s">
        <v>2687</v>
      </c>
      <c r="D2038" t="s">
        <v>25</v>
      </c>
      <c r="E2038">
        <f>SUMIF(数据源!R691:R9257,C2038,数据源!M691:M9257)</f>
        <v>0</v>
      </c>
    </row>
    <row r="2039" spans="2:5">
      <c r="B2039" t="s">
        <v>2688</v>
      </c>
      <c r="D2039" t="s">
        <v>25</v>
      </c>
      <c r="E2039">
        <f>SUMIF(数据源!R873:R9439,C2039,数据源!M873:M9439)</f>
        <v>0</v>
      </c>
    </row>
    <row r="2040" spans="2:5">
      <c r="B2040" t="s">
        <v>2688</v>
      </c>
      <c r="D2040" t="s">
        <v>25</v>
      </c>
      <c r="E2040">
        <f>SUMIF(数据源!R1065:R9631,C2040,数据源!M1065:M9631)</f>
        <v>0</v>
      </c>
    </row>
    <row r="2041" spans="2:5">
      <c r="B2041" t="s">
        <v>2694</v>
      </c>
      <c r="D2041" t="s">
        <v>25</v>
      </c>
      <c r="E2041">
        <f>SUMIF(数据源!R1664:R10230,C2041,数据源!M1664:M10230)</f>
        <v>0</v>
      </c>
    </row>
    <row r="2042" spans="2:5">
      <c r="B2042" t="s">
        <v>2685</v>
      </c>
      <c r="D2042" t="s">
        <v>25</v>
      </c>
      <c r="E2042">
        <f>SUMIF(数据源!R228:R8794,C2042,数据源!M228:M8794)</f>
        <v>0</v>
      </c>
    </row>
    <row r="2043" spans="2:5">
      <c r="B2043" t="s">
        <v>2699</v>
      </c>
      <c r="D2043" t="s">
        <v>26</v>
      </c>
      <c r="E2043">
        <f>SUMIF(数据源!R2547:R11113,C2043,数据源!M2547:M11113)</f>
        <v>0</v>
      </c>
    </row>
    <row r="2044" spans="2:5">
      <c r="B2044" t="s">
        <v>2688</v>
      </c>
      <c r="D2044" t="s">
        <v>25</v>
      </c>
      <c r="E2044">
        <f>SUMIF(数据源!R1096:R9662,C2044,数据源!M1096:M9662)</f>
        <v>0</v>
      </c>
    </row>
    <row r="2045" spans="2:5">
      <c r="B2045" t="s">
        <v>2685</v>
      </c>
      <c r="D2045" t="s">
        <v>25</v>
      </c>
      <c r="E2045">
        <f>SUMIF(数据源!R527:R9093,C2045,数据源!M527:M9093)</f>
        <v>0</v>
      </c>
    </row>
    <row r="2046" spans="2:5">
      <c r="B2046" t="s">
        <v>2688</v>
      </c>
      <c r="D2046" t="s">
        <v>25</v>
      </c>
      <c r="E2046">
        <f>SUMIF(数据源!R1173:R9739,C2046,数据源!M1173:M9739)</f>
        <v>0</v>
      </c>
    </row>
    <row r="2047" spans="2:5">
      <c r="B2047" t="s">
        <v>2695</v>
      </c>
      <c r="D2047" t="s">
        <v>26</v>
      </c>
      <c r="E2047">
        <f>SUMIF(数据源!R1929:R10495,C2047,数据源!M1929:M10495)</f>
        <v>0</v>
      </c>
    </row>
    <row r="2048" spans="2:5">
      <c r="B2048" t="s">
        <v>2688</v>
      </c>
      <c r="D2048" t="s">
        <v>25</v>
      </c>
      <c r="E2048">
        <f>SUMIF(数据源!R1150:R9716,C2048,数据源!M1150:M9716)</f>
        <v>0</v>
      </c>
    </row>
    <row r="2049" spans="2:5">
      <c r="B2049" t="s">
        <v>2700</v>
      </c>
      <c r="D2049" t="s">
        <v>25</v>
      </c>
      <c r="E2049">
        <f>SUMIF(数据源!R1563:R10129,C2049,数据源!M1563:M10129)</f>
        <v>0</v>
      </c>
    </row>
    <row r="2050" spans="2:5">
      <c r="B2050" t="s">
        <v>2688</v>
      </c>
      <c r="D2050" t="s">
        <v>25</v>
      </c>
      <c r="E2050">
        <f>SUMIF(数据源!R1126:R9692,C2050,数据源!M1126:M9692)</f>
        <v>0</v>
      </c>
    </row>
    <row r="2051" spans="2:5">
      <c r="B2051" t="s">
        <v>2698</v>
      </c>
      <c r="D2051" t="s">
        <v>27</v>
      </c>
      <c r="E2051">
        <f>SUMIF(数据源!R3207:R11773,C2051,数据源!M3207:M11773)</f>
        <v>0</v>
      </c>
    </row>
    <row r="2052" spans="2:5">
      <c r="B2052" t="s">
        <v>2685</v>
      </c>
      <c r="D2052" t="s">
        <v>25</v>
      </c>
      <c r="E2052">
        <f>SUMIF(数据源!R190:R8756,C2052,数据源!M190:M8756)</f>
        <v>0</v>
      </c>
    </row>
    <row r="2053" spans="2:5">
      <c r="B2053" t="s">
        <v>2688</v>
      </c>
      <c r="D2053" t="s">
        <v>25</v>
      </c>
      <c r="E2053">
        <f>SUMIF(数据源!R775:R9341,C2053,数据源!M775:M9341)</f>
        <v>0</v>
      </c>
    </row>
    <row r="2054" spans="2:5">
      <c r="B2054" t="s">
        <v>2693</v>
      </c>
      <c r="D2054" t="s">
        <v>27</v>
      </c>
      <c r="E2054">
        <f>SUMIF(数据源!R2856:R11422,C2054,数据源!M2856:M11422)</f>
        <v>0</v>
      </c>
    </row>
    <row r="2055" spans="2:5">
      <c r="B2055" t="s">
        <v>2694</v>
      </c>
      <c r="D2055" t="s">
        <v>25</v>
      </c>
      <c r="E2055">
        <f>SUMIF(数据源!R1781:R10347,C2055,数据源!M1781:M10347)</f>
        <v>0</v>
      </c>
    </row>
    <row r="2056" spans="2:5">
      <c r="B2056" t="s">
        <v>2691</v>
      </c>
      <c r="D2056" t="s">
        <v>26</v>
      </c>
      <c r="E2056">
        <f>SUMIF(数据源!R2075:R10641,C2056,数据源!M2075:M10641)</f>
        <v>0</v>
      </c>
    </row>
    <row r="2057" spans="2:5">
      <c r="B2057" t="s">
        <v>2697</v>
      </c>
      <c r="D2057" t="s">
        <v>26</v>
      </c>
      <c r="E2057">
        <f>SUMIF(数据源!R2364:R10930,C2057,数据源!M2364:M10930)</f>
        <v>0</v>
      </c>
    </row>
    <row r="2058" spans="2:5">
      <c r="B2058" t="s">
        <v>2685</v>
      </c>
      <c r="D2058" t="s">
        <v>25</v>
      </c>
      <c r="E2058">
        <f>SUMIF(数据源!R343:R8909,C2058,数据源!M343:M8909)</f>
        <v>0</v>
      </c>
    </row>
    <row r="2059" spans="2:5">
      <c r="B2059" t="s">
        <v>2695</v>
      </c>
      <c r="D2059" t="s">
        <v>26</v>
      </c>
      <c r="E2059">
        <f>SUMIF(数据源!R1928:R10494,C2059,数据源!M1928:M10494)</f>
        <v>0</v>
      </c>
    </row>
    <row r="2060" spans="2:5">
      <c r="B2060" t="s">
        <v>2688</v>
      </c>
      <c r="D2060" t="s">
        <v>25</v>
      </c>
      <c r="E2060">
        <f>SUMIF(数据源!R1120:R9686,C2060,数据源!M1120:M9686)</f>
        <v>0</v>
      </c>
    </row>
    <row r="2061" spans="2:5">
      <c r="B2061" t="s">
        <v>2698</v>
      </c>
      <c r="D2061" t="s">
        <v>27</v>
      </c>
      <c r="E2061">
        <f>SUMIF(数据源!R3084:R11650,C2061,数据源!M3084:M11650)</f>
        <v>0</v>
      </c>
    </row>
    <row r="2062" spans="2:5">
      <c r="B2062" t="s">
        <v>2688</v>
      </c>
      <c r="D2062" t="s">
        <v>25</v>
      </c>
      <c r="E2062">
        <f>SUMIF(数据源!R790:R9356,C2062,数据源!M790:M9356)</f>
        <v>0</v>
      </c>
    </row>
    <row r="2063" spans="2:5">
      <c r="B2063" t="s">
        <v>2686</v>
      </c>
      <c r="D2063" t="s">
        <v>27</v>
      </c>
      <c r="E2063">
        <f>SUMIF(数据源!R3009:R11575,C2063,数据源!M3009:M11575)</f>
        <v>0</v>
      </c>
    </row>
    <row r="2064" spans="2:5">
      <c r="B2064" t="s">
        <v>2699</v>
      </c>
      <c r="D2064" t="s">
        <v>26</v>
      </c>
      <c r="E2064">
        <f>SUMIF(数据源!R2559:R11125,C2064,数据源!M2559:M11125)</f>
        <v>0</v>
      </c>
    </row>
    <row r="2065" spans="2:5">
      <c r="B2065" t="s">
        <v>2685</v>
      </c>
      <c r="D2065" t="s">
        <v>25</v>
      </c>
      <c r="E2065">
        <f>SUMIF(数据源!R533:R9099,C2065,数据源!M533:M9099)</f>
        <v>0</v>
      </c>
    </row>
    <row r="2066" spans="2:5">
      <c r="B2066" t="s">
        <v>2688</v>
      </c>
      <c r="D2066" t="s">
        <v>25</v>
      </c>
      <c r="E2066">
        <f>SUMIF(数据源!R1200:R9766,C2066,数据源!M1200:M9766)</f>
        <v>0</v>
      </c>
    </row>
    <row r="2067" spans="2:5">
      <c r="B2067" t="s">
        <v>2696</v>
      </c>
      <c r="D2067" t="s">
        <v>27</v>
      </c>
      <c r="E2067">
        <f>SUMIF(数据源!R2598:R11164,C2067,数据源!M2598:M11164)</f>
        <v>0</v>
      </c>
    </row>
    <row r="2068" spans="2:5">
      <c r="B2068" t="s">
        <v>2694</v>
      </c>
      <c r="D2068" t="s">
        <v>25</v>
      </c>
      <c r="E2068">
        <f>SUMIF(数据源!R1854:R10420,C2068,数据源!M1854:M10420)</f>
        <v>0</v>
      </c>
    </row>
    <row r="2069" spans="2:5">
      <c r="B2069" t="s">
        <v>2689</v>
      </c>
      <c r="D2069" t="s">
        <v>25</v>
      </c>
      <c r="E2069">
        <f>SUMIF(数据源!R70:R8636,C2069,数据源!M70:M8636)</f>
        <v>0</v>
      </c>
    </row>
    <row r="2070" spans="2:5">
      <c r="B2070" t="s">
        <v>2688</v>
      </c>
      <c r="D2070" t="s">
        <v>25</v>
      </c>
      <c r="E2070">
        <f>SUMIF(数据源!R890:R9456,C2070,数据源!M890:M9456)</f>
        <v>0</v>
      </c>
    </row>
    <row r="2071" spans="2:5">
      <c r="B2071" t="s">
        <v>2687</v>
      </c>
      <c r="D2071" t="s">
        <v>25</v>
      </c>
      <c r="E2071">
        <f>SUMIF(数据源!R690:R9256,C2071,数据源!M690:M9256)</f>
        <v>0</v>
      </c>
    </row>
    <row r="2072" spans="2:5">
      <c r="B2072" t="s">
        <v>2690</v>
      </c>
      <c r="D2072" t="s">
        <v>25</v>
      </c>
      <c r="E2072">
        <f>SUMIF(数据源!R1305:R9871,C2072,数据源!M1305:M9871)</f>
        <v>0</v>
      </c>
    </row>
    <row r="2073" spans="2:5">
      <c r="B2073" t="s">
        <v>2694</v>
      </c>
      <c r="D2073" t="s">
        <v>25</v>
      </c>
      <c r="E2073">
        <f>SUMIF(数据源!R1691:R10257,C2073,数据源!M1691:M10257)</f>
        <v>0</v>
      </c>
    </row>
    <row r="2074" spans="2:5">
      <c r="B2074" t="s">
        <v>2685</v>
      </c>
      <c r="D2074" t="s">
        <v>25</v>
      </c>
      <c r="E2074">
        <f>SUMIF(数据源!R289:R8855,C2074,数据源!M289:M8855)</f>
        <v>0</v>
      </c>
    </row>
    <row r="2075" spans="2:5">
      <c r="B2075" t="s">
        <v>2696</v>
      </c>
      <c r="D2075" t="s">
        <v>27</v>
      </c>
      <c r="E2075">
        <f>SUMIF(数据源!R2730:R11296,C2075,数据源!M2730:M11296)</f>
        <v>0</v>
      </c>
    </row>
    <row r="2076" spans="2:5">
      <c r="B2076" t="s">
        <v>2691</v>
      </c>
      <c r="D2076" t="s">
        <v>26</v>
      </c>
      <c r="E2076">
        <f>SUMIF(数据源!R2040:R10606,C2076,数据源!M2040:M10606)</f>
        <v>0</v>
      </c>
    </row>
    <row r="2077" spans="2:5">
      <c r="B2077" t="s">
        <v>2685</v>
      </c>
      <c r="D2077" t="s">
        <v>25</v>
      </c>
      <c r="E2077">
        <f>SUMIF(数据源!R319:R8885,C2077,数据源!M319:M8885)</f>
        <v>0</v>
      </c>
    </row>
    <row r="2078" spans="2:5">
      <c r="B2078" t="s">
        <v>2694</v>
      </c>
      <c r="D2078" t="s">
        <v>25</v>
      </c>
      <c r="E2078">
        <f>SUMIF(数据源!R1726:R10292,C2078,数据源!M1726:M10292)</f>
        <v>0</v>
      </c>
    </row>
    <row r="2079" spans="2:5">
      <c r="B2079" t="s">
        <v>2696</v>
      </c>
      <c r="D2079" t="s">
        <v>27</v>
      </c>
      <c r="E2079">
        <f>SUMIF(数据源!R2637:R11203,C2079,数据源!M2637:M11203)</f>
        <v>0</v>
      </c>
    </row>
    <row r="2080" spans="2:5">
      <c r="B2080" t="s">
        <v>2696</v>
      </c>
      <c r="D2080" t="s">
        <v>27</v>
      </c>
      <c r="E2080">
        <f>SUMIF(数据源!R2788:R11354,C2080,数据源!M2788:M11354)</f>
        <v>0</v>
      </c>
    </row>
    <row r="2081" spans="2:5">
      <c r="B2081" t="s">
        <v>2691</v>
      </c>
      <c r="D2081" t="s">
        <v>26</v>
      </c>
      <c r="E2081">
        <f>SUMIF(数据源!R1974:R10540,C2081,数据源!M1974:M10540)</f>
        <v>0</v>
      </c>
    </row>
    <row r="2082" spans="2:5">
      <c r="B2082" t="s">
        <v>2700</v>
      </c>
      <c r="D2082" t="s">
        <v>25</v>
      </c>
      <c r="E2082">
        <f>SUMIF(数据源!R1509:R10075,C2082,数据源!M1509:M10075)</f>
        <v>0</v>
      </c>
    </row>
    <row r="2083" spans="2:5">
      <c r="B2083" t="s">
        <v>2694</v>
      </c>
      <c r="D2083" t="s">
        <v>25</v>
      </c>
      <c r="E2083">
        <f>SUMIF(数据源!R1713:R10279,C2083,数据源!M1713:M10279)</f>
        <v>0</v>
      </c>
    </row>
    <row r="2084" spans="2:5">
      <c r="B2084" t="s">
        <v>2688</v>
      </c>
      <c r="D2084" t="s">
        <v>25</v>
      </c>
      <c r="E2084">
        <f>SUMIF(数据源!R1063:R9629,C2084,数据源!M1063:M9629)</f>
        <v>0</v>
      </c>
    </row>
    <row r="2085" spans="2:5">
      <c r="B2085" t="s">
        <v>2690</v>
      </c>
      <c r="D2085" t="s">
        <v>25</v>
      </c>
      <c r="E2085">
        <f>SUMIF(数据源!R1447:R10013,C2085,数据源!M1447:M10013)</f>
        <v>0</v>
      </c>
    </row>
    <row r="2086" spans="2:5">
      <c r="B2086" t="s">
        <v>2694</v>
      </c>
      <c r="D2086" t="s">
        <v>25</v>
      </c>
      <c r="E2086">
        <f>SUMIF(数据源!R1646:R10212,C2086,数据源!M1646:M10212)</f>
        <v>0</v>
      </c>
    </row>
    <row r="2087" spans="2:5">
      <c r="B2087" t="s">
        <v>2688</v>
      </c>
      <c r="D2087" t="s">
        <v>25</v>
      </c>
      <c r="E2087">
        <f>SUMIF(数据源!R784:R9350,C2087,数据源!M784:M9350)</f>
        <v>0</v>
      </c>
    </row>
    <row r="2088" spans="2:5">
      <c r="B2088" t="s">
        <v>2685</v>
      </c>
      <c r="D2088" t="s">
        <v>25</v>
      </c>
      <c r="E2088">
        <f>SUMIF(数据源!R203:R8769,C2088,数据源!M203:M8769)</f>
        <v>0</v>
      </c>
    </row>
    <row r="2089" spans="2:5">
      <c r="B2089" t="s">
        <v>2692</v>
      </c>
      <c r="D2089" t="s">
        <v>25</v>
      </c>
      <c r="E2089">
        <f>SUMIF(数据源!R547:R9113,C2089,数据源!M547:M9113)</f>
        <v>0</v>
      </c>
    </row>
    <row r="2090" spans="2:5">
      <c r="B2090" t="s">
        <v>2696</v>
      </c>
      <c r="D2090" t="s">
        <v>27</v>
      </c>
      <c r="E2090">
        <f>SUMIF(数据源!R2623:R11189,C2090,数据源!M2623:M11189)</f>
        <v>0</v>
      </c>
    </row>
    <row r="2091" spans="2:5">
      <c r="B2091" t="s">
        <v>2686</v>
      </c>
      <c r="D2091" t="s">
        <v>27</v>
      </c>
      <c r="E2091">
        <f>SUMIF(数据源!R2931:R11497,C2091,数据源!M2931:M11497)</f>
        <v>0</v>
      </c>
    </row>
    <row r="2092" spans="2:5">
      <c r="B2092" t="s">
        <v>2688</v>
      </c>
      <c r="D2092" t="s">
        <v>25</v>
      </c>
      <c r="E2092">
        <f>SUMIF(数据源!R867:R9433,C2092,数据源!M867:M9433)</f>
        <v>0</v>
      </c>
    </row>
    <row r="2093" spans="2:5">
      <c r="B2093" t="s">
        <v>2690</v>
      </c>
      <c r="D2093" t="s">
        <v>25</v>
      </c>
      <c r="E2093">
        <f>SUMIF(数据源!R1306:R9872,C2093,数据源!M1306:M9872)</f>
        <v>0</v>
      </c>
    </row>
    <row r="2094" spans="2:5">
      <c r="B2094" t="s">
        <v>2694</v>
      </c>
      <c r="D2094" t="s">
        <v>25</v>
      </c>
      <c r="E2094">
        <f>SUMIF(数据源!R1634:R10200,C2094,数据源!M1634:M10200)</f>
        <v>0</v>
      </c>
    </row>
    <row r="2095" spans="2:5">
      <c r="B2095" t="s">
        <v>2696</v>
      </c>
      <c r="D2095" t="s">
        <v>27</v>
      </c>
      <c r="E2095">
        <f>SUMIF(数据源!R2625:R11191,C2095,数据源!M2625:M11191)</f>
        <v>0</v>
      </c>
    </row>
    <row r="2096" spans="2:5">
      <c r="B2096" t="s">
        <v>2690</v>
      </c>
      <c r="D2096" t="s">
        <v>25</v>
      </c>
      <c r="E2096">
        <f>SUMIF(数据源!R1356:R9922,C2096,数据源!M1356:M9922)</f>
        <v>0</v>
      </c>
    </row>
    <row r="2097" spans="2:5">
      <c r="B2097" t="s">
        <v>2701</v>
      </c>
      <c r="D2097" t="s">
        <v>25</v>
      </c>
      <c r="E2097">
        <f>SUMIF(数据源!R1610:R10176,C2097,数据源!M1610:M10176)</f>
        <v>0</v>
      </c>
    </row>
    <row r="2098" spans="2:5">
      <c r="B2098" t="s">
        <v>2694</v>
      </c>
      <c r="D2098" t="s">
        <v>25</v>
      </c>
      <c r="E2098">
        <f>SUMIF(数据源!R1758:R10324,C2098,数据源!M1758:M10324)</f>
        <v>0</v>
      </c>
    </row>
    <row r="2099" spans="2:5">
      <c r="B2099" t="s">
        <v>2698</v>
      </c>
      <c r="D2099" t="s">
        <v>27</v>
      </c>
      <c r="E2099">
        <f>SUMIF(数据源!R3053:R11619,C2099,数据源!M3053:M11619)</f>
        <v>0</v>
      </c>
    </row>
    <row r="2100" spans="2:5">
      <c r="B2100" t="s">
        <v>2685</v>
      </c>
      <c r="D2100" t="s">
        <v>25</v>
      </c>
      <c r="E2100">
        <f>SUMIF(数据源!R188:R8754,C2100,数据源!M188:M8754)</f>
        <v>0</v>
      </c>
    </row>
    <row r="2101" spans="2:5">
      <c r="B2101" t="s">
        <v>2688</v>
      </c>
      <c r="D2101" t="s">
        <v>25</v>
      </c>
      <c r="E2101">
        <f>SUMIF(数据源!R772:R9338,C2101,数据源!M772:M9338)</f>
        <v>0</v>
      </c>
    </row>
    <row r="2102" spans="2:5">
      <c r="B2102" t="s">
        <v>2690</v>
      </c>
      <c r="D2102" t="s">
        <v>25</v>
      </c>
      <c r="E2102">
        <f>SUMIF(数据源!R1221:R9787,C2102,数据源!M1221:M9787)</f>
        <v>0</v>
      </c>
    </row>
    <row r="2103" spans="2:5">
      <c r="B2103" t="s">
        <v>2698</v>
      </c>
      <c r="D2103" t="s">
        <v>27</v>
      </c>
      <c r="E2103">
        <f>SUMIF(数据源!R3217:R11783,C2103,数据源!M3217:M11783)</f>
        <v>0</v>
      </c>
    </row>
    <row r="2104" spans="2:5">
      <c r="B2104" t="s">
        <v>2691</v>
      </c>
      <c r="D2104" t="s">
        <v>26</v>
      </c>
      <c r="E2104">
        <f>SUMIF(数据源!R2039:R10605,C2104,数据源!M2039:M10605)</f>
        <v>0</v>
      </c>
    </row>
    <row r="2105" spans="2:5">
      <c r="B2105" t="s">
        <v>2694</v>
      </c>
      <c r="D2105" t="s">
        <v>25</v>
      </c>
      <c r="E2105">
        <f>SUMIF(数据源!R1764:R10330,C2105,数据源!M1764:M10330)</f>
        <v>0</v>
      </c>
    </row>
    <row r="2106" spans="2:5">
      <c r="B2106" t="s">
        <v>2698</v>
      </c>
      <c r="D2106" t="s">
        <v>27</v>
      </c>
      <c r="E2106">
        <f>SUMIF(数据源!R3032:R11598,C2106,数据源!M3032:M11598)</f>
        <v>0</v>
      </c>
    </row>
    <row r="2107" spans="2:5">
      <c r="B2107" t="s">
        <v>2697</v>
      </c>
      <c r="D2107" t="s">
        <v>26</v>
      </c>
      <c r="E2107">
        <f>SUMIF(数据源!R2197:R10763,C2107,数据源!M2197:M10763)</f>
        <v>0</v>
      </c>
    </row>
    <row r="2108" spans="2:5">
      <c r="B2108" t="s">
        <v>2685</v>
      </c>
      <c r="D2108" t="s">
        <v>25</v>
      </c>
      <c r="E2108">
        <f>SUMIF(数据源!R398:R8964,C2108,数据源!M398:M8964)</f>
        <v>0</v>
      </c>
    </row>
    <row r="2109" spans="2:5">
      <c r="B2109" t="s">
        <v>2688</v>
      </c>
      <c r="D2109" t="s">
        <v>25</v>
      </c>
      <c r="E2109">
        <f>SUMIF(数据源!R967:R9533,C2109,数据源!M967:M9533)</f>
        <v>0</v>
      </c>
    </row>
    <row r="2110" spans="2:5">
      <c r="B2110" t="s">
        <v>2685</v>
      </c>
      <c r="D2110" t="s">
        <v>25</v>
      </c>
      <c r="E2110">
        <f>SUMIF(数据源!R431:R8997,C2110,数据源!M431:M8997)</f>
        <v>0</v>
      </c>
    </row>
    <row r="2111" spans="2:5">
      <c r="B2111" t="s">
        <v>2688</v>
      </c>
      <c r="D2111" t="s">
        <v>25</v>
      </c>
      <c r="E2111">
        <f>SUMIF(数据源!R1005:R9571,C2111,数据源!M1005:M9571)</f>
        <v>0</v>
      </c>
    </row>
    <row r="2112" spans="2:5">
      <c r="B2112" t="s">
        <v>2700</v>
      </c>
      <c r="D2112" t="s">
        <v>25</v>
      </c>
      <c r="E2112">
        <f>SUMIF(数据源!R1537:R10103,C2112,数据源!M1537:M10103)</f>
        <v>0</v>
      </c>
    </row>
    <row r="2113" spans="2:5">
      <c r="B2113" t="s">
        <v>2688</v>
      </c>
      <c r="D2113" t="s">
        <v>25</v>
      </c>
      <c r="E2113">
        <f>SUMIF(数据源!R1185:R9751,C2113,数据源!M1185:M9751)</f>
        <v>0</v>
      </c>
    </row>
    <row r="2114" spans="2:5">
      <c r="B2114" t="s">
        <v>2688</v>
      </c>
      <c r="D2114" t="s">
        <v>25</v>
      </c>
      <c r="E2114">
        <f>SUMIF(数据源!R1071:R9637,C2114,数据源!M1071:M9637)</f>
        <v>0</v>
      </c>
    </row>
    <row r="2115" spans="2:5">
      <c r="B2115" t="s">
        <v>2695</v>
      </c>
      <c r="D2115" t="s">
        <v>26</v>
      </c>
      <c r="E2115">
        <f>SUMIF(数据源!R1901:R10467,C2115,数据源!M1901:M10467)</f>
        <v>0</v>
      </c>
    </row>
    <row r="2116" spans="2:5">
      <c r="B2116" t="s">
        <v>2688</v>
      </c>
      <c r="D2116" t="s">
        <v>25</v>
      </c>
      <c r="E2116">
        <f>SUMIF(数据源!R1153:R9719,C2116,数据源!M1153:M9719)</f>
        <v>0</v>
      </c>
    </row>
    <row r="2117" spans="2:5">
      <c r="B2117" t="s">
        <v>2696</v>
      </c>
      <c r="D2117" t="s">
        <v>27</v>
      </c>
      <c r="E2117">
        <f>SUMIF(数据源!R2632:R11198,C2117,数据源!M2632:M11198)</f>
        <v>0</v>
      </c>
    </row>
    <row r="2118" spans="2:5">
      <c r="B2118" t="s">
        <v>2696</v>
      </c>
      <c r="D2118" t="s">
        <v>27</v>
      </c>
      <c r="E2118">
        <f>SUMIF(数据源!R2792:R11358,C2118,数据源!M2792:M11358)</f>
        <v>0</v>
      </c>
    </row>
    <row r="2119" spans="2:5">
      <c r="B2119" t="s">
        <v>2698</v>
      </c>
      <c r="D2119" t="s">
        <v>27</v>
      </c>
      <c r="E2119">
        <f>SUMIF(数据源!R3150:R11716,C2119,数据源!M3150:M11716)</f>
        <v>0</v>
      </c>
    </row>
    <row r="2120" spans="2:5">
      <c r="B2120" t="s">
        <v>2689</v>
      </c>
      <c r="D2120" t="s">
        <v>25</v>
      </c>
      <c r="E2120">
        <f>SUMIF(数据源!R73:R8639,C2120,数据源!M73:M8639)</f>
        <v>0</v>
      </c>
    </row>
    <row r="2121" spans="2:5">
      <c r="B2121" t="s">
        <v>2696</v>
      </c>
      <c r="D2121" t="s">
        <v>27</v>
      </c>
      <c r="E2121">
        <f>SUMIF(数据源!R2600:R11166,C2121,数据源!M2600:M11166)</f>
        <v>0</v>
      </c>
    </row>
    <row r="2122" spans="2:5">
      <c r="B2122" t="s">
        <v>2698</v>
      </c>
      <c r="D2122" t="s">
        <v>27</v>
      </c>
      <c r="E2122">
        <f>SUMIF(数据源!R3041:R11607,C2122,数据源!M3041:M11607)</f>
        <v>0</v>
      </c>
    </row>
    <row r="2123" spans="2:5">
      <c r="B2123" t="s">
        <v>2698</v>
      </c>
      <c r="D2123" t="s">
        <v>27</v>
      </c>
      <c r="E2123">
        <f>SUMIF(数据源!R3232:R11798,C2123,数据源!M3232:M11798)</f>
        <v>0</v>
      </c>
    </row>
    <row r="2124" spans="2:5">
      <c r="B2124" t="s">
        <v>2692</v>
      </c>
      <c r="D2124" t="s">
        <v>25</v>
      </c>
      <c r="E2124">
        <f>SUMIF(数据源!R592:R9158,C2124,数据源!M592:M9158)</f>
        <v>0</v>
      </c>
    </row>
    <row r="2125" spans="2:5">
      <c r="B2125" t="s">
        <v>2696</v>
      </c>
      <c r="D2125" t="s">
        <v>27</v>
      </c>
      <c r="E2125">
        <f>SUMIF(数据源!R2668:R11234,C2125,数据源!M2668:M11234)</f>
        <v>0</v>
      </c>
    </row>
    <row r="2126" spans="2:5">
      <c r="B2126" t="s">
        <v>2691</v>
      </c>
      <c r="D2126" t="s">
        <v>26</v>
      </c>
      <c r="E2126">
        <f>SUMIF(数据源!R2011:R10577,C2126,数据源!M2011:M10577)</f>
        <v>0</v>
      </c>
    </row>
    <row r="2127" spans="2:5">
      <c r="B2127" t="s">
        <v>2688</v>
      </c>
      <c r="D2127" t="s">
        <v>25</v>
      </c>
      <c r="E2127">
        <f>SUMIF(数据源!R869:R9435,C2127,数据源!M869:M9435)</f>
        <v>0</v>
      </c>
    </row>
    <row r="2128" spans="2:5">
      <c r="B2128" t="s">
        <v>2690</v>
      </c>
      <c r="D2128" t="s">
        <v>25</v>
      </c>
      <c r="E2128">
        <f>SUMIF(数据源!R1307:R9873,C2128,数据源!M1307:M9873)</f>
        <v>0</v>
      </c>
    </row>
    <row r="2129" spans="2:5">
      <c r="B2129" t="s">
        <v>2688</v>
      </c>
      <c r="D2129" t="s">
        <v>25</v>
      </c>
      <c r="E2129">
        <f>SUMIF(数据源!R1168:R9734,C2129,数据源!M1168:M9734)</f>
        <v>0</v>
      </c>
    </row>
    <row r="2130" spans="2:5">
      <c r="B2130" t="s">
        <v>2694</v>
      </c>
      <c r="D2130" t="s">
        <v>25</v>
      </c>
      <c r="E2130">
        <f>SUMIF(数据源!R1851:R10417,C2130,数据源!M1851:M10417)</f>
        <v>0</v>
      </c>
    </row>
    <row r="2131" spans="2:5">
      <c r="B2131" t="s">
        <v>2698</v>
      </c>
      <c r="D2131" t="s">
        <v>27</v>
      </c>
      <c r="E2131">
        <f>SUMIF(数据源!R3043:R11609,C2131,数据源!M3043:M11609)</f>
        <v>0</v>
      </c>
    </row>
    <row r="2132" spans="2:5">
      <c r="B2132" t="s">
        <v>2688</v>
      </c>
      <c r="D2132" t="s">
        <v>25</v>
      </c>
      <c r="E2132">
        <f>SUMIF(数据源!R1104:R9670,C2132,数据源!M1104:M9670)</f>
        <v>0</v>
      </c>
    </row>
    <row r="2133" spans="2:5">
      <c r="B2133" t="s">
        <v>2698</v>
      </c>
      <c r="D2133" t="s">
        <v>27</v>
      </c>
      <c r="E2133">
        <f>SUMIF(数据源!R3219:R11785,C2133,数据源!M3219:M11785)</f>
        <v>0</v>
      </c>
    </row>
    <row r="2134" spans="2:5">
      <c r="B2134" t="s">
        <v>2698</v>
      </c>
      <c r="D2134" t="s">
        <v>27</v>
      </c>
      <c r="E2134">
        <f>SUMIF(数据源!R3072:R11638,C2134,数据源!M3072:M11638)</f>
        <v>0</v>
      </c>
    </row>
    <row r="2135" spans="2:5">
      <c r="B2135" t="s">
        <v>2688</v>
      </c>
      <c r="D2135" t="s">
        <v>25</v>
      </c>
      <c r="E2135">
        <f>SUMIF(数据源!R986:R9552,C2135,数据源!M986:M9552)</f>
        <v>0</v>
      </c>
    </row>
    <row r="2136" spans="2:5">
      <c r="B2136" t="s">
        <v>2696</v>
      </c>
      <c r="D2136" t="s">
        <v>27</v>
      </c>
      <c r="E2136">
        <f>SUMIF(数据源!R2752:R11318,C2136,数据源!M2752:M11318)</f>
        <v>0</v>
      </c>
    </row>
    <row r="2137" spans="2:5">
      <c r="B2137" t="s">
        <v>2690</v>
      </c>
      <c r="D2137" t="s">
        <v>25</v>
      </c>
      <c r="E2137">
        <f>SUMIF(数据源!R1449:R10015,C2137,数据源!M1449:M10015)</f>
        <v>0</v>
      </c>
    </row>
    <row r="2138" spans="2:5">
      <c r="B2138" t="s">
        <v>2696</v>
      </c>
      <c r="D2138" t="s">
        <v>27</v>
      </c>
      <c r="E2138">
        <f>SUMIF(数据源!R2678:R11244,C2138,数据源!M2678:M11244)</f>
        <v>0</v>
      </c>
    </row>
    <row r="2139" spans="2:5">
      <c r="B2139" t="s">
        <v>2696</v>
      </c>
      <c r="D2139" t="s">
        <v>27</v>
      </c>
      <c r="E2139">
        <f>SUMIF(数据源!R2679:R11245,C2139,数据源!M2679:M11245)</f>
        <v>0</v>
      </c>
    </row>
    <row r="2140" spans="2:5">
      <c r="B2140" t="s">
        <v>2698</v>
      </c>
      <c r="D2140" t="s">
        <v>27</v>
      </c>
      <c r="E2140">
        <f>SUMIF(数据源!R3189:R11755,C2140,数据源!M3189:M11755)</f>
        <v>0</v>
      </c>
    </row>
    <row r="2141" spans="2:5">
      <c r="B2141" t="s">
        <v>2699</v>
      </c>
      <c r="D2141" t="s">
        <v>26</v>
      </c>
      <c r="E2141">
        <f>SUMIF(数据源!R2483:R11049,C2141,数据源!M2483:M11049)</f>
        <v>0</v>
      </c>
    </row>
    <row r="2142" spans="2:5">
      <c r="B2142" t="s">
        <v>2688</v>
      </c>
      <c r="D2142" t="s">
        <v>25</v>
      </c>
      <c r="E2142">
        <f>SUMIF(数据源!R980:R9546,C2142,数据源!M980:M9546)</f>
        <v>0</v>
      </c>
    </row>
    <row r="2143" spans="2:5">
      <c r="B2143" t="s">
        <v>2685</v>
      </c>
      <c r="D2143" t="s">
        <v>25</v>
      </c>
      <c r="E2143">
        <f>SUMIF(数据源!R382:R8948,C2143,数据源!M382:M8948)</f>
        <v>0</v>
      </c>
    </row>
    <row r="2144" spans="2:5">
      <c r="B2144" t="s">
        <v>2694</v>
      </c>
      <c r="D2144" t="s">
        <v>25</v>
      </c>
      <c r="E2144">
        <f>SUMIF(数据源!R1853:R10419,C2144,数据源!M1853:M10419)</f>
        <v>0</v>
      </c>
    </row>
    <row r="2145" spans="2:5">
      <c r="B2145" t="s">
        <v>2685</v>
      </c>
      <c r="D2145" t="s">
        <v>25</v>
      </c>
      <c r="E2145">
        <f>SUMIF(数据源!R304:R8870,C2145,数据源!M304:M8870)</f>
        <v>0</v>
      </c>
    </row>
    <row r="2146" spans="2:5">
      <c r="B2146" t="s">
        <v>2694</v>
      </c>
      <c r="D2146" t="s">
        <v>25</v>
      </c>
      <c r="E2146">
        <f>SUMIF(数据源!R1706:R10272,C2146,数据源!M1706:M10272)</f>
        <v>0</v>
      </c>
    </row>
    <row r="2147" spans="2:5">
      <c r="B2147" t="s">
        <v>2691</v>
      </c>
      <c r="D2147" t="s">
        <v>26</v>
      </c>
      <c r="E2147">
        <f>SUMIF(数据源!R1964:R10530,C2147,数据源!M1964:M10530)</f>
        <v>0</v>
      </c>
    </row>
    <row r="2148" spans="2:5">
      <c r="B2148" t="s">
        <v>2699</v>
      </c>
      <c r="D2148" t="s">
        <v>26</v>
      </c>
      <c r="E2148">
        <f>SUMIF(数据源!R2472:R11038,C2148,数据源!M2472:M11038)</f>
        <v>0</v>
      </c>
    </row>
    <row r="2149" spans="2:5">
      <c r="B2149" t="s">
        <v>2695</v>
      </c>
      <c r="D2149" t="s">
        <v>26</v>
      </c>
      <c r="E2149">
        <f>SUMIF(数据源!R1866:R10432,C2149,数据源!M1866:M10432)</f>
        <v>0</v>
      </c>
    </row>
    <row r="2150" spans="2:5">
      <c r="B2150" t="s">
        <v>2685</v>
      </c>
      <c r="D2150" t="s">
        <v>25</v>
      </c>
      <c r="E2150">
        <f>SUMIF(数据源!R248:R8814,C2150,数据源!M248:M8814)</f>
        <v>0</v>
      </c>
    </row>
    <row r="2151" spans="2:5">
      <c r="B2151" t="s">
        <v>2688</v>
      </c>
      <c r="D2151" t="s">
        <v>25</v>
      </c>
      <c r="E2151">
        <f>SUMIF(数据源!R829:R9395,C2151,数据源!M829:M9395)</f>
        <v>0</v>
      </c>
    </row>
    <row r="2152" spans="2:5">
      <c r="B2152" t="s">
        <v>2698</v>
      </c>
      <c r="D2152" t="s">
        <v>27</v>
      </c>
      <c r="E2152">
        <f>SUMIF(数据源!R3275:R11841,C2152,数据源!M3275:M11841)</f>
        <v>0</v>
      </c>
    </row>
    <row r="2153" spans="2:5">
      <c r="B2153" t="s">
        <v>2698</v>
      </c>
      <c r="D2153" t="s">
        <v>27</v>
      </c>
      <c r="E2153">
        <f>SUMIF(数据源!R3122:R11688,C2153,数据源!M3122:M11688)</f>
        <v>0</v>
      </c>
    </row>
    <row r="2154" spans="2:5">
      <c r="B2154" t="s">
        <v>2699</v>
      </c>
      <c r="D2154" t="s">
        <v>26</v>
      </c>
      <c r="E2154">
        <f>SUMIF(数据源!R2462:R11028,C2154,数据源!M2462:M11028)</f>
        <v>0</v>
      </c>
    </row>
    <row r="2155" spans="2:5">
      <c r="B2155" t="s">
        <v>2694</v>
      </c>
      <c r="D2155" t="s">
        <v>25</v>
      </c>
      <c r="E2155">
        <f>SUMIF(数据源!R1675:R10241,C2155,数据源!M1675:M10241)</f>
        <v>0</v>
      </c>
    </row>
    <row r="2156" spans="2:5">
      <c r="B2156" t="s">
        <v>2698</v>
      </c>
      <c r="D2156" t="s">
        <v>27</v>
      </c>
      <c r="E2156">
        <f>SUMIF(数据源!R3240:R11806,C2156,数据源!M3240:M11806)</f>
        <v>0</v>
      </c>
    </row>
    <row r="2157" spans="2:5">
      <c r="B2157" t="s">
        <v>2696</v>
      </c>
      <c r="D2157" t="s">
        <v>27</v>
      </c>
      <c r="E2157">
        <f>SUMIF(数据源!R2758:R11324,C2157,数据源!M2758:M11324)</f>
        <v>0</v>
      </c>
    </row>
    <row r="2158" spans="2:5">
      <c r="B2158" t="s">
        <v>2691</v>
      </c>
      <c r="D2158" t="s">
        <v>26</v>
      </c>
      <c r="E2158">
        <f>SUMIF(数据源!R2076:R10642,C2158,数据源!M2076:M10642)</f>
        <v>0</v>
      </c>
    </row>
    <row r="2159" spans="2:5">
      <c r="B2159" t="s">
        <v>2694</v>
      </c>
      <c r="D2159" t="s">
        <v>25</v>
      </c>
      <c r="E2159">
        <f>SUMIF(数据源!R1823:R10389,C2159,数据源!M1823:M10389)</f>
        <v>0</v>
      </c>
    </row>
    <row r="2160" spans="2:5">
      <c r="B2160" t="s">
        <v>2698</v>
      </c>
      <c r="D2160" t="s">
        <v>27</v>
      </c>
      <c r="E2160">
        <f>SUMIF(数据源!R3225:R11791,C2160,数据源!M3225:M11791)</f>
        <v>0</v>
      </c>
    </row>
    <row r="2161" spans="2:5">
      <c r="B2161" t="s">
        <v>2697</v>
      </c>
      <c r="D2161" t="s">
        <v>26</v>
      </c>
      <c r="E2161">
        <f>SUMIF(数据源!R2302:R10868,C2161,数据源!M2302:M10868)</f>
        <v>0</v>
      </c>
    </row>
    <row r="2162" spans="2:5">
      <c r="B2162" t="s">
        <v>2690</v>
      </c>
      <c r="D2162" t="s">
        <v>25</v>
      </c>
      <c r="E2162">
        <f>SUMIF(数据源!R1385:R9951,C2162,数据源!M1385:M9951)</f>
        <v>0</v>
      </c>
    </row>
    <row r="2163" spans="2:5">
      <c r="B2163" t="s">
        <v>2697</v>
      </c>
      <c r="D2163" t="s">
        <v>26</v>
      </c>
      <c r="E2163">
        <f>SUMIF(数据源!R2296:R10862,C2163,数据源!M2296:M10862)</f>
        <v>0</v>
      </c>
    </row>
    <row r="2164" spans="2:5">
      <c r="B2164" t="s">
        <v>2685</v>
      </c>
      <c r="D2164" t="s">
        <v>25</v>
      </c>
      <c r="E2164">
        <f>SUMIF(数据源!R375:R8941,C2164,数据源!M375:M8941)</f>
        <v>0</v>
      </c>
    </row>
    <row r="2165" spans="2:5">
      <c r="B2165" t="s">
        <v>2696</v>
      </c>
      <c r="D2165" t="s">
        <v>27</v>
      </c>
      <c r="E2165">
        <f>SUMIF(数据源!R2774:R11340,C2165,数据源!M2774:M11340)</f>
        <v>0</v>
      </c>
    </row>
    <row r="2166" spans="2:5">
      <c r="B2166" t="s">
        <v>2688</v>
      </c>
      <c r="D2166" t="s">
        <v>25</v>
      </c>
      <c r="E2166">
        <f>SUMIF(数据源!R1139:R9705,C2166,数据源!M1139:M9705)</f>
        <v>0</v>
      </c>
    </row>
    <row r="2167" spans="2:5">
      <c r="B2167" t="s">
        <v>2700</v>
      </c>
      <c r="D2167" t="s">
        <v>25</v>
      </c>
      <c r="E2167">
        <f>SUMIF(数据源!R1561:R10127,C2167,数据源!M1561:M10127)</f>
        <v>0</v>
      </c>
    </row>
    <row r="2168" spans="2:5">
      <c r="B2168" t="s">
        <v>2685</v>
      </c>
      <c r="D2168" t="s">
        <v>25</v>
      </c>
      <c r="E2168">
        <f>SUMIF(数据源!R379:R8945,C2168,数据源!M379:M8945)</f>
        <v>0</v>
      </c>
    </row>
    <row r="2169" spans="2:5">
      <c r="B2169" t="s">
        <v>2696</v>
      </c>
      <c r="D2169" t="s">
        <v>27</v>
      </c>
      <c r="E2169">
        <f>SUMIF(数据源!R2624:R11190,C2169,数据源!M2624:M11190)</f>
        <v>0</v>
      </c>
    </row>
    <row r="2170" spans="2:5">
      <c r="B2170" t="s">
        <v>2691</v>
      </c>
      <c r="D2170" t="s">
        <v>26</v>
      </c>
      <c r="E2170">
        <f>SUMIF(数据源!R2050:R10616,C2170,数据源!M2050:M10616)</f>
        <v>0</v>
      </c>
    </row>
    <row r="2171" spans="2:5">
      <c r="B2171" t="s">
        <v>2685</v>
      </c>
      <c r="D2171" t="s">
        <v>25</v>
      </c>
      <c r="E2171">
        <f>SUMIF(数据源!R416:R8982,C2171,数据源!M416:M8982)</f>
        <v>0</v>
      </c>
    </row>
    <row r="2172" spans="2:5">
      <c r="B2172" t="s">
        <v>2701</v>
      </c>
      <c r="D2172" t="s">
        <v>25</v>
      </c>
      <c r="E2172">
        <f>SUMIF(数据源!R1615:R10181,C2172,数据源!M1615:M10181)</f>
        <v>0</v>
      </c>
    </row>
    <row r="2173" spans="2:5">
      <c r="B2173" t="s">
        <v>2694</v>
      </c>
      <c r="D2173" t="s">
        <v>25</v>
      </c>
      <c r="E2173">
        <f>SUMIF(数据源!R1771:R10337,C2173,数据源!M1771:M10337)</f>
        <v>0</v>
      </c>
    </row>
    <row r="2174" spans="2:5">
      <c r="B2174" t="s">
        <v>2685</v>
      </c>
      <c r="D2174" t="s">
        <v>25</v>
      </c>
      <c r="E2174">
        <f>SUMIF(数据源!R525:R9091,C2174,数据源!M525:M9091)</f>
        <v>0</v>
      </c>
    </row>
    <row r="2175" spans="2:5">
      <c r="B2175" t="s">
        <v>2688</v>
      </c>
      <c r="D2175" t="s">
        <v>25</v>
      </c>
      <c r="E2175">
        <f>SUMIF(数据源!R1191:R9757,C2175,数据源!M1191:M9757)</f>
        <v>0</v>
      </c>
    </row>
    <row r="2176" spans="2:5">
      <c r="B2176" t="s">
        <v>2685</v>
      </c>
      <c r="D2176" t="s">
        <v>25</v>
      </c>
      <c r="E2176">
        <f>SUMIF(数据源!R329:R8895,C2176,数据源!M329:M8895)</f>
        <v>0</v>
      </c>
    </row>
    <row r="2177" spans="2:5">
      <c r="B2177" t="s">
        <v>2700</v>
      </c>
      <c r="D2177" t="s">
        <v>25</v>
      </c>
      <c r="E2177">
        <f>SUMIF(数据源!R1526:R10092,C2177,数据源!M1526:M10092)</f>
        <v>0</v>
      </c>
    </row>
    <row r="2178" spans="2:5">
      <c r="B2178" t="s">
        <v>2685</v>
      </c>
      <c r="D2178" t="s">
        <v>25</v>
      </c>
      <c r="E2178">
        <f>SUMIF(数据源!R220:R8786,C2178,数据源!M220:M8786)</f>
        <v>0</v>
      </c>
    </row>
    <row r="2179" spans="2:5">
      <c r="B2179" t="s">
        <v>2697</v>
      </c>
      <c r="D2179" t="s">
        <v>26</v>
      </c>
      <c r="E2179">
        <f>SUMIF(数据源!R2191:R10757,C2179,数据源!M2191:M10757)</f>
        <v>0</v>
      </c>
    </row>
    <row r="2180" spans="2:5">
      <c r="B2180" t="s">
        <v>2696</v>
      </c>
      <c r="D2180" t="s">
        <v>27</v>
      </c>
      <c r="E2180">
        <f>SUMIF(数据源!R2691:R11257,C2180,数据源!M2691:M11257)</f>
        <v>0</v>
      </c>
    </row>
    <row r="2181" spans="2:5">
      <c r="B2181" t="s">
        <v>2698</v>
      </c>
      <c r="D2181" t="s">
        <v>27</v>
      </c>
      <c r="E2181">
        <f>SUMIF(数据源!R3199:R11765,C2181,数据源!M3199:M11765)</f>
        <v>0</v>
      </c>
    </row>
    <row r="2182" spans="2:5">
      <c r="B2182" t="s">
        <v>2697</v>
      </c>
      <c r="D2182" t="s">
        <v>26</v>
      </c>
      <c r="E2182">
        <f>SUMIF(数据源!R2270:R10836,C2182,数据源!M2270:M10836)</f>
        <v>0</v>
      </c>
    </row>
    <row r="2183" spans="2:5">
      <c r="B2183" t="s">
        <v>2688</v>
      </c>
      <c r="D2183" t="s">
        <v>25</v>
      </c>
      <c r="E2183">
        <f>SUMIF(数据源!R953:R9519,C2183,数据源!M953:M9519)</f>
        <v>0</v>
      </c>
    </row>
    <row r="2184" spans="2:5">
      <c r="B2184" t="s">
        <v>2690</v>
      </c>
      <c r="D2184" t="s">
        <v>25</v>
      </c>
      <c r="E2184">
        <f>SUMIF(数据源!R1347:R9913,C2184,数据源!M1347:M9913)</f>
        <v>0</v>
      </c>
    </row>
    <row r="2185" spans="2:5">
      <c r="B2185" t="s">
        <v>2698</v>
      </c>
      <c r="D2185" t="s">
        <v>27</v>
      </c>
      <c r="E2185">
        <f>SUMIF(数据源!R3116:R11682,C2185,数据源!M3116:M11682)</f>
        <v>0</v>
      </c>
    </row>
    <row r="2186" spans="2:5">
      <c r="B2186" t="s">
        <v>2698</v>
      </c>
      <c r="D2186" t="s">
        <v>27</v>
      </c>
      <c r="E2186">
        <f>SUMIF(数据源!R3136:R11702,C2186,数据源!M3136:M11702)</f>
        <v>0</v>
      </c>
    </row>
    <row r="2187" spans="2:5">
      <c r="B2187" t="s">
        <v>2697</v>
      </c>
      <c r="D2187" t="s">
        <v>26</v>
      </c>
      <c r="E2187">
        <f>SUMIF(数据源!R2404:R10970,C2187,数据源!M2404:M10970)</f>
        <v>0</v>
      </c>
    </row>
    <row r="2188" spans="2:5">
      <c r="B2188" t="s">
        <v>2690</v>
      </c>
      <c r="D2188" t="s">
        <v>25</v>
      </c>
      <c r="E2188">
        <f>SUMIF(数据源!R1348:R9914,C2188,数据源!M1348:M9914)</f>
        <v>0</v>
      </c>
    </row>
    <row r="2189" spans="2:5">
      <c r="B2189" t="s">
        <v>2696</v>
      </c>
      <c r="D2189" t="s">
        <v>27</v>
      </c>
      <c r="E2189">
        <f>SUMIF(数据源!R2825:R11391,C2189,数据源!M2825:M11391)</f>
        <v>0</v>
      </c>
    </row>
    <row r="2190" spans="2:5">
      <c r="B2190" t="s">
        <v>2685</v>
      </c>
      <c r="D2190" t="s">
        <v>25</v>
      </c>
      <c r="E2190">
        <f>SUMIF(数据源!R396:R8962,C2190,数据源!M396:M8962)</f>
        <v>0</v>
      </c>
    </row>
    <row r="2191" spans="2:5">
      <c r="B2191" t="s">
        <v>2692</v>
      </c>
      <c r="D2191" t="s">
        <v>25</v>
      </c>
      <c r="E2191">
        <f>SUMIF(数据源!R593:R9159,C2191,数据源!M593:M9159)</f>
        <v>0</v>
      </c>
    </row>
    <row r="2192" spans="2:5">
      <c r="B2192" t="s">
        <v>2698</v>
      </c>
      <c r="D2192" t="s">
        <v>27</v>
      </c>
      <c r="E2192">
        <f>SUMIF(数据源!R3160:R11726,C2192,数据源!M3160:M11726)</f>
        <v>0</v>
      </c>
    </row>
    <row r="2193" spans="2:5">
      <c r="B2193" t="s">
        <v>2689</v>
      </c>
      <c r="D2193" t="s">
        <v>25</v>
      </c>
      <c r="E2193">
        <f>SUMIF(数据源!R88:R8654,C2193,数据源!M88:M8654)</f>
        <v>0</v>
      </c>
    </row>
    <row r="2194" spans="2:5">
      <c r="B2194" t="s">
        <v>2697</v>
      </c>
      <c r="D2194" t="s">
        <v>26</v>
      </c>
      <c r="E2194">
        <f>SUMIF(数据源!R2098:R10664,C2194,数据源!M2098:M10664)</f>
        <v>0</v>
      </c>
    </row>
    <row r="2195" spans="2:5">
      <c r="B2195" t="s">
        <v>2691</v>
      </c>
      <c r="D2195" t="s">
        <v>26</v>
      </c>
      <c r="E2195">
        <f>SUMIF(数据源!R1971:R10537,C2195,数据源!M1971:M10537)</f>
        <v>0</v>
      </c>
    </row>
    <row r="2196" spans="2:5">
      <c r="B2196" t="s">
        <v>2697</v>
      </c>
      <c r="D2196" t="s">
        <v>26</v>
      </c>
      <c r="E2196">
        <f>SUMIF(数据源!R2223:R10789,C2196,数据源!M2223:M10789)</f>
        <v>0</v>
      </c>
    </row>
    <row r="2197" spans="2:5">
      <c r="B2197" t="s">
        <v>2687</v>
      </c>
      <c r="D2197" t="s">
        <v>25</v>
      </c>
      <c r="E2197">
        <f>SUMIF(数据源!R655:R9221,C2197,数据源!M655:M9221)</f>
        <v>0</v>
      </c>
    </row>
    <row r="2198" spans="2:5">
      <c r="B2198" t="s">
        <v>2687</v>
      </c>
      <c r="D2198" t="s">
        <v>25</v>
      </c>
      <c r="E2198">
        <f>SUMIF(数据源!R648:R9214,C2198,数据源!M648:M9214)</f>
        <v>0</v>
      </c>
    </row>
    <row r="2199" spans="2:5">
      <c r="B2199" t="s">
        <v>2685</v>
      </c>
      <c r="D2199" t="s">
        <v>25</v>
      </c>
      <c r="E2199">
        <f>SUMIF(数据源!R441:R9007,C2199,数据源!M441:M9007)</f>
        <v>0</v>
      </c>
    </row>
    <row r="2200" spans="2:5">
      <c r="B2200" t="s">
        <v>2686</v>
      </c>
      <c r="D2200" t="s">
        <v>27</v>
      </c>
      <c r="E2200">
        <f>SUMIF(数据源!R2871:R11437,C2200,数据源!M2871:M11437)</f>
        <v>0</v>
      </c>
    </row>
    <row r="2201" spans="2:5">
      <c r="B2201" t="s">
        <v>2696</v>
      </c>
      <c r="D2201" t="s">
        <v>27</v>
      </c>
      <c r="E2201">
        <f>SUMIF(数据源!R2648:R11214,C2201,数据源!M2648:M11214)</f>
        <v>0</v>
      </c>
    </row>
    <row r="2202" spans="2:5">
      <c r="B2202" t="s">
        <v>2691</v>
      </c>
      <c r="D2202" t="s">
        <v>26</v>
      </c>
      <c r="E2202">
        <f>SUMIF(数据源!R1980:R10546,C2202,数据源!M1980:M10546)</f>
        <v>0</v>
      </c>
    </row>
    <row r="2203" spans="2:5">
      <c r="B2203" t="s">
        <v>2691</v>
      </c>
      <c r="D2203" t="s">
        <v>26</v>
      </c>
      <c r="E2203">
        <f>SUMIF(数据源!R2078:R10644,C2203,数据源!M2078:M10644)</f>
        <v>0</v>
      </c>
    </row>
    <row r="2204" spans="2:5">
      <c r="B2204" t="s">
        <v>2697</v>
      </c>
      <c r="D2204" t="s">
        <v>26</v>
      </c>
      <c r="E2204">
        <f>SUMIF(数据源!R2129:R10695,C2204,数据源!M2129:M10695)</f>
        <v>0</v>
      </c>
    </row>
    <row r="2205" spans="2:5">
      <c r="B2205" t="s">
        <v>2700</v>
      </c>
      <c r="D2205" t="s">
        <v>25</v>
      </c>
      <c r="E2205">
        <f>SUMIF(数据源!R1496:R10062,C2205,数据源!M1496:M10062)</f>
        <v>0</v>
      </c>
    </row>
    <row r="2206" spans="2:5">
      <c r="B2206" t="s">
        <v>2698</v>
      </c>
      <c r="D2206" t="s">
        <v>27</v>
      </c>
      <c r="E2206">
        <f>SUMIF(数据源!R3093:R11659,C2206,数据源!M3093:M11659)</f>
        <v>0</v>
      </c>
    </row>
    <row r="2207" spans="2:5">
      <c r="B2207" t="s">
        <v>2698</v>
      </c>
      <c r="D2207" t="s">
        <v>27</v>
      </c>
      <c r="E2207">
        <f>SUMIF(数据源!R3134:R11700,C2207,数据源!M3134:M11700)</f>
        <v>0</v>
      </c>
    </row>
    <row r="2208" spans="2:5">
      <c r="B2208" t="s">
        <v>2690</v>
      </c>
      <c r="D2208" t="s">
        <v>25</v>
      </c>
      <c r="E2208">
        <f>SUMIF(数据源!R1301:R9867,C2208,数据源!M1301:M9867)</f>
        <v>0</v>
      </c>
    </row>
    <row r="2209" spans="2:5">
      <c r="B2209" t="s">
        <v>2698</v>
      </c>
      <c r="D2209" t="s">
        <v>27</v>
      </c>
      <c r="E2209">
        <f>SUMIF(数据源!R3162:R11728,C2209,数据源!M3162:M11728)</f>
        <v>0</v>
      </c>
    </row>
    <row r="2210" spans="2:5">
      <c r="B2210" t="s">
        <v>2697</v>
      </c>
      <c r="D2210" t="s">
        <v>26</v>
      </c>
      <c r="E2210">
        <f>SUMIF(数据源!R2234:R10800,C2210,数据源!M2234:M10800)</f>
        <v>0</v>
      </c>
    </row>
    <row r="2211" spans="2:5">
      <c r="B2211" t="s">
        <v>2698</v>
      </c>
      <c r="D2211" t="s">
        <v>27</v>
      </c>
      <c r="E2211">
        <f>SUMIF(数据源!R3174:R11740,C2211,数据源!M3174:M11740)</f>
        <v>0</v>
      </c>
    </row>
    <row r="2212" spans="2:5">
      <c r="B2212" t="s">
        <v>2690</v>
      </c>
      <c r="D2212" t="s">
        <v>25</v>
      </c>
      <c r="E2212">
        <f>SUMIF(数据源!R1364:R9930,C2212,数据源!M1364:M9930)</f>
        <v>0</v>
      </c>
    </row>
    <row r="2213" spans="2:5">
      <c r="B2213" t="s">
        <v>2694</v>
      </c>
      <c r="D2213" t="s">
        <v>25</v>
      </c>
      <c r="E2213">
        <f>SUMIF(数据源!R1766:R10332,C2213,数据源!M1766:M10332)</f>
        <v>0</v>
      </c>
    </row>
    <row r="2214" spans="2:5">
      <c r="B2214" t="s">
        <v>2690</v>
      </c>
      <c r="D2214" t="s">
        <v>25</v>
      </c>
      <c r="E2214">
        <f>SUMIF(数据源!R1316:R9882,C2214,数据源!M1316:M9882)</f>
        <v>0</v>
      </c>
    </row>
    <row r="2215" spans="2:5">
      <c r="B2215" t="s">
        <v>2698</v>
      </c>
      <c r="D2215" t="s">
        <v>27</v>
      </c>
      <c r="E2215">
        <f>SUMIF(数据源!R3103:R11669,C2215,数据源!M3103:M11669)</f>
        <v>0</v>
      </c>
    </row>
    <row r="2216" spans="2:5">
      <c r="B2216" t="s">
        <v>2697</v>
      </c>
      <c r="D2216" t="s">
        <v>26</v>
      </c>
      <c r="E2216">
        <f>SUMIF(数据源!R2405:R10971,C2216,数据源!M2405:M10971)</f>
        <v>0</v>
      </c>
    </row>
    <row r="2217" spans="2:5">
      <c r="B2217" t="s">
        <v>2688</v>
      </c>
      <c r="D2217" t="s">
        <v>25</v>
      </c>
      <c r="E2217">
        <f>SUMIF(数据源!R1218:R9784,C2217,数据源!M1218:M9784)</f>
        <v>0</v>
      </c>
    </row>
    <row r="2218" spans="2:5">
      <c r="B2218" t="s">
        <v>2694</v>
      </c>
      <c r="D2218" t="s">
        <v>25</v>
      </c>
      <c r="E2218">
        <f>SUMIF(数据源!R1855:R10421,C2218,数据源!M1855:M10421)</f>
        <v>0</v>
      </c>
    </row>
    <row r="2219" spans="2:5">
      <c r="B2219" t="s">
        <v>2696</v>
      </c>
      <c r="D2219" t="s">
        <v>27</v>
      </c>
      <c r="E2219">
        <f>SUMIF(数据源!R2570:R11136,C2219,数据源!M2570:M11136)</f>
        <v>0</v>
      </c>
    </row>
    <row r="2220" spans="2:5">
      <c r="B2220" t="s">
        <v>2698</v>
      </c>
      <c r="D2220" t="s">
        <v>27</v>
      </c>
      <c r="E2220">
        <f>SUMIF(数据源!R3042:R11608,C2220,数据源!M3042:M11608)</f>
        <v>0</v>
      </c>
    </row>
    <row r="2221" spans="2:5">
      <c r="B2221" t="s">
        <v>2692</v>
      </c>
      <c r="D2221" t="s">
        <v>25</v>
      </c>
      <c r="E2221">
        <f>SUMIF(数据源!R621:R9187,C2221,数据源!M621:M9187)</f>
        <v>0</v>
      </c>
    </row>
    <row r="2222" spans="2:5">
      <c r="B2222" t="s">
        <v>2698</v>
      </c>
      <c r="D2222" t="s">
        <v>27</v>
      </c>
      <c r="E2222">
        <f>SUMIF(数据源!R3057:R11623,C2222,数据源!M3057:M11623)</f>
        <v>0</v>
      </c>
    </row>
    <row r="2223" spans="2:5">
      <c r="B2223" t="s">
        <v>2696</v>
      </c>
      <c r="D2223" t="s">
        <v>27</v>
      </c>
      <c r="E2223">
        <f>SUMIF(数据源!R2753:R11319,C2223,数据源!M2753:M11319)</f>
        <v>0</v>
      </c>
    </row>
    <row r="2224" spans="2:5">
      <c r="B2224" t="s">
        <v>2686</v>
      </c>
      <c r="D2224" t="s">
        <v>27</v>
      </c>
      <c r="E2224">
        <f>SUMIF(数据源!R2969:R11535,C2224,数据源!M2969:M11535)</f>
        <v>0</v>
      </c>
    </row>
    <row r="2225" spans="2:5">
      <c r="B2225" t="s">
        <v>2685</v>
      </c>
      <c r="D2225" t="s">
        <v>25</v>
      </c>
      <c r="E2225">
        <f>SUMIF(数据源!R503:R9069,C2225,数据源!M503:M9069)</f>
        <v>0</v>
      </c>
    </row>
    <row r="2226" spans="2:5">
      <c r="B2226" t="s">
        <v>2697</v>
      </c>
      <c r="D2226" t="s">
        <v>26</v>
      </c>
      <c r="E2226">
        <f>SUMIF(数据源!R2401:R10967,C2226,数据源!M2401:M10967)</f>
        <v>0</v>
      </c>
    </row>
    <row r="2227" spans="2:5">
      <c r="B2227" t="s">
        <v>2685</v>
      </c>
      <c r="D2227" t="s">
        <v>25</v>
      </c>
      <c r="E2227">
        <f>SUMIF(数据源!R478:R9044,C2227,数据源!M478:M9044)</f>
        <v>0</v>
      </c>
    </row>
    <row r="2228" spans="2:5">
      <c r="B2228" t="s">
        <v>2688</v>
      </c>
      <c r="D2228" t="s">
        <v>25</v>
      </c>
      <c r="E2228">
        <f>SUMIF(数据源!R1070:R9636,C2228,数据源!M1070:M9636)</f>
        <v>0</v>
      </c>
    </row>
    <row r="2229" spans="2:5">
      <c r="B2229" t="s">
        <v>2685</v>
      </c>
      <c r="D2229" t="s">
        <v>25</v>
      </c>
      <c r="E2229">
        <f>SUMIF(数据源!R437:R9003,C2229,数据源!M437:M9003)</f>
        <v>0</v>
      </c>
    </row>
    <row r="2230" spans="2:5">
      <c r="B2230" t="s">
        <v>2688</v>
      </c>
      <c r="D2230" t="s">
        <v>25</v>
      </c>
      <c r="E2230">
        <f>SUMIF(数据源!R1015:R9581,C2230,数据源!M1015:M9581)</f>
        <v>0</v>
      </c>
    </row>
    <row r="2231" spans="2:5">
      <c r="B2231" t="s">
        <v>2694</v>
      </c>
      <c r="D2231" t="s">
        <v>25</v>
      </c>
      <c r="E2231">
        <f>SUMIF(数据源!R1790:R10356,C2231,数据源!M1790:M10356)</f>
        <v>0</v>
      </c>
    </row>
    <row r="2232" spans="2:5">
      <c r="B2232" t="s">
        <v>2685</v>
      </c>
      <c r="D2232" t="s">
        <v>25</v>
      </c>
      <c r="E2232">
        <f>SUMIF(数据源!R185:R8751,C2232,数据源!M185:M8751)</f>
        <v>0</v>
      </c>
    </row>
    <row r="2233" spans="2:5">
      <c r="B2233" t="s">
        <v>2698</v>
      </c>
      <c r="D2233" t="s">
        <v>27</v>
      </c>
      <c r="E2233">
        <f>SUMIF(数据源!R3279:R11845,C2233,数据源!M3279:M11845)</f>
        <v>0</v>
      </c>
    </row>
    <row r="2234" spans="2:5">
      <c r="B2234" t="s">
        <v>2689</v>
      </c>
      <c r="D2234" t="s">
        <v>25</v>
      </c>
      <c r="E2234">
        <f>SUMIF(数据源!R130:R8696,C2234,数据源!M130:M8696)</f>
        <v>0</v>
      </c>
    </row>
    <row r="2235" spans="2:5">
      <c r="B2235" t="s">
        <v>2685</v>
      </c>
      <c r="D2235" t="s">
        <v>25</v>
      </c>
      <c r="E2235">
        <f>SUMIF(数据源!R234:R8800,C2235,数据源!M234:M8800)</f>
        <v>0</v>
      </c>
    </row>
    <row r="2236" spans="2:5">
      <c r="B2236" t="s">
        <v>2685</v>
      </c>
      <c r="D2236" t="s">
        <v>25</v>
      </c>
      <c r="E2236">
        <f>SUMIF(数据源!R337:R8903,C2236,数据源!M337:M8903)</f>
        <v>0</v>
      </c>
    </row>
    <row r="2237" spans="2:5">
      <c r="B2237" t="s">
        <v>2695</v>
      </c>
      <c r="D2237" t="s">
        <v>26</v>
      </c>
      <c r="E2237">
        <f>SUMIF(数据源!R1856:R10422,C2237,数据源!M1856:M10422)</f>
        <v>0</v>
      </c>
    </row>
    <row r="2238" spans="2:5">
      <c r="B2238" t="s">
        <v>2694</v>
      </c>
      <c r="D2238" t="s">
        <v>25</v>
      </c>
      <c r="E2238">
        <f>SUMIF(数据源!R1837:R10403,C2238,数据源!M1837:M10403)</f>
        <v>0</v>
      </c>
    </row>
    <row r="2239" spans="2:5">
      <c r="B2239" t="s">
        <v>2697</v>
      </c>
      <c r="D2239" t="s">
        <v>26</v>
      </c>
      <c r="E2239">
        <f>SUMIF(数据源!R2182:R10748,C2239,数据源!M2182:M10748)</f>
        <v>0</v>
      </c>
    </row>
    <row r="2240" spans="2:5">
      <c r="B2240" t="s">
        <v>2698</v>
      </c>
      <c r="D2240" t="s">
        <v>27</v>
      </c>
      <c r="E2240">
        <f>SUMIF(数据源!R3085:R11651,C2240,数据源!M3085:M11651)</f>
        <v>0</v>
      </c>
    </row>
    <row r="2241" spans="2:5">
      <c r="B2241" t="s">
        <v>2691</v>
      </c>
      <c r="D2241" t="s">
        <v>26</v>
      </c>
      <c r="E2241">
        <f>SUMIF(数据源!R1940:R10506,C2241,数据源!M1940:M10506)</f>
        <v>0</v>
      </c>
    </row>
    <row r="2242" spans="2:5">
      <c r="B2242" t="s">
        <v>2688</v>
      </c>
      <c r="D2242" t="s">
        <v>25</v>
      </c>
      <c r="E2242">
        <f>SUMIF(数据源!R791:R9357,C2242,数据源!M791:M9357)</f>
        <v>0</v>
      </c>
    </row>
    <row r="2243" spans="2:5">
      <c r="B2243" t="s">
        <v>2697</v>
      </c>
      <c r="D2243" t="s">
        <v>26</v>
      </c>
      <c r="E2243">
        <f>SUMIF(数据源!R2163:R10729,C2243,数据源!M2163:M10729)</f>
        <v>0</v>
      </c>
    </row>
    <row r="2244" spans="2:5">
      <c r="B2244" t="s">
        <v>2688</v>
      </c>
      <c r="D2244" t="s">
        <v>25</v>
      </c>
      <c r="E2244">
        <f>SUMIF(数据源!R785:R9351,C2244,数据源!M785:M9351)</f>
        <v>0</v>
      </c>
    </row>
    <row r="2245" spans="2:5">
      <c r="B2245" t="s">
        <v>2691</v>
      </c>
      <c r="D2245" t="s">
        <v>26</v>
      </c>
      <c r="E2245">
        <f>SUMIF(数据源!R2037:R10603,C2245,数据源!M2037:M10603)</f>
        <v>0</v>
      </c>
    </row>
    <row r="2246" spans="2:5">
      <c r="B2246" t="s">
        <v>2701</v>
      </c>
      <c r="D2246" t="s">
        <v>25</v>
      </c>
      <c r="E2246">
        <f>SUMIF(数据源!R1611:R10177,C2246,数据源!M1611:M10177)</f>
        <v>0</v>
      </c>
    </row>
    <row r="2247" spans="2:5">
      <c r="B2247" t="s">
        <v>2687</v>
      </c>
      <c r="D2247" t="s">
        <v>25</v>
      </c>
      <c r="E2247">
        <f>SUMIF(数据源!R712:R9278,C2247,数据源!M712:M9278)</f>
        <v>0</v>
      </c>
    </row>
    <row r="2248" spans="2:5">
      <c r="B2248" t="s">
        <v>2685</v>
      </c>
      <c r="D2248" t="s">
        <v>25</v>
      </c>
      <c r="E2248">
        <f>SUMIF(数据源!R200:R8766,C2248,数据源!M200:M8766)</f>
        <v>0</v>
      </c>
    </row>
    <row r="2249" spans="2:5">
      <c r="B2249" t="s">
        <v>2696</v>
      </c>
      <c r="D2249" t="s">
        <v>27</v>
      </c>
      <c r="E2249">
        <f>SUMIF(数据源!R2641:R11207,C2249,数据源!M2641:M11207)</f>
        <v>0</v>
      </c>
    </row>
    <row r="2250" spans="2:5">
      <c r="B2250" t="s">
        <v>2686</v>
      </c>
      <c r="D2250" t="s">
        <v>27</v>
      </c>
      <c r="E2250">
        <f>SUMIF(数据源!R2897:R11463,C2250,数据源!M2897:M11463)</f>
        <v>0</v>
      </c>
    </row>
    <row r="2251" spans="2:5">
      <c r="B2251" t="s">
        <v>2697</v>
      </c>
      <c r="D2251" t="s">
        <v>26</v>
      </c>
      <c r="E2251">
        <f>SUMIF(数据源!R2174:R10740,C2251,数据源!M2174:M10740)</f>
        <v>0</v>
      </c>
    </row>
    <row r="2252" spans="2:5">
      <c r="B2252" t="s">
        <v>2685</v>
      </c>
      <c r="D2252" t="s">
        <v>25</v>
      </c>
      <c r="E2252">
        <f>SUMIF(数据源!R287:R8853,C2252,数据源!M287:M8853)</f>
        <v>0</v>
      </c>
    </row>
    <row r="2253" spans="2:5">
      <c r="B2253" t="s">
        <v>2694</v>
      </c>
      <c r="D2253" t="s">
        <v>25</v>
      </c>
      <c r="E2253">
        <f>SUMIF(数据源!R1684:R10250,C2253,数据源!M1684:M10250)</f>
        <v>0</v>
      </c>
    </row>
    <row r="2254" spans="2:5">
      <c r="B2254" t="s">
        <v>2699</v>
      </c>
      <c r="D2254" t="s">
        <v>26</v>
      </c>
      <c r="E2254">
        <f>SUMIF(数据源!R2457:R11023,C2254,数据源!M2457:M11023)</f>
        <v>0</v>
      </c>
    </row>
    <row r="2255" spans="2:5">
      <c r="B2255" t="s">
        <v>2691</v>
      </c>
      <c r="D2255" t="s">
        <v>26</v>
      </c>
      <c r="E2255">
        <f>SUMIF(数据源!R2077:R10643,C2255,数据源!M2077:M10643)</f>
        <v>0</v>
      </c>
    </row>
    <row r="2256" spans="2:5">
      <c r="B2256" t="s">
        <v>2689</v>
      </c>
      <c r="D2256" t="s">
        <v>25</v>
      </c>
      <c r="E2256">
        <f>SUMIF(数据源!R25:R8591,C2256,数据源!M25:M8591)</f>
        <v>0</v>
      </c>
    </row>
    <row r="2257" spans="2:5">
      <c r="B2257" t="s">
        <v>2688</v>
      </c>
      <c r="D2257" t="s">
        <v>25</v>
      </c>
      <c r="E2257">
        <f>SUMIF(数据源!R786:R9352,C2257,数据源!M786:M9352)</f>
        <v>0</v>
      </c>
    </row>
    <row r="2258" spans="2:5">
      <c r="B2258" t="s">
        <v>2694</v>
      </c>
      <c r="D2258" t="s">
        <v>25</v>
      </c>
      <c r="E2258">
        <f>SUMIF(数据源!R1722:R10288,C2258,数据源!M1722:M10288)</f>
        <v>0</v>
      </c>
    </row>
    <row r="2259" spans="2:5">
      <c r="B2259" t="s">
        <v>2691</v>
      </c>
      <c r="D2259" t="s">
        <v>26</v>
      </c>
      <c r="E2259">
        <f>SUMIF(数据源!R2021:R10587,C2259,数据源!M2021:M10587)</f>
        <v>0</v>
      </c>
    </row>
    <row r="2260" spans="2:5">
      <c r="B2260" t="s">
        <v>2685</v>
      </c>
      <c r="D2260" t="s">
        <v>25</v>
      </c>
      <c r="E2260">
        <f>SUMIF(数据源!R510:R9076,C2260,数据源!M510:M9076)</f>
        <v>0</v>
      </c>
    </row>
    <row r="2261" spans="2:5">
      <c r="B2261" t="s">
        <v>2687</v>
      </c>
      <c r="D2261" t="s">
        <v>25</v>
      </c>
      <c r="E2261">
        <f>SUMIF(数据源!R741:R9307,C2261,数据源!M741:M9307)</f>
        <v>0</v>
      </c>
    </row>
    <row r="2262" spans="2:5">
      <c r="B2262" t="s">
        <v>2688</v>
      </c>
      <c r="D2262" t="s">
        <v>25</v>
      </c>
      <c r="E2262">
        <f>SUMIF(数据源!R1121:R9687,C2262,数据源!M1121:M9687)</f>
        <v>0</v>
      </c>
    </row>
    <row r="2263" spans="2:5">
      <c r="B2263" t="s">
        <v>2698</v>
      </c>
      <c r="D2263" t="s">
        <v>27</v>
      </c>
      <c r="E2263">
        <f>SUMIF(数据源!R3245:R11811,C2263,数据源!M3245:M11811)</f>
        <v>0</v>
      </c>
    </row>
    <row r="2264" spans="2:5">
      <c r="B2264" t="s">
        <v>2697</v>
      </c>
      <c r="D2264" t="s">
        <v>26</v>
      </c>
      <c r="E2264">
        <f>SUMIF(数据源!R2324:R10890,C2264,数据源!M2324:M10890)</f>
        <v>0</v>
      </c>
    </row>
    <row r="2265" spans="2:5">
      <c r="B2265" t="s">
        <v>2688</v>
      </c>
      <c r="D2265" t="s">
        <v>25</v>
      </c>
      <c r="E2265">
        <f>SUMIF(数据源!R949:R9515,C2265,数据源!M949:M9515)</f>
        <v>0</v>
      </c>
    </row>
    <row r="2266" spans="2:5">
      <c r="B2266" t="s">
        <v>2697</v>
      </c>
      <c r="D2266" t="s">
        <v>26</v>
      </c>
      <c r="E2266">
        <f>SUMIF(数据源!R2225:R10791,C2266,数据源!M2225:M10791)</f>
        <v>0</v>
      </c>
    </row>
    <row r="2267" spans="2:5">
      <c r="B2267" t="s">
        <v>2695</v>
      </c>
      <c r="D2267" t="s">
        <v>26</v>
      </c>
      <c r="E2267">
        <f>SUMIF(数据源!R1890:R10456,C2267,数据源!M1890:M10456)</f>
        <v>0</v>
      </c>
    </row>
    <row r="2268" spans="2:5">
      <c r="B2268" t="s">
        <v>2685</v>
      </c>
      <c r="D2268" t="s">
        <v>25</v>
      </c>
      <c r="E2268">
        <f>SUMIF(数据源!R419:R8985,C2268,数据源!M419:M8985)</f>
        <v>0</v>
      </c>
    </row>
    <row r="2269" spans="2:5">
      <c r="B2269" t="s">
        <v>2685</v>
      </c>
      <c r="D2269" t="s">
        <v>25</v>
      </c>
      <c r="E2269">
        <f>SUMIF(数据源!R531:R9097,C2269,数据源!M531:M9097)</f>
        <v>0</v>
      </c>
    </row>
    <row r="2270" spans="2:5">
      <c r="B2270" t="s">
        <v>2688</v>
      </c>
      <c r="D2270" t="s">
        <v>25</v>
      </c>
      <c r="E2270">
        <f>SUMIF(数据源!R1211:R9777,C2270,数据源!M1211:M9777)</f>
        <v>0</v>
      </c>
    </row>
    <row r="2271" spans="2:5">
      <c r="B2271" t="s">
        <v>2696</v>
      </c>
      <c r="D2271" t="s">
        <v>27</v>
      </c>
      <c r="E2271">
        <f>SUMIF(数据源!R2734:R11300,C2271,数据源!M2734:M11300)</f>
        <v>0</v>
      </c>
    </row>
    <row r="2272" spans="2:5">
      <c r="B2272" t="s">
        <v>2686</v>
      </c>
      <c r="D2272" t="s">
        <v>27</v>
      </c>
      <c r="E2272">
        <f>SUMIF(数据源!R2882:R11448,C2272,数据源!M2882:M11448)</f>
        <v>0</v>
      </c>
    </row>
    <row r="2273" spans="2:5">
      <c r="B2273" t="s">
        <v>2697</v>
      </c>
      <c r="D2273" t="s">
        <v>26</v>
      </c>
      <c r="E2273">
        <f>SUMIF(数据源!R2140:R10706,C2273,数据源!M2140:M10706)</f>
        <v>0</v>
      </c>
    </row>
    <row r="2274" spans="2:5">
      <c r="B2274" t="s">
        <v>2690</v>
      </c>
      <c r="D2274" t="s">
        <v>25</v>
      </c>
      <c r="E2274">
        <f>SUMIF(数据源!R1266:R9832,C2274,数据源!M1266:M9832)</f>
        <v>0</v>
      </c>
    </row>
    <row r="2275" spans="2:5">
      <c r="B2275" t="s">
        <v>2685</v>
      </c>
      <c r="D2275" t="s">
        <v>25</v>
      </c>
      <c r="E2275">
        <f>SUMIF(数据源!R223:R8789,C2275,数据源!M223:M8789)</f>
        <v>0</v>
      </c>
    </row>
    <row r="2276" spans="2:5">
      <c r="B2276" t="s">
        <v>2698</v>
      </c>
      <c r="D2276" t="s">
        <v>27</v>
      </c>
      <c r="E2276">
        <f>SUMIF(数据源!R3265:R11831,C2276,数据源!M3265:M11831)</f>
        <v>0</v>
      </c>
    </row>
    <row r="2277" spans="2:5">
      <c r="B2277" t="s">
        <v>2688</v>
      </c>
      <c r="D2277" t="s">
        <v>25</v>
      </c>
      <c r="E2277">
        <f>SUMIF(数据源!R1030:R9596,C2277,数据源!M1030:M9596)</f>
        <v>0</v>
      </c>
    </row>
    <row r="2278" spans="2:5">
      <c r="B2278" t="s">
        <v>2696</v>
      </c>
      <c r="D2278" t="s">
        <v>27</v>
      </c>
      <c r="E2278">
        <f>SUMIF(数据源!R2805:R11371,C2278,数据源!M2805:M11371)</f>
        <v>0</v>
      </c>
    </row>
    <row r="2279" spans="2:5">
      <c r="B2279" t="s">
        <v>2697</v>
      </c>
      <c r="D2279" t="s">
        <v>26</v>
      </c>
      <c r="E2279">
        <f>SUMIF(数据源!R2128:R10694,C2279,数据源!M2128:M10694)</f>
        <v>0</v>
      </c>
    </row>
    <row r="2280" spans="2:5">
      <c r="B2280" t="s">
        <v>2690</v>
      </c>
      <c r="D2280" t="s">
        <v>25</v>
      </c>
      <c r="E2280">
        <f>SUMIF(数据源!R1250:R9816,C2280,数据源!M1250:M9816)</f>
        <v>0</v>
      </c>
    </row>
    <row r="2281" spans="2:5">
      <c r="B2281" t="s">
        <v>2700</v>
      </c>
      <c r="D2281" t="s">
        <v>25</v>
      </c>
      <c r="E2281">
        <f>SUMIF(数据源!R1499:R10065,C2281,数据源!M1499:M10065)</f>
        <v>0</v>
      </c>
    </row>
    <row r="2282" spans="2:5">
      <c r="B2282" t="s">
        <v>2694</v>
      </c>
      <c r="D2282" t="s">
        <v>25</v>
      </c>
      <c r="E2282">
        <f>SUMIF(数据源!R1656:R10222,C2282,数据源!M1656:M10222)</f>
        <v>0</v>
      </c>
    </row>
    <row r="2283" spans="2:5">
      <c r="B2283" t="s">
        <v>2689</v>
      </c>
      <c r="D2283" t="s">
        <v>25</v>
      </c>
      <c r="E2283">
        <f>SUMIF(数据源!R97:R8663,C2283,数据源!M97:M8663)</f>
        <v>0</v>
      </c>
    </row>
    <row r="2284" spans="2:5">
      <c r="B2284" t="s">
        <v>2688</v>
      </c>
      <c r="D2284" t="s">
        <v>25</v>
      </c>
      <c r="E2284">
        <f>SUMIF(数据源!R925:R9491,C2284,数据源!M925:M9491)</f>
        <v>0</v>
      </c>
    </row>
    <row r="2285" spans="2:5">
      <c r="B2285" t="s">
        <v>2690</v>
      </c>
      <c r="D2285" t="s">
        <v>25</v>
      </c>
      <c r="E2285">
        <f>SUMIF(数据源!R1237:R9803,C2285,数据源!M1237:M9803)</f>
        <v>0</v>
      </c>
    </row>
    <row r="2286" spans="2:5">
      <c r="B2286" t="s">
        <v>2685</v>
      </c>
      <c r="D2286" t="s">
        <v>25</v>
      </c>
      <c r="E2286">
        <f>SUMIF(数据源!R232:R8798,C2286,数据源!M232:M8798)</f>
        <v>0</v>
      </c>
    </row>
    <row r="2287" spans="2:5">
      <c r="B2287" t="s">
        <v>2688</v>
      </c>
      <c r="D2287" t="s">
        <v>25</v>
      </c>
      <c r="E2287">
        <f>SUMIF(数据源!R816:R9382,C2287,数据源!M816:M9382)</f>
        <v>0</v>
      </c>
    </row>
    <row r="2288" spans="2:5">
      <c r="B2288" t="s">
        <v>2690</v>
      </c>
      <c r="D2288" t="s">
        <v>25</v>
      </c>
      <c r="E2288">
        <f>SUMIF(数据源!R1248:R9814,C2288,数据源!M1248:M9814)</f>
        <v>0</v>
      </c>
    </row>
    <row r="2289" spans="2:5">
      <c r="B2289" t="s">
        <v>2685</v>
      </c>
      <c r="D2289" t="s">
        <v>25</v>
      </c>
      <c r="E2289">
        <f>SUMIF(数据源!R477:R9043,C2289,数据源!M477:M9043)</f>
        <v>0</v>
      </c>
    </row>
    <row r="2290" spans="2:5">
      <c r="B2290" t="s">
        <v>2697</v>
      </c>
      <c r="D2290" t="s">
        <v>26</v>
      </c>
      <c r="E2290">
        <f>SUMIF(数据源!R2367:R10933,C2290,数据源!M2367:M10933)</f>
        <v>0</v>
      </c>
    </row>
    <row r="2291" spans="2:5">
      <c r="B2291" t="s">
        <v>2688</v>
      </c>
      <c r="D2291" t="s">
        <v>25</v>
      </c>
      <c r="E2291">
        <f>SUMIF(数据源!R922:R9488,C2291,数据源!M922:M9488)</f>
        <v>0</v>
      </c>
    </row>
    <row r="2292" spans="2:5">
      <c r="B2292" t="s">
        <v>2690</v>
      </c>
      <c r="D2292" t="s">
        <v>25</v>
      </c>
      <c r="E2292">
        <f>SUMIF(数据源!R1332:R9898,C2292,数据源!M1332:M9898)</f>
        <v>0</v>
      </c>
    </row>
    <row r="2293" spans="2:5">
      <c r="B2293" t="s">
        <v>2697</v>
      </c>
      <c r="D2293" t="s">
        <v>26</v>
      </c>
      <c r="E2293">
        <f>SUMIF(数据源!R2284:R10850,C2293,数据源!M2284:M10850)</f>
        <v>0</v>
      </c>
    </row>
    <row r="2294" spans="2:5">
      <c r="B2294" t="s">
        <v>2689</v>
      </c>
      <c r="D2294" t="s">
        <v>25</v>
      </c>
      <c r="E2294">
        <f>SUMIF(数据源!R151:R8717,C2294,数据源!M151:M8717)</f>
        <v>0</v>
      </c>
    </row>
    <row r="2295" spans="2:5">
      <c r="B2295" t="s">
        <v>2690</v>
      </c>
      <c r="D2295" t="s">
        <v>25</v>
      </c>
      <c r="E2295">
        <f>SUMIF(数据源!R1236:R9802,C2295,数据源!M1236:M9802)</f>
        <v>0</v>
      </c>
    </row>
    <row r="2296" spans="2:5">
      <c r="B2296" t="s">
        <v>2694</v>
      </c>
      <c r="D2296" t="s">
        <v>25</v>
      </c>
      <c r="E2296">
        <f>SUMIF(数据源!R1644:R10210,C2296,数据源!M1644:M10210)</f>
        <v>0</v>
      </c>
    </row>
    <row r="2297" spans="2:5">
      <c r="B2297" t="s">
        <v>2689</v>
      </c>
      <c r="D2297" t="s">
        <v>25</v>
      </c>
      <c r="E2297">
        <f>SUMIF(数据源!R166:R8732,C2297,数据源!M166:M8732)</f>
        <v>0</v>
      </c>
    </row>
    <row r="2298" spans="2:5">
      <c r="B2298" t="s">
        <v>2688</v>
      </c>
      <c r="D2298" t="s">
        <v>25</v>
      </c>
      <c r="E2298">
        <f>SUMIF(数据源!R1138:R9704,C2298,数据源!M1138:M9704)</f>
        <v>0</v>
      </c>
    </row>
    <row r="2299" spans="2:5">
      <c r="B2299" t="s">
        <v>2692</v>
      </c>
      <c r="D2299" t="s">
        <v>25</v>
      </c>
      <c r="E2299">
        <f>SUMIF(数据源!R584:R9150,C2299,数据源!M584:M9150)</f>
        <v>0</v>
      </c>
    </row>
    <row r="2300" spans="2:5">
      <c r="B2300" t="s">
        <v>2685</v>
      </c>
      <c r="D2300" t="s">
        <v>25</v>
      </c>
      <c r="E2300">
        <f>SUMIF(数据源!R413:R8979,C2300,数据源!M413:M8979)</f>
        <v>0</v>
      </c>
    </row>
    <row r="2301" spans="2:5">
      <c r="B2301" t="s">
        <v>2694</v>
      </c>
      <c r="D2301" t="s">
        <v>25</v>
      </c>
      <c r="E2301">
        <f>SUMIF(数据源!R1836:R10402,C2301,数据源!M1836:M10402)</f>
        <v>0</v>
      </c>
    </row>
    <row r="2302" spans="2:5">
      <c r="B2302" t="s">
        <v>2685</v>
      </c>
      <c r="D2302" t="s">
        <v>25</v>
      </c>
      <c r="E2302">
        <f>SUMIF(数据源!R306:R8872,C2302,数据源!M306:M8872)</f>
        <v>0</v>
      </c>
    </row>
    <row r="2303" spans="2:5">
      <c r="B2303" t="s">
        <v>2700</v>
      </c>
      <c r="D2303" t="s">
        <v>25</v>
      </c>
      <c r="E2303">
        <f>SUMIF(数据源!R1533:R10099,C2303,数据源!M1533:M10099)</f>
        <v>0</v>
      </c>
    </row>
    <row r="2304" spans="2:5">
      <c r="B2304" t="s">
        <v>2694</v>
      </c>
      <c r="D2304" t="s">
        <v>25</v>
      </c>
      <c r="E2304">
        <f>SUMIF(数据源!R1772:R10338,C2304,数据源!M1772:M10338)</f>
        <v>0</v>
      </c>
    </row>
    <row r="2305" spans="2:5">
      <c r="B2305" t="s">
        <v>2688</v>
      </c>
      <c r="D2305" t="s">
        <v>25</v>
      </c>
      <c r="E2305">
        <f>SUMIF(数据源!R997:R9563,C2305,数据源!M997:M9563)</f>
        <v>0</v>
      </c>
    </row>
    <row r="2306" spans="2:5">
      <c r="B2306" t="s">
        <v>2690</v>
      </c>
      <c r="D2306" t="s">
        <v>25</v>
      </c>
      <c r="E2306">
        <f>SUMIF(数据源!R1396:R9962,C2306,数据源!M1396:M9962)</f>
        <v>0</v>
      </c>
    </row>
    <row r="2307" spans="2:5">
      <c r="B2307" t="s">
        <v>2688</v>
      </c>
      <c r="D2307" t="s">
        <v>25</v>
      </c>
      <c r="E2307">
        <f>SUMIF(数据源!R1089:R9655,C2307,数据源!M1089:M9655)</f>
        <v>0</v>
      </c>
    </row>
    <row r="2308" spans="2:5">
      <c r="B2308" t="s">
        <v>2690</v>
      </c>
      <c r="D2308" t="s">
        <v>25</v>
      </c>
      <c r="E2308">
        <f>SUMIF(数据源!R1459:R10025,C2308,数据源!M1459:M10025)</f>
        <v>0</v>
      </c>
    </row>
    <row r="2309" spans="2:5">
      <c r="B2309" t="s">
        <v>2697</v>
      </c>
      <c r="D2309" t="s">
        <v>26</v>
      </c>
      <c r="E2309">
        <f>SUMIF(数据源!R2107:R10673,C2309,数据源!M2107:M10673)</f>
        <v>0</v>
      </c>
    </row>
    <row r="2310" spans="2:5">
      <c r="B2310" t="s">
        <v>2690</v>
      </c>
      <c r="D2310" t="s">
        <v>25</v>
      </c>
      <c r="E2310">
        <f>SUMIF(数据源!R1232:R9798,C2310,数据源!M1232:M9798)</f>
        <v>0</v>
      </c>
    </row>
    <row r="2311" spans="2:5">
      <c r="B2311" t="s">
        <v>2694</v>
      </c>
      <c r="D2311" t="s">
        <v>25</v>
      </c>
      <c r="E2311">
        <f>SUMIF(数据源!R1641:R10207,C2311,数据源!M1641:M10207)</f>
        <v>0</v>
      </c>
    </row>
    <row r="2312" spans="2:5">
      <c r="B2312" t="s">
        <v>2689</v>
      </c>
      <c r="D2312" t="s">
        <v>25</v>
      </c>
      <c r="E2312">
        <f>SUMIF(数据源!R39:R8605,C2312,数据源!M39:M8605)</f>
        <v>0</v>
      </c>
    </row>
    <row r="2313" spans="2:5">
      <c r="B2313" t="s">
        <v>2685</v>
      </c>
      <c r="D2313" t="s">
        <v>25</v>
      </c>
      <c r="E2313">
        <f>SUMIF(数据源!R251:R8817,C2313,数据源!M251:M8817)</f>
        <v>0</v>
      </c>
    </row>
    <row r="2314" spans="2:5">
      <c r="B2314" t="s">
        <v>2685</v>
      </c>
      <c r="D2314" t="s">
        <v>25</v>
      </c>
      <c r="E2314">
        <f>SUMIF(数据源!R219:R8785,C2314,数据源!M219:M8785)</f>
        <v>0</v>
      </c>
    </row>
    <row r="2315" spans="2:5">
      <c r="B2315" t="s">
        <v>2687</v>
      </c>
      <c r="D2315" t="s">
        <v>25</v>
      </c>
      <c r="E2315">
        <f>SUMIF(数据源!R649:R9215,C2315,数据源!M649:M9215)</f>
        <v>0</v>
      </c>
    </row>
    <row r="2316" spans="2:5">
      <c r="B2316" t="s">
        <v>2696</v>
      </c>
      <c r="D2316" t="s">
        <v>27</v>
      </c>
      <c r="E2316">
        <f>SUMIF(数据源!R2812:R11378,C2316,数据源!M2812:M11378)</f>
        <v>0</v>
      </c>
    </row>
    <row r="2317" spans="2:5">
      <c r="B2317" t="s">
        <v>2686</v>
      </c>
      <c r="D2317" t="s">
        <v>27</v>
      </c>
      <c r="E2317">
        <f>SUMIF(数据源!R3002:R11568,C2317,数据源!M3002:M11568)</f>
        <v>0</v>
      </c>
    </row>
    <row r="2318" spans="2:5">
      <c r="B2318" t="s">
        <v>2688</v>
      </c>
      <c r="D2318" t="s">
        <v>25</v>
      </c>
      <c r="E2318">
        <f>SUMIF(数据源!R1093:R9659,C2318,数据源!M1093:M9659)</f>
        <v>0</v>
      </c>
    </row>
    <row r="2319" spans="2:5">
      <c r="B2319" t="s">
        <v>2685</v>
      </c>
      <c r="D2319" t="s">
        <v>25</v>
      </c>
      <c r="E2319">
        <f>SUMIF(数据源!R300:R8866,C2319,数据源!M300:M8866)</f>
        <v>0</v>
      </c>
    </row>
    <row r="2320" spans="2:5">
      <c r="B2320" t="s">
        <v>2690</v>
      </c>
      <c r="D2320" t="s">
        <v>25</v>
      </c>
      <c r="E2320">
        <f>SUMIF(数据源!R1315:R9881,C2320,数据源!M1315:M9881)</f>
        <v>0</v>
      </c>
    </row>
    <row r="2321" spans="2:5">
      <c r="B2321" t="s">
        <v>2691</v>
      </c>
      <c r="D2321" t="s">
        <v>26</v>
      </c>
      <c r="E2321">
        <f>SUMIF(数据源!R1988:R10554,C2321,数据源!M1988:M10554)</f>
        <v>0</v>
      </c>
    </row>
    <row r="2322" spans="2:5">
      <c r="B2322" t="s">
        <v>2697</v>
      </c>
      <c r="D2322" t="s">
        <v>26</v>
      </c>
      <c r="E2322">
        <f>SUMIF(数据源!R2133:R10699,C2322,数据源!M2133:M10699)</f>
        <v>0</v>
      </c>
    </row>
    <row r="2323" spans="2:5">
      <c r="B2323" t="s">
        <v>2687</v>
      </c>
      <c r="D2323" t="s">
        <v>25</v>
      </c>
      <c r="E2323">
        <f>SUMIF(数据源!R665:R9231,C2323,数据源!M665:M9231)</f>
        <v>0</v>
      </c>
    </row>
    <row r="2324" spans="2:5">
      <c r="B2324" t="s">
        <v>2685</v>
      </c>
      <c r="D2324" t="s">
        <v>25</v>
      </c>
      <c r="E2324">
        <f>SUMIF(数据源!R373:R8939,C2324,数据源!M373:M8939)</f>
        <v>0</v>
      </c>
    </row>
    <row r="2325" spans="2:5">
      <c r="B2325" t="s">
        <v>2688</v>
      </c>
      <c r="D2325" t="s">
        <v>25</v>
      </c>
      <c r="E2325">
        <f>SUMIF(数据源!R947:R9513,C2325,数据源!M947:M9513)</f>
        <v>0</v>
      </c>
    </row>
    <row r="2326" spans="2:5">
      <c r="B2326" t="s">
        <v>2690</v>
      </c>
      <c r="D2326" t="s">
        <v>25</v>
      </c>
      <c r="E2326">
        <f>SUMIF(数据源!R1244:R9810,C2326,数据源!M1244:M9810)</f>
        <v>0</v>
      </c>
    </row>
    <row r="2327" spans="2:5">
      <c r="B2327" t="s">
        <v>2685</v>
      </c>
      <c r="D2327" t="s">
        <v>25</v>
      </c>
      <c r="E2327">
        <f>SUMIF(数据源!R351:R8917,C2327,数据源!M351:M8917)</f>
        <v>0</v>
      </c>
    </row>
    <row r="2328" spans="2:5">
      <c r="B2328" t="s">
        <v>2695</v>
      </c>
      <c r="D2328" t="s">
        <v>26</v>
      </c>
      <c r="E2328">
        <f>SUMIF(数据源!R1917:R10483,C2328,数据源!M1917:M10483)</f>
        <v>0</v>
      </c>
    </row>
    <row r="2329" spans="2:5">
      <c r="B2329" t="s">
        <v>2685</v>
      </c>
      <c r="D2329" t="s">
        <v>25</v>
      </c>
      <c r="E2329">
        <f>SUMIF(数据源!R439:R9005,C2329,数据源!M439:M9005)</f>
        <v>0</v>
      </c>
    </row>
    <row r="2330" spans="2:5">
      <c r="B2330" t="s">
        <v>2688</v>
      </c>
      <c r="D2330" t="s">
        <v>25</v>
      </c>
      <c r="E2330">
        <f>SUMIF(数据源!R1019:R9585,C2330,数据源!M1019:M9585)</f>
        <v>0</v>
      </c>
    </row>
    <row r="2331" spans="2:5">
      <c r="B2331" t="s">
        <v>2689</v>
      </c>
      <c r="D2331" t="s">
        <v>25</v>
      </c>
      <c r="E2331">
        <f>SUMIF(数据源!R137:R8703,C2331,数据源!M137:M8703)</f>
        <v>0</v>
      </c>
    </row>
    <row r="2332" spans="2:5">
      <c r="B2332" t="s">
        <v>2688</v>
      </c>
      <c r="D2332" t="s">
        <v>25</v>
      </c>
      <c r="E2332">
        <f>SUMIF(数据源!R981:R9547,C2332,数据源!M981:M9547)</f>
        <v>0</v>
      </c>
    </row>
    <row r="2333" spans="2:5">
      <c r="B2333" t="s">
        <v>2690</v>
      </c>
      <c r="D2333" t="s">
        <v>25</v>
      </c>
      <c r="E2333">
        <f>SUMIF(数据源!R1387:R9953,C2333,数据源!M1387:M9953)</f>
        <v>0</v>
      </c>
    </row>
    <row r="2334" spans="2:5">
      <c r="B2334" t="s">
        <v>2696</v>
      </c>
      <c r="D2334" t="s">
        <v>27</v>
      </c>
      <c r="E2334">
        <f>SUMIF(数据源!R2806:R11372,C2334,数据源!M2806:M11372)</f>
        <v>0</v>
      </c>
    </row>
    <row r="2335" spans="2:5">
      <c r="B2335" t="s">
        <v>2696</v>
      </c>
      <c r="D2335" t="s">
        <v>27</v>
      </c>
      <c r="E2335">
        <f>SUMIF(数据源!R2562:R11128,C2335,数据源!M2562:M11128)</f>
        <v>0</v>
      </c>
    </row>
    <row r="2336" spans="2:5">
      <c r="B2336" t="s">
        <v>2686</v>
      </c>
      <c r="D2336" t="s">
        <v>27</v>
      </c>
      <c r="E2336">
        <f>SUMIF(数据源!R2860:R11426,C2336,数据源!M2860:M11426)</f>
        <v>0</v>
      </c>
    </row>
    <row r="2337" spans="2:5">
      <c r="B2337" t="s">
        <v>2692</v>
      </c>
      <c r="D2337" t="s">
        <v>25</v>
      </c>
      <c r="E2337">
        <f>SUMIF(数据源!R539:R9105,C2337,数据源!M539:M9105)</f>
        <v>0</v>
      </c>
    </row>
    <row r="2338" spans="2:5">
      <c r="B2338" t="s">
        <v>2696</v>
      </c>
      <c r="D2338" t="s">
        <v>27</v>
      </c>
      <c r="E2338">
        <f>SUMIF(数据源!R2636:R11202,C2338,数据源!M2636:M11202)</f>
        <v>0</v>
      </c>
    </row>
    <row r="2339" spans="2:5">
      <c r="B2339" t="s">
        <v>2699</v>
      </c>
      <c r="D2339" t="s">
        <v>26</v>
      </c>
      <c r="E2339">
        <f>SUMIF(数据源!R2520:R11086,C2339,数据源!M2520:M11086)</f>
        <v>0</v>
      </c>
    </row>
    <row r="2340" spans="2:5">
      <c r="B2340" t="s">
        <v>2696</v>
      </c>
      <c r="D2340" t="s">
        <v>27</v>
      </c>
      <c r="E2340">
        <f>SUMIF(数据源!R2575:R11141,C2340,数据源!M2575:M11141)</f>
        <v>0</v>
      </c>
    </row>
    <row r="2341" spans="2:5">
      <c r="B2341" t="s">
        <v>2688</v>
      </c>
      <c r="D2341" t="s">
        <v>25</v>
      </c>
      <c r="E2341">
        <f>SUMIF(数据源!R1154:R9720,C2341,数据源!M1154:M9720)</f>
        <v>0</v>
      </c>
    </row>
    <row r="2342" spans="2:5">
      <c r="B2342" t="s">
        <v>2698</v>
      </c>
      <c r="D2342" t="s">
        <v>27</v>
      </c>
      <c r="E2342">
        <f>SUMIF(数据源!R3081:R11647,C2342,数据源!M3081:M11647)</f>
        <v>0</v>
      </c>
    </row>
    <row r="2343" spans="2:5">
      <c r="B2343" t="s">
        <v>2697</v>
      </c>
      <c r="D2343" t="s">
        <v>26</v>
      </c>
      <c r="E2343">
        <f>SUMIF(数据源!R2114:R10680,C2343,数据源!M2114:M10680)</f>
        <v>0</v>
      </c>
    </row>
    <row r="2344" spans="2:5">
      <c r="B2344" t="s">
        <v>2701</v>
      </c>
      <c r="D2344" t="s">
        <v>25</v>
      </c>
      <c r="E2344">
        <f>SUMIF(数据源!R1574:R10140,C2344,数据源!M1574:M10140)</f>
        <v>0</v>
      </c>
    </row>
    <row r="2345" spans="2:5">
      <c r="B2345" t="s">
        <v>2698</v>
      </c>
      <c r="D2345" t="s">
        <v>27</v>
      </c>
      <c r="E2345">
        <f>SUMIF(数据源!R3109:R11675,C2345,数据源!M3109:M11675)</f>
        <v>0</v>
      </c>
    </row>
    <row r="2346" spans="2:5">
      <c r="B2346" t="s">
        <v>2690</v>
      </c>
      <c r="D2346" t="s">
        <v>25</v>
      </c>
      <c r="E2346">
        <f>SUMIF(数据源!R1345:R9911,C2346,数据源!M1345:M9911)</f>
        <v>0</v>
      </c>
    </row>
    <row r="2347" spans="2:5">
      <c r="B2347" t="s">
        <v>2688</v>
      </c>
      <c r="D2347" t="s">
        <v>25</v>
      </c>
      <c r="E2347">
        <f>SUMIF(数据源!R811:R9377,C2347,数据源!M811:M9377)</f>
        <v>0</v>
      </c>
    </row>
    <row r="2348" spans="2:5">
      <c r="B2348" t="s">
        <v>2691</v>
      </c>
      <c r="D2348" t="s">
        <v>26</v>
      </c>
      <c r="E2348">
        <f>SUMIF(数据源!R2064:R10630,C2348,数据源!M2064:M10630)</f>
        <v>0</v>
      </c>
    </row>
    <row r="2349" spans="2:5">
      <c r="B2349" t="s">
        <v>2686</v>
      </c>
      <c r="D2349" t="s">
        <v>27</v>
      </c>
      <c r="E2349">
        <f>SUMIF(数据源!R2876:R11442,C2349,数据源!M2876:M11442)</f>
        <v>0</v>
      </c>
    </row>
    <row r="2350" spans="2:5">
      <c r="B2350" t="s">
        <v>2698</v>
      </c>
      <c r="D2350" t="s">
        <v>27</v>
      </c>
      <c r="E2350">
        <f>SUMIF(数据源!R3091:R11657,C2350,数据源!M3091:M11657)</f>
        <v>0</v>
      </c>
    </row>
    <row r="2351" spans="2:5">
      <c r="B2351" t="s">
        <v>2694</v>
      </c>
      <c r="D2351" t="s">
        <v>25</v>
      </c>
      <c r="E2351">
        <f>SUMIF(数据源!R1705:R10271,C2351,数据源!M1705:M10271)</f>
        <v>0</v>
      </c>
    </row>
    <row r="2352" spans="2:5">
      <c r="B2352" t="s">
        <v>2700</v>
      </c>
      <c r="D2352" t="s">
        <v>25</v>
      </c>
      <c r="E2352">
        <f>SUMIF(数据源!R1486:R10052,C2352,数据源!M1486:M10052)</f>
        <v>0</v>
      </c>
    </row>
    <row r="2353" spans="2:5">
      <c r="B2353" t="s">
        <v>2701</v>
      </c>
      <c r="D2353" t="s">
        <v>25</v>
      </c>
      <c r="E2353">
        <f>SUMIF(数据源!R1579:R10145,C2353,数据源!M1579:M10145)</f>
        <v>0</v>
      </c>
    </row>
    <row r="2354" spans="2:5">
      <c r="B2354" t="s">
        <v>2688</v>
      </c>
      <c r="D2354" t="s">
        <v>25</v>
      </c>
      <c r="E2354">
        <f>SUMIF(数据源!R1106:R9672,C2354,数据源!M1106:M9672)</f>
        <v>0</v>
      </c>
    </row>
    <row r="2355" spans="2:5">
      <c r="B2355" t="s">
        <v>2696</v>
      </c>
      <c r="D2355" t="s">
        <v>27</v>
      </c>
      <c r="E2355">
        <f>SUMIF(数据源!R2720:R11286,C2355,数据源!M2720:M11286)</f>
        <v>0</v>
      </c>
    </row>
    <row r="2356" spans="2:5">
      <c r="B2356" t="s">
        <v>2689</v>
      </c>
      <c r="D2356" t="s">
        <v>25</v>
      </c>
      <c r="E2356">
        <f>SUMIF(数据源!R112:R8678,C2356,数据源!M112:M8678)</f>
        <v>0</v>
      </c>
    </row>
    <row r="2357" spans="2:5">
      <c r="B2357" t="s">
        <v>2694</v>
      </c>
      <c r="D2357" t="s">
        <v>25</v>
      </c>
      <c r="E2357">
        <f>SUMIF(数据源!R1768:R10334,C2357,数据源!M1768:M10334)</f>
        <v>0</v>
      </c>
    </row>
    <row r="2358" spans="2:5">
      <c r="B2358" t="s">
        <v>2697</v>
      </c>
      <c r="D2358" t="s">
        <v>26</v>
      </c>
      <c r="E2358">
        <f>SUMIF(数据源!R2395:R10961,C2358,数据源!M2395:M10961)</f>
        <v>0</v>
      </c>
    </row>
    <row r="2359" spans="2:5">
      <c r="B2359" t="s">
        <v>2699</v>
      </c>
      <c r="D2359" t="s">
        <v>26</v>
      </c>
      <c r="E2359">
        <f>SUMIF(数据源!R2552:R11118,C2359,数据源!M2552:M11118)</f>
        <v>0</v>
      </c>
    </row>
    <row r="2360" spans="2:5">
      <c r="B2360" t="s">
        <v>2690</v>
      </c>
      <c r="D2360" t="s">
        <v>25</v>
      </c>
      <c r="E2360">
        <f>SUMIF(数据源!R1468:R10034,C2360,数据源!M1468:M10034)</f>
        <v>0</v>
      </c>
    </row>
    <row r="2361" spans="2:5">
      <c r="B2361" t="s">
        <v>2701</v>
      </c>
      <c r="D2361" t="s">
        <v>25</v>
      </c>
      <c r="E2361">
        <f>SUMIF(数据源!R1628:R10194,C2361,数据源!M1628:M10194)</f>
        <v>0</v>
      </c>
    </row>
    <row r="2362" spans="2:5">
      <c r="B2362" t="s">
        <v>2694</v>
      </c>
      <c r="D2362" t="s">
        <v>25</v>
      </c>
      <c r="E2362">
        <f>SUMIF(数据源!R1832:R10398,C2362,数据源!M1832:M10398)</f>
        <v>0</v>
      </c>
    </row>
    <row r="2363" spans="2:5">
      <c r="B2363" t="s">
        <v>2689</v>
      </c>
      <c r="D2363" t="s">
        <v>25</v>
      </c>
      <c r="E2363">
        <f>SUMIF(数据源!R23:R8589,C2363,数据源!M23:M8589)</f>
        <v>0</v>
      </c>
    </row>
    <row r="2364" spans="2:5">
      <c r="B2364" t="s">
        <v>2696</v>
      </c>
      <c r="D2364" t="s">
        <v>27</v>
      </c>
      <c r="E2364">
        <f>SUMIF(数据源!R2705:R11271,C2364,数据源!M2705:M11271)</f>
        <v>0</v>
      </c>
    </row>
    <row r="2365" spans="2:5">
      <c r="B2365" t="s">
        <v>2696</v>
      </c>
      <c r="D2365" t="s">
        <v>27</v>
      </c>
      <c r="E2365">
        <f>SUMIF(数据源!R2689:R11255,C2365,数据源!M2689:M11255)</f>
        <v>0</v>
      </c>
    </row>
    <row r="2366" spans="2:5">
      <c r="B2366" t="s">
        <v>2688</v>
      </c>
      <c r="D2366" t="s">
        <v>25</v>
      </c>
      <c r="E2366">
        <f>SUMIF(数据源!R951:R9517,C2366,数据源!M951:M9517)</f>
        <v>0</v>
      </c>
    </row>
    <row r="2367" spans="2:5">
      <c r="B2367" t="s">
        <v>2696</v>
      </c>
      <c r="D2367" t="s">
        <v>27</v>
      </c>
      <c r="E2367">
        <f>SUMIF(数据源!R2701:R11267,C2367,数据源!M2701:M11267)</f>
        <v>0</v>
      </c>
    </row>
    <row r="2368" spans="2:5">
      <c r="B2368" t="s">
        <v>2698</v>
      </c>
      <c r="D2368" t="s">
        <v>27</v>
      </c>
      <c r="E2368">
        <f>SUMIF(数据源!R3295:R11861,C2368,数据源!M3295:M11861)</f>
        <v>0</v>
      </c>
    </row>
    <row r="2369" spans="2:5">
      <c r="B2369" t="s">
        <v>2689</v>
      </c>
      <c r="D2369" t="s">
        <v>25</v>
      </c>
      <c r="E2369">
        <f>SUMIF(数据源!R68:R8634,C2369,数据源!M68:M8634)</f>
        <v>0</v>
      </c>
    </row>
    <row r="2370" spans="2:5">
      <c r="B2370" t="s">
        <v>2689</v>
      </c>
      <c r="D2370" t="s">
        <v>25</v>
      </c>
      <c r="E2370">
        <f>SUMIF(数据源!R87:R8653,C2370,数据源!M87:M8653)</f>
        <v>0</v>
      </c>
    </row>
    <row r="2371" spans="2:5">
      <c r="B2371" t="s">
        <v>2685</v>
      </c>
      <c r="D2371" t="s">
        <v>25</v>
      </c>
      <c r="E2371">
        <f>SUMIF(数据源!R317:R8883,C2371,数据源!M317:M8883)</f>
        <v>0</v>
      </c>
    </row>
    <row r="2372" spans="2:5">
      <c r="B2372" t="s">
        <v>2690</v>
      </c>
      <c r="D2372" t="s">
        <v>25</v>
      </c>
      <c r="E2372">
        <f>SUMIF(数据源!R1320:R9886,C2372,数据源!M1320:M9886)</f>
        <v>0</v>
      </c>
    </row>
    <row r="2373" spans="2:5">
      <c r="B2373" t="s">
        <v>2685</v>
      </c>
      <c r="D2373" t="s">
        <v>25</v>
      </c>
      <c r="E2373">
        <f>SUMIF(数据源!R332:R8898,C2373,数据源!M332:M8898)</f>
        <v>0</v>
      </c>
    </row>
    <row r="2374" spans="2:5">
      <c r="B2374" t="s">
        <v>2701</v>
      </c>
      <c r="D2374" t="s">
        <v>25</v>
      </c>
      <c r="E2374">
        <f>SUMIF(数据源!R1599:R10165,C2374,数据源!M1599:M10165)</f>
        <v>0</v>
      </c>
    </row>
    <row r="2375" spans="2:5">
      <c r="B2375" t="s">
        <v>2685</v>
      </c>
      <c r="D2375" t="s">
        <v>25</v>
      </c>
      <c r="E2375">
        <f>SUMIF(数据源!R402:R8968,C2375,数据源!M402:M8968)</f>
        <v>0</v>
      </c>
    </row>
    <row r="2376" spans="2:5">
      <c r="B2376" t="s">
        <v>2690</v>
      </c>
      <c r="D2376" t="s">
        <v>25</v>
      </c>
      <c r="E2376">
        <f>SUMIF(数据源!R1358:R9924,C2376,数据源!M1358:M9924)</f>
        <v>0</v>
      </c>
    </row>
    <row r="2377" spans="2:5">
      <c r="B2377" t="s">
        <v>2696</v>
      </c>
      <c r="D2377" t="s">
        <v>27</v>
      </c>
      <c r="E2377">
        <f>SUMIF(数据源!R2686:R11252,C2377,数据源!M2686:M11252)</f>
        <v>0</v>
      </c>
    </row>
    <row r="2378" spans="2:5">
      <c r="B2378" t="s">
        <v>2698</v>
      </c>
      <c r="D2378" t="s">
        <v>27</v>
      </c>
      <c r="E2378">
        <f>SUMIF(数据源!R3198:R11764,C2378,数据源!M3198:M11764)</f>
        <v>0</v>
      </c>
    </row>
    <row r="2379" spans="2:5">
      <c r="B2379" t="s">
        <v>2685</v>
      </c>
      <c r="D2379" t="s">
        <v>25</v>
      </c>
      <c r="E2379">
        <f>SUMIF(数据源!R241:R8807,C2379,数据源!M241:M8807)</f>
        <v>0</v>
      </c>
    </row>
    <row r="2380" spans="2:5">
      <c r="B2380" t="s">
        <v>2694</v>
      </c>
      <c r="D2380" t="s">
        <v>25</v>
      </c>
      <c r="E2380">
        <f>SUMIF(数据源!R1709:R10275,C2380,数据源!M1709:M10275)</f>
        <v>0</v>
      </c>
    </row>
    <row r="2381" spans="2:5">
      <c r="B2381" t="s">
        <v>2692</v>
      </c>
      <c r="D2381" t="s">
        <v>25</v>
      </c>
      <c r="E2381">
        <f>SUMIF(数据源!R538:R9104,C2381,数据源!M538:M9104)</f>
        <v>0</v>
      </c>
    </row>
    <row r="2382" spans="2:5">
      <c r="B2382" t="s">
        <v>2688</v>
      </c>
      <c r="D2382" t="s">
        <v>25</v>
      </c>
      <c r="E2382">
        <f>SUMIF(数据源!R751:R9317,C2382,数据源!M751:M9317)</f>
        <v>0</v>
      </c>
    </row>
    <row r="2383" spans="2:5">
      <c r="B2383" t="s">
        <v>2688</v>
      </c>
      <c r="D2383" t="s">
        <v>25</v>
      </c>
      <c r="E2383">
        <f>SUMIF(数据源!R992:R9558,C2383,数据源!M992:M9558)</f>
        <v>0</v>
      </c>
    </row>
    <row r="2384" spans="2:5">
      <c r="B2384" t="s">
        <v>2700</v>
      </c>
      <c r="D2384" t="s">
        <v>25</v>
      </c>
      <c r="E2384">
        <f>SUMIF(数据源!R1532:R10098,C2384,数据源!M1532:M10098)</f>
        <v>0</v>
      </c>
    </row>
    <row r="2385" spans="2:5">
      <c r="B2385" t="s">
        <v>2698</v>
      </c>
      <c r="D2385" t="s">
        <v>27</v>
      </c>
      <c r="E2385">
        <f>SUMIF(数据源!R3226:R11792,C2385,数据源!M3226:M11792)</f>
        <v>0</v>
      </c>
    </row>
    <row r="2386" spans="2:5">
      <c r="B2386" t="s">
        <v>2697</v>
      </c>
      <c r="D2386" t="s">
        <v>26</v>
      </c>
      <c r="E2386">
        <f>SUMIF(数据源!R2306:R10872,C2386,数据源!M2306:M10872)</f>
        <v>0</v>
      </c>
    </row>
    <row r="2387" spans="2:5">
      <c r="B2387" t="s">
        <v>2685</v>
      </c>
      <c r="D2387" t="s">
        <v>25</v>
      </c>
      <c r="E2387">
        <f>SUMIF(数据源!R330:R8896,C2387,数据源!M330:M8896)</f>
        <v>0</v>
      </c>
    </row>
    <row r="2388" spans="2:5">
      <c r="B2388" t="s">
        <v>2697</v>
      </c>
      <c r="D2388" t="s">
        <v>26</v>
      </c>
      <c r="E2388">
        <f>SUMIF(数据源!R2295:R10861,C2388,数据源!M2295:M10861)</f>
        <v>0</v>
      </c>
    </row>
    <row r="2389" spans="2:5">
      <c r="B2389" t="s">
        <v>2686</v>
      </c>
      <c r="D2389" t="s">
        <v>27</v>
      </c>
      <c r="E2389">
        <f>SUMIF(数据源!R3001:R11567,C2389,数据源!M3001:M11567)</f>
        <v>0</v>
      </c>
    </row>
    <row r="2390" spans="2:5">
      <c r="B2390" t="s">
        <v>2698</v>
      </c>
      <c r="D2390" t="s">
        <v>27</v>
      </c>
      <c r="E2390">
        <f>SUMIF(数据源!R3300:R11866,C2390,数据源!M3300:M11866)</f>
        <v>0</v>
      </c>
    </row>
    <row r="2391" spans="2:5">
      <c r="B2391" t="s">
        <v>2692</v>
      </c>
      <c r="D2391" t="s">
        <v>25</v>
      </c>
      <c r="E2391">
        <f>SUMIF(数据源!R627:R9193,C2391,数据源!M627:M9193)</f>
        <v>0</v>
      </c>
    </row>
    <row r="2392" spans="2:5">
      <c r="B2392" t="s">
        <v>2701</v>
      </c>
      <c r="D2392" t="s">
        <v>25</v>
      </c>
      <c r="E2392">
        <f>SUMIF(数据源!R1586:R10152,C2392,数据源!M1586:M10152)</f>
        <v>0</v>
      </c>
    </row>
    <row r="2393" spans="2:5">
      <c r="B2393" t="s">
        <v>2694</v>
      </c>
      <c r="D2393" t="s">
        <v>25</v>
      </c>
      <c r="E2393">
        <f>SUMIF(数据源!R1653:R10219,C2393,数据源!M1653:M10219)</f>
        <v>0</v>
      </c>
    </row>
    <row r="2394" spans="2:5">
      <c r="B2394" t="s">
        <v>2697</v>
      </c>
      <c r="D2394" t="s">
        <v>26</v>
      </c>
      <c r="E2394">
        <f>SUMIF(数据源!R2108:R10674,C2394,数据源!M2108:M10674)</f>
        <v>0</v>
      </c>
    </row>
    <row r="2395" spans="2:5">
      <c r="B2395" t="s">
        <v>2699</v>
      </c>
      <c r="D2395" t="s">
        <v>26</v>
      </c>
      <c r="E2395">
        <f>SUMIF(数据源!R2418:R10984,C2395,数据源!M2418:M10984)</f>
        <v>0</v>
      </c>
    </row>
    <row r="2396" spans="2:5">
      <c r="B2396" t="s">
        <v>2701</v>
      </c>
      <c r="D2396" t="s">
        <v>25</v>
      </c>
      <c r="E2396">
        <f>SUMIF(数据源!R1629:R10195,C2396,数据源!M1629:M10195)</f>
        <v>0</v>
      </c>
    </row>
    <row r="2397" spans="2:5">
      <c r="B2397" t="s">
        <v>2689</v>
      </c>
      <c r="D2397" t="s">
        <v>25</v>
      </c>
      <c r="E2397">
        <f>SUMIF(数据源!R62:R8628,C2397,数据源!M62:M8628)</f>
        <v>0</v>
      </c>
    </row>
    <row r="2398" spans="2:5">
      <c r="B2398" t="s">
        <v>2685</v>
      </c>
      <c r="D2398" t="s">
        <v>25</v>
      </c>
      <c r="E2398">
        <f>SUMIF(数据源!R286:R8852,C2398,数据源!M286:M8852)</f>
        <v>0</v>
      </c>
    </row>
    <row r="2399" spans="2:5">
      <c r="B2399" t="s">
        <v>2688</v>
      </c>
      <c r="D2399" t="s">
        <v>25</v>
      </c>
      <c r="E2399">
        <f>SUMIF(数据源!R862:R9428,C2399,数据源!M862:M9428)</f>
        <v>0</v>
      </c>
    </row>
    <row r="2400" spans="2:5">
      <c r="B2400" t="s">
        <v>2685</v>
      </c>
      <c r="D2400" t="s">
        <v>25</v>
      </c>
      <c r="E2400">
        <f>SUMIF(数据源!R215:R8781,C2400,数据源!M215:M8781)</f>
        <v>0</v>
      </c>
    </row>
    <row r="2401" spans="2:5">
      <c r="B2401" t="s">
        <v>2687</v>
      </c>
      <c r="D2401" t="s">
        <v>25</v>
      </c>
      <c r="E2401">
        <f>SUMIF(数据源!R642:R9208,C2401,数据源!M642:M9208)</f>
        <v>0</v>
      </c>
    </row>
    <row r="2402" spans="2:5">
      <c r="B2402" t="s">
        <v>2699</v>
      </c>
      <c r="D2402" t="s">
        <v>26</v>
      </c>
      <c r="E2402">
        <f>SUMIF(数据源!R2415:R10981,C2402,数据源!M2415:M10981)</f>
        <v>0</v>
      </c>
    </row>
    <row r="2403" spans="2:5">
      <c r="B2403" t="s">
        <v>2685</v>
      </c>
      <c r="D2403" t="s">
        <v>25</v>
      </c>
      <c r="E2403">
        <f>SUMIF(数据源!R427:R8993,C2403,数据源!M427:M8993)</f>
        <v>0</v>
      </c>
    </row>
    <row r="2404" spans="2:5">
      <c r="B2404" t="s">
        <v>2698</v>
      </c>
      <c r="D2404" t="s">
        <v>27</v>
      </c>
      <c r="E2404">
        <f>SUMIF(数据源!R3020:R11586,C2404,数据源!M3020:M11586)</f>
        <v>0</v>
      </c>
    </row>
    <row r="2405" spans="2:5">
      <c r="B2405" t="s">
        <v>2695</v>
      </c>
      <c r="D2405" t="s">
        <v>26</v>
      </c>
      <c r="E2405">
        <f>SUMIF(数据源!R1857:R10423,C2405,数据源!M1857:M10423)</f>
        <v>0</v>
      </c>
    </row>
    <row r="2406" spans="2:5">
      <c r="B2406" t="s">
        <v>2690</v>
      </c>
      <c r="D2406" t="s">
        <v>25</v>
      </c>
      <c r="E2406">
        <f>SUMIF(数据源!R1227:R9793,C2406,数据源!M1227:M9793)</f>
        <v>0</v>
      </c>
    </row>
    <row r="2407" spans="2:5">
      <c r="B2407" t="s">
        <v>2687</v>
      </c>
      <c r="D2407" t="s">
        <v>25</v>
      </c>
      <c r="E2407">
        <f>SUMIF(数据源!R659:R9225,C2407,数据源!M659:M9225)</f>
        <v>0</v>
      </c>
    </row>
    <row r="2408" spans="2:5">
      <c r="B2408" t="s">
        <v>2698</v>
      </c>
      <c r="D2408" t="s">
        <v>27</v>
      </c>
      <c r="E2408">
        <f>SUMIF(数据源!R3111:R11677,C2408,数据源!M3111:M11677)</f>
        <v>0</v>
      </c>
    </row>
    <row r="2409" spans="2:5">
      <c r="B2409" t="s">
        <v>2690</v>
      </c>
      <c r="D2409" t="s">
        <v>25</v>
      </c>
      <c r="E2409">
        <f>SUMIF(数据源!R1262:R9828,C2409,数据源!M1262:M9828)</f>
        <v>0</v>
      </c>
    </row>
    <row r="2410" spans="2:5">
      <c r="B2410" t="s">
        <v>2691</v>
      </c>
      <c r="D2410" t="s">
        <v>26</v>
      </c>
      <c r="E2410">
        <f>SUMIF(数据源!R1998:R10564,C2410,数据源!M1998:M10564)</f>
        <v>0</v>
      </c>
    </row>
    <row r="2411" spans="2:5">
      <c r="B2411" t="s">
        <v>2692</v>
      </c>
      <c r="D2411" t="s">
        <v>25</v>
      </c>
      <c r="E2411">
        <f>SUMIF(数据源!R620:R9186,C2411,数据源!M620:M9186)</f>
        <v>0</v>
      </c>
    </row>
    <row r="2412" spans="2:5">
      <c r="B2412" t="s">
        <v>2688</v>
      </c>
      <c r="D2412" t="s">
        <v>25</v>
      </c>
      <c r="E2412">
        <f>SUMIF(数据源!R1119:R9685,C2412,数据源!M1119:M9685)</f>
        <v>0</v>
      </c>
    </row>
    <row r="2413" spans="2:5">
      <c r="B2413" t="s">
        <v>2698</v>
      </c>
      <c r="D2413" t="s">
        <v>27</v>
      </c>
      <c r="E2413">
        <f>SUMIF(数据源!R3229:R11795,C2413,数据源!M3229:M11795)</f>
        <v>0</v>
      </c>
    </row>
    <row r="2414" spans="2:5">
      <c r="B2414" t="s">
        <v>2688</v>
      </c>
      <c r="D2414" t="s">
        <v>25</v>
      </c>
      <c r="E2414">
        <f>SUMIF(数据源!R831:R9397,C2414,数据源!M831:M9397)</f>
        <v>0</v>
      </c>
    </row>
    <row r="2415" spans="2:5">
      <c r="B2415" t="s">
        <v>2694</v>
      </c>
      <c r="D2415" t="s">
        <v>25</v>
      </c>
      <c r="E2415">
        <f>SUMIF(数据源!R1788:R10354,C2415,数据源!M1788:M10354)</f>
        <v>0</v>
      </c>
    </row>
    <row r="2416" spans="2:5">
      <c r="B2416" t="s">
        <v>2694</v>
      </c>
      <c r="D2416" t="s">
        <v>25</v>
      </c>
      <c r="E2416">
        <f>SUMIF(数据源!R1739:R10305,C2416,数据源!M1739:M10305)</f>
        <v>0</v>
      </c>
    </row>
    <row r="2417" spans="2:5">
      <c r="B2417" t="s">
        <v>2695</v>
      </c>
      <c r="D2417" t="s">
        <v>26</v>
      </c>
      <c r="E2417">
        <f>SUMIF(数据源!R1888:R10454,C2417,数据源!M1888:M10454)</f>
        <v>0</v>
      </c>
    </row>
    <row r="2418" spans="2:5">
      <c r="B2418" t="s">
        <v>2688</v>
      </c>
      <c r="D2418" t="s">
        <v>25</v>
      </c>
      <c r="E2418">
        <f>SUMIF(数据源!R894:R9460,C2418,数据源!M894:M9460)</f>
        <v>0</v>
      </c>
    </row>
    <row r="2419" spans="2:5">
      <c r="B2419" t="s">
        <v>2694</v>
      </c>
      <c r="D2419" t="s">
        <v>25</v>
      </c>
      <c r="E2419">
        <f>SUMIF(数据源!R1710:R10276,C2419,数据源!M1710:M10276)</f>
        <v>0</v>
      </c>
    </row>
    <row r="2420" spans="2:5">
      <c r="B2420" t="s">
        <v>2691</v>
      </c>
      <c r="D2420" t="s">
        <v>26</v>
      </c>
      <c r="E2420">
        <f>SUMIF(数据源!R1960:R10526,C2420,数据源!M1960:M10526)</f>
        <v>0</v>
      </c>
    </row>
    <row r="2421" spans="2:5">
      <c r="B2421" t="s">
        <v>2697</v>
      </c>
      <c r="D2421" t="s">
        <v>26</v>
      </c>
      <c r="E2421">
        <f>SUMIF(数据源!R2172:R10738,C2421,数据源!M2172:M10738)</f>
        <v>0</v>
      </c>
    </row>
    <row r="2422" spans="2:5">
      <c r="B2422" t="s">
        <v>2690</v>
      </c>
      <c r="D2422" t="s">
        <v>25</v>
      </c>
      <c r="E2422">
        <f>SUMIF(数据源!R1296:R9862,C2422,数据源!M1296:M9862)</f>
        <v>0</v>
      </c>
    </row>
    <row r="2423" spans="2:5">
      <c r="B2423" t="s">
        <v>2688</v>
      </c>
      <c r="D2423" t="s">
        <v>25</v>
      </c>
      <c r="E2423">
        <f>SUMIF(数据源!R1077:R9643,C2423,数据源!M1077:M9643)</f>
        <v>0</v>
      </c>
    </row>
    <row r="2424" spans="2:5">
      <c r="B2424" t="s">
        <v>2698</v>
      </c>
      <c r="D2424" t="s">
        <v>27</v>
      </c>
      <c r="E2424">
        <f>SUMIF(数据源!R3059:R11625,C2424,数据源!M3059:M11625)</f>
        <v>0</v>
      </c>
    </row>
    <row r="2425" spans="2:5">
      <c r="B2425" t="s">
        <v>2696</v>
      </c>
      <c r="D2425" t="s">
        <v>27</v>
      </c>
      <c r="E2425">
        <f>SUMIF(数据源!R2663:R11229,C2425,数据源!M2663:M11229)</f>
        <v>0</v>
      </c>
    </row>
    <row r="2426" spans="2:5">
      <c r="B2426" t="s">
        <v>2697</v>
      </c>
      <c r="D2426" t="s">
        <v>26</v>
      </c>
      <c r="E2426">
        <f>SUMIF(数据源!R2166:R10732,C2426,数据源!M2166:M10732)</f>
        <v>0</v>
      </c>
    </row>
    <row r="2427" spans="2:5">
      <c r="B2427" t="s">
        <v>2687</v>
      </c>
      <c r="D2427" t="s">
        <v>25</v>
      </c>
      <c r="E2427">
        <f>SUMIF(数据源!R688:R9254,C2427,数据源!M688:M9254)</f>
        <v>0</v>
      </c>
    </row>
    <row r="2428" spans="2:5">
      <c r="B2428" t="s">
        <v>2694</v>
      </c>
      <c r="D2428" t="s">
        <v>25</v>
      </c>
      <c r="E2428">
        <f>SUMIF(数据源!R1682:R10248,C2428,数据源!M1682:M10248)</f>
        <v>0</v>
      </c>
    </row>
    <row r="2429" spans="2:5">
      <c r="B2429" t="s">
        <v>2685</v>
      </c>
      <c r="D2429" t="s">
        <v>25</v>
      </c>
      <c r="E2429">
        <f>SUMIF(数据源!R346:R8912,C2429,数据源!M346:M8912)</f>
        <v>0</v>
      </c>
    </row>
    <row r="2430" spans="2:5">
      <c r="B2430" t="s">
        <v>2697</v>
      </c>
      <c r="D2430" t="s">
        <v>26</v>
      </c>
      <c r="E2430">
        <f>SUMIF(数据源!R2113:R10679,C2430,数据源!M2113:M10679)</f>
        <v>0</v>
      </c>
    </row>
    <row r="2431" spans="2:5">
      <c r="B2431" t="s">
        <v>2689</v>
      </c>
      <c r="D2431" t="s">
        <v>25</v>
      </c>
      <c r="E2431">
        <f>SUMIF(数据源!R127:R8693,C2431,数据源!M127:M8693)</f>
        <v>0</v>
      </c>
    </row>
    <row r="2432" spans="2:5">
      <c r="B2432" t="s">
        <v>2696</v>
      </c>
      <c r="D2432" t="s">
        <v>27</v>
      </c>
      <c r="E2432">
        <f>SUMIF(数据源!R2716:R11282,C2432,数据源!M2716:M11282)</f>
        <v>0</v>
      </c>
    </row>
    <row r="2433" spans="2:5">
      <c r="B2433" t="s">
        <v>2697</v>
      </c>
      <c r="D2433" t="s">
        <v>26</v>
      </c>
      <c r="E2433">
        <f>SUMIF(数据源!R2266:R10832,C2433,数据源!M2266:M10832)</f>
        <v>0</v>
      </c>
    </row>
    <row r="2434" spans="2:5">
      <c r="B2434" t="s">
        <v>2688</v>
      </c>
      <c r="D2434" t="s">
        <v>25</v>
      </c>
      <c r="E2434">
        <f>SUMIF(数据源!R942:R9508,C2434,数据源!M942:M9508)</f>
        <v>0</v>
      </c>
    </row>
    <row r="2435" spans="2:5">
      <c r="B2435" t="s">
        <v>2691</v>
      </c>
      <c r="D2435" t="s">
        <v>26</v>
      </c>
      <c r="E2435">
        <f>SUMIF(数据源!R1999:R10565,C2435,数据源!M1999:M10565)</f>
        <v>0</v>
      </c>
    </row>
    <row r="2436" spans="2:5">
      <c r="B2436" t="s">
        <v>2692</v>
      </c>
      <c r="D2436" t="s">
        <v>25</v>
      </c>
      <c r="E2436">
        <f>SUMIF(数据源!R576:R9142,C2436,数据源!M576:M9142)</f>
        <v>0</v>
      </c>
    </row>
    <row r="2437" spans="2:5">
      <c r="B2437" t="s">
        <v>2697</v>
      </c>
      <c r="D2437" t="s">
        <v>26</v>
      </c>
      <c r="E2437">
        <f>SUMIF(数据源!R2229:R10795,C2437,数据源!M2229:M10795)</f>
        <v>0</v>
      </c>
    </row>
    <row r="2438" spans="2:5">
      <c r="B2438" t="s">
        <v>2698</v>
      </c>
      <c r="D2438" t="s">
        <v>27</v>
      </c>
      <c r="E2438">
        <f>SUMIF(数据源!R3201:R11767,C2438,数据源!M3201:M11767)</f>
        <v>0</v>
      </c>
    </row>
    <row r="2439" spans="2:5">
      <c r="B2439" t="s">
        <v>2700</v>
      </c>
      <c r="D2439" t="s">
        <v>25</v>
      </c>
      <c r="E2439">
        <f>SUMIF(数据源!R1542:R10108,C2439,数据源!M1542:M10108)</f>
        <v>0</v>
      </c>
    </row>
    <row r="2440" spans="2:5">
      <c r="B2440" t="s">
        <v>2696</v>
      </c>
      <c r="D2440" t="s">
        <v>27</v>
      </c>
      <c r="E2440">
        <f>SUMIF(数据源!R2601:R11167,C2440,数据源!M2601:M11167)</f>
        <v>0</v>
      </c>
    </row>
    <row r="2441" spans="2:5">
      <c r="B2441" t="s">
        <v>2700</v>
      </c>
      <c r="D2441" t="s">
        <v>25</v>
      </c>
      <c r="E2441">
        <f>SUMIF(数据源!R1491:R10057,C2441,数据源!M1491:M10057)</f>
        <v>0</v>
      </c>
    </row>
    <row r="2442" spans="2:5">
      <c r="B2442" t="s">
        <v>2691</v>
      </c>
      <c r="D2442" t="s">
        <v>26</v>
      </c>
      <c r="E2442">
        <f>SUMIF(数据源!R2038:R10604,C2442,数据源!M2038:M10604)</f>
        <v>0</v>
      </c>
    </row>
    <row r="2443" spans="2:5">
      <c r="B2443" t="s">
        <v>2700</v>
      </c>
      <c r="D2443" t="s">
        <v>25</v>
      </c>
      <c r="E2443">
        <f>SUMIF(数据源!R1524:R10090,C2443,数据源!M1524:M10090)</f>
        <v>0</v>
      </c>
    </row>
    <row r="2444" spans="2:5">
      <c r="B2444" t="s">
        <v>2696</v>
      </c>
      <c r="D2444" t="s">
        <v>27</v>
      </c>
      <c r="E2444">
        <f>SUMIF(数据源!R2697:R11263,C2444,数据源!M2697:M11263)</f>
        <v>0</v>
      </c>
    </row>
    <row r="2445" spans="2:5">
      <c r="B2445" t="s">
        <v>2686</v>
      </c>
      <c r="D2445" t="s">
        <v>27</v>
      </c>
      <c r="E2445">
        <f>SUMIF(数据源!R2937:R11503,C2445,数据源!M2937:M11503)</f>
        <v>0</v>
      </c>
    </row>
    <row r="2446" spans="2:5">
      <c r="B2446" t="s">
        <v>2691</v>
      </c>
      <c r="D2446" t="s">
        <v>26</v>
      </c>
      <c r="E2446">
        <f>SUMIF(数据源!R2027:R10593,C2446,数据源!M2027:M10593)</f>
        <v>0</v>
      </c>
    </row>
    <row r="2447" spans="2:5">
      <c r="B2447" t="s">
        <v>2694</v>
      </c>
      <c r="D2447" t="s">
        <v>25</v>
      </c>
      <c r="E2447">
        <f>SUMIF(数据源!R1735:R10301,C2447,数据源!M1735:M10301)</f>
        <v>0</v>
      </c>
    </row>
    <row r="2448" spans="2:5">
      <c r="B2448" t="s">
        <v>2688</v>
      </c>
      <c r="D2448" t="s">
        <v>25</v>
      </c>
      <c r="E2448">
        <f>SUMIF(数据源!R776:R9342,C2448,数据源!M776:M9342)</f>
        <v>0</v>
      </c>
    </row>
    <row r="2449" spans="2:5">
      <c r="B2449" t="s">
        <v>2696</v>
      </c>
      <c r="D2449" t="s">
        <v>27</v>
      </c>
      <c r="E2449">
        <f>SUMIF(数据源!R2743:R11309,C2449,数据源!M2743:M11309)</f>
        <v>0</v>
      </c>
    </row>
    <row r="2450" spans="2:5">
      <c r="B2450" t="s">
        <v>2697</v>
      </c>
      <c r="D2450" t="s">
        <v>26</v>
      </c>
      <c r="E2450">
        <f>SUMIF(数据源!R2309:R10875,C2450,数据源!M2309:M10875)</f>
        <v>0</v>
      </c>
    </row>
    <row r="2451" spans="2:5">
      <c r="B2451" t="s">
        <v>2690</v>
      </c>
      <c r="D2451" t="s">
        <v>25</v>
      </c>
      <c r="E2451">
        <f>SUMIF(数据源!R1394:R9960,C2451,数据源!M1394:M9960)</f>
        <v>0</v>
      </c>
    </row>
    <row r="2452" spans="2:5">
      <c r="B2452" t="s">
        <v>2701</v>
      </c>
      <c r="D2452" t="s">
        <v>25</v>
      </c>
      <c r="E2452">
        <f>SUMIF(数据源!R1595:R10161,C2452,数据源!M1595:M10161)</f>
        <v>0</v>
      </c>
    </row>
    <row r="2453" spans="2:5">
      <c r="B2453" t="s">
        <v>2697</v>
      </c>
      <c r="D2453" t="s">
        <v>26</v>
      </c>
      <c r="E2453">
        <f>SUMIF(数据源!R2397:R10963,C2453,数据源!M2397:M10963)</f>
        <v>0</v>
      </c>
    </row>
    <row r="2454" spans="2:5">
      <c r="B2454" t="s">
        <v>2688</v>
      </c>
      <c r="D2454" t="s">
        <v>25</v>
      </c>
      <c r="E2454">
        <f>SUMIF(数据源!R1161:R9727,C2454,数据源!M1161:M9727)</f>
        <v>0</v>
      </c>
    </row>
    <row r="2455" spans="2:5">
      <c r="B2455" t="s">
        <v>2688</v>
      </c>
      <c r="D2455" t="s">
        <v>25</v>
      </c>
      <c r="E2455">
        <f>SUMIF(数据源!R878:R9444,C2455,数据源!M878:M9444)</f>
        <v>0</v>
      </c>
    </row>
    <row r="2456" spans="2:5">
      <c r="B2456" t="s">
        <v>2701</v>
      </c>
      <c r="D2456" t="s">
        <v>25</v>
      </c>
      <c r="E2456">
        <f>SUMIF(数据源!R1593:R10159,C2456,数据源!M1593:M10159)</f>
        <v>0</v>
      </c>
    </row>
    <row r="2457" spans="2:5">
      <c r="B2457" t="s">
        <v>2694</v>
      </c>
      <c r="D2457" t="s">
        <v>25</v>
      </c>
      <c r="E2457">
        <f>SUMIF(数据源!R1696:R10262,C2457,数据源!M1696:M10262)</f>
        <v>0</v>
      </c>
    </row>
    <row r="2458" spans="2:5">
      <c r="B2458" t="s">
        <v>2690</v>
      </c>
      <c r="D2458" t="s">
        <v>25</v>
      </c>
      <c r="E2458">
        <f>SUMIF(数据源!R1339:R9905,C2458,数据源!M1339:M9905)</f>
        <v>0</v>
      </c>
    </row>
    <row r="2459" spans="2:5">
      <c r="B2459" t="s">
        <v>2685</v>
      </c>
      <c r="D2459" t="s">
        <v>25</v>
      </c>
      <c r="E2459">
        <f>SUMIF(数据源!R246:R8812,C2459,数据源!M246:M8812)</f>
        <v>0</v>
      </c>
    </row>
    <row r="2460" spans="2:5">
      <c r="B2460" t="s">
        <v>2688</v>
      </c>
      <c r="D2460" t="s">
        <v>25</v>
      </c>
      <c r="E2460">
        <f>SUMIF(数据源!R826:R9392,C2460,数据源!M826:M9392)</f>
        <v>0</v>
      </c>
    </row>
    <row r="2461" spans="2:5">
      <c r="B2461" t="s">
        <v>2690</v>
      </c>
      <c r="D2461" t="s">
        <v>25</v>
      </c>
      <c r="E2461">
        <f>SUMIF(数据源!R1381:R9947,C2461,数据源!M1381:M9947)</f>
        <v>0</v>
      </c>
    </row>
    <row r="2462" spans="2:5">
      <c r="B2462" t="s">
        <v>2689</v>
      </c>
      <c r="D2462" t="s">
        <v>25</v>
      </c>
      <c r="E2462">
        <f>SUMIF(数据源!R83:R8649,C2462,数据源!M83:M8649)</f>
        <v>0</v>
      </c>
    </row>
    <row r="2463" spans="2:5">
      <c r="B2463" t="s">
        <v>2685</v>
      </c>
      <c r="D2463" t="s">
        <v>25</v>
      </c>
      <c r="E2463">
        <f>SUMIF(数据源!R310:R8876,C2463,数据源!M310:M8876)</f>
        <v>0</v>
      </c>
    </row>
    <row r="2464" spans="2:5">
      <c r="B2464" t="s">
        <v>2688</v>
      </c>
      <c r="D2464" t="s">
        <v>25</v>
      </c>
      <c r="E2464">
        <f>SUMIF(数据源!R895:R9461,C2464,数据源!M895:M9461)</f>
        <v>0</v>
      </c>
    </row>
    <row r="2465" spans="2:5">
      <c r="B2465" t="s">
        <v>2696</v>
      </c>
      <c r="D2465" t="s">
        <v>27</v>
      </c>
      <c r="E2465">
        <f>SUMIF(数据源!R2757:R11323,C2465,数据源!M2757:M11323)</f>
        <v>0</v>
      </c>
    </row>
    <row r="2466" spans="2:5">
      <c r="B2466" t="s">
        <v>2686</v>
      </c>
      <c r="D2466" t="s">
        <v>27</v>
      </c>
      <c r="E2466">
        <f>SUMIF(数据源!R2970:R11536,C2466,数据源!M2970:M11536)</f>
        <v>0</v>
      </c>
    </row>
    <row r="2467" spans="2:5">
      <c r="B2467" t="s">
        <v>2685</v>
      </c>
      <c r="D2467" t="s">
        <v>25</v>
      </c>
      <c r="E2467">
        <f>SUMIF(数据源!R429:R8995,C2467,数据源!M429:M8995)</f>
        <v>0</v>
      </c>
    </row>
    <row r="2468" spans="2:5">
      <c r="B2468" t="s">
        <v>2688</v>
      </c>
      <c r="D2468" t="s">
        <v>25</v>
      </c>
      <c r="E2468">
        <f>SUMIF(数据源!R1004:R9570,C2468,数据源!M1004:M9570)</f>
        <v>0</v>
      </c>
    </row>
    <row r="2469" spans="2:5">
      <c r="B2469" t="s">
        <v>2697</v>
      </c>
      <c r="D2469" t="s">
        <v>26</v>
      </c>
      <c r="E2469">
        <f>SUMIF(数据源!R2348:R10914,C2469,数据源!M2348:M10914)</f>
        <v>0</v>
      </c>
    </row>
    <row r="2470" spans="2:5">
      <c r="B2470" t="s">
        <v>2692</v>
      </c>
      <c r="D2470" t="s">
        <v>25</v>
      </c>
      <c r="E2470">
        <f>SUMIF(数据源!R614:R9180,C2470,数据源!M614:M9180)</f>
        <v>0</v>
      </c>
    </row>
    <row r="2471" spans="2:5">
      <c r="B2471" t="s">
        <v>2688</v>
      </c>
      <c r="D2471" t="s">
        <v>25</v>
      </c>
      <c r="E2471">
        <f>SUMIF(数据源!R1045:R9611,C2471,数据源!M1045:M9611)</f>
        <v>0</v>
      </c>
    </row>
    <row r="2472" spans="2:5">
      <c r="B2472" t="s">
        <v>2694</v>
      </c>
      <c r="D2472" t="s">
        <v>25</v>
      </c>
      <c r="E2472">
        <f>SUMIF(数据源!R1810:R10376,C2472,数据源!M1810:M10376)</f>
        <v>0</v>
      </c>
    </row>
    <row r="2473" spans="2:5">
      <c r="B2473" t="s">
        <v>2698</v>
      </c>
      <c r="D2473" t="s">
        <v>27</v>
      </c>
      <c r="E2473">
        <f>SUMIF(数据源!R3186:R11752,C2473,数据源!M3186:M11752)</f>
        <v>0</v>
      </c>
    </row>
    <row r="2474" spans="2:5">
      <c r="B2474" t="s">
        <v>2697</v>
      </c>
      <c r="D2474" t="s">
        <v>26</v>
      </c>
      <c r="E2474">
        <f>SUMIF(数据源!R2132:R10698,C2474,数据源!M2132:M10698)</f>
        <v>0</v>
      </c>
    </row>
    <row r="2475" spans="2:5">
      <c r="B2475" t="s">
        <v>2697</v>
      </c>
      <c r="D2475" t="s">
        <v>26</v>
      </c>
      <c r="E2475">
        <f>SUMIF(数据源!R2260:R10826,C2475,数据源!M2260:M10826)</f>
        <v>0</v>
      </c>
    </row>
    <row r="2476" spans="2:5">
      <c r="B2476" t="s">
        <v>2700</v>
      </c>
      <c r="D2476" t="s">
        <v>25</v>
      </c>
      <c r="E2476">
        <f>SUMIF(数据源!R1515:R10081,C2476,数据源!M1515:M10081)</f>
        <v>0</v>
      </c>
    </row>
    <row r="2477" spans="2:5">
      <c r="B2477" t="s">
        <v>2701</v>
      </c>
      <c r="D2477" t="s">
        <v>25</v>
      </c>
      <c r="E2477">
        <f>SUMIF(数据源!R1606:R10172,C2477,数据源!M1606:M10172)</f>
        <v>0</v>
      </c>
    </row>
    <row r="2478" spans="2:5">
      <c r="B2478" t="s">
        <v>2688</v>
      </c>
      <c r="D2478" t="s">
        <v>25</v>
      </c>
      <c r="E2478">
        <f>SUMIF(数据源!R1124:R9690,C2478,数据源!M1124:M9690)</f>
        <v>0</v>
      </c>
    </row>
    <row r="2479" spans="2:5">
      <c r="B2479" t="s">
        <v>2689</v>
      </c>
      <c r="D2479" t="s">
        <v>25</v>
      </c>
      <c r="E2479">
        <f>SUMIF(数据源!R36:R8602,C2479,数据源!M36:M8602)</f>
        <v>0</v>
      </c>
    </row>
    <row r="2480" spans="2:5">
      <c r="B2480" t="s">
        <v>2692</v>
      </c>
      <c r="D2480" t="s">
        <v>25</v>
      </c>
      <c r="E2480">
        <f>SUMIF(数据源!R553:R9119,C2480,数据源!M553:M9119)</f>
        <v>0</v>
      </c>
    </row>
    <row r="2481" spans="2:5">
      <c r="B2481" t="s">
        <v>2698</v>
      </c>
      <c r="D2481" t="s">
        <v>27</v>
      </c>
      <c r="E2481">
        <f>SUMIF(数据源!R3025:R11591,C2481,数据源!M3025:M11591)</f>
        <v>0</v>
      </c>
    </row>
    <row r="2482" spans="2:5">
      <c r="B2482" t="s">
        <v>2697</v>
      </c>
      <c r="D2482" t="s">
        <v>26</v>
      </c>
      <c r="E2482">
        <f>SUMIF(数据源!R2351:R10917,C2482,数据源!M2351:M10917)</f>
        <v>0</v>
      </c>
    </row>
    <row r="2483" spans="2:5">
      <c r="B2483" t="s">
        <v>2694</v>
      </c>
      <c r="D2483" t="s">
        <v>25</v>
      </c>
      <c r="E2483">
        <f>SUMIF(数据源!R1698:R10264,C2483,数据源!M1698:M10264)</f>
        <v>0</v>
      </c>
    </row>
    <row r="2484" spans="2:5">
      <c r="B2484" t="s">
        <v>2696</v>
      </c>
      <c r="D2484" t="s">
        <v>27</v>
      </c>
      <c r="E2484">
        <f>SUMIF(数据源!R2633:R11199,C2484,数据源!M2633:M11199)</f>
        <v>0</v>
      </c>
    </row>
    <row r="2485" spans="2:5">
      <c r="B2485" t="s">
        <v>2687</v>
      </c>
      <c r="D2485" t="s">
        <v>25</v>
      </c>
      <c r="E2485">
        <f>SUMIF(数据源!R744:R9310,C2485,数据源!M744:M9310)</f>
        <v>0</v>
      </c>
    </row>
    <row r="2486" spans="2:5">
      <c r="B2486" t="s">
        <v>2688</v>
      </c>
      <c r="D2486" t="s">
        <v>25</v>
      </c>
      <c r="E2486">
        <f>SUMIF(数据源!R1170:R9736,C2486,数据源!M1170:M9736)</f>
        <v>0</v>
      </c>
    </row>
    <row r="2487" spans="2:5">
      <c r="B2487" t="s">
        <v>2700</v>
      </c>
      <c r="D2487" t="s">
        <v>25</v>
      </c>
      <c r="E2487">
        <f>SUMIF(数据源!R1478:R10044,C2487,数据源!M1478:M10044)</f>
        <v>0</v>
      </c>
    </row>
    <row r="2488" spans="2:5">
      <c r="B2488" t="s">
        <v>2687</v>
      </c>
      <c r="D2488" t="s">
        <v>25</v>
      </c>
      <c r="E2488">
        <f>SUMIF(数据源!R676:R9242,C2488,数据源!M676:M9242)</f>
        <v>0</v>
      </c>
    </row>
    <row r="2489" spans="2:5">
      <c r="B2489" t="s">
        <v>2688</v>
      </c>
      <c r="D2489" t="s">
        <v>25</v>
      </c>
      <c r="E2489">
        <f>SUMIF(数据源!R823:R9389,C2489,数据源!M823:M9389)</f>
        <v>0</v>
      </c>
    </row>
    <row r="2490" spans="2:5">
      <c r="B2490" t="s">
        <v>2691</v>
      </c>
      <c r="D2490" t="s">
        <v>26</v>
      </c>
      <c r="E2490">
        <f>SUMIF(数据源!R1966:R10532,C2490,数据源!M1966:M10532)</f>
        <v>0</v>
      </c>
    </row>
    <row r="2491" spans="2:5">
      <c r="B2491" t="s">
        <v>2697</v>
      </c>
      <c r="D2491" t="s">
        <v>26</v>
      </c>
      <c r="E2491">
        <f>SUMIF(数据源!R2199:R10765,C2491,数据源!M2199:M10765)</f>
        <v>0</v>
      </c>
    </row>
    <row r="2492" spans="2:5">
      <c r="B2492" t="s">
        <v>2697</v>
      </c>
      <c r="D2492" t="s">
        <v>26</v>
      </c>
      <c r="E2492">
        <f>SUMIF(数据源!R2210:R10776,C2492,数据源!M2210:M10776)</f>
        <v>0</v>
      </c>
    </row>
    <row r="2493" spans="2:5">
      <c r="B2493" t="s">
        <v>2686</v>
      </c>
      <c r="D2493" t="s">
        <v>27</v>
      </c>
      <c r="E2493">
        <f>SUMIF(数据源!R2982:R11548,C2493,数据源!M2982:M11548)</f>
        <v>0</v>
      </c>
    </row>
    <row r="2494" spans="2:5">
      <c r="B2494" t="s">
        <v>2688</v>
      </c>
      <c r="D2494" t="s">
        <v>25</v>
      </c>
      <c r="E2494">
        <f>SUMIF(数据源!R1182:R9748,C2494,数据源!M1182:M9748)</f>
        <v>0</v>
      </c>
    </row>
    <row r="2495" spans="2:5">
      <c r="B2495" t="s">
        <v>2685</v>
      </c>
      <c r="D2495" t="s">
        <v>25</v>
      </c>
      <c r="E2495">
        <f>SUMIF(数据源!R425:R8991,C2495,数据源!M425:M8991)</f>
        <v>0</v>
      </c>
    </row>
    <row r="2496" spans="2:5">
      <c r="B2496" t="s">
        <v>2690</v>
      </c>
      <c r="D2496" t="s">
        <v>25</v>
      </c>
      <c r="E2496">
        <f>SUMIF(数据源!R1251:R9817,C2496,数据源!M1251:M9817)</f>
        <v>0</v>
      </c>
    </row>
    <row r="2497" spans="2:5">
      <c r="B2497" t="s">
        <v>2699</v>
      </c>
      <c r="D2497" t="s">
        <v>26</v>
      </c>
      <c r="E2497">
        <f>SUMIF(数据源!R2514:R11080,C2497,数据源!M2514:M11080)</f>
        <v>0</v>
      </c>
    </row>
    <row r="2498" spans="2:5">
      <c r="B2498" t="s">
        <v>2688</v>
      </c>
      <c r="D2498" t="s">
        <v>25</v>
      </c>
      <c r="E2498">
        <f>SUMIF(数据源!R1110:R9676,C2498,数据源!M1110:M9676)</f>
        <v>0</v>
      </c>
    </row>
    <row r="2499" spans="2:5">
      <c r="B2499" t="s">
        <v>2689</v>
      </c>
      <c r="D2499" t="s">
        <v>25</v>
      </c>
      <c r="E2499">
        <f>SUMIF(数据源!R154:R8720,C2499,数据源!M154:M8720)</f>
        <v>0</v>
      </c>
    </row>
    <row r="2500" spans="2:5">
      <c r="B2500" t="s">
        <v>2694</v>
      </c>
      <c r="D2500" t="s">
        <v>25</v>
      </c>
      <c r="E2500">
        <f>SUMIF(数据源!R1724:R10290,C2500,数据源!M1724:M10290)</f>
        <v>0</v>
      </c>
    </row>
    <row r="2501" spans="2:5">
      <c r="B2501" t="s">
        <v>2688</v>
      </c>
      <c r="D2501" t="s">
        <v>25</v>
      </c>
      <c r="E2501">
        <f>SUMIF(数据源!R879:R9445,C2501,数据源!M879:M9445)</f>
        <v>0</v>
      </c>
    </row>
    <row r="2502" spans="2:5">
      <c r="B2502" t="s">
        <v>2690</v>
      </c>
      <c r="D2502" t="s">
        <v>25</v>
      </c>
      <c r="E2502">
        <f>SUMIF(数据源!R1278:R9844,C2502,数据源!M1278:M9844)</f>
        <v>0</v>
      </c>
    </row>
    <row r="2503" spans="2:5">
      <c r="B2503" t="s">
        <v>2696</v>
      </c>
      <c r="D2503" t="s">
        <v>27</v>
      </c>
      <c r="E2503">
        <f>SUMIF(数据源!R2673:R11239,C2503,数据源!M2673:M11239)</f>
        <v>0</v>
      </c>
    </row>
    <row r="2504" spans="2:5">
      <c r="B2504" t="s">
        <v>2694</v>
      </c>
      <c r="D2504" t="s">
        <v>25</v>
      </c>
      <c r="E2504">
        <f>SUMIF(数据源!R1708:R10274,C2504,数据源!M1708:M10274)</f>
        <v>0</v>
      </c>
    </row>
    <row r="2505" spans="2:5">
      <c r="B2505" t="s">
        <v>2698</v>
      </c>
      <c r="D2505" t="s">
        <v>27</v>
      </c>
      <c r="E2505">
        <f>SUMIF(数据源!R3067:R11633,C2505,数据源!M3067:M11633)</f>
        <v>0</v>
      </c>
    </row>
    <row r="2506" spans="2:5">
      <c r="B2506" t="s">
        <v>2685</v>
      </c>
      <c r="D2506" t="s">
        <v>25</v>
      </c>
      <c r="E2506">
        <f>SUMIF(数据源!R312:R8878,C2506,数据源!M312:M8878)</f>
        <v>0</v>
      </c>
    </row>
    <row r="2507" spans="2:5">
      <c r="B2507" t="s">
        <v>2690</v>
      </c>
      <c r="D2507" t="s">
        <v>25</v>
      </c>
      <c r="E2507">
        <f>SUMIF(数据源!R1455:R10021,C2507,数据源!M1455:M10021)</f>
        <v>0</v>
      </c>
    </row>
    <row r="2508" spans="2:5">
      <c r="B2508" t="s">
        <v>2687</v>
      </c>
      <c r="D2508" t="s">
        <v>25</v>
      </c>
      <c r="E2508">
        <f>SUMIF(数据源!R693:R9259,C2508,数据源!M693:M9259)</f>
        <v>0</v>
      </c>
    </row>
    <row r="2509" spans="2:5">
      <c r="B2509" t="s">
        <v>2685</v>
      </c>
      <c r="D2509" t="s">
        <v>25</v>
      </c>
      <c r="E2509">
        <f>SUMIF(数据源!R377:R8943,C2509,数据源!M377:M8943)</f>
        <v>0</v>
      </c>
    </row>
    <row r="2510" spans="2:5">
      <c r="B2510" t="s">
        <v>2687</v>
      </c>
      <c r="D2510" t="s">
        <v>25</v>
      </c>
      <c r="E2510">
        <f>SUMIF(数据源!R674:R9240,C2510,数据源!M674:M9240)</f>
        <v>0</v>
      </c>
    </row>
    <row r="2511" spans="2:5">
      <c r="B2511" t="s">
        <v>2690</v>
      </c>
      <c r="D2511" t="s">
        <v>25</v>
      </c>
      <c r="E2511">
        <f>SUMIF(数据源!R1404:R9970,C2511,数据源!M1404:M9970)</f>
        <v>0</v>
      </c>
    </row>
    <row r="2512" spans="2:5">
      <c r="B2512" t="s">
        <v>2696</v>
      </c>
      <c r="D2512" t="s">
        <v>27</v>
      </c>
      <c r="E2512">
        <f>SUMIF(数据源!R2630:R11196,C2512,数据源!M2630:M11196)</f>
        <v>0</v>
      </c>
    </row>
    <row r="2513" spans="2:5">
      <c r="B2513" t="s">
        <v>2697</v>
      </c>
      <c r="D2513" t="s">
        <v>26</v>
      </c>
      <c r="E2513">
        <f>SUMIF(数据源!R2211:R10777,C2513,数据源!M2211:M10777)</f>
        <v>0</v>
      </c>
    </row>
    <row r="2514" spans="2:5">
      <c r="B2514" t="s">
        <v>2685</v>
      </c>
      <c r="D2514" t="s">
        <v>25</v>
      </c>
      <c r="E2514">
        <f>SUMIF(数据源!R519:R9085,C2514,数据源!M519:M9085)</f>
        <v>0</v>
      </c>
    </row>
    <row r="2515" spans="2:5">
      <c r="B2515" t="s">
        <v>2688</v>
      </c>
      <c r="D2515" t="s">
        <v>25</v>
      </c>
      <c r="E2515">
        <f>SUMIF(数据源!R1157:R9723,C2515,数据源!M1157:M9723)</f>
        <v>0</v>
      </c>
    </row>
    <row r="2516" spans="2:5">
      <c r="B2516" t="s">
        <v>2689</v>
      </c>
      <c r="D2516" t="s">
        <v>25</v>
      </c>
      <c r="E2516">
        <f>SUMIF(数据源!R45:R8611,C2516,数据源!M45:M8611)</f>
        <v>0</v>
      </c>
    </row>
    <row r="2517" spans="2:5">
      <c r="B2517" t="s">
        <v>2687</v>
      </c>
      <c r="D2517" t="s">
        <v>25</v>
      </c>
      <c r="E2517">
        <f>SUMIF(数据源!R643:R9209,C2517,数据源!M643:M9209)</f>
        <v>0</v>
      </c>
    </row>
    <row r="2518" spans="2:5">
      <c r="B2518" t="s">
        <v>2688</v>
      </c>
      <c r="D2518" t="s">
        <v>25</v>
      </c>
      <c r="E2518">
        <f>SUMIF(数据源!R909:R9475,C2518,数据源!M909:M9475)</f>
        <v>0</v>
      </c>
    </row>
    <row r="2519" spans="2:5">
      <c r="B2519" t="s">
        <v>2697</v>
      </c>
      <c r="D2519" t="s">
        <v>26</v>
      </c>
      <c r="E2519">
        <f>SUMIF(数据源!R2145:R10711,C2519,数据源!M2145:M10711)</f>
        <v>0</v>
      </c>
    </row>
    <row r="2520" spans="2:5">
      <c r="B2520" t="s">
        <v>2690</v>
      </c>
      <c r="D2520" t="s">
        <v>25</v>
      </c>
      <c r="E2520">
        <f>SUMIF(数据源!R1275:R9841,C2520,数据源!M1275:M9841)</f>
        <v>0</v>
      </c>
    </row>
    <row r="2521" spans="2:5">
      <c r="B2521" t="s">
        <v>2689</v>
      </c>
      <c r="D2521" t="s">
        <v>25</v>
      </c>
      <c r="E2521">
        <f>SUMIF(数据源!R141:R8707,C2521,数据源!M141:M8707)</f>
        <v>0</v>
      </c>
    </row>
    <row r="2522" spans="2:5">
      <c r="B2522" t="s">
        <v>2688</v>
      </c>
      <c r="D2522" t="s">
        <v>25</v>
      </c>
      <c r="E2522">
        <f>SUMIF(数据源!R1147:R9713,C2522,数据源!M1147:M9713)</f>
        <v>0</v>
      </c>
    </row>
    <row r="2523" spans="2:5">
      <c r="B2523" t="s">
        <v>2698</v>
      </c>
      <c r="D2523" t="s">
        <v>27</v>
      </c>
      <c r="E2523">
        <f>SUMIF(数据源!R3141:R11707,C2523,数据源!M3141:M11707)</f>
        <v>0</v>
      </c>
    </row>
    <row r="2524" spans="2:5">
      <c r="B2524" t="s">
        <v>2697</v>
      </c>
      <c r="D2524" t="s">
        <v>26</v>
      </c>
      <c r="E2524">
        <f>SUMIF(数据源!R2208:R10774,C2524,数据源!M2208:M10774)</f>
        <v>0</v>
      </c>
    </row>
    <row r="2525" spans="2:5">
      <c r="B2525" t="s">
        <v>2694</v>
      </c>
      <c r="D2525" t="s">
        <v>25</v>
      </c>
      <c r="E2525">
        <f>SUMIF(数据源!R1700:R10266,C2525,数据源!M1700:M10266)</f>
        <v>0</v>
      </c>
    </row>
    <row r="2526" spans="2:5">
      <c r="B2526" t="s">
        <v>2698</v>
      </c>
      <c r="D2526" t="s">
        <v>27</v>
      </c>
      <c r="E2526">
        <f>SUMIF(数据源!R3247:R11813,C2526,数据源!M3247:M11813)</f>
        <v>0</v>
      </c>
    </row>
    <row r="2527" spans="2:5">
      <c r="B2527" t="s">
        <v>2685</v>
      </c>
      <c r="D2527" t="s">
        <v>25</v>
      </c>
      <c r="E2527">
        <f>SUMIF(数据源!R367:R8933,C2527,数据源!M367:M8933)</f>
        <v>0</v>
      </c>
    </row>
    <row r="2528" spans="2:5">
      <c r="B2528" t="s">
        <v>2688</v>
      </c>
      <c r="D2528" t="s">
        <v>25</v>
      </c>
      <c r="E2528">
        <f>SUMIF(数据源!R958:R9524,C2528,数据源!M958:M9524)</f>
        <v>0</v>
      </c>
    </row>
    <row r="2529" spans="2:5">
      <c r="B2529" t="s">
        <v>2686</v>
      </c>
      <c r="D2529" t="s">
        <v>27</v>
      </c>
      <c r="E2529">
        <f>SUMIF(数据源!R2990:R11556,C2529,数据源!M2990:M11556)</f>
        <v>0</v>
      </c>
    </row>
    <row r="2530" spans="2:5">
      <c r="B2530" t="s">
        <v>2694</v>
      </c>
      <c r="D2530" t="s">
        <v>25</v>
      </c>
      <c r="E2530">
        <f>SUMIF(数据源!R1820:R10386,C2530,数据源!M1820:M10386)</f>
        <v>0</v>
      </c>
    </row>
    <row r="2531" spans="2:5">
      <c r="B2531" t="s">
        <v>2688</v>
      </c>
      <c r="D2531" t="s">
        <v>25</v>
      </c>
      <c r="E2531">
        <f>SUMIF(数据源!R876:R9442,C2531,数据源!M876:M9442)</f>
        <v>0</v>
      </c>
    </row>
    <row r="2532" spans="2:5">
      <c r="B2532" t="s">
        <v>2699</v>
      </c>
      <c r="D2532" t="s">
        <v>26</v>
      </c>
      <c r="E2532">
        <f>SUMIF(数据源!R2427:R10993,C2532,数据源!M2427:M10993)</f>
        <v>0</v>
      </c>
    </row>
    <row r="2533" spans="2:5">
      <c r="B2533" t="s">
        <v>2700</v>
      </c>
      <c r="D2533" t="s">
        <v>25</v>
      </c>
      <c r="E2533">
        <f>SUMIF(数据源!R1494:R10060,C2533,数据源!M1494:M10060)</f>
        <v>0</v>
      </c>
    </row>
    <row r="2534" spans="2:5">
      <c r="B2534" t="s">
        <v>2697</v>
      </c>
      <c r="D2534" t="s">
        <v>26</v>
      </c>
      <c r="E2534">
        <f>SUMIF(数据源!R2202:R10768,C2534,数据源!M2202:M10768)</f>
        <v>0</v>
      </c>
    </row>
    <row r="2535" spans="2:5">
      <c r="B2535" t="s">
        <v>2685</v>
      </c>
      <c r="D2535" t="s">
        <v>25</v>
      </c>
      <c r="E2535">
        <f>SUMIF(数据源!R428:R8994,C2535,数据源!M428:M8994)</f>
        <v>0</v>
      </c>
    </row>
    <row r="2536" spans="2:5">
      <c r="B2536" t="s">
        <v>2697</v>
      </c>
      <c r="D2536" t="s">
        <v>26</v>
      </c>
      <c r="E2536">
        <f>SUMIF(数据源!R2407:R10973,C2536,数据源!M2407:M10973)</f>
        <v>0</v>
      </c>
    </row>
    <row r="2537" spans="2:5">
      <c r="B2537" t="s">
        <v>2689</v>
      </c>
      <c r="D2537" t="s">
        <v>25</v>
      </c>
      <c r="E2537">
        <f>SUMIF(数据源!R174:R8740,C2537,数据源!M174:M8740)</f>
        <v>0</v>
      </c>
    </row>
    <row r="2538" spans="2:5">
      <c r="B2538" t="s">
        <v>2687</v>
      </c>
      <c r="D2538" t="s">
        <v>25</v>
      </c>
      <c r="E2538">
        <f>SUMIF(数据源!R748:R9314,C2538,数据源!M748:M9314)</f>
        <v>0</v>
      </c>
    </row>
    <row r="2539" spans="2:5">
      <c r="B2539" t="s">
        <v>2688</v>
      </c>
      <c r="D2539" t="s">
        <v>25</v>
      </c>
      <c r="E2539">
        <f>SUMIF(数据源!R1216:R9782,C2539,数据源!M1216:M9782)</f>
        <v>0</v>
      </c>
    </row>
    <row r="2540" spans="2:5">
      <c r="B2540" t="s">
        <v>2694</v>
      </c>
      <c r="D2540" t="s">
        <v>25</v>
      </c>
      <c r="E2540">
        <f>SUMIF(数据源!R1785:R10351,C2540,数据源!M1785:M10351)</f>
        <v>0</v>
      </c>
    </row>
    <row r="2541" spans="2:5">
      <c r="B2541" t="s">
        <v>2698</v>
      </c>
      <c r="D2541" t="s">
        <v>27</v>
      </c>
      <c r="E2541">
        <f>SUMIF(数据源!R3281:R11847,C2541,数据源!M3281:M11847)</f>
        <v>0</v>
      </c>
    </row>
    <row r="2542" spans="2:5">
      <c r="B2542" t="s">
        <v>2695</v>
      </c>
      <c r="D2542" t="s">
        <v>26</v>
      </c>
      <c r="E2542">
        <f>SUMIF(数据源!R1884:R10450,C2542,数据源!M1884:M10450)</f>
        <v>0</v>
      </c>
    </row>
    <row r="2543" spans="2:5">
      <c r="B2543" t="s">
        <v>2697</v>
      </c>
      <c r="D2543" t="s">
        <v>26</v>
      </c>
      <c r="E2543">
        <f>SUMIF(数据源!R2200:R10766,C2543,数据源!M2200:M10766)</f>
        <v>0</v>
      </c>
    </row>
    <row r="2544" spans="2:5">
      <c r="B2544" t="s">
        <v>2689</v>
      </c>
      <c r="D2544" t="s">
        <v>25</v>
      </c>
      <c r="E2544">
        <f>SUMIF(数据源!R41:R8607,C2544,数据源!M41:M8607)</f>
        <v>0</v>
      </c>
    </row>
    <row r="2545" spans="2:5">
      <c r="B2545" t="s">
        <v>2692</v>
      </c>
      <c r="D2545" t="s">
        <v>25</v>
      </c>
      <c r="E2545">
        <f>SUMIF(数据源!R560:R9126,C2545,数据源!M560:M9126)</f>
        <v>0</v>
      </c>
    </row>
    <row r="2546" spans="2:5">
      <c r="B2546" t="s">
        <v>2696</v>
      </c>
      <c r="D2546" t="s">
        <v>27</v>
      </c>
      <c r="E2546">
        <f>SUMIF(数据源!R2799:R11365,C2546,数据源!M2799:M11365)</f>
        <v>0</v>
      </c>
    </row>
    <row r="2547" spans="2:5">
      <c r="B2547" t="s">
        <v>2696</v>
      </c>
      <c r="D2547" t="s">
        <v>27</v>
      </c>
      <c r="E2547">
        <f>SUMIF(数据源!R2585:R11151,C2547,数据源!M2585:M11151)</f>
        <v>0</v>
      </c>
    </row>
    <row r="2548" spans="2:5">
      <c r="B2548" t="s">
        <v>2696</v>
      </c>
      <c r="D2548" t="s">
        <v>27</v>
      </c>
      <c r="E2548">
        <f>SUMIF(数据源!R2727:R11293,C2548,数据源!M2727:M11293)</f>
        <v>0</v>
      </c>
    </row>
    <row r="2549" spans="2:5">
      <c r="B2549" t="s">
        <v>2694</v>
      </c>
      <c r="D2549" t="s">
        <v>25</v>
      </c>
      <c r="E2549">
        <f>SUMIF(数据源!R1791:R10357,C2549,数据源!M1791:M10357)</f>
        <v>0</v>
      </c>
    </row>
    <row r="2550" spans="2:5">
      <c r="B2550" t="s">
        <v>2696</v>
      </c>
      <c r="D2550" t="s">
        <v>27</v>
      </c>
      <c r="E2550">
        <f>SUMIF(数据源!R2590:R11156,C2550,数据源!M2590:M11156)</f>
        <v>0</v>
      </c>
    </row>
    <row r="2551" spans="2:5">
      <c r="B2551" t="s">
        <v>2686</v>
      </c>
      <c r="D2551" t="s">
        <v>27</v>
      </c>
      <c r="E2551">
        <f>SUMIF(数据源!R2878:R11444,C2551,数据源!M2878:M11444)</f>
        <v>0</v>
      </c>
    </row>
    <row r="2552" spans="2:5">
      <c r="B2552" t="s">
        <v>2688</v>
      </c>
      <c r="D2552" t="s">
        <v>25</v>
      </c>
      <c r="E2552">
        <f>SUMIF(数据源!R976:R9542,C2552,数据源!M976:M9542)</f>
        <v>0</v>
      </c>
    </row>
    <row r="2553" spans="2:5">
      <c r="B2553" t="s">
        <v>2689</v>
      </c>
      <c r="D2553" t="s">
        <v>25</v>
      </c>
      <c r="E2553">
        <f>SUMIF(数据源!R144:R8710,C2553,数据源!M144:M8710)</f>
        <v>0</v>
      </c>
    </row>
    <row r="2554" spans="2:5">
      <c r="B2554" t="s">
        <v>2685</v>
      </c>
      <c r="D2554" t="s">
        <v>25</v>
      </c>
      <c r="E2554">
        <f>SUMIF(数据源!R434:R9000,C2554,数据源!M434:M9000)</f>
        <v>0</v>
      </c>
    </row>
    <row r="2555" spans="2:5">
      <c r="B2555" t="s">
        <v>2690</v>
      </c>
      <c r="D2555" t="s">
        <v>25</v>
      </c>
      <c r="E2555">
        <f>SUMIF(数据源!R1407:R9973,C2555,数据源!M1407:M9973)</f>
        <v>0</v>
      </c>
    </row>
    <row r="2556" spans="2:5">
      <c r="B2556" t="s">
        <v>2701</v>
      </c>
      <c r="D2556" t="s">
        <v>25</v>
      </c>
      <c r="E2556">
        <f>SUMIF(数据源!R1617:R10183,C2556,数据源!M1617:M10183)</f>
        <v>0</v>
      </c>
    </row>
    <row r="2557" spans="2:5">
      <c r="B2557" t="s">
        <v>2694</v>
      </c>
      <c r="D2557" t="s">
        <v>25</v>
      </c>
      <c r="E2557">
        <f>SUMIF(数据源!R1787:R10353,C2557,数据源!M1787:M10353)</f>
        <v>0</v>
      </c>
    </row>
    <row r="2558" spans="2:5">
      <c r="B2558" t="s">
        <v>2688</v>
      </c>
      <c r="D2558" t="s">
        <v>25</v>
      </c>
      <c r="E2558">
        <f>SUMIF(数据源!R1023:R9589,C2558,数据源!M1023:M9589)</f>
        <v>0</v>
      </c>
    </row>
    <row r="2559" spans="2:5">
      <c r="B2559" t="s">
        <v>2690</v>
      </c>
      <c r="D2559" t="s">
        <v>25</v>
      </c>
      <c r="E2559">
        <f>SUMIF(数据源!R1324:R9890,C2559,数据源!M1324:M9890)</f>
        <v>0</v>
      </c>
    </row>
    <row r="2560" spans="2:5">
      <c r="B2560" t="s">
        <v>2695</v>
      </c>
      <c r="D2560" t="s">
        <v>26</v>
      </c>
      <c r="E2560">
        <f>SUMIF(数据源!R1905:R10471,C2560,数据源!M1905:M10471)</f>
        <v>0</v>
      </c>
    </row>
    <row r="2561" spans="2:5">
      <c r="B2561" t="s">
        <v>2697</v>
      </c>
      <c r="D2561" t="s">
        <v>26</v>
      </c>
      <c r="E2561">
        <f>SUMIF(数据源!R2313:R10879,C2561,数据源!M2313:M10879)</f>
        <v>0</v>
      </c>
    </row>
    <row r="2562" spans="2:5">
      <c r="B2562" t="s">
        <v>2685</v>
      </c>
      <c r="D2562" t="s">
        <v>25</v>
      </c>
      <c r="E2562">
        <f>SUMIF(数据源!R196:R8762,C2562,数据源!M196:M8762)</f>
        <v>0</v>
      </c>
    </row>
    <row r="2563" spans="2:5">
      <c r="B2563" t="s">
        <v>2685</v>
      </c>
      <c r="D2563" t="s">
        <v>25</v>
      </c>
      <c r="E2563">
        <f>SUMIF(数据源!R450:R9016,C2563,数据源!M450:M9016)</f>
        <v>0</v>
      </c>
    </row>
    <row r="2564" spans="2:5">
      <c r="B2564" t="s">
        <v>2688</v>
      </c>
      <c r="D2564" t="s">
        <v>25</v>
      </c>
      <c r="E2564">
        <f>SUMIF(数据源!R1031:R9597,C2564,数据源!M1031:M9597)</f>
        <v>0</v>
      </c>
    </row>
    <row r="2565" spans="2:5">
      <c r="B2565" t="s">
        <v>2691</v>
      </c>
      <c r="D2565" t="s">
        <v>26</v>
      </c>
      <c r="E2565">
        <f>SUMIF(数据源!R1937:R10503,C2565,数据源!M1937:M10503)</f>
        <v>0</v>
      </c>
    </row>
    <row r="2566" spans="2:5">
      <c r="B2566" t="s">
        <v>2696</v>
      </c>
      <c r="D2566" t="s">
        <v>27</v>
      </c>
      <c r="E2566">
        <f>SUMIF(数据源!R2820:R11386,C2566,数据源!M2820:M11386)</f>
        <v>0</v>
      </c>
    </row>
    <row r="2567" spans="2:5">
      <c r="B2567" t="s">
        <v>2687</v>
      </c>
      <c r="D2567" t="s">
        <v>25</v>
      </c>
      <c r="E2567">
        <f>SUMIF(数据源!R647:R9213,C2567,数据源!M647:M9213)</f>
        <v>0</v>
      </c>
    </row>
    <row r="2568" spans="2:5">
      <c r="B2568" t="s">
        <v>2696</v>
      </c>
      <c r="D2568" t="s">
        <v>27</v>
      </c>
      <c r="E2568">
        <f>SUMIF(数据源!R2725:R11291,C2568,数据源!M2725:M11291)</f>
        <v>0</v>
      </c>
    </row>
    <row r="2569" spans="2:5">
      <c r="B2569" t="s">
        <v>2692</v>
      </c>
      <c r="D2569" t="s">
        <v>25</v>
      </c>
      <c r="E2569">
        <f>SUMIF(数据源!R595:R9161,C2569,数据源!M595:M9161)</f>
        <v>0</v>
      </c>
    </row>
    <row r="2570" spans="2:5">
      <c r="B2570" t="s">
        <v>2694</v>
      </c>
      <c r="D2570" t="s">
        <v>25</v>
      </c>
      <c r="E2570">
        <f>SUMIF(数据源!R1763:R10329,C2570,数据源!M1763:M10329)</f>
        <v>0</v>
      </c>
    </row>
    <row r="2571" spans="2:5">
      <c r="B2571" t="s">
        <v>2696</v>
      </c>
      <c r="D2571" t="s">
        <v>27</v>
      </c>
      <c r="E2571">
        <f>SUMIF(数据源!R2791:R11357,C2571,数据源!M2791:M11357)</f>
        <v>0</v>
      </c>
    </row>
    <row r="2572" spans="2:5">
      <c r="B2572" t="s">
        <v>2698</v>
      </c>
      <c r="D2572" t="s">
        <v>27</v>
      </c>
      <c r="E2572">
        <f>SUMIF(数据源!R3034:R11600,C2572,数据源!M3034:M11600)</f>
        <v>0</v>
      </c>
    </row>
    <row r="2573" spans="2:5">
      <c r="B2573" t="s">
        <v>2698</v>
      </c>
      <c r="D2573" t="s">
        <v>27</v>
      </c>
      <c r="E2573">
        <f>SUMIF(数据源!R3065:R11631,C2573,数据源!M3065:M11631)</f>
        <v>0</v>
      </c>
    </row>
    <row r="2574" spans="2:5">
      <c r="B2574" t="s">
        <v>2687</v>
      </c>
      <c r="D2574" t="s">
        <v>25</v>
      </c>
      <c r="E2574">
        <f>SUMIF(数据源!R652:R9218,C2574,数据源!M652:M9218)</f>
        <v>0</v>
      </c>
    </row>
    <row r="2575" spans="2:5">
      <c r="B2575" t="s">
        <v>2688</v>
      </c>
      <c r="D2575" t="s">
        <v>25</v>
      </c>
      <c r="E2575">
        <f>SUMIF(数据源!R807:R9373,C2575,数据源!M807:M9373)</f>
        <v>0</v>
      </c>
    </row>
    <row r="2576" spans="2:5">
      <c r="B2576" t="s">
        <v>2698</v>
      </c>
      <c r="D2576" t="s">
        <v>27</v>
      </c>
      <c r="E2576">
        <f>SUMIF(数据源!R3256:R11822,C2576,数据源!M3256:M11822)</f>
        <v>0</v>
      </c>
    </row>
    <row r="2577" spans="2:5">
      <c r="B2577" t="s">
        <v>2698</v>
      </c>
      <c r="D2577" t="s">
        <v>27</v>
      </c>
      <c r="E2577">
        <f>SUMIF(数据源!R3064:R11630,C2577,数据源!M3064:M11630)</f>
        <v>0</v>
      </c>
    </row>
    <row r="2578" spans="2:5">
      <c r="B2578" t="s">
        <v>2695</v>
      </c>
      <c r="D2578" t="s">
        <v>26</v>
      </c>
      <c r="E2578">
        <f>SUMIF(数据源!R1878:R10444,C2578,数据源!M1878:M10444)</f>
        <v>0</v>
      </c>
    </row>
    <row r="2579" spans="2:5">
      <c r="B2579" t="s">
        <v>2688</v>
      </c>
      <c r="D2579" t="s">
        <v>25</v>
      </c>
      <c r="E2579">
        <f>SUMIF(数据源!R863:R9429,C2579,数据源!M863:M9429)</f>
        <v>0</v>
      </c>
    </row>
    <row r="2580" spans="2:5">
      <c r="B2580" t="s">
        <v>2694</v>
      </c>
      <c r="D2580" t="s">
        <v>25</v>
      </c>
      <c r="E2580">
        <f>SUMIF(数据源!R1685:R10251,C2580,数据源!M1685:M10251)</f>
        <v>0</v>
      </c>
    </row>
    <row r="2581" spans="2:5">
      <c r="B2581" t="s">
        <v>2685</v>
      </c>
      <c r="D2581" t="s">
        <v>25</v>
      </c>
      <c r="E2581">
        <f>SUMIF(数据源!R520:R9086,C2581,数据源!M520:M9086)</f>
        <v>0</v>
      </c>
    </row>
    <row r="2582" spans="2:5">
      <c r="B2582" t="s">
        <v>2688</v>
      </c>
      <c r="D2582" t="s">
        <v>25</v>
      </c>
      <c r="E2582">
        <f>SUMIF(数据源!R1162:R9728,C2582,数据源!M1162:M9728)</f>
        <v>0</v>
      </c>
    </row>
    <row r="2583" spans="2:5">
      <c r="B2583" t="s">
        <v>2690</v>
      </c>
      <c r="D2583" t="s">
        <v>25</v>
      </c>
      <c r="E2583">
        <f>SUMIF(数据源!R1368:R9934,C2583,数据源!M1368:M9934)</f>
        <v>0</v>
      </c>
    </row>
    <row r="2584" spans="2:5">
      <c r="B2584" t="s">
        <v>2701</v>
      </c>
      <c r="D2584" t="s">
        <v>25</v>
      </c>
      <c r="E2584">
        <f>SUMIF(数据源!R1612:R10178,C2584,数据源!M1612:M10178)</f>
        <v>0</v>
      </c>
    </row>
    <row r="2585" spans="2:5">
      <c r="B2585" t="s">
        <v>2698</v>
      </c>
      <c r="D2585" t="s">
        <v>27</v>
      </c>
      <c r="E2585">
        <f>SUMIF(数据源!R3139:R11705,C2585,数据源!M3139:M11705)</f>
        <v>0</v>
      </c>
    </row>
    <row r="2586" spans="2:5">
      <c r="B2586" t="s">
        <v>2688</v>
      </c>
      <c r="D2586" t="s">
        <v>25</v>
      </c>
      <c r="E2586">
        <f>SUMIF(数据源!R1061:R9627,C2586,数据源!M1061:M9627)</f>
        <v>0</v>
      </c>
    </row>
    <row r="2587" spans="2:5">
      <c r="B2587" t="s">
        <v>2696</v>
      </c>
      <c r="D2587" t="s">
        <v>27</v>
      </c>
      <c r="E2587">
        <f>SUMIF(数据源!R2643:R11209,C2587,数据源!M2643:M11209)</f>
        <v>0</v>
      </c>
    </row>
    <row r="2588" spans="2:5">
      <c r="B2588" t="s">
        <v>2697</v>
      </c>
      <c r="D2588" t="s">
        <v>26</v>
      </c>
      <c r="E2588">
        <f>SUMIF(数据源!R2239:R10805,C2588,数据源!M2239:M10805)</f>
        <v>0</v>
      </c>
    </row>
    <row r="2589" spans="2:5">
      <c r="B2589" t="s">
        <v>2686</v>
      </c>
      <c r="D2589" t="s">
        <v>27</v>
      </c>
      <c r="E2589">
        <f>SUMIF(数据源!R2918:R11484,C2589,数据源!M2918:M11484)</f>
        <v>0</v>
      </c>
    </row>
    <row r="2590" spans="2:5">
      <c r="B2590" t="s">
        <v>2697</v>
      </c>
      <c r="D2590" t="s">
        <v>26</v>
      </c>
      <c r="E2590">
        <f>SUMIF(数据源!R2247:R10813,C2590,数据源!M2247:M10813)</f>
        <v>0</v>
      </c>
    </row>
    <row r="2591" spans="2:5">
      <c r="B2591" t="s">
        <v>2698</v>
      </c>
      <c r="D2591" t="s">
        <v>27</v>
      </c>
      <c r="E2591">
        <f>SUMIF(数据源!R3140:R11706,C2591,数据源!M3140:M11706)</f>
        <v>0</v>
      </c>
    </row>
    <row r="2592" spans="2:5">
      <c r="B2592" t="s">
        <v>2700</v>
      </c>
      <c r="D2592" t="s">
        <v>25</v>
      </c>
      <c r="E2592">
        <f>SUMIF(数据源!R1553:R10119,C2592,数据源!M1553:M10119)</f>
        <v>0</v>
      </c>
    </row>
    <row r="2593" spans="2:5">
      <c r="B2593" t="s">
        <v>2694</v>
      </c>
      <c r="D2593" t="s">
        <v>25</v>
      </c>
      <c r="E2593">
        <f>SUMIF(数据源!R1814:R10380,C2593,数据源!M1814:M10380)</f>
        <v>0</v>
      </c>
    </row>
    <row r="2594" spans="2:5">
      <c r="B2594" t="s">
        <v>2688</v>
      </c>
      <c r="D2594" t="s">
        <v>25</v>
      </c>
      <c r="E2594">
        <f>SUMIF(数据源!R1166:R9732,C2594,数据源!M1166:M9732)</f>
        <v>0</v>
      </c>
    </row>
    <row r="2595" spans="2:5">
      <c r="B2595" t="s">
        <v>2688</v>
      </c>
      <c r="D2595" t="s">
        <v>25</v>
      </c>
      <c r="E2595">
        <f>SUMIF(数据源!R830:R9396,C2595,数据源!M830:M9396)</f>
        <v>0</v>
      </c>
    </row>
    <row r="2596" spans="2:5">
      <c r="B2596" t="s">
        <v>2690</v>
      </c>
      <c r="D2596" t="s">
        <v>25</v>
      </c>
      <c r="E2596">
        <f>SUMIF(数据源!R1390:R9956,C2596,数据源!M1390:M9956)</f>
        <v>0</v>
      </c>
    </row>
    <row r="2597" spans="2:5">
      <c r="B2597" t="s">
        <v>2697</v>
      </c>
      <c r="D2597" t="s">
        <v>26</v>
      </c>
      <c r="E2597">
        <f>SUMIF(数据源!R2352:R10918,C2597,数据源!M2352:M10918)</f>
        <v>0</v>
      </c>
    </row>
    <row r="2598" spans="2:5">
      <c r="B2598" t="s">
        <v>2694</v>
      </c>
      <c r="D2598" t="s">
        <v>25</v>
      </c>
      <c r="E2598">
        <f>SUMIF(数据源!R1813:R10379,C2598,数据源!M1813:M10379)</f>
        <v>0</v>
      </c>
    </row>
    <row r="2599" spans="2:5">
      <c r="B2599" t="s">
        <v>2690</v>
      </c>
      <c r="D2599" t="s">
        <v>25</v>
      </c>
      <c r="E2599">
        <f>SUMIF(数据源!R1322:R9888,C2599,数据源!M1322:M9888)</f>
        <v>0</v>
      </c>
    </row>
    <row r="2600" spans="2:5">
      <c r="B2600" t="s">
        <v>2699</v>
      </c>
      <c r="D2600" t="s">
        <v>26</v>
      </c>
      <c r="E2600">
        <f>SUMIF(数据源!R2516:R11082,C2600,数据源!M2516:M11082)</f>
        <v>0</v>
      </c>
    </row>
    <row r="2601" spans="2:5">
      <c r="B2601" t="s">
        <v>2688</v>
      </c>
      <c r="D2601" t="s">
        <v>25</v>
      </c>
      <c r="E2601">
        <f>SUMIF(数据源!R1212:R9778,C2601,数据源!M1212:M9778)</f>
        <v>0</v>
      </c>
    </row>
    <row r="2602" spans="2:5">
      <c r="B2602" t="s">
        <v>2690</v>
      </c>
      <c r="D2602" t="s">
        <v>25</v>
      </c>
      <c r="E2602">
        <f>SUMIF(数据源!R1476:R10042,C2602,数据源!M1476:M10042)</f>
        <v>0</v>
      </c>
    </row>
    <row r="2603" spans="2:5">
      <c r="B2603" t="s">
        <v>2696</v>
      </c>
      <c r="D2603" t="s">
        <v>27</v>
      </c>
      <c r="E2603">
        <f>SUMIF(数据源!R2618:R11184,C2603,数据源!M2618:M11184)</f>
        <v>0</v>
      </c>
    </row>
    <row r="2604" spans="2:5">
      <c r="B2604" t="s">
        <v>2697</v>
      </c>
      <c r="D2604" t="s">
        <v>26</v>
      </c>
      <c r="E2604">
        <f>SUMIF(数据源!R2167:R10733,C2604,数据源!M2167:M10733)</f>
        <v>0</v>
      </c>
    </row>
    <row r="2605" spans="2:5">
      <c r="B2605" t="s">
        <v>2688</v>
      </c>
      <c r="D2605" t="s">
        <v>25</v>
      </c>
      <c r="E2605">
        <f>SUMIF(数据源!R1114:R9680,C2605,数据源!M1114:M9680)</f>
        <v>0</v>
      </c>
    </row>
    <row r="2606" spans="2:5">
      <c r="B2606" t="s">
        <v>2688</v>
      </c>
      <c r="D2606" t="s">
        <v>25</v>
      </c>
      <c r="E2606">
        <f>SUMIF(数据源!R1049:R9615,C2606,数据源!M1049:M9615)</f>
        <v>0</v>
      </c>
    </row>
    <row r="2607" spans="2:5">
      <c r="B2607" t="s">
        <v>2685</v>
      </c>
      <c r="D2607" t="s">
        <v>25</v>
      </c>
      <c r="E2607">
        <f>SUMIF(数据源!R345:R8911,C2607,数据源!M345:M8911)</f>
        <v>0</v>
      </c>
    </row>
    <row r="2608" spans="2:5">
      <c r="B2608" t="s">
        <v>2687</v>
      </c>
      <c r="D2608" t="s">
        <v>25</v>
      </c>
      <c r="E2608">
        <f>SUMIF(数据源!R704:R9270,C2608,数据源!M704:M9270)</f>
        <v>0</v>
      </c>
    </row>
    <row r="2609" spans="2:5">
      <c r="B2609" t="s">
        <v>2696</v>
      </c>
      <c r="D2609" t="s">
        <v>27</v>
      </c>
      <c r="E2609">
        <f>SUMIF(数据源!R2606:R11172,C2609,数据源!M2606:M11172)</f>
        <v>0</v>
      </c>
    </row>
    <row r="2610" spans="2:5">
      <c r="B2610" t="s">
        <v>2697</v>
      </c>
      <c r="D2610" t="s">
        <v>26</v>
      </c>
      <c r="E2610">
        <f>SUMIF(数据源!R2147:R10713,C2610,数据源!M2147:M10713)</f>
        <v>0</v>
      </c>
    </row>
    <row r="2611" spans="2:5">
      <c r="B2611" t="s">
        <v>2688</v>
      </c>
      <c r="D2611" t="s">
        <v>25</v>
      </c>
      <c r="E2611">
        <f>SUMIF(数据源!R1140:R9706,C2611,数据源!M1140:M9706)</f>
        <v>0</v>
      </c>
    </row>
    <row r="2612" spans="2:5">
      <c r="B2612" t="s">
        <v>2701</v>
      </c>
      <c r="D2612" t="s">
        <v>25</v>
      </c>
      <c r="E2612">
        <f>SUMIF(数据源!R1601:R10167,C2612,数据源!M1601:M10167)</f>
        <v>0</v>
      </c>
    </row>
    <row r="2613" spans="2:5">
      <c r="B2613" t="s">
        <v>2686</v>
      </c>
      <c r="D2613" t="s">
        <v>27</v>
      </c>
      <c r="E2613">
        <f>SUMIF(数据源!R2902:R11468,C2613,数据源!M2902:M11468)</f>
        <v>0</v>
      </c>
    </row>
    <row r="2614" spans="2:5">
      <c r="B2614" t="s">
        <v>2689</v>
      </c>
      <c r="D2614" t="s">
        <v>25</v>
      </c>
      <c r="E2614">
        <f>SUMIF(数据源!R66:R8632,C2614,数据源!M66:M8632)</f>
        <v>0</v>
      </c>
    </row>
    <row r="2615" spans="2:5">
      <c r="B2615" t="s">
        <v>2685</v>
      </c>
      <c r="D2615" t="s">
        <v>25</v>
      </c>
      <c r="E2615">
        <f>SUMIF(数据源!R236:R8802,C2615,数据源!M236:M8802)</f>
        <v>0</v>
      </c>
    </row>
    <row r="2616" spans="2:5">
      <c r="B2616" t="s">
        <v>2694</v>
      </c>
      <c r="D2616" t="s">
        <v>25</v>
      </c>
      <c r="E2616">
        <f>SUMIF(数据源!R1657:R10223,C2616,数据源!M1657:M10223)</f>
        <v>0</v>
      </c>
    </row>
    <row r="2617" spans="2:5">
      <c r="B2617" t="s">
        <v>2686</v>
      </c>
      <c r="D2617" t="s">
        <v>27</v>
      </c>
      <c r="E2617">
        <f>SUMIF(数据源!R2915:R11481,C2617,数据源!M2915:M11481)</f>
        <v>0</v>
      </c>
    </row>
    <row r="2618" spans="2:5">
      <c r="B2618" t="s">
        <v>2697</v>
      </c>
      <c r="D2618" t="s">
        <v>26</v>
      </c>
      <c r="E2618">
        <f>SUMIF(数据源!R2291:R10857,C2618,数据源!M2291:M10857)</f>
        <v>0</v>
      </c>
    </row>
    <row r="2619" spans="2:5">
      <c r="B2619" t="s">
        <v>2696</v>
      </c>
      <c r="D2619" t="s">
        <v>27</v>
      </c>
      <c r="E2619">
        <f>SUMIF(数据源!R2819:R11385,C2619,数据源!M2819:M11385)</f>
        <v>0</v>
      </c>
    </row>
    <row r="2620" spans="2:5">
      <c r="B2620" t="s">
        <v>2685</v>
      </c>
      <c r="D2620" t="s">
        <v>25</v>
      </c>
      <c r="E2620">
        <f>SUMIF(数据源!R521:R9087,C2620,数据源!M521:M9087)</f>
        <v>0</v>
      </c>
    </row>
    <row r="2621" spans="2:5">
      <c r="B2621" t="s">
        <v>2688</v>
      </c>
      <c r="D2621" t="s">
        <v>25</v>
      </c>
      <c r="E2621">
        <f>SUMIF(数据源!R1164:R9730,C2621,数据源!M1164:M9730)</f>
        <v>0</v>
      </c>
    </row>
    <row r="2622" spans="2:5">
      <c r="B2622" t="s">
        <v>2694</v>
      </c>
      <c r="D2622" t="s">
        <v>25</v>
      </c>
      <c r="E2622">
        <f>SUMIF(数据源!R1849:R10415,C2622,数据源!M1849:M10415)</f>
        <v>0</v>
      </c>
    </row>
    <row r="2623" spans="2:5">
      <c r="B2623" t="s">
        <v>2696</v>
      </c>
      <c r="D2623" t="s">
        <v>27</v>
      </c>
      <c r="E2623">
        <f>SUMIF(数据源!R2609:R11175,C2623,数据源!M2609:M11175)</f>
        <v>0</v>
      </c>
    </row>
    <row r="2624" spans="2:5">
      <c r="B2624" t="s">
        <v>2686</v>
      </c>
      <c r="D2624" t="s">
        <v>27</v>
      </c>
      <c r="E2624">
        <f>SUMIF(数据源!R2890:R11456,C2624,数据源!M2890:M11456)</f>
        <v>0</v>
      </c>
    </row>
    <row r="2625" spans="2:5">
      <c r="B2625" t="s">
        <v>2691</v>
      </c>
      <c r="D2625" t="s">
        <v>26</v>
      </c>
      <c r="E2625">
        <f>SUMIF(数据源!R1945:R10511,C2625,数据源!M1945:M10511)</f>
        <v>0</v>
      </c>
    </row>
    <row r="2626" spans="2:5">
      <c r="B2626" t="s">
        <v>2698</v>
      </c>
      <c r="D2626" t="s">
        <v>27</v>
      </c>
      <c r="E2626">
        <f>SUMIF(数据源!R3104:R11670,C2626,数据源!M3104:M11670)</f>
        <v>0</v>
      </c>
    </row>
    <row r="2627" spans="2:5">
      <c r="B2627" t="s">
        <v>2688</v>
      </c>
      <c r="D2627" t="s">
        <v>25</v>
      </c>
      <c r="E2627">
        <f>SUMIF(数据源!R1036:R9602,C2627,数据源!M1036:M9602)</f>
        <v>0</v>
      </c>
    </row>
    <row r="2628" spans="2:5">
      <c r="B2628" t="s">
        <v>2687</v>
      </c>
      <c r="D2628" t="s">
        <v>25</v>
      </c>
      <c r="E2628">
        <f>SUMIF(数据源!R730:R9296,C2628,数据源!M730:M9296)</f>
        <v>0</v>
      </c>
    </row>
    <row r="2629" spans="2:5">
      <c r="B2629" t="s">
        <v>2690</v>
      </c>
      <c r="D2629" t="s">
        <v>25</v>
      </c>
      <c r="E2629">
        <f>SUMIF(数据源!R1430:R9996,C2629,数据源!M1430:M9996)</f>
        <v>0</v>
      </c>
    </row>
    <row r="2630" spans="2:5">
      <c r="B2630" t="s">
        <v>2700</v>
      </c>
      <c r="D2630" t="s">
        <v>25</v>
      </c>
      <c r="E2630">
        <f>SUMIF(数据源!R1543:R10109,C2630,数据源!M1543:M10109)</f>
        <v>0</v>
      </c>
    </row>
    <row r="2631" spans="2:5">
      <c r="B2631" t="s">
        <v>2696</v>
      </c>
      <c r="D2631" t="s">
        <v>27</v>
      </c>
      <c r="E2631">
        <f>SUMIF(数据源!R2696:R11262,C2631,数据源!M2696:M11262)</f>
        <v>0</v>
      </c>
    </row>
    <row r="2632" spans="2:5">
      <c r="B2632" t="s">
        <v>2691</v>
      </c>
      <c r="D2632" t="s">
        <v>26</v>
      </c>
      <c r="E2632">
        <f>SUMIF(数据源!R1978:R10544,C2632,数据源!M1978:M10544)</f>
        <v>0</v>
      </c>
    </row>
    <row r="2633" spans="2:5">
      <c r="B2633" t="s">
        <v>2685</v>
      </c>
      <c r="D2633" t="s">
        <v>25</v>
      </c>
      <c r="E2633">
        <f>SUMIF(数据源!R443:R9009,C2633,数据源!M443:M9009)</f>
        <v>0</v>
      </c>
    </row>
    <row r="2634" spans="2:5">
      <c r="B2634" t="s">
        <v>2696</v>
      </c>
      <c r="D2634" t="s">
        <v>27</v>
      </c>
      <c r="E2634">
        <f>SUMIF(数据源!R2613:R11179,C2634,数据源!M2613:M11179)</f>
        <v>0</v>
      </c>
    </row>
    <row r="2635" spans="2:5">
      <c r="B2635" t="s">
        <v>2698</v>
      </c>
      <c r="D2635" t="s">
        <v>27</v>
      </c>
      <c r="E2635">
        <f>SUMIF(数据源!R3129:R11695,C2635,数据源!M3129:M11695)</f>
        <v>0</v>
      </c>
    </row>
    <row r="2636" spans="2:5">
      <c r="B2636" t="s">
        <v>2699</v>
      </c>
      <c r="D2636" t="s">
        <v>26</v>
      </c>
      <c r="E2636">
        <f>SUMIF(数据源!R2466:R11032,C2636,数据源!M2466:M11032)</f>
        <v>0</v>
      </c>
    </row>
    <row r="2637" spans="2:5">
      <c r="B2637" t="s">
        <v>2687</v>
      </c>
      <c r="D2637" t="s">
        <v>25</v>
      </c>
      <c r="E2637">
        <f>SUMIF(数据源!R687:R9253,C2637,数据源!M687:M9253)</f>
        <v>0</v>
      </c>
    </row>
    <row r="2638" spans="2:5">
      <c r="B2638" t="s">
        <v>2685</v>
      </c>
      <c r="D2638" t="s">
        <v>25</v>
      </c>
      <c r="E2638">
        <f>SUMIF(数据源!R244:R8810,C2638,数据源!M244:M8810)</f>
        <v>0</v>
      </c>
    </row>
    <row r="2639" spans="2:5">
      <c r="B2639" t="s">
        <v>2696</v>
      </c>
      <c r="D2639" t="s">
        <v>27</v>
      </c>
      <c r="E2639">
        <f>SUMIF(数据源!R2778:R11344,C2639,数据源!M2778:M11344)</f>
        <v>0</v>
      </c>
    </row>
    <row r="2640" spans="2:5">
      <c r="B2640" t="s">
        <v>2696</v>
      </c>
      <c r="D2640" t="s">
        <v>27</v>
      </c>
      <c r="E2640">
        <f>SUMIF(数据源!R2769:R11335,C2640,数据源!M2769:M11335)</f>
        <v>0</v>
      </c>
    </row>
    <row r="2641" spans="2:5">
      <c r="B2641" t="s">
        <v>2685</v>
      </c>
      <c r="D2641" t="s">
        <v>25</v>
      </c>
      <c r="E2641">
        <f>SUMIF(数据源!R530:R9096,C2641,数据源!M530:M9096)</f>
        <v>0</v>
      </c>
    </row>
    <row r="2642" spans="2:5">
      <c r="B2642" t="s">
        <v>2688</v>
      </c>
      <c r="D2642" t="s">
        <v>25</v>
      </c>
      <c r="E2642">
        <f>SUMIF(数据源!R1205:R9771,C2642,数据源!M1205:M9771)</f>
        <v>0</v>
      </c>
    </row>
    <row r="2643" spans="2:5">
      <c r="B2643" t="s">
        <v>2690</v>
      </c>
      <c r="D2643" t="s">
        <v>25</v>
      </c>
      <c r="E2643">
        <f>SUMIF(数据源!R1475:R10041,C2643,数据源!M1475:M10041)</f>
        <v>0</v>
      </c>
    </row>
    <row r="2644" spans="2:5">
      <c r="B2644" t="s">
        <v>2697</v>
      </c>
      <c r="D2644" t="s">
        <v>26</v>
      </c>
      <c r="E2644">
        <f>SUMIF(数据源!R2105:R10671,C2644,数据源!M2105:M10671)</f>
        <v>0</v>
      </c>
    </row>
    <row r="2645" spans="2:5">
      <c r="B2645" t="s">
        <v>2690</v>
      </c>
      <c r="D2645" t="s">
        <v>25</v>
      </c>
      <c r="E2645">
        <f>SUMIF(数据源!R1280:R9846,C2645,数据源!M1280:M9846)</f>
        <v>0</v>
      </c>
    </row>
    <row r="2646" spans="2:5">
      <c r="B2646" t="s">
        <v>2698</v>
      </c>
      <c r="D2646" t="s">
        <v>27</v>
      </c>
      <c r="E2646">
        <f>SUMIF(数据源!R3178:R11744,C2646,数据源!M3178:M11744)</f>
        <v>0</v>
      </c>
    </row>
    <row r="2647" spans="2:5">
      <c r="B2647" t="s">
        <v>2696</v>
      </c>
      <c r="D2647" t="s">
        <v>27</v>
      </c>
      <c r="E2647">
        <f>SUMIF(数据源!R2640:R11206,C2647,数据源!M2640:M11206)</f>
        <v>0</v>
      </c>
    </row>
    <row r="2648" spans="2:5">
      <c r="B2648" t="s">
        <v>2689</v>
      </c>
      <c r="D2648" t="s">
        <v>25</v>
      </c>
      <c r="E2648">
        <f>SUMIF(数据源!R82:R8648,C2648,数据源!M82:M8648)</f>
        <v>0</v>
      </c>
    </row>
    <row r="2649" spans="2:5">
      <c r="B2649" t="s">
        <v>2696</v>
      </c>
      <c r="D2649" t="s">
        <v>27</v>
      </c>
      <c r="E2649">
        <f>SUMIF(数据源!R2586:R11152,C2649,数据源!M2586:M11152)</f>
        <v>0</v>
      </c>
    </row>
    <row r="2650" spans="2:5">
      <c r="B2650" t="s">
        <v>2685</v>
      </c>
      <c r="D2650" t="s">
        <v>25</v>
      </c>
      <c r="E2650">
        <f>SUMIF(数据源!R239:R8805,C2650,数据源!M239:M8805)</f>
        <v>0</v>
      </c>
    </row>
    <row r="2651" spans="2:5">
      <c r="B2651" t="s">
        <v>2696</v>
      </c>
      <c r="D2651" t="s">
        <v>27</v>
      </c>
      <c r="E2651">
        <f>SUMIF(数据源!R2690:R11256,C2651,数据源!M2690:M11256)</f>
        <v>0</v>
      </c>
    </row>
    <row r="2652" spans="2:5">
      <c r="B2652" t="s">
        <v>2697</v>
      </c>
      <c r="D2652" t="s">
        <v>26</v>
      </c>
      <c r="E2652">
        <f>SUMIF(数据源!R2269:R10835,C2652,数据源!M2269:M10835)</f>
        <v>0</v>
      </c>
    </row>
    <row r="2653" spans="2:5">
      <c r="B2653" t="s">
        <v>2688</v>
      </c>
      <c r="D2653" t="s">
        <v>25</v>
      </c>
      <c r="E2653">
        <f>SUMIF(数据源!R952:R9518,C2653,数据源!M952:M9518)</f>
        <v>0</v>
      </c>
    </row>
    <row r="2654" spans="2:5">
      <c r="B2654" t="s">
        <v>2690</v>
      </c>
      <c r="D2654" t="s">
        <v>25</v>
      </c>
      <c r="E2654">
        <f>SUMIF(数据源!R1346:R9912,C2654,数据源!M1346:M9912)</f>
        <v>0</v>
      </c>
    </row>
    <row r="2655" spans="2:5">
      <c r="B2655" t="s">
        <v>2699</v>
      </c>
      <c r="D2655" t="s">
        <v>26</v>
      </c>
      <c r="E2655">
        <f>SUMIF(数据源!R2435:R11001,C2655,数据源!M2435:M11001)</f>
        <v>0</v>
      </c>
    </row>
    <row r="2656" spans="2:5">
      <c r="B2656" t="s">
        <v>2694</v>
      </c>
      <c r="D2656" t="s">
        <v>25</v>
      </c>
      <c r="E2656">
        <f>SUMIF(数据源!R1658:R10224,C2656,数据源!M1658:M10224)</f>
        <v>0</v>
      </c>
    </row>
    <row r="2657" spans="2:5">
      <c r="B2657" t="s">
        <v>2698</v>
      </c>
      <c r="D2657" t="s">
        <v>27</v>
      </c>
      <c r="E2657">
        <f>SUMIF(数据源!R3221:R11787,C2657,数据源!M3221:M11787)</f>
        <v>0</v>
      </c>
    </row>
    <row r="2658" spans="2:5">
      <c r="B2658" t="s">
        <v>2698</v>
      </c>
      <c r="D2658" t="s">
        <v>27</v>
      </c>
      <c r="E2658">
        <f>SUMIF(数据源!R3323:R11889,C2658,数据源!M3323:M11889)</f>
        <v>0</v>
      </c>
    </row>
    <row r="2659" spans="2:5">
      <c r="B2659" t="s">
        <v>2692</v>
      </c>
      <c r="D2659" t="s">
        <v>25</v>
      </c>
      <c r="E2659">
        <f>SUMIF(数据源!R634:R9200,C2659,数据源!M634:M9200)</f>
        <v>0</v>
      </c>
    </row>
    <row r="2660" spans="2:5">
      <c r="B2660" t="s">
        <v>2688</v>
      </c>
      <c r="D2660" t="s">
        <v>25</v>
      </c>
      <c r="E2660">
        <f>SUMIF(数据源!R1181:R9747,C2660,数据源!M1181:M9747)</f>
        <v>0</v>
      </c>
    </row>
    <row r="2661" spans="2:5">
      <c r="B2661" t="s">
        <v>2689</v>
      </c>
      <c r="D2661" t="s">
        <v>25</v>
      </c>
      <c r="E2661">
        <f>SUMIF(数据源!R50:R8616,C2661,数据源!M50:M8616)</f>
        <v>0</v>
      </c>
    </row>
    <row r="2662" spans="2:5">
      <c r="B2662" t="s">
        <v>2687</v>
      </c>
      <c r="D2662" t="s">
        <v>25</v>
      </c>
      <c r="E2662">
        <f>SUMIF(数据源!R724:R9290,C2662,数据源!M724:M9290)</f>
        <v>0</v>
      </c>
    </row>
    <row r="2663" spans="2:5">
      <c r="B2663" t="s">
        <v>2685</v>
      </c>
      <c r="D2663" t="s">
        <v>25</v>
      </c>
      <c r="E2663">
        <f>SUMIF(数据源!R481:R9047,C2663,数据源!M481:M9047)</f>
        <v>0</v>
      </c>
    </row>
    <row r="2664" spans="2:5">
      <c r="B2664" t="s">
        <v>2696</v>
      </c>
      <c r="D2664" t="s">
        <v>27</v>
      </c>
      <c r="E2664">
        <f>SUMIF(数据源!R2595:R11161,C2664,数据源!M2595:M11161)</f>
        <v>0</v>
      </c>
    </row>
    <row r="2665" spans="2:5">
      <c r="B2665" t="s">
        <v>2696</v>
      </c>
      <c r="D2665" t="s">
        <v>27</v>
      </c>
      <c r="E2665">
        <f>SUMIF(数据源!R2802:R11368,C2665,数据源!M2802:M11368)</f>
        <v>0</v>
      </c>
    </row>
    <row r="2666" spans="2:5">
      <c r="B2666" t="s">
        <v>2699</v>
      </c>
      <c r="D2666" t="s">
        <v>26</v>
      </c>
      <c r="E2666">
        <f>SUMIF(数据源!R2492:R11058,C2666,数据源!M2492:M11058)</f>
        <v>0</v>
      </c>
    </row>
    <row r="2667" spans="2:5">
      <c r="B2667" t="s">
        <v>2698</v>
      </c>
      <c r="D2667" t="s">
        <v>27</v>
      </c>
      <c r="E2667">
        <f>SUMIF(数据源!R3063:R11629,C2667,数据源!M3063:M11629)</f>
        <v>0</v>
      </c>
    </row>
    <row r="2668" spans="2:5">
      <c r="B2668" t="s">
        <v>2688</v>
      </c>
      <c r="D2668" t="s">
        <v>25</v>
      </c>
      <c r="E2668">
        <f>SUMIF(数据源!R1021:R9587,C2668,数据源!M1021:M9587)</f>
        <v>0</v>
      </c>
    </row>
    <row r="2669" spans="2:5">
      <c r="B2669" t="s">
        <v>2687</v>
      </c>
      <c r="D2669" t="s">
        <v>25</v>
      </c>
      <c r="E2669">
        <f>SUMIF(数据源!R740:R9306,C2669,数据源!M740:M9306)</f>
        <v>0</v>
      </c>
    </row>
    <row r="2670" spans="2:5">
      <c r="B2670" t="s">
        <v>2688</v>
      </c>
      <c r="D2670" t="s">
        <v>25</v>
      </c>
      <c r="E2670">
        <f>SUMIF(数据源!R1115:R9681,C2670,数据源!M1115:M9681)</f>
        <v>0</v>
      </c>
    </row>
    <row r="2671" spans="2:5">
      <c r="B2671" t="s">
        <v>2694</v>
      </c>
      <c r="D2671" t="s">
        <v>25</v>
      </c>
      <c r="E2671">
        <f>SUMIF(数据源!R1845:R10411,C2671,数据源!M1845:M10411)</f>
        <v>0</v>
      </c>
    </row>
    <row r="2672" spans="2:5">
      <c r="B2672" t="s">
        <v>2699</v>
      </c>
      <c r="D2672" t="s">
        <v>26</v>
      </c>
      <c r="E2672">
        <f>SUMIF(数据源!R2554:R11120,C2672,数据源!M2554:M11120)</f>
        <v>0</v>
      </c>
    </row>
    <row r="2673" spans="2:5">
      <c r="B2673" t="s">
        <v>2688</v>
      </c>
      <c r="D2673" t="s">
        <v>25</v>
      </c>
      <c r="E2673">
        <f>SUMIF(数据源!R1159:R9725,C2673,数据源!M1159:M9725)</f>
        <v>0</v>
      </c>
    </row>
    <row r="2674" spans="2:5">
      <c r="B2674" t="s">
        <v>2690</v>
      </c>
      <c r="D2674" t="s">
        <v>25</v>
      </c>
      <c r="E2674">
        <f>SUMIF(数据源!R1469:R10035,C2674,数据源!M1469:M10035)</f>
        <v>0</v>
      </c>
    </row>
    <row r="2675" spans="2:5">
      <c r="B2675" t="s">
        <v>2692</v>
      </c>
      <c r="D2675" t="s">
        <v>25</v>
      </c>
      <c r="E2675">
        <f>SUMIF(数据源!R559:R9125,C2675,数据源!M559:M9125)</f>
        <v>0</v>
      </c>
    </row>
    <row r="2676" spans="2:5">
      <c r="B2676" t="s">
        <v>2690</v>
      </c>
      <c r="D2676" t="s">
        <v>25</v>
      </c>
      <c r="E2676">
        <f>SUMIF(数据源!R1270:R9836,C2676,数据源!M1270:M9836)</f>
        <v>0</v>
      </c>
    </row>
    <row r="2677" spans="2:5">
      <c r="B2677" t="s">
        <v>2696</v>
      </c>
      <c r="D2677" t="s">
        <v>27</v>
      </c>
      <c r="E2677">
        <f>SUMIF(数据源!R2587:R11153,C2677,数据源!M2587:M11153)</f>
        <v>0</v>
      </c>
    </row>
    <row r="2678" spans="2:5">
      <c r="B2678" t="s">
        <v>2698</v>
      </c>
      <c r="D2678" t="s">
        <v>27</v>
      </c>
      <c r="E2678">
        <f>SUMIF(数据源!R3092:R11658,C2678,数据源!M3092:M11658)</f>
        <v>0</v>
      </c>
    </row>
    <row r="2679" spans="2:5">
      <c r="B2679" t="s">
        <v>2694</v>
      </c>
      <c r="D2679" t="s">
        <v>25</v>
      </c>
      <c r="E2679">
        <f>SUMIF(数据源!R1830:R10396,C2679,数据源!M1830:M10396)</f>
        <v>0</v>
      </c>
    </row>
    <row r="2680" spans="2:5">
      <c r="B2680" t="s">
        <v>2698</v>
      </c>
      <c r="D2680" t="s">
        <v>27</v>
      </c>
      <c r="E2680">
        <f>SUMIF(数据源!R3299:R11865,C2680,数据源!M3299:M11865)</f>
        <v>0</v>
      </c>
    </row>
    <row r="2681" spans="2:5">
      <c r="B2681" t="s">
        <v>2697</v>
      </c>
      <c r="D2681" t="s">
        <v>26</v>
      </c>
      <c r="E2681">
        <f>SUMIF(数据源!R2379:R10945,C2681,数据源!M2379:M10945)</f>
        <v>0</v>
      </c>
    </row>
    <row r="2682" spans="2:5">
      <c r="B2682" t="s">
        <v>2688</v>
      </c>
      <c r="D2682" t="s">
        <v>25</v>
      </c>
      <c r="E2682">
        <f>SUMIF(数据源!R1099:R9665,C2682,数据源!M1099:M9665)</f>
        <v>0</v>
      </c>
    </row>
    <row r="2683" spans="2:5">
      <c r="B2683" t="s">
        <v>2690</v>
      </c>
      <c r="D2683" t="s">
        <v>25</v>
      </c>
      <c r="E2683">
        <f>SUMIF(数据源!R1460:R10026,C2683,数据源!M1460:M10026)</f>
        <v>0</v>
      </c>
    </row>
    <row r="2684" spans="2:5">
      <c r="B2684" t="s">
        <v>2694</v>
      </c>
      <c r="D2684" t="s">
        <v>25</v>
      </c>
      <c r="E2684">
        <f>SUMIF(数据源!R1842:R10408,C2684,数据源!M1842:M10408)</f>
        <v>0</v>
      </c>
    </row>
    <row r="2685" spans="2:5">
      <c r="B2685" t="s">
        <v>2696</v>
      </c>
      <c r="D2685" t="s">
        <v>27</v>
      </c>
      <c r="E2685">
        <f>SUMIF(数据源!R2777:R11343,C2685,数据源!M2777:M11343)</f>
        <v>0</v>
      </c>
    </row>
    <row r="2686" spans="2:5">
      <c r="B2686" t="s">
        <v>2697</v>
      </c>
      <c r="D2686" t="s">
        <v>26</v>
      </c>
      <c r="E2686">
        <f>SUMIF(数据源!R2222:R10788,C2686,数据源!M2222:M10788)</f>
        <v>0</v>
      </c>
    </row>
    <row r="2687" spans="2:5">
      <c r="B2687" t="s">
        <v>2685</v>
      </c>
      <c r="D2687" t="s">
        <v>25</v>
      </c>
      <c r="E2687">
        <f>SUMIF(数据源!R296:R8862,C2687,数据源!M296:M8862)</f>
        <v>0</v>
      </c>
    </row>
    <row r="2688" spans="2:5">
      <c r="B2688" t="s">
        <v>2701</v>
      </c>
      <c r="D2688" t="s">
        <v>25</v>
      </c>
      <c r="E2688">
        <f>SUMIF(数据源!R1594:R10160,C2688,数据源!M1594:M10160)</f>
        <v>0</v>
      </c>
    </row>
    <row r="2689" spans="2:5">
      <c r="B2689" t="s">
        <v>2686</v>
      </c>
      <c r="D2689" t="s">
        <v>27</v>
      </c>
      <c r="E2689">
        <f>SUMIF(数据源!R2965:R11531,C2689,数据源!M2965:M11531)</f>
        <v>0</v>
      </c>
    </row>
    <row r="2690" spans="2:5">
      <c r="B2690" t="s">
        <v>2698</v>
      </c>
      <c r="D2690" t="s">
        <v>27</v>
      </c>
      <c r="E2690">
        <f>SUMIF(数据源!R3235:R11801,C2690,数据源!M3235:M11801)</f>
        <v>0</v>
      </c>
    </row>
    <row r="2691" spans="2:5">
      <c r="B2691" t="s">
        <v>2695</v>
      </c>
      <c r="D2691" t="s">
        <v>26</v>
      </c>
      <c r="E2691">
        <f>SUMIF(数据源!R1909:R10475,C2691,数据源!M1909:M10475)</f>
        <v>0</v>
      </c>
    </row>
    <row r="2692" spans="2:5">
      <c r="B2692" t="s">
        <v>2692</v>
      </c>
      <c r="D2692" t="s">
        <v>25</v>
      </c>
      <c r="E2692">
        <f>SUMIF(数据源!R544:R9110,C2692,数据源!M544:M9110)</f>
        <v>0</v>
      </c>
    </row>
    <row r="2693" spans="2:5">
      <c r="B2693" t="s">
        <v>2688</v>
      </c>
      <c r="D2693" t="s">
        <v>25</v>
      </c>
      <c r="E2693">
        <f>SUMIF(数据源!R774:R9340,C2693,数据源!M774:M9340)</f>
        <v>0</v>
      </c>
    </row>
    <row r="2694" spans="2:5">
      <c r="B2694" t="s">
        <v>2690</v>
      </c>
      <c r="D2694" t="s">
        <v>25</v>
      </c>
      <c r="E2694">
        <f>SUMIF(数据源!R1384:R9950,C2694,数据源!M1384:M9950)</f>
        <v>0</v>
      </c>
    </row>
    <row r="2695" spans="2:5">
      <c r="B2695" t="s">
        <v>2694</v>
      </c>
      <c r="D2695" t="s">
        <v>25</v>
      </c>
      <c r="E2695">
        <f>SUMIF(数据源!R1699:R10265,C2695,数据源!M1699:M10265)</f>
        <v>0</v>
      </c>
    </row>
    <row r="2696" spans="2:5">
      <c r="B2696" t="s">
        <v>2688</v>
      </c>
      <c r="D2696" t="s">
        <v>25</v>
      </c>
      <c r="E2696">
        <f>SUMIF(数据源!R822:R9388,C2696,数据源!M822:M9388)</f>
        <v>0</v>
      </c>
    </row>
    <row r="2697" spans="2:5">
      <c r="B2697" t="s">
        <v>2690</v>
      </c>
      <c r="D2697" t="s">
        <v>25</v>
      </c>
      <c r="E2697">
        <f>SUMIF(数据源!R1257:R9823,C2697,数据源!M1257:M9823)</f>
        <v>0</v>
      </c>
    </row>
    <row r="2698" spans="2:5">
      <c r="B2698" t="s">
        <v>2689</v>
      </c>
      <c r="D2698" t="s">
        <v>25</v>
      </c>
      <c r="E2698">
        <f>SUMIF(数据源!R42:R8608,C2698,数据源!M42:M8608)</f>
        <v>0</v>
      </c>
    </row>
    <row r="2699" spans="2:5">
      <c r="B2699" t="s">
        <v>2685</v>
      </c>
      <c r="D2699" t="s">
        <v>25</v>
      </c>
      <c r="E2699">
        <f>SUMIF(数据源!R409:R8975,C2699,数据源!M409:M8975)</f>
        <v>0</v>
      </c>
    </row>
    <row r="2700" spans="2:5">
      <c r="B2700" t="s">
        <v>2697</v>
      </c>
      <c r="D2700" t="s">
        <v>26</v>
      </c>
      <c r="E2700">
        <f>SUMIF(数据源!R2165:R10731,C2700,数据源!M2165:M10731)</f>
        <v>0</v>
      </c>
    </row>
    <row r="2701" spans="2:5">
      <c r="B2701" t="s">
        <v>2696</v>
      </c>
      <c r="D2701" t="s">
        <v>27</v>
      </c>
      <c r="E2701">
        <f>SUMIF(数据源!R2652:R11218,C2701,数据源!M2652:M11218)</f>
        <v>0</v>
      </c>
    </row>
    <row r="2702" spans="2:5">
      <c r="B2702" t="s">
        <v>2696</v>
      </c>
      <c r="D2702" t="s">
        <v>27</v>
      </c>
      <c r="E2702">
        <f>SUMIF(数据源!R2782:R11348,C2702,数据源!M2782:M11348)</f>
        <v>0</v>
      </c>
    </row>
    <row r="2703" spans="2:5">
      <c r="B2703" t="s">
        <v>2688</v>
      </c>
      <c r="D2703" t="s">
        <v>25</v>
      </c>
      <c r="E2703">
        <f>SUMIF(数据源!R1197:R9763,C2703,数据源!M1197:M9763)</f>
        <v>0</v>
      </c>
    </row>
    <row r="2704" spans="2:5">
      <c r="B2704" t="s">
        <v>2691</v>
      </c>
      <c r="D2704" t="s">
        <v>26</v>
      </c>
      <c r="E2704">
        <f>SUMIF(数据源!R1991:R10557,C2704,数据源!M1991:M10557)</f>
        <v>0</v>
      </c>
    </row>
    <row r="2705" spans="2:5">
      <c r="B2705" t="s">
        <v>2698</v>
      </c>
      <c r="D2705" t="s">
        <v>27</v>
      </c>
      <c r="E2705">
        <f>SUMIF(数据源!R3287:R11853,C2705,数据源!M3287:M11853)</f>
        <v>0</v>
      </c>
    </row>
    <row r="2706" spans="2:5">
      <c r="B2706" t="s">
        <v>2697</v>
      </c>
      <c r="D2706" t="s">
        <v>26</v>
      </c>
      <c r="E2706">
        <f>SUMIF(数据源!R2213:R10779,C2706,数据源!M2213:M10779)</f>
        <v>0</v>
      </c>
    </row>
    <row r="2707" spans="2:5">
      <c r="B2707" t="s">
        <v>2690</v>
      </c>
      <c r="D2707" t="s">
        <v>25</v>
      </c>
      <c r="E2707">
        <f>SUMIF(数据源!R1310:R9876,C2707,数据源!M1310:M9876)</f>
        <v>0</v>
      </c>
    </row>
    <row r="2708" spans="2:5">
      <c r="B2708" t="s">
        <v>2688</v>
      </c>
      <c r="D2708" t="s">
        <v>25</v>
      </c>
      <c r="E2708">
        <f>SUMIF(数据源!R798:R9364,C2708,数据源!M798:M9364)</f>
        <v>0</v>
      </c>
    </row>
    <row r="2709" spans="2:5">
      <c r="B2709" t="s">
        <v>2685</v>
      </c>
      <c r="D2709" t="s">
        <v>25</v>
      </c>
      <c r="E2709">
        <f>SUMIF(数据源!R432:R8998,C2709,数据源!M432:M8998)</f>
        <v>0</v>
      </c>
    </row>
    <row r="2710" spans="2:5">
      <c r="B2710" t="s">
        <v>2687</v>
      </c>
      <c r="D2710" t="s">
        <v>25</v>
      </c>
      <c r="E2710">
        <f>SUMIF(数据源!R663:R9229,C2710,数据源!M663:M9229)</f>
        <v>0</v>
      </c>
    </row>
    <row r="2711" spans="2:5">
      <c r="B2711" t="s">
        <v>2688</v>
      </c>
      <c r="D2711" t="s">
        <v>25</v>
      </c>
      <c r="E2711">
        <f>SUMIF(数据源!R956:R9522,C2711,数据源!M956:M9522)</f>
        <v>0</v>
      </c>
    </row>
    <row r="2712" spans="2:5">
      <c r="B2712" t="s">
        <v>2685</v>
      </c>
      <c r="D2712" t="s">
        <v>25</v>
      </c>
      <c r="E2712">
        <f>SUMIF(数据源!R435:R9001,C2712,数据源!M435:M9001)</f>
        <v>0</v>
      </c>
    </row>
    <row r="2713" spans="2:5">
      <c r="B2713" t="s">
        <v>2685</v>
      </c>
      <c r="D2713" t="s">
        <v>25</v>
      </c>
      <c r="E2713">
        <f>SUMIF(数据源!R247:R8813,C2713,数据源!M247:M8813)</f>
        <v>0</v>
      </c>
    </row>
    <row r="2714" spans="2:5">
      <c r="B2714" t="s">
        <v>2688</v>
      </c>
      <c r="D2714" t="s">
        <v>25</v>
      </c>
      <c r="E2714">
        <f>SUMIF(数据源!R828:R9394,C2714,数据源!M828:M9394)</f>
        <v>0</v>
      </c>
    </row>
    <row r="2715" spans="2:5">
      <c r="B2715" t="s">
        <v>2694</v>
      </c>
      <c r="D2715" t="s">
        <v>25</v>
      </c>
      <c r="E2715">
        <f>SUMIF(数据源!R1661:R10227,C2715,数据源!M1661:M10227)</f>
        <v>0</v>
      </c>
    </row>
    <row r="2716" spans="2:5">
      <c r="B2716" t="s">
        <v>2698</v>
      </c>
      <c r="D2716" t="s">
        <v>27</v>
      </c>
      <c r="E2716">
        <f>SUMIF(数据源!R3088:R11654,C2716,数据源!M3088:M11654)</f>
        <v>0</v>
      </c>
    </row>
    <row r="2717" spans="2:5">
      <c r="B2717" t="s">
        <v>2696</v>
      </c>
      <c r="D2717" t="s">
        <v>27</v>
      </c>
      <c r="E2717">
        <f>SUMIF(数据源!R2680:R11246,C2717,数据源!M2680:M11246)</f>
        <v>0</v>
      </c>
    </row>
    <row r="2718" spans="2:5">
      <c r="B2718" t="s">
        <v>2687</v>
      </c>
      <c r="D2718" t="s">
        <v>25</v>
      </c>
      <c r="E2718">
        <f>SUMIF(数据源!R657:R9223,C2718,数据源!M657:M9223)</f>
        <v>0</v>
      </c>
    </row>
    <row r="2719" spans="2:5">
      <c r="B2719" t="s">
        <v>2688</v>
      </c>
      <c r="D2719" t="s">
        <v>25</v>
      </c>
      <c r="E2719">
        <f>SUMIF(数据源!R749:R9315,C2719,数据源!M749:M9315)</f>
        <v>0</v>
      </c>
    </row>
    <row r="2720" spans="2:5">
      <c r="B2720" t="s">
        <v>2697</v>
      </c>
      <c r="D2720" t="s">
        <v>26</v>
      </c>
      <c r="E2720">
        <f>SUMIF(数据源!R2120:R10686,C2720,数据源!M2120:M10686)</f>
        <v>0</v>
      </c>
    </row>
    <row r="2721" spans="2:5">
      <c r="B2721" t="s">
        <v>2690</v>
      </c>
      <c r="D2721" t="s">
        <v>25</v>
      </c>
      <c r="E2721">
        <f>SUMIF(数据源!R1382:R9948,C2721,数据源!M1382:M9948)</f>
        <v>0</v>
      </c>
    </row>
    <row r="2722" spans="2:5">
      <c r="B2722" t="s">
        <v>2691</v>
      </c>
      <c r="D2722" t="s">
        <v>26</v>
      </c>
      <c r="E2722">
        <f>SUMIF(数据源!R2028:R10594,C2722,数据源!M2028:M10594)</f>
        <v>0</v>
      </c>
    </row>
    <row r="2723" spans="2:5">
      <c r="B2723" t="s">
        <v>2688</v>
      </c>
      <c r="D2723" t="s">
        <v>25</v>
      </c>
      <c r="E2723">
        <f>SUMIF(数据源!R955:R9521,C2723,数据源!M955:M9521)</f>
        <v>0</v>
      </c>
    </row>
    <row r="2724" spans="2:5">
      <c r="B2724" t="s">
        <v>2694</v>
      </c>
      <c r="D2724" t="s">
        <v>25</v>
      </c>
      <c r="E2724">
        <f>SUMIF(数据源!R1750:R10316,C2724,数据源!M1750:M10316)</f>
        <v>0</v>
      </c>
    </row>
    <row r="2725" spans="2:5">
      <c r="B2725" t="s">
        <v>2696</v>
      </c>
      <c r="D2725" t="s">
        <v>27</v>
      </c>
      <c r="E2725">
        <f>SUMIF(数据源!R2741:R11307,C2725,数据源!M2741:M11307)</f>
        <v>0</v>
      </c>
    </row>
    <row r="2726" spans="2:5">
      <c r="B2726" t="s">
        <v>2697</v>
      </c>
      <c r="D2726" t="s">
        <v>26</v>
      </c>
      <c r="E2726">
        <f>SUMIF(数据源!R2301:R10867,C2726,数据源!M2301:M10867)</f>
        <v>0</v>
      </c>
    </row>
    <row r="2727" spans="2:5">
      <c r="B2727" t="s">
        <v>2700</v>
      </c>
      <c r="D2727" t="s">
        <v>25</v>
      </c>
      <c r="E2727">
        <f>SUMIF(数据源!R1560:R10126,C2727,数据源!M1560:M10126)</f>
        <v>0</v>
      </c>
    </row>
    <row r="2728" spans="2:5">
      <c r="B2728" t="s">
        <v>2698</v>
      </c>
      <c r="D2728" t="s">
        <v>27</v>
      </c>
      <c r="E2728">
        <f>SUMIF(数据源!R3292:R11858,C2728,数据源!M3292:M11858)</f>
        <v>0</v>
      </c>
    </row>
    <row r="2729" spans="2:5">
      <c r="B2729" t="s">
        <v>2685</v>
      </c>
      <c r="D2729" t="s">
        <v>25</v>
      </c>
      <c r="E2729">
        <f>SUMIF(数据源!R177:R8743,C2729,数据源!M177:M8743)</f>
        <v>0</v>
      </c>
    </row>
    <row r="2730" spans="2:5">
      <c r="B2730" t="s">
        <v>2692</v>
      </c>
      <c r="D2730" t="s">
        <v>25</v>
      </c>
      <c r="E2730">
        <f>SUMIF(数据源!R536:R9102,C2730,数据源!M536:M9102)</f>
        <v>0</v>
      </c>
    </row>
    <row r="2731" spans="2:5">
      <c r="B2731" t="s">
        <v>2700</v>
      </c>
      <c r="D2731" t="s">
        <v>25</v>
      </c>
      <c r="E2731">
        <f>SUMIF(数据源!R1535:R10101,C2731,数据源!M1535:M10101)</f>
        <v>0</v>
      </c>
    </row>
    <row r="2732" spans="2:5">
      <c r="B2732" t="s">
        <v>2685</v>
      </c>
      <c r="D2732" t="s">
        <v>25</v>
      </c>
      <c r="E2732">
        <f>SUMIF(数据源!R386:R8952,C2732,数据源!M386:M8952)</f>
        <v>0</v>
      </c>
    </row>
    <row r="2733" spans="2:5">
      <c r="B2733" t="s">
        <v>2698</v>
      </c>
      <c r="D2733" t="s">
        <v>27</v>
      </c>
      <c r="E2733">
        <f>SUMIF(数据源!R3157:R11723,C2733,数据源!M3157:M11723)</f>
        <v>0</v>
      </c>
    </row>
    <row r="2734" spans="2:5">
      <c r="B2734" t="s">
        <v>2692</v>
      </c>
      <c r="D2734" t="s">
        <v>25</v>
      </c>
      <c r="E2734">
        <f>SUMIF(数据源!R603:R9169,C2734,数据源!M603:M9169)</f>
        <v>0</v>
      </c>
    </row>
    <row r="2735" spans="2:5">
      <c r="B2735" t="s">
        <v>2688</v>
      </c>
      <c r="D2735" t="s">
        <v>25</v>
      </c>
      <c r="E2735">
        <f>SUMIF(数据源!R1123:R9689,C2735,数据源!M1123:M9689)</f>
        <v>0</v>
      </c>
    </row>
    <row r="2736" spans="2:5">
      <c r="B2736" t="s">
        <v>2691</v>
      </c>
      <c r="D2736" t="s">
        <v>26</v>
      </c>
      <c r="E2736">
        <f>SUMIF(数据源!R1982:R10548,C2736,数据源!M1982:M10548)</f>
        <v>0</v>
      </c>
    </row>
    <row r="2737" spans="2:5">
      <c r="B2737" t="s">
        <v>2697</v>
      </c>
      <c r="D2737" t="s">
        <v>26</v>
      </c>
      <c r="E2737">
        <f>SUMIF(数据源!R2249:R10815,C2737,数据源!M2249:M10815)</f>
        <v>0</v>
      </c>
    </row>
    <row r="2738" spans="2:5">
      <c r="B2738" t="s">
        <v>2687</v>
      </c>
      <c r="D2738" t="s">
        <v>25</v>
      </c>
      <c r="E2738">
        <f>SUMIF(数据源!R726:R9292,C2738,数据源!M726:M9292)</f>
        <v>0</v>
      </c>
    </row>
    <row r="2739" spans="2:5">
      <c r="B2739" t="s">
        <v>2694</v>
      </c>
      <c r="D2739" t="s">
        <v>25</v>
      </c>
      <c r="E2739">
        <f>SUMIF(数据源!R1804:R10370,C2739,数据源!M1804:M10370)</f>
        <v>0</v>
      </c>
    </row>
    <row r="2740" spans="2:5">
      <c r="B2740" t="s">
        <v>2694</v>
      </c>
      <c r="D2740" t="s">
        <v>25</v>
      </c>
      <c r="E2740">
        <f>SUMIF(数据源!R1695:R10261,C2740,数据源!M1695:M10261)</f>
        <v>0</v>
      </c>
    </row>
    <row r="2741" spans="2:5">
      <c r="B2741" t="s">
        <v>2692</v>
      </c>
      <c r="D2741" t="s">
        <v>25</v>
      </c>
      <c r="E2741">
        <f>SUMIF(数据源!R610:R9176,C2741,数据源!M610:M9176)</f>
        <v>0</v>
      </c>
    </row>
    <row r="2742" spans="2:5">
      <c r="B2742" t="s">
        <v>2694</v>
      </c>
      <c r="D2742" t="s">
        <v>25</v>
      </c>
      <c r="E2742">
        <f>SUMIF(数据源!R1703:R10269,C2742,数据源!M1703:M10269)</f>
        <v>0</v>
      </c>
    </row>
    <row r="2743" spans="2:5">
      <c r="B2743" t="s">
        <v>2689</v>
      </c>
      <c r="D2743" t="s">
        <v>25</v>
      </c>
      <c r="E2743">
        <f>SUMIF(数据源!R9:R8575,C2743,数据源!M9:M8575)</f>
        <v>0</v>
      </c>
    </row>
    <row r="2744" spans="2:5">
      <c r="B2744" t="s">
        <v>2694</v>
      </c>
      <c r="D2744" t="s">
        <v>25</v>
      </c>
      <c r="E2744">
        <f>SUMIF(数据源!R1799:R10365,C2744,数据源!M1799:M10365)</f>
        <v>0</v>
      </c>
    </row>
    <row r="2745" spans="2:5">
      <c r="B2745" t="s">
        <v>2691</v>
      </c>
      <c r="D2745" t="s">
        <v>26</v>
      </c>
      <c r="E2745">
        <f>SUMIF(数据源!R1947:R10513,C2745,数据源!M1947:M10513)</f>
        <v>0</v>
      </c>
    </row>
    <row r="2746" spans="2:5">
      <c r="B2746" t="s">
        <v>2698</v>
      </c>
      <c r="D2746" t="s">
        <v>27</v>
      </c>
      <c r="E2746">
        <f>SUMIF(数据源!R3045:R11611,C2746,数据源!M3045:M11611)</f>
        <v>0</v>
      </c>
    </row>
    <row r="2747" spans="2:5">
      <c r="B2747" t="s">
        <v>2688</v>
      </c>
      <c r="D2747" t="s">
        <v>25</v>
      </c>
      <c r="E2747">
        <f>SUMIF(数据源!R1006:R9572,C2747,数据源!M1006:M9572)</f>
        <v>0</v>
      </c>
    </row>
    <row r="2748" spans="2:5">
      <c r="B2748" t="s">
        <v>2690</v>
      </c>
      <c r="D2748" t="s">
        <v>25</v>
      </c>
      <c r="E2748">
        <f>SUMIF(数据源!R1406:R9972,C2748,数据源!M1406:M9972)</f>
        <v>0</v>
      </c>
    </row>
    <row r="2749" spans="2:5">
      <c r="B2749" t="s">
        <v>2698</v>
      </c>
      <c r="D2749" t="s">
        <v>27</v>
      </c>
      <c r="E2749">
        <f>SUMIF(数据源!R3098:R11664,C2749,数据源!M3098:M11664)</f>
        <v>0</v>
      </c>
    </row>
    <row r="2750" spans="2:5">
      <c r="B2750" t="s">
        <v>2687</v>
      </c>
      <c r="D2750" t="s">
        <v>25</v>
      </c>
      <c r="E2750">
        <f>SUMIF(数据源!R696:R9262,C2750,数据源!M696:M9262)</f>
        <v>0</v>
      </c>
    </row>
    <row r="2751" spans="2:5">
      <c r="B2751" t="s">
        <v>2688</v>
      </c>
      <c r="D2751" t="s">
        <v>25</v>
      </c>
      <c r="E2751">
        <f>SUMIF(数据源!R887:R9453,C2751,数据源!M887:M9453)</f>
        <v>0</v>
      </c>
    </row>
    <row r="2752" spans="2:5">
      <c r="B2752" t="s">
        <v>2697</v>
      </c>
      <c r="D2752" t="s">
        <v>26</v>
      </c>
      <c r="E2752">
        <f>SUMIF(数据源!R2217:R10783,C2752,数据源!M2217:M10783)</f>
        <v>0</v>
      </c>
    </row>
    <row r="2753" spans="2:5">
      <c r="B2753" t="s">
        <v>2688</v>
      </c>
      <c r="D2753" t="s">
        <v>25</v>
      </c>
      <c r="E2753">
        <f>SUMIF(数据源!R808:R9374,C2753,数据源!M808:M9374)</f>
        <v>0</v>
      </c>
    </row>
    <row r="2754" spans="2:5">
      <c r="B2754" t="s">
        <v>2688</v>
      </c>
      <c r="D2754" t="s">
        <v>25</v>
      </c>
      <c r="E2754">
        <f>SUMIF(数据源!R1103:R9669,C2754,数据源!M1103:M9669)</f>
        <v>0</v>
      </c>
    </row>
    <row r="2755" spans="2:5">
      <c r="B2755" t="s">
        <v>2689</v>
      </c>
      <c r="D2755" t="s">
        <v>25</v>
      </c>
      <c r="E2755">
        <f>SUMIF(数据源!R121:R8687,C2755,数据源!M121:M8687)</f>
        <v>0</v>
      </c>
    </row>
    <row r="2756" spans="2:5">
      <c r="B2756" t="s">
        <v>2698</v>
      </c>
      <c r="D2756" t="s">
        <v>27</v>
      </c>
      <c r="E2756">
        <f>SUMIF(数据源!R3272:R11838,C2756,数据源!M3272:M11838)</f>
        <v>0</v>
      </c>
    </row>
    <row r="2757" spans="2:5">
      <c r="B2757" t="s">
        <v>2696</v>
      </c>
      <c r="D2757" t="s">
        <v>27</v>
      </c>
      <c r="E2757">
        <f>SUMIF(数据源!R2684:R11250,C2757,数据源!M2684:M11250)</f>
        <v>0</v>
      </c>
    </row>
    <row r="2758" spans="2:5">
      <c r="B2758" t="s">
        <v>2699</v>
      </c>
      <c r="D2758" t="s">
        <v>26</v>
      </c>
      <c r="E2758">
        <f>SUMIF(数据源!R2505:R11071,C2758,数据源!M2505:M11071)</f>
        <v>0</v>
      </c>
    </row>
    <row r="2759" spans="2:5">
      <c r="B2759" t="s">
        <v>2697</v>
      </c>
      <c r="D2759" t="s">
        <v>26</v>
      </c>
      <c r="E2759">
        <f>SUMIF(数据源!R2356:R10922,C2759,数据源!M2356:M10922)</f>
        <v>0</v>
      </c>
    </row>
    <row r="2760" spans="2:5">
      <c r="B2760" t="s">
        <v>2694</v>
      </c>
      <c r="D2760" t="s">
        <v>25</v>
      </c>
      <c r="E2760">
        <f>SUMIF(数据源!R1818:R10384,C2760,数据源!M1818:M10384)</f>
        <v>0</v>
      </c>
    </row>
    <row r="2761" spans="2:5">
      <c r="B2761" t="s">
        <v>2700</v>
      </c>
      <c r="D2761" t="s">
        <v>25</v>
      </c>
      <c r="E2761">
        <f>SUMIF(数据源!R1528:R10094,C2761,数据源!M1528:M10094)</f>
        <v>0</v>
      </c>
    </row>
    <row r="2762" spans="2:5">
      <c r="B2762" t="s">
        <v>2696</v>
      </c>
      <c r="D2762" t="s">
        <v>27</v>
      </c>
      <c r="E2762">
        <f>SUMIF(数据源!R2620:R11186,C2762,数据源!M2620:M11186)</f>
        <v>0</v>
      </c>
    </row>
    <row r="2763" spans="2:5">
      <c r="B2763" t="s">
        <v>2690</v>
      </c>
      <c r="D2763" t="s">
        <v>25</v>
      </c>
      <c r="E2763">
        <f>SUMIF(数据源!R1297:R9863,C2763,数据源!M1297:M9863)</f>
        <v>0</v>
      </c>
    </row>
    <row r="2764" spans="2:5">
      <c r="B2764" t="s">
        <v>2694</v>
      </c>
      <c r="D2764" t="s">
        <v>25</v>
      </c>
      <c r="E2764">
        <f>SUMIF(数据源!R1690:R10256,C2764,数据源!M1690:M10256)</f>
        <v>0</v>
      </c>
    </row>
    <row r="2765" spans="2:5">
      <c r="B2765" t="s">
        <v>2697</v>
      </c>
      <c r="D2765" t="s">
        <v>26</v>
      </c>
      <c r="E2765">
        <f>SUMIF(数据源!R2304:R10870,C2765,数据源!M2304:M10870)</f>
        <v>0</v>
      </c>
    </row>
    <row r="2766" spans="2:5">
      <c r="B2766" t="s">
        <v>2690</v>
      </c>
      <c r="D2766" t="s">
        <v>25</v>
      </c>
      <c r="E2766">
        <f>SUMIF(数据源!R1388:R9954,C2766,数据源!M1388:M9954)</f>
        <v>0</v>
      </c>
    </row>
    <row r="2767" spans="2:5">
      <c r="B2767" t="s">
        <v>2696</v>
      </c>
      <c r="D2767" t="s">
        <v>27</v>
      </c>
      <c r="E2767">
        <f>SUMIF(数据源!R2742:R11308,C2767,数据源!M2742:M11308)</f>
        <v>0</v>
      </c>
    </row>
    <row r="2768" spans="2:5">
      <c r="B2768" t="s">
        <v>2688</v>
      </c>
      <c r="D2768" t="s">
        <v>25</v>
      </c>
      <c r="E2768">
        <f>SUMIF(数据源!R959:R9525,C2768,数据源!M959:M9525)</f>
        <v>0</v>
      </c>
    </row>
    <row r="2769" spans="2:5">
      <c r="B2769" t="s">
        <v>2690</v>
      </c>
      <c r="D2769" t="s">
        <v>25</v>
      </c>
      <c r="E2769">
        <f>SUMIF(数据源!R1353:R9919,C2769,数据源!M1353:M9919)</f>
        <v>0</v>
      </c>
    </row>
    <row r="2770" spans="2:5">
      <c r="B2770" t="s">
        <v>2701</v>
      </c>
      <c r="D2770" t="s">
        <v>25</v>
      </c>
      <c r="E2770">
        <f>SUMIF(数据源!R1607:R10173,C2770,数据源!M1607:M10173)</f>
        <v>0</v>
      </c>
    </row>
    <row r="2771" spans="2:5">
      <c r="B2771" t="s">
        <v>2696</v>
      </c>
      <c r="D2771" t="s">
        <v>27</v>
      </c>
      <c r="E2771">
        <f>SUMIF(数据源!R2768:R11334,C2771,数据源!M2768:M11334)</f>
        <v>0</v>
      </c>
    </row>
    <row r="2772" spans="2:5">
      <c r="B2772" t="s">
        <v>2698</v>
      </c>
      <c r="D2772" t="s">
        <v>27</v>
      </c>
      <c r="E2772">
        <f>SUMIF(数据源!R3250:R11816,C2772,数据源!M3250:M11816)</f>
        <v>0</v>
      </c>
    </row>
    <row r="2773" spans="2:5">
      <c r="B2773" t="s">
        <v>2690</v>
      </c>
      <c r="D2773" t="s">
        <v>25</v>
      </c>
      <c r="E2773">
        <f>SUMIF(数据源!R1220:R9786,C2773,数据源!M1220:M9786)</f>
        <v>0</v>
      </c>
    </row>
    <row r="2774" spans="2:5">
      <c r="B2774" t="s">
        <v>2701</v>
      </c>
      <c r="D2774" t="s">
        <v>25</v>
      </c>
      <c r="E2774">
        <f>SUMIF(数据源!R1570:R10136,C2774,数据源!M1570:M10136)</f>
        <v>0</v>
      </c>
    </row>
    <row r="2775" spans="2:5">
      <c r="B2775" t="s">
        <v>2686</v>
      </c>
      <c r="D2775" t="s">
        <v>27</v>
      </c>
      <c r="E2775">
        <f>SUMIF(数据源!R2875:R11441,C2775,数据源!M2875:M11441)</f>
        <v>0</v>
      </c>
    </row>
    <row r="2776" spans="2:5">
      <c r="B2776" t="s">
        <v>2696</v>
      </c>
      <c r="D2776" t="s">
        <v>27</v>
      </c>
      <c r="E2776">
        <f>SUMIF(数据源!R2685:R11251,C2776,数据源!M2685:M11251)</f>
        <v>0</v>
      </c>
    </row>
    <row r="2777" spans="2:5">
      <c r="B2777" t="s">
        <v>2691</v>
      </c>
      <c r="D2777" t="s">
        <v>26</v>
      </c>
      <c r="E2777">
        <f>SUMIF(数据源!R2026:R10592,C2777,数据源!M2026:M10592)</f>
        <v>0</v>
      </c>
    </row>
    <row r="2778" spans="2:5">
      <c r="B2778" t="s">
        <v>2696</v>
      </c>
      <c r="D2778" t="s">
        <v>27</v>
      </c>
      <c r="E2778">
        <f>SUMIF(数据源!R2718:R11284,C2778,数据源!M2718:M11284)</f>
        <v>0</v>
      </c>
    </row>
    <row r="2779" spans="2:5">
      <c r="B2779" t="s">
        <v>2696</v>
      </c>
      <c r="D2779" t="s">
        <v>27</v>
      </c>
      <c r="E2779">
        <f>SUMIF(数据源!R2789:R11355,C2779,数据源!M2789:M11355)</f>
        <v>0</v>
      </c>
    </row>
    <row r="2780" spans="2:5">
      <c r="B2780" t="s">
        <v>2687</v>
      </c>
      <c r="D2780" t="s">
        <v>25</v>
      </c>
      <c r="E2780">
        <f>SUMIF(数据源!R644:R9210,C2780,数据源!M644:M9210)</f>
        <v>0</v>
      </c>
    </row>
    <row r="2781" spans="2:5">
      <c r="B2781" t="s">
        <v>2688</v>
      </c>
      <c r="D2781" t="s">
        <v>25</v>
      </c>
      <c r="E2781">
        <f>SUMIF(数据源!R804:R9370,C2781,数据源!M804:M9370)</f>
        <v>0</v>
      </c>
    </row>
    <row r="2782" spans="2:5">
      <c r="B2782" t="s">
        <v>2691</v>
      </c>
      <c r="D2782" t="s">
        <v>26</v>
      </c>
      <c r="E2782">
        <f>SUMIF(数据源!R2086:R10652,C2782,数据源!M2086:M10652)</f>
        <v>0</v>
      </c>
    </row>
    <row r="2783" spans="2:5">
      <c r="B2783" t="s">
        <v>2688</v>
      </c>
      <c r="D2783" t="s">
        <v>25</v>
      </c>
      <c r="E2783">
        <f>SUMIF(数据源!R1174:R9740,C2783,数据源!M1174:M9740)</f>
        <v>0</v>
      </c>
    </row>
    <row r="2784" spans="2:5">
      <c r="B2784" t="s">
        <v>2688</v>
      </c>
      <c r="D2784" t="s">
        <v>25</v>
      </c>
      <c r="E2784">
        <f>SUMIF(数据源!R1148:R9714,C2784,数据源!M1148:M9714)</f>
        <v>0</v>
      </c>
    </row>
    <row r="2785" spans="2:5">
      <c r="B2785" t="s">
        <v>2700</v>
      </c>
      <c r="D2785" t="s">
        <v>25</v>
      </c>
      <c r="E2785">
        <f>SUMIF(数据源!R1488:R10054,C2785,数据源!M1488:M10054)</f>
        <v>0</v>
      </c>
    </row>
    <row r="2786" spans="2:5">
      <c r="B2786" t="s">
        <v>2692</v>
      </c>
      <c r="D2786" t="s">
        <v>25</v>
      </c>
      <c r="E2786">
        <f>SUMIF(数据源!R609:R9175,C2786,数据源!M609:M9175)</f>
        <v>0</v>
      </c>
    </row>
    <row r="2787" spans="2:5">
      <c r="B2787" t="s">
        <v>2694</v>
      </c>
      <c r="D2787" t="s">
        <v>25</v>
      </c>
      <c r="E2787">
        <f>SUMIF(数据源!R1808:R10374,C2787,数据源!M1808:M10374)</f>
        <v>0</v>
      </c>
    </row>
    <row r="2788" spans="2:5">
      <c r="B2788" t="s">
        <v>2688</v>
      </c>
      <c r="D2788" t="s">
        <v>25</v>
      </c>
      <c r="E2788">
        <f>SUMIF(数据源!R835:R9401,C2788,数据源!M835:M9401)</f>
        <v>0</v>
      </c>
    </row>
    <row r="2789" spans="2:5">
      <c r="B2789" t="s">
        <v>2698</v>
      </c>
      <c r="D2789" t="s">
        <v>27</v>
      </c>
      <c r="E2789">
        <f>SUMIF(数据源!R3206:R11772,C2789,数据源!M3206:M11772)</f>
        <v>0</v>
      </c>
    </row>
    <row r="2790" spans="2:5">
      <c r="B2790" t="s">
        <v>2698</v>
      </c>
      <c r="D2790" t="s">
        <v>27</v>
      </c>
      <c r="E2790">
        <f>SUMIF(数据源!R3252:R11818,C2790,数据源!M3252:M11818)</f>
        <v>0</v>
      </c>
    </row>
    <row r="2791" spans="2:5">
      <c r="B2791" t="s">
        <v>2688</v>
      </c>
      <c r="D2791" t="s">
        <v>25</v>
      </c>
      <c r="E2791">
        <f>SUMIF(数据源!R1024:R9590,C2791,数据源!M1024:M9590)</f>
        <v>0</v>
      </c>
    </row>
    <row r="2792" spans="2:5">
      <c r="B2792" t="s">
        <v>2685</v>
      </c>
      <c r="D2792" t="s">
        <v>25</v>
      </c>
      <c r="E2792">
        <f>SUMIF(数据源!R512:R9078,C2792,数据源!M512:M9078)</f>
        <v>0</v>
      </c>
    </row>
    <row r="2793" spans="2:5">
      <c r="B2793" t="s">
        <v>2689</v>
      </c>
      <c r="D2793" t="s">
        <v>25</v>
      </c>
      <c r="E2793">
        <f>SUMIF(数据源!R95:R8661,C2793,数据源!M95:M8661)</f>
        <v>0</v>
      </c>
    </row>
    <row r="2794" spans="2:5">
      <c r="B2794" t="s">
        <v>2685</v>
      </c>
      <c r="D2794" t="s">
        <v>25</v>
      </c>
      <c r="E2794">
        <f>SUMIF(数据源!R352:R8918,C2794,数据源!M352:M8918)</f>
        <v>0</v>
      </c>
    </row>
    <row r="2795" spans="2:5">
      <c r="B2795" t="s">
        <v>2692</v>
      </c>
      <c r="D2795" t="s">
        <v>25</v>
      </c>
      <c r="E2795">
        <f>SUMIF(数据源!R580:R9146,C2795,数据源!M580:M9146)</f>
        <v>0</v>
      </c>
    </row>
    <row r="2796" spans="2:5">
      <c r="B2796" t="s">
        <v>2689</v>
      </c>
      <c r="D2796" t="s">
        <v>25</v>
      </c>
      <c r="E2796">
        <f>SUMIF(数据源!R136:R8702,C2796,数据源!M136:M8702)</f>
        <v>0</v>
      </c>
    </row>
    <row r="2797" spans="2:5">
      <c r="B2797" t="s">
        <v>2688</v>
      </c>
      <c r="D2797" t="s">
        <v>25</v>
      </c>
      <c r="E2797">
        <f>SUMIF(数据源!R1155:R9721,C2797,数据源!M1155:M9721)</f>
        <v>0</v>
      </c>
    </row>
    <row r="2798" spans="2:5">
      <c r="B2798" t="s">
        <v>2697</v>
      </c>
      <c r="D2798" t="s">
        <v>26</v>
      </c>
      <c r="E2798">
        <f>SUMIF(数据源!R2230:R10796,C2798,数据源!M2230:M10796)</f>
        <v>0</v>
      </c>
    </row>
    <row r="2799" spans="2:5">
      <c r="B2799" t="s">
        <v>2688</v>
      </c>
      <c r="D2799" t="s">
        <v>25</v>
      </c>
      <c r="E2799">
        <f>SUMIF(数据源!R893:R9459,C2799,数据源!M893:M9459)</f>
        <v>0</v>
      </c>
    </row>
    <row r="2800" spans="2:5">
      <c r="B2800" t="s">
        <v>2689</v>
      </c>
      <c r="D2800" t="s">
        <v>25</v>
      </c>
      <c r="E2800">
        <f>SUMIF(数据源!R75:R8641,C2800,数据源!M75:M8641)</f>
        <v>0</v>
      </c>
    </row>
    <row r="2801" spans="2:5">
      <c r="B2801" t="s">
        <v>2697</v>
      </c>
      <c r="D2801" t="s">
        <v>26</v>
      </c>
      <c r="E2801">
        <f>SUMIF(数据源!R2134:R10700,C2801,数据源!M2134:M10700)</f>
        <v>0</v>
      </c>
    </row>
    <row r="2802" spans="2:5">
      <c r="B2802" t="s">
        <v>2690</v>
      </c>
      <c r="D2802" t="s">
        <v>25</v>
      </c>
      <c r="E2802">
        <f>SUMIF(数据源!R1308:R9874,C2802,数据源!M1308:M9874)</f>
        <v>0</v>
      </c>
    </row>
    <row r="2803" spans="2:5">
      <c r="B2803" t="s">
        <v>2697</v>
      </c>
      <c r="D2803" t="s">
        <v>26</v>
      </c>
      <c r="E2803">
        <f>SUMIF(数据源!R2173:R10739,C2803,数据源!M2173:M10739)</f>
        <v>0</v>
      </c>
    </row>
    <row r="2804" spans="2:5">
      <c r="B2804" t="s">
        <v>2686</v>
      </c>
      <c r="D2804" t="s">
        <v>27</v>
      </c>
      <c r="E2804">
        <f>SUMIF(数据源!R3007:R11573,C2804,数据源!M3007:M11573)</f>
        <v>0</v>
      </c>
    </row>
    <row r="2805" spans="2:5">
      <c r="B2805" t="s">
        <v>2685</v>
      </c>
      <c r="D2805" t="s">
        <v>25</v>
      </c>
      <c r="E2805">
        <f>SUMIF(数据源!R320:R8886,C2805,数据源!M320:M8886)</f>
        <v>0</v>
      </c>
    </row>
    <row r="2806" spans="2:5">
      <c r="B2806" t="s">
        <v>2687</v>
      </c>
      <c r="D2806" t="s">
        <v>25</v>
      </c>
      <c r="E2806">
        <f>SUMIF(数据源!R689:R9255,C2806,数据源!M689:M9255)</f>
        <v>0</v>
      </c>
    </row>
    <row r="2807" spans="2:5">
      <c r="B2807" t="s">
        <v>2688</v>
      </c>
      <c r="D2807" t="s">
        <v>25</v>
      </c>
      <c r="E2807">
        <f>SUMIF(数据源!R866:R9432,C2807,数据源!M866:M9432)</f>
        <v>0</v>
      </c>
    </row>
    <row r="2808" spans="2:5">
      <c r="B2808" t="s">
        <v>2690</v>
      </c>
      <c r="D2808" t="s">
        <v>25</v>
      </c>
      <c r="E2808">
        <f>SUMIF(数据源!R1376:R9942,C2808,数据源!M1376:M9942)</f>
        <v>0</v>
      </c>
    </row>
    <row r="2809" spans="2:5">
      <c r="B2809" t="s">
        <v>2689</v>
      </c>
      <c r="D2809" t="s">
        <v>25</v>
      </c>
      <c r="E2809">
        <f>SUMIF(数据源!R172:R8738,C2809,数据源!M172:M8738)</f>
        <v>0</v>
      </c>
    </row>
    <row r="2810" spans="2:5">
      <c r="B2810" t="s">
        <v>2692</v>
      </c>
      <c r="D2810" t="s">
        <v>25</v>
      </c>
      <c r="E2810">
        <f>SUMIF(数据源!R635:R9201,C2810,数据源!M635:M9201)</f>
        <v>0</v>
      </c>
    </row>
    <row r="2811" spans="2:5">
      <c r="B2811" t="s">
        <v>2688</v>
      </c>
      <c r="D2811" t="s">
        <v>25</v>
      </c>
      <c r="E2811">
        <f>SUMIF(数据源!R1184:R9750,C2811,数据源!M1184:M9750)</f>
        <v>0</v>
      </c>
    </row>
    <row r="2812" spans="2:5">
      <c r="B2812" t="s">
        <v>2696</v>
      </c>
      <c r="D2812" t="s">
        <v>27</v>
      </c>
      <c r="E2812">
        <f>SUMIF(数据源!R2629:R11195,C2812,数据源!M2629:M11195)</f>
        <v>0</v>
      </c>
    </row>
    <row r="2813" spans="2:5">
      <c r="B2813" t="s">
        <v>2687</v>
      </c>
      <c r="D2813" t="s">
        <v>25</v>
      </c>
      <c r="E2813">
        <f>SUMIF(数据源!R645:R9211,C2813,数据源!M645:M9211)</f>
        <v>0</v>
      </c>
    </row>
    <row r="2814" spans="2:5">
      <c r="B2814" t="s">
        <v>2688</v>
      </c>
      <c r="D2814" t="s">
        <v>25</v>
      </c>
      <c r="E2814">
        <f>SUMIF(数据源!R805:R9371,C2814,数据源!M805:M9371)</f>
        <v>0</v>
      </c>
    </row>
    <row r="2815" spans="2:5">
      <c r="B2815" t="s">
        <v>2698</v>
      </c>
      <c r="D2815" t="s">
        <v>27</v>
      </c>
      <c r="E2815">
        <f>SUMIF(数据源!R3223:R11789,C2815,数据源!M3223:M11789)</f>
        <v>0</v>
      </c>
    </row>
    <row r="2816" spans="2:5">
      <c r="B2816" t="s">
        <v>2694</v>
      </c>
      <c r="D2816" t="s">
        <v>25</v>
      </c>
      <c r="E2816">
        <f>SUMIF(数据源!R1723:R10289,C2816,数据源!M1723:M10289)</f>
        <v>0</v>
      </c>
    </row>
    <row r="2817" spans="2:5">
      <c r="B2817" t="s">
        <v>2697</v>
      </c>
      <c r="D2817" t="s">
        <v>26</v>
      </c>
      <c r="E2817">
        <f>SUMIF(数据源!R2390:R10956,C2817,数据源!M2390:M10956)</f>
        <v>0</v>
      </c>
    </row>
    <row r="2818" spans="2:5">
      <c r="B2818" t="s">
        <v>2698</v>
      </c>
      <c r="D2818" t="s">
        <v>27</v>
      </c>
      <c r="E2818">
        <f>SUMIF(数据源!R3220:R11786,C2818,数据源!M3220:M11786)</f>
        <v>0</v>
      </c>
    </row>
    <row r="2819" spans="2:5">
      <c r="B2819" t="s">
        <v>2687</v>
      </c>
      <c r="D2819" t="s">
        <v>25</v>
      </c>
      <c r="E2819">
        <f>SUMIF(数据源!R714:R9280,C2819,数据源!M714:M9280)</f>
        <v>0</v>
      </c>
    </row>
    <row r="2820" spans="2:5">
      <c r="B2820" t="s">
        <v>2688</v>
      </c>
      <c r="D2820" t="s">
        <v>25</v>
      </c>
      <c r="E2820">
        <f>SUMIF(数据源!R973:R9539,C2820,数据源!M973:M9539)</f>
        <v>0</v>
      </c>
    </row>
    <row r="2821" spans="2:5">
      <c r="B2821" t="s">
        <v>2699</v>
      </c>
      <c r="D2821" t="s">
        <v>26</v>
      </c>
      <c r="E2821">
        <f>SUMIF(数据源!R2410:R10976,C2821,数据源!M2410:M10976)</f>
        <v>0</v>
      </c>
    </row>
    <row r="2822" spans="2:5">
      <c r="B2822" t="s">
        <v>2687</v>
      </c>
      <c r="D2822" t="s">
        <v>25</v>
      </c>
      <c r="E2822">
        <f>SUMIF(数据源!R660:R9226,C2822,数据源!M660:M9226)</f>
        <v>0</v>
      </c>
    </row>
    <row r="2823" spans="2:5">
      <c r="B2823" t="s">
        <v>2698</v>
      </c>
      <c r="D2823" t="s">
        <v>27</v>
      </c>
      <c r="E2823">
        <f>SUMIF(数据源!R3055:R11621,C2823,数据源!M3055:M11621)</f>
        <v>0</v>
      </c>
    </row>
    <row r="2824" spans="2:5">
      <c r="B2824" t="s">
        <v>2690</v>
      </c>
      <c r="D2824" t="s">
        <v>25</v>
      </c>
      <c r="E2824">
        <f>SUMIF(数据源!R1243:R9809,C2824,数据源!M1243:M9809)</f>
        <v>0</v>
      </c>
    </row>
    <row r="2825" spans="2:5">
      <c r="B2825" t="s">
        <v>2700</v>
      </c>
      <c r="D2825" t="s">
        <v>25</v>
      </c>
      <c r="E2825">
        <f>SUMIF(数据源!R1495:R10061,C2825,数据源!M1495:M10061)</f>
        <v>0</v>
      </c>
    </row>
    <row r="2826" spans="2:5">
      <c r="B2826" t="s">
        <v>2688</v>
      </c>
      <c r="D2826" t="s">
        <v>25</v>
      </c>
      <c r="E2826">
        <f>SUMIF(数据源!R1132:R9698,C2826,数据源!M1132:M9698)</f>
        <v>0</v>
      </c>
    </row>
    <row r="2827" spans="2:5">
      <c r="B2827" t="s">
        <v>2690</v>
      </c>
      <c r="D2827" t="s">
        <v>25</v>
      </c>
      <c r="E2827">
        <f>SUMIF(数据源!R1465:R10031,C2827,数据源!M1465:M10031)</f>
        <v>0</v>
      </c>
    </row>
    <row r="2828" spans="2:5">
      <c r="B2828" t="s">
        <v>2698</v>
      </c>
      <c r="D2828" t="s">
        <v>27</v>
      </c>
      <c r="E2828">
        <f>SUMIF(数据源!R3061:R11627,C2828,数据源!M3061:M11627)</f>
        <v>0</v>
      </c>
    </row>
    <row r="2829" spans="2:5">
      <c r="B2829" t="s">
        <v>2685</v>
      </c>
      <c r="D2829" t="s">
        <v>25</v>
      </c>
      <c r="E2829">
        <f>SUMIF(数据源!R422:R8988,C2829,数据源!M422:M8988)</f>
        <v>0</v>
      </c>
    </row>
    <row r="2830" spans="2:5">
      <c r="B2830" t="s">
        <v>2685</v>
      </c>
      <c r="D2830" t="s">
        <v>25</v>
      </c>
      <c r="E2830">
        <f>SUMIF(数据源!R273:R8839,C2830,数据源!M273:M8839)</f>
        <v>0</v>
      </c>
    </row>
    <row r="2831" spans="2:5">
      <c r="B2831" t="s">
        <v>2688</v>
      </c>
      <c r="D2831" t="s">
        <v>25</v>
      </c>
      <c r="E2831">
        <f>SUMIF(数据源!R1034:R9600,C2831,数据源!M1034:M9600)</f>
        <v>0</v>
      </c>
    </row>
    <row r="2832" spans="2:5">
      <c r="B2832" t="s">
        <v>2688</v>
      </c>
      <c r="D2832" t="s">
        <v>25</v>
      </c>
      <c r="E2832">
        <f>SUMIF(数据源!R1129:R9695,C2832,数据源!M1129:M9695)</f>
        <v>0</v>
      </c>
    </row>
    <row r="2833" spans="2:5">
      <c r="B2833" t="s">
        <v>2690</v>
      </c>
      <c r="D2833" t="s">
        <v>25</v>
      </c>
      <c r="E2833">
        <f>SUMIF(数据源!R1464:R10030,C2833,数据源!M1464:M10030)</f>
        <v>0</v>
      </c>
    </row>
    <row r="2834" spans="2:5">
      <c r="B2834" t="s">
        <v>2695</v>
      </c>
      <c r="D2834" t="s">
        <v>26</v>
      </c>
      <c r="E2834">
        <f>SUMIF(数据源!R1891:R10457,C2834,数据源!M1891:M10457)</f>
        <v>0</v>
      </c>
    </row>
    <row r="2835" spans="2:5">
      <c r="B2835" t="s">
        <v>2694</v>
      </c>
      <c r="D2835" t="s">
        <v>25</v>
      </c>
      <c r="E2835">
        <f>SUMIF(数据源!R1719:R10285,C2835,数据源!M1719:M10285)</f>
        <v>0</v>
      </c>
    </row>
    <row r="2836" spans="2:5">
      <c r="B2836" t="s">
        <v>2688</v>
      </c>
      <c r="D2836" t="s">
        <v>25</v>
      </c>
      <c r="E2836">
        <f>SUMIF(数据源!R950:R9516,C2836,数据源!M950:M9516)</f>
        <v>0</v>
      </c>
    </row>
    <row r="2837" spans="2:5">
      <c r="B2837" t="s">
        <v>2688</v>
      </c>
      <c r="D2837" t="s">
        <v>25</v>
      </c>
      <c r="E2837">
        <f>SUMIF(数据源!R852:R9418,C2837,数据源!M852:M9418)</f>
        <v>0</v>
      </c>
    </row>
    <row r="2838" spans="2:5">
      <c r="B2838" t="s">
        <v>2688</v>
      </c>
      <c r="D2838" t="s">
        <v>25</v>
      </c>
      <c r="E2838">
        <f>SUMIF(数据源!R1003:R9569,C2838,数据源!M1003:M9569)</f>
        <v>0</v>
      </c>
    </row>
    <row r="2839" spans="2:5">
      <c r="B2839" t="s">
        <v>2698</v>
      </c>
      <c r="D2839" t="s">
        <v>27</v>
      </c>
      <c r="E2839">
        <f>SUMIF(数据源!R3086:R11652,C2839,数据源!M3086:M11652)</f>
        <v>0</v>
      </c>
    </row>
    <row r="2840" spans="2:5">
      <c r="B2840" t="s">
        <v>2697</v>
      </c>
      <c r="D2840" t="s">
        <v>26</v>
      </c>
      <c r="E2840">
        <f>SUMIF(数据源!R2300:R10866,C2840,数据源!M2300:M10866)</f>
        <v>0</v>
      </c>
    </row>
    <row r="2841" spans="2:5">
      <c r="B2841" t="s">
        <v>2688</v>
      </c>
      <c r="D2841" t="s">
        <v>25</v>
      </c>
      <c r="E2841">
        <f>SUMIF(数据源!R918:R9484,C2841,数据源!M918:M9484)</f>
        <v>0</v>
      </c>
    </row>
    <row r="2842" spans="2:5">
      <c r="B2842" t="s">
        <v>2694</v>
      </c>
      <c r="D2842" t="s">
        <v>25</v>
      </c>
      <c r="E2842">
        <f>SUMIF(数据源!R1681:R10247,C2842,数据源!M1681:M10247)</f>
        <v>0</v>
      </c>
    </row>
    <row r="2843" spans="2:5">
      <c r="B2843" t="s">
        <v>2698</v>
      </c>
      <c r="D2843" t="s">
        <v>27</v>
      </c>
      <c r="E2843">
        <f>SUMIF(数据源!R3095:R11661,C2843,数据源!M3095:M11661)</f>
        <v>0</v>
      </c>
    </row>
    <row r="2844" spans="2:5">
      <c r="B2844" t="s">
        <v>2695</v>
      </c>
      <c r="D2844" t="s">
        <v>26</v>
      </c>
      <c r="E2844">
        <f>SUMIF(数据源!R1896:R10462,C2844,数据源!M1896:M10462)</f>
        <v>0</v>
      </c>
    </row>
    <row r="2845" spans="2:5">
      <c r="B2845" t="s">
        <v>2694</v>
      </c>
      <c r="D2845" t="s">
        <v>25</v>
      </c>
      <c r="E2845">
        <f>SUMIF(数据源!R1805:R10371,C2845,数据源!M1805:M10371)</f>
        <v>0</v>
      </c>
    </row>
    <row r="2846" spans="2:5">
      <c r="B2846" t="s">
        <v>2698</v>
      </c>
      <c r="D2846" t="s">
        <v>27</v>
      </c>
      <c r="E2846">
        <f>SUMIF(数据源!R3197:R11763,C2846,数据源!M3197:M11763)</f>
        <v>0</v>
      </c>
    </row>
    <row r="2847" spans="2:5">
      <c r="B2847" t="s">
        <v>2688</v>
      </c>
      <c r="D2847" t="s">
        <v>25</v>
      </c>
      <c r="E2847">
        <f>SUMIF(数据源!R1128:R9694,C2847,数据源!M1128:M9694)</f>
        <v>0</v>
      </c>
    </row>
    <row r="2848" spans="2:5">
      <c r="B2848" t="s">
        <v>2699</v>
      </c>
      <c r="D2848" t="s">
        <v>26</v>
      </c>
      <c r="E2848">
        <f>SUMIF(数据源!R2428:R10994,C2848,数据源!M2428:M10994)</f>
        <v>0</v>
      </c>
    </row>
    <row r="2849" spans="2:5">
      <c r="B2849" t="s">
        <v>2696</v>
      </c>
      <c r="D2849" t="s">
        <v>27</v>
      </c>
      <c r="E2849">
        <f>SUMIF(数据源!R2603:R11169,C2849,数据源!M2603:M11169)</f>
        <v>0</v>
      </c>
    </row>
    <row r="2850" spans="2:5">
      <c r="B2850" t="s">
        <v>2685</v>
      </c>
      <c r="D2850" t="s">
        <v>25</v>
      </c>
      <c r="E2850">
        <f>SUMIF(数据源!R262:R8828,C2850,数据源!M262:M8828)</f>
        <v>0</v>
      </c>
    </row>
    <row r="2851" spans="2:5">
      <c r="B2851" t="s">
        <v>2690</v>
      </c>
      <c r="D2851" t="s">
        <v>25</v>
      </c>
      <c r="E2851">
        <f>SUMIF(数据源!R1274:R9840,C2851,数据源!M1274:M9840)</f>
        <v>0</v>
      </c>
    </row>
    <row r="2852" spans="2:5">
      <c r="B2852" t="s">
        <v>2688</v>
      </c>
      <c r="D2852" t="s">
        <v>25</v>
      </c>
      <c r="E2852">
        <f>SUMIF(数据源!R818:R9384,C2852,数据源!M818:M9384)</f>
        <v>0</v>
      </c>
    </row>
    <row r="2853" spans="2:5">
      <c r="B2853" t="s">
        <v>2690</v>
      </c>
      <c r="D2853" t="s">
        <v>25</v>
      </c>
      <c r="E2853">
        <f>SUMIF(数据源!R1255:R9821,C2853,数据源!M1255:M9821)</f>
        <v>0</v>
      </c>
    </row>
    <row r="2854" spans="2:5">
      <c r="B2854" t="s">
        <v>2698</v>
      </c>
      <c r="D2854" t="s">
        <v>27</v>
      </c>
      <c r="E2854">
        <f>SUMIF(数据源!R3310:R11876,C2854,数据源!M3310:M11876)</f>
        <v>0</v>
      </c>
    </row>
    <row r="2855" spans="2:5">
      <c r="B2855" t="s">
        <v>2689</v>
      </c>
      <c r="D2855" t="s">
        <v>25</v>
      </c>
      <c r="E2855">
        <f>SUMIF(数据源!R124:R8690,C2855,数据源!M124:M8690)</f>
        <v>0</v>
      </c>
    </row>
    <row r="2856" spans="2:5">
      <c r="B2856" t="s">
        <v>2688</v>
      </c>
      <c r="D2856" t="s">
        <v>25</v>
      </c>
      <c r="E2856">
        <f>SUMIF(数据源!R957:R9523,C2856,数据源!M957:M9523)</f>
        <v>0</v>
      </c>
    </row>
    <row r="2857" spans="2:5">
      <c r="B2857" t="s">
        <v>2694</v>
      </c>
      <c r="D2857" t="s">
        <v>25</v>
      </c>
      <c r="E2857">
        <f>SUMIF(数据源!R1751:R10317,C2857,数据源!M1751:M10317)</f>
        <v>0</v>
      </c>
    </row>
    <row r="2858" spans="2:5">
      <c r="B2858" t="s">
        <v>2698</v>
      </c>
      <c r="D2858" t="s">
        <v>27</v>
      </c>
      <c r="E2858">
        <f>SUMIF(数据源!R3314:R11880,C2858,数据源!M3314:M11880)</f>
        <v>0</v>
      </c>
    </row>
    <row r="2859" spans="2:5">
      <c r="B2859" t="s">
        <v>2687</v>
      </c>
      <c r="D2859" t="s">
        <v>25</v>
      </c>
      <c r="E2859">
        <f>SUMIF(数据源!R653:R9219,C2859,数据源!M653:M9219)</f>
        <v>0</v>
      </c>
    </row>
    <row r="2860" spans="2:5">
      <c r="B2860" t="s">
        <v>2685</v>
      </c>
      <c r="D2860" t="s">
        <v>25</v>
      </c>
      <c r="E2860">
        <f>SUMIF(数据源!R524:R9090,C2860,数据源!M524:M9090)</f>
        <v>0</v>
      </c>
    </row>
    <row r="2861" spans="2:5">
      <c r="B2861" t="s">
        <v>2688</v>
      </c>
      <c r="D2861" t="s">
        <v>25</v>
      </c>
      <c r="E2861">
        <f>SUMIF(数据源!R1188:R9754,C2861,数据源!M1188:M9754)</f>
        <v>0</v>
      </c>
    </row>
    <row r="2862" spans="2:5">
      <c r="B2862" t="s">
        <v>2696</v>
      </c>
      <c r="D2862" t="s">
        <v>27</v>
      </c>
      <c r="E2862">
        <f>SUMIF(数据源!R2736:R11302,C2862,数据源!M2736:M11302)</f>
        <v>0</v>
      </c>
    </row>
    <row r="2863" spans="2:5">
      <c r="B2863" t="s">
        <v>2697</v>
      </c>
      <c r="D2863" t="s">
        <v>26</v>
      </c>
      <c r="E2863">
        <f>SUMIF(数据源!R2343:R10909,C2863,数据源!M2343:M10909)</f>
        <v>0</v>
      </c>
    </row>
    <row r="2864" spans="2:5">
      <c r="B2864" t="s">
        <v>2688</v>
      </c>
      <c r="D2864" t="s">
        <v>25</v>
      </c>
      <c r="E2864">
        <f>SUMIF(数据源!R884:R9450,C2864,数据源!M884:M9450)</f>
        <v>0</v>
      </c>
    </row>
    <row r="2865" spans="2:5">
      <c r="B2865" t="s">
        <v>2685</v>
      </c>
      <c r="D2865" t="s">
        <v>25</v>
      </c>
      <c r="E2865">
        <f>SUMIF(数据源!R405:R8971,C2865,数据源!M405:M8971)</f>
        <v>0</v>
      </c>
    </row>
    <row r="2866" spans="2:5">
      <c r="B2866" t="s">
        <v>2698</v>
      </c>
      <c r="D2866" t="s">
        <v>27</v>
      </c>
      <c r="E2866">
        <f>SUMIF(数据源!R3222:R11788,C2866,数据源!M3222:M11788)</f>
        <v>0</v>
      </c>
    </row>
    <row r="2867" spans="2:5">
      <c r="B2867" t="s">
        <v>2690</v>
      </c>
      <c r="D2867" t="s">
        <v>25</v>
      </c>
      <c r="E2867">
        <f>SUMIF(数据源!R1380:R9946,C2867,数据源!M1380:M9946)</f>
        <v>0</v>
      </c>
    </row>
    <row r="2868" spans="2:5">
      <c r="B2868" t="s">
        <v>2701</v>
      </c>
      <c r="D2868" t="s">
        <v>25</v>
      </c>
      <c r="E2868">
        <f>SUMIF(数据源!R1613:R10179,C2868,数据源!M1613:M10179)</f>
        <v>0</v>
      </c>
    </row>
    <row r="2869" spans="2:5">
      <c r="B2869" t="s">
        <v>2688</v>
      </c>
      <c r="D2869" t="s">
        <v>25</v>
      </c>
      <c r="E2869">
        <f>SUMIF(数据源!R1189:R9755,C2869,数据源!M1189:M9755)</f>
        <v>0</v>
      </c>
    </row>
    <row r="2870" spans="2:5">
      <c r="B2870" t="s">
        <v>2688</v>
      </c>
      <c r="D2870" t="s">
        <v>25</v>
      </c>
      <c r="E2870">
        <f>SUMIF(数据源!R1186:R9752,C2870,数据源!M1186:M9752)</f>
        <v>0</v>
      </c>
    </row>
    <row r="2871" spans="2:5">
      <c r="B2871" t="s">
        <v>2697</v>
      </c>
      <c r="D2871" t="s">
        <v>26</v>
      </c>
      <c r="E2871">
        <f>SUMIF(数据源!R2398:R10964,C2871,数据源!M2398:M10964)</f>
        <v>0</v>
      </c>
    </row>
    <row r="2872" spans="2:5">
      <c r="B2872" t="s">
        <v>2689</v>
      </c>
      <c r="D2872" t="s">
        <v>25</v>
      </c>
      <c r="E2872">
        <f>SUMIF(数据源!R132:R8698,C2872,数据源!M132:M8698)</f>
        <v>0</v>
      </c>
    </row>
    <row r="2873" spans="2:5">
      <c r="B2873" t="s">
        <v>2692</v>
      </c>
      <c r="D2873" t="s">
        <v>25</v>
      </c>
      <c r="E2873">
        <f>SUMIF(数据源!R591:R9157,C2873,数据源!M591:M9157)</f>
        <v>0</v>
      </c>
    </row>
    <row r="2874" spans="2:5">
      <c r="B2874" t="s">
        <v>2688</v>
      </c>
      <c r="D2874" t="s">
        <v>25</v>
      </c>
      <c r="E2874">
        <f>SUMIF(数据源!R1176:R9742,C2874,数据源!M1176:M9742)</f>
        <v>0</v>
      </c>
    </row>
    <row r="2875" spans="2:5">
      <c r="B2875" t="s">
        <v>2691</v>
      </c>
      <c r="D2875" t="s">
        <v>26</v>
      </c>
      <c r="E2875">
        <f>SUMIF(数据源!R2014:R10580,C2875,数据源!M2014:M10580)</f>
        <v>0</v>
      </c>
    </row>
    <row r="2876" spans="2:5">
      <c r="B2876" t="s">
        <v>2697</v>
      </c>
      <c r="D2876" t="s">
        <v>26</v>
      </c>
      <c r="E2876">
        <f>SUMIF(数据源!R2258:R10824,C2876,数据源!M2258:M10824)</f>
        <v>0</v>
      </c>
    </row>
    <row r="2877" spans="2:5">
      <c r="B2877" t="s">
        <v>2696</v>
      </c>
      <c r="D2877" t="s">
        <v>27</v>
      </c>
      <c r="E2877">
        <f>SUMIF(数据源!R2710:R11276,C2877,数据源!M2710:M11276)</f>
        <v>0</v>
      </c>
    </row>
    <row r="2878" spans="2:5">
      <c r="B2878" t="s">
        <v>2697</v>
      </c>
      <c r="D2878" t="s">
        <v>26</v>
      </c>
      <c r="E2878">
        <f>SUMIF(数据源!R2280:R10846,C2878,数据源!M2280:M10846)</f>
        <v>0</v>
      </c>
    </row>
    <row r="2879" spans="2:5">
      <c r="B2879" t="s">
        <v>2688</v>
      </c>
      <c r="D2879" t="s">
        <v>25</v>
      </c>
      <c r="E2879">
        <f>SUMIF(数据源!R964:R9530,C2879,数据源!M964:M9530)</f>
        <v>0</v>
      </c>
    </row>
    <row r="2880" spans="2:5">
      <c r="B2880" t="s">
        <v>2694</v>
      </c>
      <c r="D2880" t="s">
        <v>25</v>
      </c>
      <c r="E2880">
        <f>SUMIF(数据源!R1755:R10321,C2880,数据源!M1755:M10321)</f>
        <v>0</v>
      </c>
    </row>
    <row r="2881" spans="2:5">
      <c r="B2881" t="s">
        <v>2690</v>
      </c>
      <c r="D2881" t="s">
        <v>25</v>
      </c>
      <c r="E2881">
        <f>SUMIF(数据源!R1367:R9933,C2881,数据源!M1367:M9933)</f>
        <v>0</v>
      </c>
    </row>
    <row r="2882" spans="2:5">
      <c r="B2882" t="s">
        <v>2697</v>
      </c>
      <c r="D2882" t="s">
        <v>26</v>
      </c>
      <c r="E2882">
        <f>SUMIF(数据源!R2115:R10681,C2882,数据源!M2115:M10681)</f>
        <v>0</v>
      </c>
    </row>
    <row r="2883" spans="2:5">
      <c r="B2883" t="s">
        <v>2701</v>
      </c>
      <c r="D2883" t="s">
        <v>25</v>
      </c>
      <c r="E2883">
        <f>SUMIF(数据源!R1576:R10142,C2883,数据源!M1576:M10142)</f>
        <v>0</v>
      </c>
    </row>
    <row r="2884" spans="2:5">
      <c r="B2884" t="s">
        <v>2688</v>
      </c>
      <c r="D2884" t="s">
        <v>25</v>
      </c>
      <c r="E2884">
        <f>SUMIF(数据源!R1073:R9639,C2884,数据源!M1073:M9639)</f>
        <v>0</v>
      </c>
    </row>
    <row r="2885" spans="2:5">
      <c r="B2885" t="s">
        <v>2688</v>
      </c>
      <c r="D2885" t="s">
        <v>25</v>
      </c>
      <c r="E2885">
        <f>SUMIF(数据源!R1190:R9756,C2885,数据源!M1190:M9756)</f>
        <v>0</v>
      </c>
    </row>
    <row r="2886" spans="2:5">
      <c r="B2886" t="s">
        <v>2690</v>
      </c>
      <c r="D2886" t="s">
        <v>25</v>
      </c>
      <c r="E2886">
        <f>SUMIF(数据源!R1473:R10039,C2886,数据源!M1473:M10039)</f>
        <v>0</v>
      </c>
    </row>
    <row r="2887" spans="2:5">
      <c r="B2887" t="s">
        <v>2697</v>
      </c>
      <c r="D2887" t="s">
        <v>26</v>
      </c>
      <c r="E2887">
        <f>SUMIF(数据源!R2101:R10667,C2887,数据源!M2101:M10667)</f>
        <v>0</v>
      </c>
    </row>
    <row r="2888" spans="2:5">
      <c r="B2888" t="s">
        <v>2686</v>
      </c>
      <c r="D2888" t="s">
        <v>27</v>
      </c>
      <c r="E2888">
        <f>SUMIF(数据源!R2979:R11545,C2888,数据源!M2979:M11545)</f>
        <v>0</v>
      </c>
    </row>
    <row r="2889" spans="2:5">
      <c r="B2889" t="s">
        <v>2690</v>
      </c>
      <c r="D2889" t="s">
        <v>25</v>
      </c>
      <c r="E2889">
        <f>SUMIF(数据源!R1426:R9992,C2889,数据源!M1426:M9992)</f>
        <v>0</v>
      </c>
    </row>
    <row r="2890" spans="2:5">
      <c r="B2890" t="s">
        <v>2697</v>
      </c>
      <c r="D2890" t="s">
        <v>26</v>
      </c>
      <c r="E2890">
        <f>SUMIF(数据源!R2186:R10752,C2890,数据源!M2186:M10752)</f>
        <v>0</v>
      </c>
    </row>
    <row r="2891" spans="2:5">
      <c r="B2891" t="s">
        <v>2685</v>
      </c>
      <c r="D2891" t="s">
        <v>25</v>
      </c>
      <c r="E2891">
        <f>SUMIF(数据源!R242:R8808,C2891,数据源!M242:M8808)</f>
        <v>0</v>
      </c>
    </row>
    <row r="2892" spans="2:5">
      <c r="B2892" t="s">
        <v>2685</v>
      </c>
      <c r="D2892" t="s">
        <v>25</v>
      </c>
      <c r="E2892">
        <f>SUMIF(数据源!R444:R9010,C2892,数据源!M444:M9010)</f>
        <v>0</v>
      </c>
    </row>
    <row r="2893" spans="2:5">
      <c r="B2893" t="s">
        <v>2690</v>
      </c>
      <c r="D2893" t="s">
        <v>25</v>
      </c>
      <c r="E2893">
        <f>SUMIF(数据源!R1362:R9928,C2893,数据源!M1362:M9928)</f>
        <v>0</v>
      </c>
    </row>
    <row r="2894" spans="2:5">
      <c r="B2894" t="s">
        <v>2696</v>
      </c>
      <c r="D2894" t="s">
        <v>27</v>
      </c>
      <c r="E2894">
        <f>SUMIF(数据源!R2766:R11332,C2894,数据源!M2766:M11332)</f>
        <v>0</v>
      </c>
    </row>
    <row r="2895" spans="2:5">
      <c r="B2895" t="s">
        <v>2697</v>
      </c>
      <c r="D2895" t="s">
        <v>26</v>
      </c>
      <c r="E2895">
        <f>SUMIF(数据源!R2327:R10893,C2895,数据源!M2327:M10893)</f>
        <v>0</v>
      </c>
    </row>
    <row r="2896" spans="2:5">
      <c r="B2896" t="s">
        <v>2690</v>
      </c>
      <c r="D2896" t="s">
        <v>25</v>
      </c>
      <c r="E2896">
        <f>SUMIF(数据源!R1417:R9983,C2896,数据源!M1417:M9983)</f>
        <v>0</v>
      </c>
    </row>
    <row r="2897" spans="2:5">
      <c r="B2897" t="s">
        <v>2697</v>
      </c>
      <c r="D2897" t="s">
        <v>26</v>
      </c>
      <c r="E2897">
        <f>SUMIF(数据源!R2265:R10831,C2897,数据源!M2265:M10831)</f>
        <v>0</v>
      </c>
    </row>
    <row r="2898" spans="2:5">
      <c r="B2898" t="s">
        <v>2692</v>
      </c>
      <c r="D2898" t="s">
        <v>25</v>
      </c>
      <c r="E2898">
        <f>SUMIF(数据源!R554:R9120,C2898,数据源!M554:M9120)</f>
        <v>0</v>
      </c>
    </row>
    <row r="2899" spans="2:5">
      <c r="B2899" t="s">
        <v>2686</v>
      </c>
      <c r="D2899" t="s">
        <v>27</v>
      </c>
      <c r="E2899">
        <f>SUMIF(数据源!R2919:R11485,C2899,数据源!M2919:M11485)</f>
        <v>0</v>
      </c>
    </row>
    <row r="2900" spans="2:5">
      <c r="B2900" t="s">
        <v>2699</v>
      </c>
      <c r="D2900" t="s">
        <v>26</v>
      </c>
      <c r="E2900">
        <f>SUMIF(数据源!R2488:R11054,C2900,数据源!M2488:M11054)</f>
        <v>0</v>
      </c>
    </row>
    <row r="2901" spans="2:5">
      <c r="B2901" t="s">
        <v>2700</v>
      </c>
      <c r="D2901" t="s">
        <v>25</v>
      </c>
      <c r="E2901">
        <f>SUMIF(数据源!R1485:R10051,C2901,数据源!M1485:M10051)</f>
        <v>0</v>
      </c>
    </row>
    <row r="2902" spans="2:5">
      <c r="B2902" t="s">
        <v>2701</v>
      </c>
      <c r="D2902" t="s">
        <v>25</v>
      </c>
      <c r="E2902">
        <f>SUMIF(数据源!R1575:R10141,C2902,数据源!M1575:M10141)</f>
        <v>0</v>
      </c>
    </row>
    <row r="2903" spans="2:5">
      <c r="B2903" t="s">
        <v>2689</v>
      </c>
      <c r="D2903" t="s">
        <v>25</v>
      </c>
      <c r="E2903">
        <f>SUMIF(数据源!R135:R8701,C2903,数据源!M135:M8701)</f>
        <v>0</v>
      </c>
    </row>
    <row r="2904" spans="2:5">
      <c r="B2904" t="s">
        <v>2697</v>
      </c>
      <c r="D2904" t="s">
        <v>26</v>
      </c>
      <c r="E2904">
        <f>SUMIF(数据源!R2371:R10937,C2904,数据源!M2371:M10937)</f>
        <v>0</v>
      </c>
    </row>
    <row r="2905" spans="2:5">
      <c r="B2905" t="s">
        <v>2696</v>
      </c>
      <c r="D2905" t="s">
        <v>27</v>
      </c>
      <c r="E2905">
        <f>SUMIF(数据源!R2580:R11146,C2905,数据源!M2580:M11146)</f>
        <v>0</v>
      </c>
    </row>
    <row r="2906" spans="2:5">
      <c r="B2906" t="s">
        <v>2701</v>
      </c>
      <c r="D2906" t="s">
        <v>25</v>
      </c>
      <c r="E2906">
        <f>SUMIF(数据源!R1580:R10146,C2906,数据源!M1580:M10146)</f>
        <v>0</v>
      </c>
    </row>
    <row r="2907" spans="2:5">
      <c r="B2907" t="s">
        <v>2688</v>
      </c>
      <c r="D2907" t="s">
        <v>25</v>
      </c>
      <c r="E2907">
        <f>SUMIF(数据源!R1001:R9567,C2907,数据源!M1001:M9567)</f>
        <v>0</v>
      </c>
    </row>
    <row r="2908" spans="2:5">
      <c r="B2908" t="s">
        <v>2688</v>
      </c>
      <c r="D2908" t="s">
        <v>25</v>
      </c>
      <c r="E2908">
        <f>SUMIF(数据源!R1039:R9605,C2908,数据源!M1039:M9605)</f>
        <v>0</v>
      </c>
    </row>
    <row r="2909" spans="2:5">
      <c r="B2909" t="s">
        <v>2694</v>
      </c>
      <c r="D2909" t="s">
        <v>25</v>
      </c>
      <c r="E2909">
        <f>SUMIF(数据源!R1809:R10375,C2909,数据源!M1809:M10375)</f>
        <v>0</v>
      </c>
    </row>
    <row r="2910" spans="2:5">
      <c r="B2910" t="s">
        <v>2694</v>
      </c>
      <c r="D2910" t="s">
        <v>25</v>
      </c>
      <c r="E2910">
        <f>SUMIF(数据源!R1783:R10349,C2910,数据源!M1783:M10349)</f>
        <v>0</v>
      </c>
    </row>
    <row r="2911" spans="2:5">
      <c r="B2911" t="s">
        <v>2697</v>
      </c>
      <c r="D2911" t="s">
        <v>26</v>
      </c>
      <c r="E2911">
        <f>SUMIF(数据源!R2096:R10662,C2911,数据源!M2096:M10662)</f>
        <v>0</v>
      </c>
    </row>
    <row r="2912" spans="2:5">
      <c r="B2912" t="s">
        <v>2697</v>
      </c>
      <c r="D2912" t="s">
        <v>26</v>
      </c>
      <c r="E2912">
        <f>SUMIF(数据源!R2215:R10781,C2912,数据源!M2215:M10781)</f>
        <v>0</v>
      </c>
    </row>
    <row r="2913" spans="2:5">
      <c r="B2913" t="s">
        <v>2685</v>
      </c>
      <c r="D2913" t="s">
        <v>25</v>
      </c>
      <c r="E2913">
        <f>SUMIF(数据源!R250:R8816,C2913,数据源!M250:M8816)</f>
        <v>0</v>
      </c>
    </row>
    <row r="2914" spans="2:5">
      <c r="B2914" t="s">
        <v>2701</v>
      </c>
      <c r="D2914" t="s">
        <v>25</v>
      </c>
      <c r="E2914">
        <f>SUMIF(数据源!R1584:R10150,C2914,数据源!M1584:M10150)</f>
        <v>0</v>
      </c>
    </row>
    <row r="2915" spans="2:5">
      <c r="B2915" t="s">
        <v>2694</v>
      </c>
      <c r="D2915" t="s">
        <v>25</v>
      </c>
      <c r="E2915">
        <f>SUMIF(数据源!R1648:R10214,C2915,数据源!M1648:M10214)</f>
        <v>0</v>
      </c>
    </row>
    <row r="2916" spans="2:5">
      <c r="B2916" t="s">
        <v>2687</v>
      </c>
      <c r="D2916" t="s">
        <v>25</v>
      </c>
      <c r="E2916">
        <f>SUMIF(数据源!R675:R9241,C2916,数据源!M675:M9241)</f>
        <v>0</v>
      </c>
    </row>
    <row r="2917" spans="2:5">
      <c r="B2917" t="s">
        <v>2694</v>
      </c>
      <c r="D2917" t="s">
        <v>25</v>
      </c>
      <c r="E2917">
        <f>SUMIF(数据源!R1655:R10221,C2917,数据源!M1655:M10221)</f>
        <v>0</v>
      </c>
    </row>
    <row r="2918" spans="2:5">
      <c r="B2918" t="s">
        <v>2696</v>
      </c>
      <c r="D2918" t="s">
        <v>27</v>
      </c>
      <c r="E2918">
        <f>SUMIF(数据源!R2688:R11254,C2918,数据源!M2688:M11254)</f>
        <v>0</v>
      </c>
    </row>
    <row r="2919" spans="2:5">
      <c r="B2919" t="s">
        <v>2701</v>
      </c>
      <c r="D2919" t="s">
        <v>25</v>
      </c>
      <c r="E2919">
        <f>SUMIF(数据源!R1630:R10196,C2919,数据源!M1630:M10196)</f>
        <v>0</v>
      </c>
    </row>
    <row r="2920" spans="2:5">
      <c r="B2920" t="s">
        <v>2688</v>
      </c>
      <c r="D2920" t="s">
        <v>25</v>
      </c>
      <c r="E2920">
        <f>SUMIF(数据源!R941:R9507,C2920,数据源!M941:M9507)</f>
        <v>0</v>
      </c>
    </row>
    <row r="2921" spans="2:5">
      <c r="B2921" t="s">
        <v>2686</v>
      </c>
      <c r="D2921" t="s">
        <v>27</v>
      </c>
      <c r="E2921">
        <f>SUMIF(数据源!R2861:R11427,C2921,数据源!M2861:M11427)</f>
        <v>0</v>
      </c>
    </row>
    <row r="2922" spans="2:5">
      <c r="B2922" t="s">
        <v>2694</v>
      </c>
      <c r="D2922" t="s">
        <v>25</v>
      </c>
      <c r="E2922">
        <f>SUMIF(数据源!R1667:R10233,C2922,数据源!M1667:M10233)</f>
        <v>0</v>
      </c>
    </row>
    <row r="2923" spans="2:5">
      <c r="B2923" t="s">
        <v>2697</v>
      </c>
      <c r="D2923" t="s">
        <v>26</v>
      </c>
      <c r="E2923">
        <f>SUMIF(数据源!R2184:R10750,C2923,数据源!M2184:M10750)</f>
        <v>0</v>
      </c>
    </row>
    <row r="2924" spans="2:5">
      <c r="B2924" t="s">
        <v>2688</v>
      </c>
      <c r="D2924" t="s">
        <v>25</v>
      </c>
      <c r="E2924">
        <f>SUMIF(数据源!R865:R9431,C2924,数据源!M865:M9431)</f>
        <v>0</v>
      </c>
    </row>
    <row r="2925" spans="2:5">
      <c r="B2925" t="s">
        <v>2696</v>
      </c>
      <c r="D2925" t="s">
        <v>27</v>
      </c>
      <c r="E2925">
        <f>SUMIF(数据源!R2653:R11219,C2925,数据源!M2653:M11219)</f>
        <v>0</v>
      </c>
    </row>
    <row r="2926" spans="2:5">
      <c r="B2926" t="s">
        <v>2685</v>
      </c>
      <c r="D2926" t="s">
        <v>25</v>
      </c>
      <c r="E2926">
        <f>SUMIF(数据源!R452:R9018,C2926,数据源!M452:M9018)</f>
        <v>0</v>
      </c>
    </row>
    <row r="2927" spans="2:5">
      <c r="B2927" t="s">
        <v>2688</v>
      </c>
      <c r="D2927" t="s">
        <v>25</v>
      </c>
      <c r="E2927">
        <f>SUMIF(数据源!R1038:R9604,C2927,数据源!M1038:M9604)</f>
        <v>0</v>
      </c>
    </row>
    <row r="2928" spans="2:5">
      <c r="B2928" t="s">
        <v>2685</v>
      </c>
      <c r="D2928" t="s">
        <v>25</v>
      </c>
      <c r="E2928">
        <f>SUMIF(数据源!R424:R8990,C2928,数据源!M424:M8990)</f>
        <v>0</v>
      </c>
    </row>
    <row r="2929" spans="2:5">
      <c r="B2929" t="s">
        <v>2685</v>
      </c>
      <c r="D2929" t="s">
        <v>25</v>
      </c>
      <c r="E2929">
        <f>SUMIF(数据源!R243:R8809,C2929,数据源!M243:M8809)</f>
        <v>0</v>
      </c>
    </row>
    <row r="2930" spans="2:5">
      <c r="B2930" t="s">
        <v>2694</v>
      </c>
      <c r="D2930" t="s">
        <v>25</v>
      </c>
      <c r="E2930">
        <f>SUMIF(数据源!R1753:R10319,C2930,数据源!M1753:M10319)</f>
        <v>0</v>
      </c>
    </row>
    <row r="2931" spans="2:5">
      <c r="B2931" t="s">
        <v>2694</v>
      </c>
      <c r="D2931" t="s">
        <v>25</v>
      </c>
      <c r="E2931">
        <f>SUMIF(数据源!R1846:R10412,C2931,数据源!M1846:M10412)</f>
        <v>0</v>
      </c>
    </row>
    <row r="2932" spans="2:5">
      <c r="B2932" t="s">
        <v>2697</v>
      </c>
      <c r="D2932" t="s">
        <v>26</v>
      </c>
      <c r="E2932">
        <f>SUMIF(数据源!R2403:R10969,C2932,数据源!M2403:M10969)</f>
        <v>0</v>
      </c>
    </row>
    <row r="2933" spans="2:5">
      <c r="B2933" t="s">
        <v>2697</v>
      </c>
      <c r="D2933" t="s">
        <v>26</v>
      </c>
      <c r="E2933">
        <f>SUMIF(数据源!R2135:R10701,C2933,数据源!M2135:M10701)</f>
        <v>0</v>
      </c>
    </row>
    <row r="2934" spans="2:5">
      <c r="B2934" t="s">
        <v>2697</v>
      </c>
      <c r="D2934" t="s">
        <v>26</v>
      </c>
      <c r="E2934">
        <f>SUMIF(数据源!R2332:R10898,C2934,数据源!M2332:M10898)</f>
        <v>0</v>
      </c>
    </row>
    <row r="2935" spans="2:5">
      <c r="B2935" t="s">
        <v>2696</v>
      </c>
      <c r="D2935" t="s">
        <v>27</v>
      </c>
      <c r="E2935">
        <f>SUMIF(数据源!R2751:R11317,C2935,数据源!M2751:M11317)</f>
        <v>0</v>
      </c>
    </row>
    <row r="2936" spans="2:5">
      <c r="B2936" t="s">
        <v>2700</v>
      </c>
      <c r="D2936" t="s">
        <v>25</v>
      </c>
      <c r="E2936">
        <f>SUMIF(数据源!R1536:R10102,C2936,数据源!M1536:M10102)</f>
        <v>0</v>
      </c>
    </row>
    <row r="2937" spans="2:5">
      <c r="B2937" t="s">
        <v>2694</v>
      </c>
      <c r="D2937" t="s">
        <v>25</v>
      </c>
      <c r="E2937">
        <f>SUMIF(数据源!R1780:R10346,C2937,数据源!M1780:M10346)</f>
        <v>0</v>
      </c>
    </row>
    <row r="2938" spans="2:5">
      <c r="B2938" t="s">
        <v>2698</v>
      </c>
      <c r="D2938" t="s">
        <v>27</v>
      </c>
      <c r="E2938">
        <f>SUMIF(数据源!R3154:R11720,C2938,数据源!M3154:M11720)</f>
        <v>0</v>
      </c>
    </row>
    <row r="2939" spans="2:5">
      <c r="B2939" t="s">
        <v>2685</v>
      </c>
      <c r="D2939" t="s">
        <v>25</v>
      </c>
      <c r="E2939">
        <f>SUMIF(数据源!R231:R8797,C2939,数据源!M231:M8797)</f>
        <v>0</v>
      </c>
    </row>
    <row r="2940" spans="2:5">
      <c r="B2940" t="s">
        <v>2690</v>
      </c>
      <c r="D2940" t="s">
        <v>25</v>
      </c>
      <c r="E2940">
        <f>SUMIF(数据源!R1398:R9964,C2940,数据源!M1398:M9964)</f>
        <v>0</v>
      </c>
    </row>
    <row r="2941" spans="2:5">
      <c r="B2941" t="s">
        <v>2685</v>
      </c>
      <c r="D2941" t="s">
        <v>25</v>
      </c>
      <c r="E2941">
        <f>SUMIF(数据源!R249:R8815,C2941,数据源!M249:M8815)</f>
        <v>0</v>
      </c>
    </row>
    <row r="2942" spans="2:5">
      <c r="B2942" t="s">
        <v>2685</v>
      </c>
      <c r="D2942" t="s">
        <v>25</v>
      </c>
      <c r="E2942">
        <f>SUMIF(数据源!R224:R8790,C2942,数据源!M224:M8790)</f>
        <v>0</v>
      </c>
    </row>
    <row r="2943" spans="2:5">
      <c r="B2943" t="s">
        <v>2687</v>
      </c>
      <c r="D2943" t="s">
        <v>25</v>
      </c>
      <c r="E2943">
        <f>SUMIF(数据源!R666:R9232,C2943,数据源!M666:M9232)</f>
        <v>0</v>
      </c>
    </row>
    <row r="2944" spans="2:5">
      <c r="B2944" t="s">
        <v>2700</v>
      </c>
      <c r="D2944" t="s">
        <v>25</v>
      </c>
      <c r="E2944">
        <f>SUMIF(数据源!R1497:R10063,C2944,数据源!M1497:M10063)</f>
        <v>0</v>
      </c>
    </row>
    <row r="2945" spans="2:5">
      <c r="B2945" t="s">
        <v>2685</v>
      </c>
      <c r="D2945" t="s">
        <v>25</v>
      </c>
      <c r="E2945">
        <f>SUMIF(数据源!R326:R8892,C2945,数据源!M326:M8892)</f>
        <v>0</v>
      </c>
    </row>
    <row r="2946" spans="2:5">
      <c r="B2946" t="s">
        <v>2688</v>
      </c>
      <c r="D2946" t="s">
        <v>25</v>
      </c>
      <c r="E2946">
        <f>SUMIF(数据源!R1010:R9576,C2946,数据源!M1010:M9576)</f>
        <v>0</v>
      </c>
    </row>
    <row r="2947" spans="2:5">
      <c r="B2947" t="s">
        <v>2688</v>
      </c>
      <c r="D2947" t="s">
        <v>25</v>
      </c>
      <c r="E2947">
        <f>SUMIF(数据源!R1064:R9630,C2947,数据源!M1064:M9630)</f>
        <v>0</v>
      </c>
    </row>
    <row r="2948" spans="2:5">
      <c r="B2948" t="s">
        <v>2697</v>
      </c>
      <c r="D2948" t="s">
        <v>26</v>
      </c>
      <c r="E2948">
        <f>SUMIF(数据源!R2335:R10901,C2948,数据源!M2335:M10901)</f>
        <v>0</v>
      </c>
    </row>
    <row r="2949" spans="2:5">
      <c r="B2949" t="s">
        <v>2686</v>
      </c>
      <c r="D2949" t="s">
        <v>27</v>
      </c>
      <c r="E2949">
        <f>SUMIF(数据源!R2988:R11554,C2949,数据源!M2988:M11554)</f>
        <v>0</v>
      </c>
    </row>
    <row r="2950" spans="2:5">
      <c r="B2950" t="s">
        <v>2697</v>
      </c>
      <c r="D2950" t="s">
        <v>26</v>
      </c>
      <c r="E2950">
        <f>SUMIF(数据源!R2368:R10934,C2950,数据源!M2368:M10934)</f>
        <v>0</v>
      </c>
    </row>
    <row r="2951" spans="2:5">
      <c r="B2951" t="s">
        <v>2690</v>
      </c>
      <c r="D2951" t="s">
        <v>25</v>
      </c>
      <c r="E2951">
        <f>SUMIF(数据源!R1247:R9813,C2951,数据源!M1247:M9813)</f>
        <v>0</v>
      </c>
    </row>
    <row r="2952" spans="2:5">
      <c r="B2952" t="s">
        <v>2700</v>
      </c>
      <c r="D2952" t="s">
        <v>25</v>
      </c>
      <c r="E2952">
        <f>SUMIF(数据源!R1498:R10064,C2952,数据源!M1498:M10064)</f>
        <v>0</v>
      </c>
    </row>
    <row r="2953" spans="2:5">
      <c r="B2953" t="s">
        <v>2690</v>
      </c>
      <c r="D2953" t="s">
        <v>25</v>
      </c>
      <c r="E2953">
        <f>SUMIF(数据源!R1258:R9824,C2953,数据源!M1258:M9824)</f>
        <v>0</v>
      </c>
    </row>
    <row r="2954" spans="2:5">
      <c r="B2954" t="s">
        <v>2690</v>
      </c>
      <c r="D2954" t="s">
        <v>25</v>
      </c>
      <c r="E2954">
        <f>SUMIF(数据源!R1431:R9997,C2954,数据源!M1431:M9997)</f>
        <v>0</v>
      </c>
    </row>
    <row r="2955" spans="2:5">
      <c r="B2955" t="s">
        <v>2700</v>
      </c>
      <c r="D2955" t="s">
        <v>25</v>
      </c>
      <c r="E2955">
        <f>SUMIF(数据源!R1545:R10111,C2955,数据源!M1545:M10111)</f>
        <v>0</v>
      </c>
    </row>
    <row r="2956" spans="2:5">
      <c r="B2956" t="s">
        <v>2696</v>
      </c>
      <c r="D2956" t="s">
        <v>27</v>
      </c>
      <c r="E2956">
        <f>SUMIF(数据源!R2813:R11379,C2956,数据源!M2813:M11379)</f>
        <v>0</v>
      </c>
    </row>
    <row r="2957" spans="2:5">
      <c r="B2957" t="s">
        <v>2688</v>
      </c>
      <c r="D2957" t="s">
        <v>25</v>
      </c>
      <c r="E2957">
        <f>SUMIF(数据源!R1095:R9661,C2957,数据源!M1095:M9661)</f>
        <v>0</v>
      </c>
    </row>
    <row r="2958" spans="2:5">
      <c r="B2958" t="s">
        <v>2685</v>
      </c>
      <c r="D2958" t="s">
        <v>25</v>
      </c>
      <c r="E2958">
        <f>SUMIF(数据源!R433:R8999,C2958,数据源!M433:M8999)</f>
        <v>0</v>
      </c>
    </row>
    <row r="2959" spans="2:5">
      <c r="B2959" t="s">
        <v>2688</v>
      </c>
      <c r="D2959" t="s">
        <v>25</v>
      </c>
      <c r="E2959">
        <f>SUMIF(数据源!R1007:R9573,C2959,数据源!M1007:M9573)</f>
        <v>0</v>
      </c>
    </row>
    <row r="2960" spans="2:5">
      <c r="B2960" t="s">
        <v>2697</v>
      </c>
      <c r="D2960" t="s">
        <v>26</v>
      </c>
      <c r="E2960">
        <f>SUMIF(数据源!R2336:R10902,C2960,数据源!M2336:M10902)</f>
        <v>0</v>
      </c>
    </row>
    <row r="2961" spans="2:5">
      <c r="B2961" t="s">
        <v>2688</v>
      </c>
      <c r="D2961" t="s">
        <v>25</v>
      </c>
      <c r="E2961">
        <f>SUMIF(数据源!R824:R9390,C2961,数据源!M824:M9390)</f>
        <v>0</v>
      </c>
    </row>
    <row r="2962" spans="2:5">
      <c r="B2962" t="s">
        <v>2698</v>
      </c>
      <c r="D2962" t="s">
        <v>27</v>
      </c>
      <c r="E2962">
        <f>SUMIF(数据源!R3318:R11884,C2962,数据源!M3318:M11884)</f>
        <v>0</v>
      </c>
    </row>
    <row r="2963" spans="2:5">
      <c r="B2963" t="s">
        <v>2689</v>
      </c>
      <c r="D2963" t="s">
        <v>25</v>
      </c>
      <c r="E2963">
        <f>SUMIF(数据源!R103:R8669,C2963,数据源!M103:M8669)</f>
        <v>0</v>
      </c>
    </row>
    <row r="2964" spans="2:5">
      <c r="B2964" t="s">
        <v>2685</v>
      </c>
      <c r="D2964" t="s">
        <v>25</v>
      </c>
      <c r="E2964">
        <f>SUMIF(数据源!R471:R9037,C2964,数据源!M471:M9037)</f>
        <v>0</v>
      </c>
    </row>
    <row r="2965" spans="2:5">
      <c r="B2965" t="s">
        <v>2694</v>
      </c>
      <c r="D2965" t="s">
        <v>25</v>
      </c>
      <c r="E2965">
        <f>SUMIF(数据源!R1824:R10390,C2965,数据源!M1824:M10390)</f>
        <v>0</v>
      </c>
    </row>
    <row r="2966" spans="2:5">
      <c r="B2966" t="s">
        <v>2688</v>
      </c>
      <c r="D2966" t="s">
        <v>25</v>
      </c>
      <c r="E2966">
        <f>SUMIF(数据源!R919:R9485,C2966,数据源!M919:M9485)</f>
        <v>0</v>
      </c>
    </row>
    <row r="2967" spans="2:5">
      <c r="B2967" t="s">
        <v>2697</v>
      </c>
      <c r="D2967" t="s">
        <v>26</v>
      </c>
      <c r="E2967">
        <f>SUMIF(数据源!R2373:R10939,C2967,数据源!M2373:M10939)</f>
        <v>0</v>
      </c>
    </row>
    <row r="2968" spans="2:5">
      <c r="B2968" t="s">
        <v>2685</v>
      </c>
      <c r="D2968" t="s">
        <v>25</v>
      </c>
      <c r="E2968">
        <f>SUMIF(数据源!R485:R9051,C2968,数据源!M485:M9051)</f>
        <v>0</v>
      </c>
    </row>
    <row r="2969" spans="2:5">
      <c r="B2969" t="s">
        <v>2685</v>
      </c>
      <c r="D2969" t="s">
        <v>25</v>
      </c>
      <c r="E2969">
        <f>SUMIF(数据源!R410:R8976,C2969,数据源!M410:M8976)</f>
        <v>0</v>
      </c>
    </row>
    <row r="2970" spans="2:5">
      <c r="B2970" t="s">
        <v>2688</v>
      </c>
      <c r="D2970" t="s">
        <v>25</v>
      </c>
      <c r="E2970">
        <f>SUMIF(数据源!R983:R9549,C2970,数据源!M983:M9549)</f>
        <v>0</v>
      </c>
    </row>
    <row r="2971" spans="2:5">
      <c r="B2971" t="s">
        <v>2690</v>
      </c>
      <c r="D2971" t="s">
        <v>25</v>
      </c>
      <c r="E2971">
        <f>SUMIF(数据源!R1392:R9958,C2971,数据源!M1392:M9958)</f>
        <v>0</v>
      </c>
    </row>
    <row r="2972" spans="2:5">
      <c r="B2972" t="s">
        <v>2685</v>
      </c>
      <c r="D2972" t="s">
        <v>25</v>
      </c>
      <c r="E2972">
        <f>SUMIF(数据源!R479:R9045,C2972,数据源!M479:M9045)</f>
        <v>0</v>
      </c>
    </row>
    <row r="2973" spans="2:5">
      <c r="B2973" t="s">
        <v>2687</v>
      </c>
      <c r="D2973" t="s">
        <v>25</v>
      </c>
      <c r="E2973">
        <f>SUMIF(数据源!R737:R9303,C2973,数据源!M737:M9303)</f>
        <v>0</v>
      </c>
    </row>
    <row r="2974" spans="2:5">
      <c r="B2974" t="s">
        <v>2697</v>
      </c>
      <c r="D2974" t="s">
        <v>26</v>
      </c>
      <c r="E2974">
        <f>SUMIF(数据源!R2294:R10860,C2974,数据源!M2294:M10860)</f>
        <v>0</v>
      </c>
    </row>
    <row r="2975" spans="2:5">
      <c r="B2975" t="s">
        <v>2686</v>
      </c>
      <c r="D2975" t="s">
        <v>27</v>
      </c>
      <c r="E2975">
        <f>SUMIF(数据源!R2923:R11489,C2975,数据源!M2923:M11489)</f>
        <v>0</v>
      </c>
    </row>
    <row r="2976" spans="2:5">
      <c r="B2976" t="s">
        <v>2688</v>
      </c>
      <c r="D2976" t="s">
        <v>25</v>
      </c>
      <c r="E2976">
        <f>SUMIF(数据源!R921:R9487,C2976,数据源!M921:M9487)</f>
        <v>0</v>
      </c>
    </row>
    <row r="2977" spans="2:5">
      <c r="B2977" t="s">
        <v>2697</v>
      </c>
      <c r="D2977" t="s">
        <v>26</v>
      </c>
      <c r="E2977">
        <f>SUMIF(数据源!R2394:R10960,C2977,数据源!M2394:M10960)</f>
        <v>0</v>
      </c>
    </row>
    <row r="2978" spans="2:5">
      <c r="B2978" t="s">
        <v>2685</v>
      </c>
      <c r="D2978" t="s">
        <v>25</v>
      </c>
      <c r="E2978">
        <f>SUMIF(数据源!R406:R8972,C2978,数据源!M406:M8972)</f>
        <v>0</v>
      </c>
    </row>
    <row r="2979" spans="2:5">
      <c r="B2979" t="s">
        <v>2697</v>
      </c>
      <c r="D2979" t="s">
        <v>26</v>
      </c>
      <c r="E2979">
        <f>SUMIF(数据源!R2389:R10955,C2979,数据源!M2389:M10955)</f>
        <v>0</v>
      </c>
    </row>
    <row r="2980" spans="2:5">
      <c r="B2980" t="s">
        <v>2685</v>
      </c>
      <c r="D2980" t="s">
        <v>25</v>
      </c>
      <c r="E2980">
        <f>SUMIF(数据源!R213:R8779,C2980,数据源!M213:M8779)</f>
        <v>0</v>
      </c>
    </row>
    <row r="2981" spans="2:5">
      <c r="B2981" t="s">
        <v>2697</v>
      </c>
      <c r="D2981" t="s">
        <v>26</v>
      </c>
      <c r="E2981">
        <f>SUMIF(数据源!R2253:R10819,C2981,数据源!M2253:M10819)</f>
        <v>0</v>
      </c>
    </row>
    <row r="2982" spans="2:5">
      <c r="B2982" t="s">
        <v>2701</v>
      </c>
      <c r="D2982" t="s">
        <v>25</v>
      </c>
      <c r="E2982">
        <f>SUMIF(数据源!R1603:R10169,C2982,数据源!M1603:M10169)</f>
        <v>0</v>
      </c>
    </row>
    <row r="2983" spans="2:5">
      <c r="B2983" t="s">
        <v>2698</v>
      </c>
      <c r="D2983" t="s">
        <v>27</v>
      </c>
      <c r="E2983">
        <f>SUMIF(数据源!R3293:R11859,C2983,数据源!M3293:M11859)</f>
        <v>0</v>
      </c>
    </row>
    <row r="2984" spans="2:5">
      <c r="B2984" t="s">
        <v>2697</v>
      </c>
      <c r="D2984" t="s">
        <v>26</v>
      </c>
      <c r="E2984">
        <f>SUMIF(数据源!R2377:R10943,C2984,数据源!M2377:M10943)</f>
        <v>0</v>
      </c>
    </row>
    <row r="2985" spans="2:5">
      <c r="B2985" t="s">
        <v>2688</v>
      </c>
      <c r="D2985" t="s">
        <v>25</v>
      </c>
      <c r="E2985">
        <f>SUMIF(数据源!R1215:R9781,C2985,数据源!M1215:M9781)</f>
        <v>0</v>
      </c>
    </row>
    <row r="2986" spans="2:5">
      <c r="B2986" t="s">
        <v>2695</v>
      </c>
      <c r="D2986" t="s">
        <v>26</v>
      </c>
      <c r="E2986">
        <f>SUMIF(数据源!R1889:R10455,C2986,数据源!M1889:M10455)</f>
        <v>0</v>
      </c>
    </row>
    <row r="2987" spans="2:5">
      <c r="B2987" t="s">
        <v>2685</v>
      </c>
      <c r="D2987" t="s">
        <v>25</v>
      </c>
      <c r="E2987">
        <f>SUMIF(数据源!R335:R8901,C2987,数据源!M335:M8901)</f>
        <v>0</v>
      </c>
    </row>
    <row r="2988" spans="2:5">
      <c r="B2988" t="s">
        <v>2692</v>
      </c>
      <c r="D2988" t="s">
        <v>25</v>
      </c>
      <c r="E2988">
        <f>SUMIF(数据源!R626:R9192,C2988,数据源!M626:M9192)</f>
        <v>0</v>
      </c>
    </row>
    <row r="2989" spans="2:5">
      <c r="B2989" t="s">
        <v>2688</v>
      </c>
      <c r="D2989" t="s">
        <v>25</v>
      </c>
      <c r="E2989">
        <f>SUMIF(数据源!R1134:R9700,C2989,数据源!M1134:M9700)</f>
        <v>0</v>
      </c>
    </row>
    <row r="2990" spans="2:5">
      <c r="B2990" t="s">
        <v>2688</v>
      </c>
      <c r="D2990" t="s">
        <v>25</v>
      </c>
      <c r="E2990">
        <f>SUMIF(数据源!R1117:R9683,C2990,数据源!M1117:M9683)</f>
        <v>0</v>
      </c>
    </row>
    <row r="2991" spans="2:5">
      <c r="B2991" t="s">
        <v>2691</v>
      </c>
      <c r="D2991" t="s">
        <v>26</v>
      </c>
      <c r="E2991">
        <f>SUMIF(数据源!R2071:R10637,C2991,数据源!M2071:M10637)</f>
        <v>0</v>
      </c>
    </row>
    <row r="2992" spans="2:5">
      <c r="B2992" t="s">
        <v>2700</v>
      </c>
      <c r="D2992" t="s">
        <v>25</v>
      </c>
      <c r="E2992">
        <f>SUMIF(数据源!R1550:R10116,C2992,数据源!M1550:M10116)</f>
        <v>0</v>
      </c>
    </row>
    <row r="2993" spans="2:5">
      <c r="B2993" t="s">
        <v>2701</v>
      </c>
      <c r="D2993" t="s">
        <v>25</v>
      </c>
      <c r="E2993">
        <f>SUMIF(数据源!R1621:R10187,C2993,数据源!M1621:M10187)</f>
        <v>0</v>
      </c>
    </row>
    <row r="2994" spans="2:5">
      <c r="B2994" t="s">
        <v>2688</v>
      </c>
      <c r="D2994" t="s">
        <v>25</v>
      </c>
      <c r="E2994">
        <f>SUMIF(数据源!R1040:R9606,C2994,数据源!M1040:M9606)</f>
        <v>0</v>
      </c>
    </row>
    <row r="2995" spans="2:5">
      <c r="B2995" t="s">
        <v>2685</v>
      </c>
      <c r="D2995" t="s">
        <v>25</v>
      </c>
      <c r="E2995">
        <f>SUMIF(数据源!R447:R9013,C2995,数据源!M447:M9013)</f>
        <v>0</v>
      </c>
    </row>
    <row r="2996" spans="2:5">
      <c r="B2996" t="s">
        <v>2688</v>
      </c>
      <c r="D2996" t="s">
        <v>25</v>
      </c>
      <c r="E2996">
        <f>SUMIF(数据源!R1055:R9621,C2996,数据源!M1055:M9621)</f>
        <v>0</v>
      </c>
    </row>
    <row r="2997" spans="2:5">
      <c r="B2997" t="s">
        <v>2689</v>
      </c>
      <c r="D2997" t="s">
        <v>25</v>
      </c>
      <c r="E2997">
        <f>SUMIF(数据源!R61:R8627,C2997,数据源!M61:M8627)</f>
        <v>0</v>
      </c>
    </row>
    <row r="2998" spans="2:5">
      <c r="B2998" t="s">
        <v>2685</v>
      </c>
      <c r="D2998" t="s">
        <v>25</v>
      </c>
      <c r="E2998">
        <f>SUMIF(数据源!R423:R8989,C2998,数据源!M423:M8989)</f>
        <v>0</v>
      </c>
    </row>
    <row r="2999" spans="2:5">
      <c r="B2999" t="s">
        <v>2687</v>
      </c>
      <c r="D2999" t="s">
        <v>25</v>
      </c>
      <c r="E2999">
        <f>SUMIF(数据源!R702:R9268,C2999,数据源!M702:M9268)</f>
        <v>0</v>
      </c>
    </row>
    <row r="3000" spans="2:5">
      <c r="B3000" t="s">
        <v>2688</v>
      </c>
      <c r="D3000" t="s">
        <v>25</v>
      </c>
      <c r="E3000">
        <f>SUMIF(数据源!R848:R9414,C3000,数据源!M848:M9414)</f>
        <v>0</v>
      </c>
    </row>
    <row r="3001" spans="2:5">
      <c r="B3001" t="s">
        <v>2697</v>
      </c>
      <c r="D3001" t="s">
        <v>26</v>
      </c>
      <c r="E3001">
        <f>SUMIF(数据源!R2374:R10940,C3001,数据源!M2374:M10940)</f>
        <v>0</v>
      </c>
    </row>
    <row r="3002" spans="2:5">
      <c r="B3002" t="s">
        <v>2688</v>
      </c>
      <c r="D3002" t="s">
        <v>25</v>
      </c>
      <c r="E3002">
        <f>SUMIF(数据源!R1133:R9699,C3002,数据源!M1133:M9699)</f>
        <v>0</v>
      </c>
    </row>
    <row r="3003" spans="2:5">
      <c r="B3003" t="s">
        <v>2687</v>
      </c>
      <c r="D3003" t="s">
        <v>25</v>
      </c>
      <c r="E3003">
        <f>SUMIF(数据源!R721:R9287,C3003,数据源!M721:M9287)</f>
        <v>0</v>
      </c>
    </row>
    <row r="3004" spans="2:5">
      <c r="B3004" t="s">
        <v>2688</v>
      </c>
      <c r="D3004" t="s">
        <v>25</v>
      </c>
      <c r="E3004">
        <f>SUMIF(数据源!R1109:R9675,C3004,数据源!M1109:M9675)</f>
        <v>0</v>
      </c>
    </row>
    <row r="3005" spans="2:5">
      <c r="B3005" t="s">
        <v>2685</v>
      </c>
      <c r="D3005" t="s">
        <v>25</v>
      </c>
      <c r="E3005">
        <f>SUMIF(数据源!R195:R8761,C3005,数据源!M195:M8761)</f>
        <v>0</v>
      </c>
    </row>
    <row r="3006" spans="2:5">
      <c r="B3006" t="s">
        <v>2700</v>
      </c>
      <c r="D3006" t="s">
        <v>25</v>
      </c>
      <c r="E3006">
        <f>SUMIF(数据源!R1482:R10048,C3006,数据源!M1482:M10048)</f>
        <v>0</v>
      </c>
    </row>
    <row r="3007" spans="2:5">
      <c r="B3007" t="s">
        <v>2698</v>
      </c>
      <c r="D3007" t="s">
        <v>27</v>
      </c>
      <c r="E3007">
        <f>SUMIF(数据源!R3163:R11729,C3007,数据源!M3163:M11729)</f>
        <v>0</v>
      </c>
    </row>
    <row r="3008" spans="2:5">
      <c r="B3008" t="s">
        <v>2692</v>
      </c>
      <c r="D3008" t="s">
        <v>25</v>
      </c>
      <c r="E3008">
        <f>SUMIF(数据源!R629:R9195,C3008,数据源!M629:M9195)</f>
        <v>0</v>
      </c>
    </row>
    <row r="3009" spans="2:5">
      <c r="B3009" t="s">
        <v>2688</v>
      </c>
      <c r="D3009" t="s">
        <v>25</v>
      </c>
      <c r="E3009">
        <f>SUMIF(数据源!R1122:R9688,C3009,数据源!M1122:M9688)</f>
        <v>0</v>
      </c>
    </row>
    <row r="3010" spans="2:5">
      <c r="B3010" t="s">
        <v>2685</v>
      </c>
      <c r="D3010" t="s">
        <v>25</v>
      </c>
      <c r="E3010">
        <f>SUMIF(数据源!R421:R8987,C3010,数据源!M421:M8987)</f>
        <v>0</v>
      </c>
    </row>
    <row r="3011" spans="2:5">
      <c r="B3011" t="s">
        <v>2685</v>
      </c>
      <c r="D3011" t="s">
        <v>25</v>
      </c>
      <c r="E3011">
        <f>SUMIF(数据源!R279:R8845,C3011,数据源!M279:M8845)</f>
        <v>0</v>
      </c>
    </row>
    <row r="3012" spans="2:5">
      <c r="B3012" t="s">
        <v>2697</v>
      </c>
      <c r="D3012" t="s">
        <v>26</v>
      </c>
      <c r="E3012">
        <f>SUMIF(数据源!R2245:R10811,C3012,数据源!M2245:M10811)</f>
        <v>0</v>
      </c>
    </row>
    <row r="3013" spans="2:5">
      <c r="B3013" t="s">
        <v>2687</v>
      </c>
      <c r="D3013" t="s">
        <v>25</v>
      </c>
      <c r="E3013">
        <f>SUMIF(数据源!R710:R9276,C3013,数据源!M710:M9276)</f>
        <v>0</v>
      </c>
    </row>
    <row r="3014" spans="2:5">
      <c r="B3014" t="s">
        <v>2690</v>
      </c>
      <c r="D3014" t="s">
        <v>25</v>
      </c>
      <c r="E3014">
        <f>SUMIF(数据源!R1452:R10018,C3014,数据源!M1452:M10018)</f>
        <v>0</v>
      </c>
    </row>
    <row r="3015" spans="2:5">
      <c r="B3015" t="s">
        <v>2685</v>
      </c>
      <c r="D3015" t="s">
        <v>25</v>
      </c>
      <c r="E3015">
        <f>SUMIF(数据源!R504:R9070,C3015,数据源!M504:M9070)</f>
        <v>0</v>
      </c>
    </row>
    <row r="3016" spans="2:5">
      <c r="B3016" t="s">
        <v>2688</v>
      </c>
      <c r="D3016" t="s">
        <v>25</v>
      </c>
      <c r="E3016">
        <f>SUMIF(数据源!R1090:R9656,C3016,数据源!M1090:M9656)</f>
        <v>0</v>
      </c>
    </row>
    <row r="3017" spans="2:5">
      <c r="B3017" t="s">
        <v>2685</v>
      </c>
      <c r="D3017" t="s">
        <v>25</v>
      </c>
      <c r="E3017">
        <f>SUMIF(数据源!R458:R9024,C3017,数据源!M458:M9024)</f>
        <v>0</v>
      </c>
    </row>
    <row r="3018" spans="2:5">
      <c r="B3018" t="s">
        <v>2697</v>
      </c>
      <c r="D3018" t="s">
        <v>26</v>
      </c>
      <c r="E3018">
        <f>SUMIF(数据源!R2240:R10806,C3018,数据源!M2240:M10806)</f>
        <v>0</v>
      </c>
    </row>
    <row r="3019" spans="2:5">
      <c r="B3019" t="s">
        <v>2687</v>
      </c>
      <c r="D3019" t="s">
        <v>25</v>
      </c>
      <c r="E3019">
        <f>SUMIF(数据源!R701:R9267,C3019,数据源!M701:M9267)</f>
        <v>0</v>
      </c>
    </row>
    <row r="3020" spans="2:5">
      <c r="B3020" t="s">
        <v>2688</v>
      </c>
      <c r="D3020" t="s">
        <v>25</v>
      </c>
      <c r="E3020">
        <f>SUMIF(数据源!R1053:R9619,C3020,数据源!M1053:M9619)</f>
        <v>0</v>
      </c>
    </row>
    <row r="3021" spans="2:5">
      <c r="B3021" t="s">
        <v>2690</v>
      </c>
      <c r="D3021" t="s">
        <v>25</v>
      </c>
      <c r="E3021">
        <f>SUMIF(数据源!R1442:R10008,C3021,数据源!M1442:M10008)</f>
        <v>0</v>
      </c>
    </row>
    <row r="3022" spans="2:5">
      <c r="B3022" t="s">
        <v>2700</v>
      </c>
      <c r="D3022" t="s">
        <v>25</v>
      </c>
      <c r="E3022">
        <f>SUMIF(数据源!R1555:R10121,C3022,数据源!M1555:M10121)</f>
        <v>0</v>
      </c>
    </row>
    <row r="3023" spans="2:5">
      <c r="B3023" t="s">
        <v>2696</v>
      </c>
      <c r="D3023" t="s">
        <v>27</v>
      </c>
      <c r="E3023">
        <f>SUMIF(数据源!R2726:R11292,C3023,数据源!M2726:M11292)</f>
        <v>0</v>
      </c>
    </row>
    <row r="3024" spans="2:5">
      <c r="B3024" t="s">
        <v>2685</v>
      </c>
      <c r="D3024" t="s">
        <v>25</v>
      </c>
      <c r="E3024">
        <f>SUMIF(数据源!R401:R8967,C3024,数据源!M401:M8967)</f>
        <v>0</v>
      </c>
    </row>
    <row r="3025" spans="2:5">
      <c r="B3025" t="s">
        <v>2692</v>
      </c>
      <c r="D3025" t="s">
        <v>25</v>
      </c>
      <c r="E3025">
        <f>SUMIF(数据源!R565:R9131,C3025,数据源!M565:M9131)</f>
        <v>0</v>
      </c>
    </row>
    <row r="3026" spans="2:5">
      <c r="B3026" t="s">
        <v>2690</v>
      </c>
      <c r="D3026" t="s">
        <v>25</v>
      </c>
      <c r="E3026">
        <f>SUMIF(数据源!R1291:R9857,C3026,数据源!M1291:M9857)</f>
        <v>0</v>
      </c>
    </row>
    <row r="3027" spans="2:5">
      <c r="B3027" t="s">
        <v>2697</v>
      </c>
      <c r="D3027" t="s">
        <v>26</v>
      </c>
      <c r="E3027">
        <f>SUMIF(数据源!R2347:R10913,C3027,数据源!M2347:M10913)</f>
        <v>0</v>
      </c>
    </row>
    <row r="3028" spans="2:5">
      <c r="B3028" t="s">
        <v>2685</v>
      </c>
      <c r="D3028" t="s">
        <v>25</v>
      </c>
      <c r="E3028">
        <f>SUMIF(数据源!R209:R8775,C3028,数据源!M209:M8775)</f>
        <v>0</v>
      </c>
    </row>
    <row r="3029" spans="2:5">
      <c r="B3029" t="s">
        <v>2701</v>
      </c>
      <c r="D3029" t="s">
        <v>25</v>
      </c>
      <c r="E3029">
        <f>SUMIF(数据源!R1583:R10149,C3029,数据源!M1583:M10149)</f>
        <v>0</v>
      </c>
    </row>
    <row r="3030" spans="2:5">
      <c r="B3030" t="s">
        <v>2696</v>
      </c>
      <c r="D3030" t="s">
        <v>27</v>
      </c>
      <c r="E3030">
        <f>SUMIF(数据源!R2596:R11162,C3030,数据源!M2596:M11162)</f>
        <v>0</v>
      </c>
    </row>
    <row r="3031" spans="2:5">
      <c r="B3031" t="s">
        <v>2690</v>
      </c>
      <c r="D3031" t="s">
        <v>25</v>
      </c>
      <c r="E3031">
        <f>SUMIF(数据源!R1260:R9826,C3031,数据源!M1260:M9826)</f>
        <v>0</v>
      </c>
    </row>
    <row r="3032" spans="2:5">
      <c r="B3032" t="s">
        <v>2701</v>
      </c>
      <c r="D3032" t="s">
        <v>25</v>
      </c>
      <c r="E3032">
        <f>SUMIF(数据源!R1588:R10154,C3032,数据源!M1588:M10154)</f>
        <v>0</v>
      </c>
    </row>
    <row r="3033" spans="2:5">
      <c r="B3033" t="s">
        <v>2688</v>
      </c>
      <c r="D3033" t="s">
        <v>25</v>
      </c>
      <c r="E3033">
        <f>SUMIF(数据源!R1009:R9575,C3033,数据源!M1009:M9575)</f>
        <v>0</v>
      </c>
    </row>
    <row r="3034" spans="2:5">
      <c r="B3034" t="s">
        <v>2697</v>
      </c>
      <c r="D3034" t="s">
        <v>26</v>
      </c>
      <c r="E3034">
        <f>SUMIF(数据源!R2357:R10923,C3034,数据源!M2357:M10923)</f>
        <v>0</v>
      </c>
    </row>
    <row r="3035" spans="2:5">
      <c r="B3035" t="s">
        <v>2696</v>
      </c>
      <c r="D3035" t="s">
        <v>27</v>
      </c>
      <c r="E3035">
        <f>SUMIF(数据源!R2567:R11133,C3035,数据源!M2567:M11133)</f>
        <v>0</v>
      </c>
    </row>
    <row r="3036" spans="2:5">
      <c r="B3036" t="s">
        <v>2697</v>
      </c>
      <c r="D3036" t="s">
        <v>26</v>
      </c>
      <c r="E3036">
        <f>SUMIF(数据源!R2099:R10665,C3036,数据源!M2099:M10665)</f>
        <v>0</v>
      </c>
    </row>
    <row r="3037" spans="2:5">
      <c r="B3037" t="s">
        <v>2697</v>
      </c>
      <c r="D3037" t="s">
        <v>26</v>
      </c>
      <c r="E3037">
        <f>SUMIF(数据源!R2201:R10767,C3037,数据源!M2201:M10767)</f>
        <v>0</v>
      </c>
    </row>
    <row r="3038" spans="2:5">
      <c r="B3038" t="s">
        <v>2688</v>
      </c>
      <c r="D3038" t="s">
        <v>25</v>
      </c>
      <c r="E3038">
        <f>SUMIF(数据源!R877:R9443,C3038,数据源!M877:M9443)</f>
        <v>0</v>
      </c>
    </row>
    <row r="3039" spans="2:5">
      <c r="B3039" t="s">
        <v>2697</v>
      </c>
      <c r="D3039" t="s">
        <v>26</v>
      </c>
      <c r="E3039">
        <f>SUMIF(数据源!R2119:R10685,C3039,数据源!M2119:M10685)</f>
        <v>0</v>
      </c>
    </row>
    <row r="3040" spans="2:5">
      <c r="B3040" t="s">
        <v>2685</v>
      </c>
      <c r="D3040" t="s">
        <v>25</v>
      </c>
      <c r="E3040">
        <f>SUMIF(数据源!R240:R8806,C3040,数据源!M240:M8806)</f>
        <v>0</v>
      </c>
    </row>
    <row r="3041" spans="2:5">
      <c r="B3041" t="s">
        <v>2690</v>
      </c>
      <c r="D3041" t="s">
        <v>25</v>
      </c>
      <c r="E3041">
        <f>SUMIF(数据源!R1373:R9939,C3041,数据源!M1373:M9939)</f>
        <v>0</v>
      </c>
    </row>
    <row r="3042" spans="2:5">
      <c r="B3042" t="s">
        <v>2694</v>
      </c>
      <c r="D3042" t="s">
        <v>25</v>
      </c>
      <c r="E3042">
        <f>SUMIF(数据源!R1767:R10333,C3042,数据源!M1767:M10333)</f>
        <v>0</v>
      </c>
    </row>
    <row r="3043" spans="2:5">
      <c r="B3043" t="s">
        <v>2698</v>
      </c>
      <c r="D3043" t="s">
        <v>27</v>
      </c>
      <c r="E3043">
        <f>SUMIF(数据源!R3102:R11668,C3043,数据源!M3102:M11668)</f>
        <v>0</v>
      </c>
    </row>
    <row r="3044" spans="2:5">
      <c r="B3044" t="s">
        <v>2685</v>
      </c>
      <c r="D3044" t="s">
        <v>25</v>
      </c>
      <c r="E3044">
        <f>SUMIF(数据源!R238:R8804,C3044,数据源!M238:M8804)</f>
        <v>0</v>
      </c>
    </row>
    <row r="3045" spans="2:5">
      <c r="B3045" t="s">
        <v>2688</v>
      </c>
      <c r="D3045" t="s">
        <v>25</v>
      </c>
      <c r="E3045">
        <f>SUMIF(数据源!R821:R9387,C3045,数据源!M821:M9387)</f>
        <v>0</v>
      </c>
    </row>
    <row r="3046" spans="2:5">
      <c r="B3046" t="s">
        <v>2697</v>
      </c>
      <c r="D3046" t="s">
        <v>26</v>
      </c>
      <c r="E3046">
        <f>SUMIF(数据源!R2322:R10888,C3046,数据源!M2322:M10888)</f>
        <v>0</v>
      </c>
    </row>
    <row r="3047" spans="2:5">
      <c r="B3047" t="s">
        <v>2700</v>
      </c>
      <c r="D3047" t="s">
        <v>25</v>
      </c>
      <c r="E3047">
        <f>SUMIF(数据源!R1538:R10104,C3047,数据源!M1538:M10104)</f>
        <v>0</v>
      </c>
    </row>
    <row r="3048" spans="2:5">
      <c r="B3048" t="s">
        <v>2690</v>
      </c>
      <c r="D3048" t="s">
        <v>25</v>
      </c>
      <c r="E3048">
        <f>SUMIF(数据源!R1395:R9961,C3048,数据源!M1395:M9961)</f>
        <v>0</v>
      </c>
    </row>
    <row r="3049" spans="2:5">
      <c r="B3049" t="s">
        <v>2685</v>
      </c>
      <c r="D3049" t="s">
        <v>25</v>
      </c>
      <c r="E3049">
        <f>SUMIF(数据源!R461:R9027,C3049,数据源!M461:M9027)</f>
        <v>0</v>
      </c>
    </row>
    <row r="3050" spans="2:5">
      <c r="B3050" t="s">
        <v>2697</v>
      </c>
      <c r="D3050" t="s">
        <v>26</v>
      </c>
      <c r="E3050">
        <f>SUMIF(数据源!R2372:R10938,C3050,数据源!M2372:M10938)</f>
        <v>0</v>
      </c>
    </row>
    <row r="3051" spans="2:5">
      <c r="B3051" t="s">
        <v>2699</v>
      </c>
      <c r="D3051" t="s">
        <v>26</v>
      </c>
      <c r="E3051">
        <f>SUMIF(数据源!R2541:R11107,C3051,数据源!M2541:M11107)</f>
        <v>0</v>
      </c>
    </row>
    <row r="3052" spans="2:5">
      <c r="B3052" t="s">
        <v>2690</v>
      </c>
      <c r="D3052" t="s">
        <v>25</v>
      </c>
      <c r="E3052">
        <f>SUMIF(数据源!R1454:R10020,C3052,数据源!M1454:M10020)</f>
        <v>0</v>
      </c>
    </row>
    <row r="3053" spans="2:5">
      <c r="B3053" t="s">
        <v>2688</v>
      </c>
      <c r="D3053" t="s">
        <v>25</v>
      </c>
      <c r="E3053">
        <f>SUMIF(数据源!R971:R9537,C3053,数据源!M971:M9537)</f>
        <v>0</v>
      </c>
    </row>
    <row r="3054" spans="2:5">
      <c r="B3054" t="s">
        <v>2690</v>
      </c>
      <c r="D3054" t="s">
        <v>25</v>
      </c>
      <c r="E3054">
        <f>SUMIF(数据源!R1359:R9925,C3054,数据源!M1359:M9925)</f>
        <v>0</v>
      </c>
    </row>
    <row r="3055" spans="2:5">
      <c r="B3055" t="s">
        <v>2688</v>
      </c>
      <c r="D3055" t="s">
        <v>25</v>
      </c>
      <c r="E3055">
        <f>SUMIF(数据源!R802:R9368,C3055,数据源!M802:M9368)</f>
        <v>0</v>
      </c>
    </row>
    <row r="3056" spans="2:5">
      <c r="B3056" t="s">
        <v>2689</v>
      </c>
      <c r="D3056" t="s">
        <v>25</v>
      </c>
      <c r="E3056">
        <f>SUMIF(数据源!R53:R8619,C3056,数据源!M53:M8619)</f>
        <v>0</v>
      </c>
    </row>
    <row r="3057" spans="2:5">
      <c r="B3057" t="s">
        <v>2687</v>
      </c>
      <c r="D3057" t="s">
        <v>25</v>
      </c>
      <c r="E3057">
        <f>SUMIF(数据源!R684:R9250,C3057,数据源!M684:M9250)</f>
        <v>0</v>
      </c>
    </row>
    <row r="3058" spans="2:5">
      <c r="B3058" t="s">
        <v>2685</v>
      </c>
      <c r="D3058" t="s">
        <v>25</v>
      </c>
      <c r="E3058">
        <f>SUMIF(数据源!R493:R9059,C3058,数据源!M493:M9059)</f>
        <v>0</v>
      </c>
    </row>
    <row r="3059" spans="2:5">
      <c r="B3059" t="s">
        <v>2697</v>
      </c>
      <c r="D3059" t="s">
        <v>26</v>
      </c>
      <c r="E3059">
        <f>SUMIF(数据源!R2198:R10764,C3059,数据源!M2198:M10764)</f>
        <v>0</v>
      </c>
    </row>
    <row r="3060" spans="2:5">
      <c r="B3060" t="s">
        <v>2700</v>
      </c>
      <c r="D3060" t="s">
        <v>25</v>
      </c>
      <c r="E3060">
        <f>SUMIF(数据源!R1507:R10073,C3060,数据源!M1507:M10073)</f>
        <v>0</v>
      </c>
    </row>
    <row r="3061" spans="2:5">
      <c r="B3061" t="s">
        <v>2690</v>
      </c>
      <c r="D3061" t="s">
        <v>25</v>
      </c>
      <c r="E3061">
        <f>SUMIF(数据源!R1370:R9936,C3061,数据源!M1370:M9936)</f>
        <v>0</v>
      </c>
    </row>
    <row r="3062" spans="2:5">
      <c r="B3062" t="s">
        <v>2685</v>
      </c>
      <c r="D3062" t="s">
        <v>25</v>
      </c>
      <c r="E3062">
        <f>SUMIF(数据源!R495:R9061,C3062,数据源!M495:M9061)</f>
        <v>0</v>
      </c>
    </row>
    <row r="3063" spans="2:5">
      <c r="B3063" t="s">
        <v>2690</v>
      </c>
      <c r="D3063" t="s">
        <v>25</v>
      </c>
      <c r="E3063">
        <f>SUMIF(数据源!R1457:R10023,C3063,数据源!M1457:M10023)</f>
        <v>0</v>
      </c>
    </row>
    <row r="3064" spans="2:5">
      <c r="B3064" t="s">
        <v>2696</v>
      </c>
      <c r="D3064" t="s">
        <v>27</v>
      </c>
      <c r="E3064">
        <f>SUMIF(数据源!R2738:R11304,C3064,数据源!M2738:M11304)</f>
        <v>0</v>
      </c>
    </row>
    <row r="3065" spans="2:5">
      <c r="B3065" t="s">
        <v>2690</v>
      </c>
      <c r="D3065" t="s">
        <v>25</v>
      </c>
      <c r="E3065">
        <f>SUMIF(数据源!R1369:R9935,C3065,数据源!M1369:M9935)</f>
        <v>0</v>
      </c>
    </row>
    <row r="3066" spans="2:5">
      <c r="B3066" t="s">
        <v>2694</v>
      </c>
      <c r="D3066" t="s">
        <v>25</v>
      </c>
      <c r="E3066">
        <f>SUMIF(数据源!R1802:R10368,C3066,数据源!M1802:M10368)</f>
        <v>0</v>
      </c>
    </row>
    <row r="3067" spans="2:5">
      <c r="B3067" t="s">
        <v>2690</v>
      </c>
      <c r="D3067" t="s">
        <v>25</v>
      </c>
      <c r="E3067">
        <f>SUMIF(数据源!R1413:R9979,C3067,数据源!M1413:M9979)</f>
        <v>0</v>
      </c>
    </row>
    <row r="3068" spans="2:5">
      <c r="B3068" t="s">
        <v>2690</v>
      </c>
      <c r="D3068" t="s">
        <v>25</v>
      </c>
      <c r="E3068">
        <f>SUMIF(数据源!R1416:R9982,C3068,数据源!M1416:M9982)</f>
        <v>0</v>
      </c>
    </row>
    <row r="3069" spans="2:5">
      <c r="B3069" t="s">
        <v>2697</v>
      </c>
      <c r="D3069" t="s">
        <v>26</v>
      </c>
      <c r="E3069">
        <f>SUMIF(数据源!R2160:R10726,C3069,数据源!M2160:M10726)</f>
        <v>0</v>
      </c>
    </row>
    <row r="3070" spans="2:5">
      <c r="B3070" t="s">
        <v>2688</v>
      </c>
      <c r="D3070" t="s">
        <v>25</v>
      </c>
      <c r="E3070">
        <f>SUMIF(数据源!R860:R9426,C3070,数据源!M860:M9426)</f>
        <v>0</v>
      </c>
    </row>
    <row r="3071" spans="2:5">
      <c r="B3071" t="s">
        <v>2697</v>
      </c>
      <c r="D3071" t="s">
        <v>26</v>
      </c>
      <c r="E3071">
        <f>SUMIF(数据源!R2353:R10919,C3071,数据源!M2353:M10919)</f>
        <v>0</v>
      </c>
    </row>
    <row r="3072" spans="2:5">
      <c r="B3072" t="s">
        <v>2697</v>
      </c>
      <c r="D3072" t="s">
        <v>26</v>
      </c>
      <c r="E3072">
        <f>SUMIF(数据源!R2126:R10692,C3072,数据源!M2126:M10692)</f>
        <v>0</v>
      </c>
    </row>
    <row r="3073" spans="2:5">
      <c r="B3073" t="s">
        <v>2700</v>
      </c>
      <c r="D3073" t="s">
        <v>25</v>
      </c>
      <c r="E3073">
        <f>SUMIF(数据源!R1492:R10058,C3073,数据源!M1492:M10058)</f>
        <v>0</v>
      </c>
    </row>
    <row r="3074" spans="2:5">
      <c r="B3074" t="s">
        <v>2685</v>
      </c>
      <c r="D3074" t="s">
        <v>25</v>
      </c>
      <c r="E3074">
        <f>SUMIF(数据源!R207:R8773,C3074,数据源!M207:M8773)</f>
        <v>0</v>
      </c>
    </row>
    <row r="3075" spans="2:5">
      <c r="B3075" t="s">
        <v>2690</v>
      </c>
      <c r="D3075" t="s">
        <v>25</v>
      </c>
      <c r="E3075">
        <f>SUMIF(数据源!R1366:R9932,C3075,数据源!M1366:M9932)</f>
        <v>0</v>
      </c>
    </row>
    <row r="3076" spans="2:5">
      <c r="B3076" t="s">
        <v>2694</v>
      </c>
      <c r="D3076" t="s">
        <v>25</v>
      </c>
      <c r="E3076">
        <f>SUMIF(数据源!R1839:R10405,C3076,数据源!M1839:M10405)</f>
        <v>0</v>
      </c>
    </row>
    <row r="3077" spans="2:5">
      <c r="B3077" t="s">
        <v>2688</v>
      </c>
      <c r="D3077" t="s">
        <v>25</v>
      </c>
      <c r="E3077">
        <f>SUMIF(数据源!R1160:R9726,C3077,数据源!M1160:M9726)</f>
        <v>0</v>
      </c>
    </row>
    <row r="3078" spans="2:5">
      <c r="B3078" t="s">
        <v>2692</v>
      </c>
      <c r="D3078" t="s">
        <v>25</v>
      </c>
      <c r="E3078">
        <f>SUMIF(数据源!R587:R9153,C3078,数据源!M587:M9153)</f>
        <v>0</v>
      </c>
    </row>
    <row r="3079" spans="2:5">
      <c r="B3079" t="s">
        <v>2700</v>
      </c>
      <c r="D3079" t="s">
        <v>25</v>
      </c>
      <c r="E3079">
        <f>SUMIF(数据源!R1521:R10087,C3079,数据源!M1521:M10087)</f>
        <v>0</v>
      </c>
    </row>
    <row r="3080" spans="2:5">
      <c r="B3080" t="s">
        <v>2698</v>
      </c>
      <c r="D3080" t="s">
        <v>27</v>
      </c>
      <c r="E3080">
        <f>SUMIF(数据源!R3244:R11810,C3080,数据源!M3244:M11810)</f>
        <v>0</v>
      </c>
    </row>
    <row r="3081" spans="2:5">
      <c r="B3081" t="s">
        <v>2694</v>
      </c>
      <c r="D3081" t="s">
        <v>25</v>
      </c>
      <c r="E3081">
        <f>SUMIF(数据源!R1686:R10252,C3081,数据源!M1686:M10252)</f>
        <v>0</v>
      </c>
    </row>
    <row r="3082" spans="2:5">
      <c r="B3082" t="s">
        <v>2686</v>
      </c>
      <c r="D3082" t="s">
        <v>27</v>
      </c>
      <c r="E3082">
        <f>SUMIF(数据源!R2905:R11471,C3082,数据源!M2905:M11471)</f>
        <v>0</v>
      </c>
    </row>
    <row r="3083" spans="2:5">
      <c r="B3083" t="s">
        <v>2697</v>
      </c>
      <c r="D3083" t="s">
        <v>26</v>
      </c>
      <c r="E3083">
        <f>SUMIF(数据源!R2293:R10859,C3083,数据源!M2293:M10859)</f>
        <v>0</v>
      </c>
    </row>
    <row r="3084" spans="2:5">
      <c r="B3084" t="s">
        <v>2688</v>
      </c>
      <c r="D3084" t="s">
        <v>25</v>
      </c>
      <c r="E3084">
        <f>SUMIF(数据源!R978:R9544,C3084,数据源!M978:M9544)</f>
        <v>0</v>
      </c>
    </row>
    <row r="3085" spans="2:5">
      <c r="B3085" t="s">
        <v>2690</v>
      </c>
      <c r="D3085" t="s">
        <v>25</v>
      </c>
      <c r="E3085">
        <f>SUMIF(数据源!R1375:R9941,C3085,数据源!M1375:M9941)</f>
        <v>0</v>
      </c>
    </row>
    <row r="3086" spans="2:5">
      <c r="B3086" t="s">
        <v>2694</v>
      </c>
      <c r="D3086" t="s">
        <v>25</v>
      </c>
      <c r="E3086">
        <f>SUMIF(数据源!R1776:R10342,C3086,数据源!M1776:M10342)</f>
        <v>0</v>
      </c>
    </row>
    <row r="3087" spans="2:5">
      <c r="B3087" t="s">
        <v>2690</v>
      </c>
      <c r="D3087" t="s">
        <v>25</v>
      </c>
      <c r="E3087">
        <f>SUMIF(数据源!R1254:R9820,C3087,数据源!M1254:M9820)</f>
        <v>0</v>
      </c>
    </row>
    <row r="3088" spans="2:5">
      <c r="B3088" t="s">
        <v>2695</v>
      </c>
      <c r="D3088" t="s">
        <v>26</v>
      </c>
      <c r="E3088">
        <f>SUMIF(数据源!R1872:R10438,C3088,数据源!M1872:M10438)</f>
        <v>0</v>
      </c>
    </row>
    <row r="3089" spans="2:5">
      <c r="B3089" t="s">
        <v>2701</v>
      </c>
      <c r="D3089" t="s">
        <v>25</v>
      </c>
      <c r="E3089">
        <f>SUMIF(数据源!R1626:R10192,C3089,数据源!M1626:M10192)</f>
        <v>0</v>
      </c>
    </row>
    <row r="3090" spans="2:5">
      <c r="B3090" t="s">
        <v>2688</v>
      </c>
      <c r="D3090" t="s">
        <v>25</v>
      </c>
      <c r="E3090">
        <f>SUMIF(数据源!R977:R9543,C3090,数据源!M977:M9543)</f>
        <v>0</v>
      </c>
    </row>
    <row r="3091" spans="2:5">
      <c r="B3091" t="s">
        <v>2690</v>
      </c>
      <c r="D3091" t="s">
        <v>25</v>
      </c>
      <c r="E3091">
        <f>SUMIF(数据源!R1371:R9937,C3091,数据源!M1371:M9937)</f>
        <v>0</v>
      </c>
    </row>
    <row r="3092" spans="2:5">
      <c r="B3092" t="s">
        <v>2686</v>
      </c>
      <c r="D3092" t="s">
        <v>27</v>
      </c>
      <c r="E3092">
        <f>SUMIF(数据源!R2989:R11555,C3092,数据源!M2989:M11555)</f>
        <v>0</v>
      </c>
    </row>
    <row r="3093" spans="2:5">
      <c r="B3093" t="s">
        <v>2694</v>
      </c>
      <c r="D3093" t="s">
        <v>25</v>
      </c>
      <c r="E3093">
        <f>SUMIF(数据源!R1651:R10217,C3093,数据源!M1651:M10217)</f>
        <v>0</v>
      </c>
    </row>
    <row r="3094" spans="2:5">
      <c r="B3094" t="s">
        <v>2694</v>
      </c>
      <c r="D3094" t="s">
        <v>25</v>
      </c>
      <c r="E3094">
        <f>SUMIF(数据源!R1714:R10280,C3094,数据源!M1714:M10280)</f>
        <v>0</v>
      </c>
    </row>
    <row r="3095" spans="2:5">
      <c r="B3095" t="s">
        <v>2700</v>
      </c>
      <c r="D3095" t="s">
        <v>25</v>
      </c>
      <c r="E3095">
        <f>SUMIF(数据源!R1544:R10110,C3095,数据源!M1544:M10110)</f>
        <v>0</v>
      </c>
    </row>
    <row r="3096" spans="2:5">
      <c r="B3096" t="s">
        <v>2685</v>
      </c>
      <c r="D3096" t="s">
        <v>25</v>
      </c>
      <c r="E3096">
        <f>SUMIF(数据源!R292:R8858,C3096,数据源!M292:M8858)</f>
        <v>0</v>
      </c>
    </row>
    <row r="3097" spans="2:5">
      <c r="B3097" t="s">
        <v>2692</v>
      </c>
      <c r="D3097" t="s">
        <v>25</v>
      </c>
      <c r="E3097">
        <f>SUMIF(数据源!R567:R9133,C3097,数据源!M567:M9133)</f>
        <v>0</v>
      </c>
    </row>
    <row r="3098" spans="2:5">
      <c r="B3098" t="s">
        <v>2685</v>
      </c>
      <c r="D3098" t="s">
        <v>25</v>
      </c>
      <c r="E3098">
        <f>SUMIF(数据源!R456:R9022,C3098,数据源!M456:M9022)</f>
        <v>0</v>
      </c>
    </row>
    <row r="3099" spans="2:5">
      <c r="B3099" t="s">
        <v>2688</v>
      </c>
      <c r="D3099" t="s">
        <v>25</v>
      </c>
      <c r="E3099">
        <f>SUMIF(数据源!R1046:R9612,C3099,数据源!M1046:M9612)</f>
        <v>0</v>
      </c>
    </row>
    <row r="3100" spans="2:5">
      <c r="B3100" t="s">
        <v>2690</v>
      </c>
      <c r="D3100" t="s">
        <v>25</v>
      </c>
      <c r="E3100">
        <f>SUMIF(数据源!R1434:R10000,C3100,数据源!M1434:M10000)</f>
        <v>0</v>
      </c>
    </row>
    <row r="3101" spans="2:5">
      <c r="B3101" t="s">
        <v>2688</v>
      </c>
      <c r="D3101" t="s">
        <v>25</v>
      </c>
      <c r="E3101">
        <f>SUMIF(数据源!R1156:R9722,C3101,数据源!M1156:M9722)</f>
        <v>0</v>
      </c>
    </row>
    <row r="3102" spans="2:5">
      <c r="B3102" t="s">
        <v>2685</v>
      </c>
      <c r="D3102" t="s">
        <v>25</v>
      </c>
      <c r="E3102">
        <f>SUMIF(数据源!R294:R8860,C3102,数据源!M294:M8860)</f>
        <v>0</v>
      </c>
    </row>
    <row r="3103" spans="2:5">
      <c r="B3103" t="s">
        <v>2688</v>
      </c>
      <c r="D3103" t="s">
        <v>25</v>
      </c>
      <c r="E3103">
        <f>SUMIF(数据源!R1163:R9729,C3103,数据源!M1163:M9729)</f>
        <v>0</v>
      </c>
    </row>
    <row r="3104" spans="2:5">
      <c r="B3104" t="s">
        <v>2688</v>
      </c>
      <c r="D3104" t="s">
        <v>25</v>
      </c>
      <c r="E3104">
        <f>SUMIF(数据源!R1179:R9745,C3104,数据源!M1179:M9745)</f>
        <v>0</v>
      </c>
    </row>
    <row r="3105" spans="2:5">
      <c r="B3105" t="s">
        <v>2687</v>
      </c>
      <c r="D3105" t="s">
        <v>25</v>
      </c>
      <c r="E3105">
        <f>SUMIF(数据源!R682:R9248,C3105,数据源!M682:M9248)</f>
        <v>0</v>
      </c>
    </row>
    <row r="3106" spans="2:5">
      <c r="B3106" t="s">
        <v>2688</v>
      </c>
      <c r="D3106" t="s">
        <v>25</v>
      </c>
      <c r="E3106">
        <f>SUMIF(数据源!R840:R9406,C3106,数据源!M840:M9406)</f>
        <v>0</v>
      </c>
    </row>
    <row r="3107" spans="2:5">
      <c r="B3107" t="s">
        <v>2688</v>
      </c>
      <c r="D3107" t="s">
        <v>25</v>
      </c>
      <c r="E3107">
        <f>SUMIF(数据源!R1116:R9682,C3107,数据源!M1116:M9682)</f>
        <v>0</v>
      </c>
    </row>
    <row r="3108" spans="2:5">
      <c r="B3108" t="s">
        <v>2690</v>
      </c>
      <c r="D3108" t="s">
        <v>25</v>
      </c>
      <c r="E3108">
        <f>SUMIF(数据源!R1303:R9869,C3108,数据源!M1303:M9869)</f>
        <v>0</v>
      </c>
    </row>
    <row r="3109" spans="2:5">
      <c r="B3109" t="s">
        <v>2689</v>
      </c>
      <c r="D3109" t="s">
        <v>25</v>
      </c>
      <c r="E3109">
        <f>SUMIF(数据源!R98:R8664,C3109,数据源!M98:M8664)</f>
        <v>0</v>
      </c>
    </row>
    <row r="3110" spans="2:5">
      <c r="B3110" t="s">
        <v>2685</v>
      </c>
      <c r="D3110" t="s">
        <v>25</v>
      </c>
      <c r="E3110">
        <f>SUMIF(数据源!R194:R8760,C3110,数据源!M194:M8760)</f>
        <v>0</v>
      </c>
    </row>
    <row r="3111" spans="2:5">
      <c r="B3111" t="s">
        <v>2688</v>
      </c>
      <c r="D3111" t="s">
        <v>25</v>
      </c>
      <c r="E3111">
        <f>SUMIF(数据源!R783:R9349,C3111,数据源!M783:M9349)</f>
        <v>0</v>
      </c>
    </row>
    <row r="3112" spans="2:5">
      <c r="B3112" t="s">
        <v>2694</v>
      </c>
      <c r="D3112" t="s">
        <v>25</v>
      </c>
      <c r="E3112">
        <f>SUMIF(数据源!R1778:R10344,C3112,数据源!M1778:M10344)</f>
        <v>0</v>
      </c>
    </row>
    <row r="3113" spans="2:5">
      <c r="B3113" t="s">
        <v>2690</v>
      </c>
      <c r="D3113" t="s">
        <v>25</v>
      </c>
      <c r="E3113">
        <f>SUMIF(数据源!R1292:R9858,C3113,数据源!M1292:M9858)</f>
        <v>0</v>
      </c>
    </row>
    <row r="3114" spans="2:5">
      <c r="B3114" t="s">
        <v>2692</v>
      </c>
      <c r="D3114" t="s">
        <v>25</v>
      </c>
      <c r="E3114">
        <f>SUMIF(数据源!R551:R9117,C3114,数据源!M551:M9117)</f>
        <v>0</v>
      </c>
    </row>
    <row r="3115" spans="2:5">
      <c r="B3115" t="s">
        <v>2689</v>
      </c>
      <c r="D3115" t="s">
        <v>25</v>
      </c>
      <c r="E3115">
        <f>SUMIF(数据源!R159:R8725,C3115,数据源!M159:M8725)</f>
        <v>0</v>
      </c>
    </row>
    <row r="3116" spans="2:5">
      <c r="B3116" t="s">
        <v>2685</v>
      </c>
      <c r="D3116" t="s">
        <v>25</v>
      </c>
      <c r="E3116">
        <f>SUMIF(数据源!R484:R9050,C3116,数据源!M484:M9050)</f>
        <v>0</v>
      </c>
    </row>
    <row r="3117" spans="2:5">
      <c r="B3117" t="s">
        <v>2687</v>
      </c>
      <c r="D3117" t="s">
        <v>25</v>
      </c>
      <c r="E3117">
        <f>SUMIF(数据源!R738:R9304,C3117,数据源!M738:M9304)</f>
        <v>0</v>
      </c>
    </row>
    <row r="3118" spans="2:5">
      <c r="B3118" t="s">
        <v>2689</v>
      </c>
      <c r="D3118" t="s">
        <v>25</v>
      </c>
      <c r="E3118">
        <f>SUMIF(数据源!R21:R8587,C3118,数据源!M21:M8587)</f>
        <v>0</v>
      </c>
    </row>
    <row r="3119" spans="2:5">
      <c r="B3119" t="s">
        <v>2690</v>
      </c>
      <c r="D3119" t="s">
        <v>25</v>
      </c>
      <c r="E3119">
        <f>SUMIF(数据源!R1421:R9987,C3119,数据源!M1421:M9987)</f>
        <v>0</v>
      </c>
    </row>
    <row r="3120" spans="2:5">
      <c r="B3120" t="s">
        <v>2696</v>
      </c>
      <c r="D3120" t="s">
        <v>27</v>
      </c>
      <c r="E3120">
        <f>SUMIF(数据源!R2772:R11338,C3120,数据源!M2772:M11338)</f>
        <v>0</v>
      </c>
    </row>
    <row r="3121" spans="2:5">
      <c r="B3121" t="s">
        <v>2690</v>
      </c>
      <c r="D3121" t="s">
        <v>25</v>
      </c>
      <c r="E3121">
        <f>SUMIF(数据源!R1425:R9991,C3121,数据源!M1425:M9991)</f>
        <v>0</v>
      </c>
    </row>
    <row r="3122" spans="2:5">
      <c r="B3122" t="s">
        <v>2700</v>
      </c>
      <c r="D3122" t="s">
        <v>25</v>
      </c>
      <c r="E3122">
        <f>SUMIF(数据源!R1541:R10107,C3122,数据源!M1541:M10107)</f>
        <v>0</v>
      </c>
    </row>
    <row r="3123" spans="2:5">
      <c r="B3123" t="s">
        <v>2696</v>
      </c>
      <c r="D3123" t="s">
        <v>27</v>
      </c>
      <c r="E3123">
        <f>SUMIF(数据源!R2682:R11248,C3123,数据源!M2682:M11248)</f>
        <v>0</v>
      </c>
    </row>
    <row r="3124" spans="2:5">
      <c r="B3124" t="s">
        <v>2688</v>
      </c>
      <c r="D3124" t="s">
        <v>25</v>
      </c>
      <c r="E3124">
        <f>SUMIF(数据源!R819:R9385,C3124,数据源!M819:M9385)</f>
        <v>0</v>
      </c>
    </row>
    <row r="3125" spans="2:5">
      <c r="B3125" t="s">
        <v>2690</v>
      </c>
      <c r="D3125" t="s">
        <v>25</v>
      </c>
      <c r="E3125">
        <f>SUMIF(数据源!R1256:R9822,C3125,数据源!M1256:M9822)</f>
        <v>0</v>
      </c>
    </row>
    <row r="3126" spans="2:5">
      <c r="B3126" t="s">
        <v>2687</v>
      </c>
      <c r="D3126" t="s">
        <v>25</v>
      </c>
      <c r="E3126">
        <f>SUMIF(数据源!R673:R9239,C3126,数据源!M673:M9239)</f>
        <v>0</v>
      </c>
    </row>
    <row r="3127" spans="2:5">
      <c r="B3127" t="s">
        <v>2688</v>
      </c>
      <c r="D3127" t="s">
        <v>25</v>
      </c>
      <c r="E3127">
        <f>SUMIF(数据源!R1149:R9715,C3127,数据源!M1149:M9715)</f>
        <v>0</v>
      </c>
    </row>
    <row r="3128" spans="2:5">
      <c r="B3128" t="s">
        <v>2685</v>
      </c>
      <c r="D3128" t="s">
        <v>25</v>
      </c>
      <c r="E3128">
        <f>SUMIF(数据源!R501:R9067,C3128,数据源!M501:M9067)</f>
        <v>0</v>
      </c>
    </row>
    <row r="3129" spans="2:5">
      <c r="B3129" t="s">
        <v>2694</v>
      </c>
      <c r="D3129" t="s">
        <v>25</v>
      </c>
      <c r="E3129">
        <f>SUMIF(数据源!R1840:R10406,C3129,数据源!M1840:M10406)</f>
        <v>0</v>
      </c>
    </row>
    <row r="3130" spans="2:5">
      <c r="B3130" t="s">
        <v>2697</v>
      </c>
      <c r="D3130" t="s">
        <v>26</v>
      </c>
      <c r="E3130">
        <f>SUMIF(数据源!R2387:R10953,C3130,数据源!M2387:M10953)</f>
        <v>0</v>
      </c>
    </row>
    <row r="3131" spans="2:5">
      <c r="B3131" t="s">
        <v>2688</v>
      </c>
      <c r="D3131" t="s">
        <v>25</v>
      </c>
      <c r="E3131">
        <f>SUMIF(数据源!R926:R9492,C3131,数据源!M926:M9492)</f>
        <v>0</v>
      </c>
    </row>
    <row r="3132" spans="2:5">
      <c r="B3132" t="s">
        <v>2687</v>
      </c>
      <c r="D3132" t="s">
        <v>25</v>
      </c>
      <c r="E3132">
        <f>SUMIF(数据源!R654:R9220,C3132,数据源!M654:M9220)</f>
        <v>0</v>
      </c>
    </row>
    <row r="3133" spans="2:5">
      <c r="B3133" t="s">
        <v>2685</v>
      </c>
      <c r="D3133" t="s">
        <v>25</v>
      </c>
      <c r="E3133">
        <f>SUMIF(数据源!R388:R8954,C3133,数据源!M388:M8954)</f>
        <v>0</v>
      </c>
    </row>
    <row r="3134" spans="2:5">
      <c r="B3134" t="s">
        <v>2692</v>
      </c>
      <c r="D3134" t="s">
        <v>25</v>
      </c>
      <c r="E3134">
        <f>SUMIF(数据源!R588:R9154,C3134,数据源!M588:M9154)</f>
        <v>0</v>
      </c>
    </row>
    <row r="3135" spans="2:5">
      <c r="B3135" t="s">
        <v>2698</v>
      </c>
      <c r="D3135" t="s">
        <v>27</v>
      </c>
      <c r="E3135">
        <f>SUMIF(数据源!R3270:R11836,C3135,数据源!M3270:M11836)</f>
        <v>0</v>
      </c>
    </row>
    <row r="3136" spans="2:5">
      <c r="B3136" t="s">
        <v>2685</v>
      </c>
      <c r="D3136" t="s">
        <v>25</v>
      </c>
      <c r="E3136">
        <f>SUMIF(数据源!R518:R9084,C3136,数据源!M518:M9084)</f>
        <v>0</v>
      </c>
    </row>
    <row r="3137" spans="2:5">
      <c r="B3137" t="s">
        <v>2688</v>
      </c>
      <c r="D3137" t="s">
        <v>25</v>
      </c>
      <c r="E3137">
        <f>SUMIF(数据源!R815:R9381,C3137,数据源!M815:M9381)</f>
        <v>0</v>
      </c>
    </row>
    <row r="3138" spans="2:5">
      <c r="B3138" t="s">
        <v>2688</v>
      </c>
      <c r="D3138" t="s">
        <v>25</v>
      </c>
      <c r="E3138">
        <f>SUMIF(数据源!R1209:R9775,C3138,数据源!M1209:M9775)</f>
        <v>0</v>
      </c>
    </row>
    <row r="3139" spans="2:5">
      <c r="B3139" t="s">
        <v>2701</v>
      </c>
      <c r="D3139" t="s">
        <v>25</v>
      </c>
      <c r="E3139">
        <f>SUMIF(数据源!R1631:R10197,C3139,数据源!M1631:M10197)</f>
        <v>0</v>
      </c>
    </row>
    <row r="3140" spans="2:5">
      <c r="B3140" t="s">
        <v>2694</v>
      </c>
      <c r="D3140" t="s">
        <v>25</v>
      </c>
      <c r="E3140">
        <f>SUMIF(数据源!R1749:R10315,C3140,数据源!M1749:M10315)</f>
        <v>0</v>
      </c>
    </row>
    <row r="3141" spans="2:5">
      <c r="B3141" t="s">
        <v>2698</v>
      </c>
      <c r="D3141" t="s">
        <v>27</v>
      </c>
      <c r="E3141">
        <f>SUMIF(数据源!R3052:R11618,C3141,数据源!M3052:M11618)</f>
        <v>0</v>
      </c>
    </row>
    <row r="3142" spans="2:5">
      <c r="B3142" t="s">
        <v>2685</v>
      </c>
      <c r="D3142" t="s">
        <v>25</v>
      </c>
      <c r="E3142">
        <f>SUMIF(数据源!R430:R8996,C3142,数据源!M430:M8996)</f>
        <v>0</v>
      </c>
    </row>
    <row r="3143" spans="2:5">
      <c r="B3143" t="s">
        <v>2685</v>
      </c>
      <c r="D3143" t="s">
        <v>25</v>
      </c>
      <c r="E3143">
        <f>SUMIF(数据源!R197:R8763,C3143,数据源!M197:M8763)</f>
        <v>0</v>
      </c>
    </row>
    <row r="3144" spans="2:5">
      <c r="B3144" t="s">
        <v>2688</v>
      </c>
      <c r="D3144" t="s">
        <v>25</v>
      </c>
      <c r="E3144">
        <f>SUMIF(数据源!R800:R9366,C3144,数据源!M800:M9366)</f>
        <v>0</v>
      </c>
    </row>
    <row r="3145" spans="2:5">
      <c r="B3145" t="s">
        <v>2690</v>
      </c>
      <c r="D3145" t="s">
        <v>25</v>
      </c>
      <c r="E3145">
        <f>SUMIF(数据源!R1304:R9870,C3145,数据源!M1304:M9870)</f>
        <v>0</v>
      </c>
    </row>
    <row r="3146" spans="2:5">
      <c r="B3146" t="s">
        <v>2689</v>
      </c>
      <c r="D3146" t="s">
        <v>25</v>
      </c>
      <c r="E3146">
        <f>SUMIF(数据源!R118:R8684,C3146,数据源!M118:M8684)</f>
        <v>0</v>
      </c>
    </row>
    <row r="3147" spans="2:5">
      <c r="B3147" t="s">
        <v>2696</v>
      </c>
      <c r="D3147" t="s">
        <v>27</v>
      </c>
      <c r="E3147">
        <f>SUMIF(数据源!R2739:R11305,C3147,数据源!M2739:M11305)</f>
        <v>0</v>
      </c>
    </row>
    <row r="3148" spans="2:5">
      <c r="B3148" t="s">
        <v>2688</v>
      </c>
      <c r="D3148" t="s">
        <v>25</v>
      </c>
      <c r="E3148">
        <f>SUMIF(数据源!R882:R9448,C3148,数据源!M882:M9448)</f>
        <v>0</v>
      </c>
    </row>
    <row r="3149" spans="2:5">
      <c r="B3149" t="s">
        <v>2700</v>
      </c>
      <c r="D3149" t="s">
        <v>25</v>
      </c>
      <c r="E3149">
        <f>SUMIF(数据源!R1554:R10120,C3149,数据源!M1554:M10120)</f>
        <v>0</v>
      </c>
    </row>
    <row r="3150" spans="2:5">
      <c r="B3150" t="s">
        <v>2701</v>
      </c>
      <c r="D3150" t="s">
        <v>25</v>
      </c>
      <c r="E3150">
        <f>SUMIF(数据源!R1572:R10138,C3150,数据源!M1572:M10138)</f>
        <v>0</v>
      </c>
    </row>
    <row r="3151" spans="2:5">
      <c r="B3151" t="s">
        <v>2697</v>
      </c>
      <c r="D3151" t="s">
        <v>26</v>
      </c>
      <c r="E3151">
        <f>SUMIF(数据源!R2350:R10916,C3151,数据源!M2350:M10916)</f>
        <v>0</v>
      </c>
    </row>
    <row r="3152" spans="2:5">
      <c r="B3152" t="s">
        <v>2690</v>
      </c>
      <c r="D3152" t="s">
        <v>25</v>
      </c>
      <c r="E3152">
        <f>SUMIF(数据源!R1429:R9995,C3152,数据源!M1429:M9995)</f>
        <v>0</v>
      </c>
    </row>
    <row r="3153" spans="2:5">
      <c r="B3153" t="s">
        <v>2688</v>
      </c>
      <c r="D3153" t="s">
        <v>25</v>
      </c>
      <c r="E3153">
        <f>SUMIF(数据源!R1192:R9758,C3153,数据源!M1192:M9758)</f>
        <v>0</v>
      </c>
    </row>
    <row r="3154" spans="2:5">
      <c r="B3154" t="s">
        <v>2697</v>
      </c>
      <c r="D3154" t="s">
        <v>26</v>
      </c>
      <c r="E3154">
        <f>SUMIF(数据源!R2203:R10769,C3154,数据源!M2203:M10769)</f>
        <v>0</v>
      </c>
    </row>
    <row r="3155" spans="2:5">
      <c r="B3155" t="s">
        <v>2688</v>
      </c>
      <c r="D3155" t="s">
        <v>25</v>
      </c>
      <c r="E3155">
        <f>SUMIF(数据源!R1048:R9614,C3155,数据源!M1048:M9614)</f>
        <v>0</v>
      </c>
    </row>
    <row r="3156" spans="2:5">
      <c r="B3156" t="s">
        <v>2691</v>
      </c>
      <c r="D3156" t="s">
        <v>26</v>
      </c>
      <c r="E3156">
        <f>SUMIF(数据源!R1970:R10536,C3156,数据源!M1970:M10536)</f>
        <v>0</v>
      </c>
    </row>
    <row r="3157" spans="2:5">
      <c r="B3157" t="s">
        <v>2687</v>
      </c>
      <c r="D3157" t="s">
        <v>25</v>
      </c>
      <c r="E3157">
        <f>SUMIF(数据源!R695:R9261,C3157,数据源!M695:M9261)</f>
        <v>0</v>
      </c>
    </row>
    <row r="3158" spans="2:5">
      <c r="B3158" t="s">
        <v>2688</v>
      </c>
      <c r="D3158" t="s">
        <v>25</v>
      </c>
      <c r="E3158">
        <f>SUMIF(数据源!R886:R9452,C3158,数据源!M886:M9452)</f>
        <v>0</v>
      </c>
    </row>
    <row r="3159" spans="2:5">
      <c r="B3159" t="s">
        <v>2688</v>
      </c>
      <c r="D3159" t="s">
        <v>25</v>
      </c>
      <c r="E3159">
        <f>SUMIF(数据源!R787:R9353,C3159,数据源!M787:M9353)</f>
        <v>0</v>
      </c>
    </row>
    <row r="3160" spans="2:5">
      <c r="B3160" t="s">
        <v>2688</v>
      </c>
      <c r="D3160" t="s">
        <v>25</v>
      </c>
      <c r="E3160">
        <f>SUMIF(数据源!R1210:R9776,C3160,数据源!M1210:M9776)</f>
        <v>0</v>
      </c>
    </row>
    <row r="3161" spans="2:5">
      <c r="B3161" t="s">
        <v>2690</v>
      </c>
      <c r="D3161" t="s">
        <v>25</v>
      </c>
      <c r="E3161">
        <f>SUMIF(数据源!R1372:R9938,C3161,数据源!M1372:M9938)</f>
        <v>0</v>
      </c>
    </row>
    <row r="3162" spans="2:5">
      <c r="B3162" t="s">
        <v>2687</v>
      </c>
      <c r="D3162" t="s">
        <v>25</v>
      </c>
      <c r="E3162">
        <f>SUMIF(数据源!R681:R9247,C3162,数据源!M681:M9247)</f>
        <v>0</v>
      </c>
    </row>
    <row r="3163" spans="2:5">
      <c r="B3163" t="s">
        <v>2690</v>
      </c>
      <c r="D3163" t="s">
        <v>25</v>
      </c>
      <c r="E3163">
        <f>SUMIF(数据源!R1267:R9833,C3163,数据源!M1267:M9833)</f>
        <v>0</v>
      </c>
    </row>
    <row r="3164" spans="2:5">
      <c r="B3164" t="s">
        <v>2697</v>
      </c>
      <c r="D3164" t="s">
        <v>26</v>
      </c>
      <c r="E3164">
        <f>SUMIF(数据源!R2345:R10911,C3164,数据源!M2345:M10911)</f>
        <v>0</v>
      </c>
    </row>
    <row r="3165" spans="2:5">
      <c r="B3165" t="s">
        <v>2696</v>
      </c>
      <c r="D3165" t="s">
        <v>27</v>
      </c>
      <c r="E3165">
        <f>SUMIF(数据源!R2566:R11132,C3165,数据源!M2566:M11132)</f>
        <v>0</v>
      </c>
    </row>
    <row r="3166" spans="2:5">
      <c r="B3166" t="s">
        <v>2696</v>
      </c>
      <c r="D3166" t="s">
        <v>27</v>
      </c>
      <c r="E3166">
        <f>SUMIF(数据源!R2687:R11253,C3166,数据源!M2687:M11253)</f>
        <v>0</v>
      </c>
    </row>
    <row r="3167" spans="2:5">
      <c r="B3167" t="s">
        <v>2696</v>
      </c>
      <c r="D3167" t="s">
        <v>27</v>
      </c>
      <c r="E3167">
        <f>SUMIF(数据源!R2692:R11258,C3167,数据源!M2692:M11258)</f>
        <v>0</v>
      </c>
    </row>
    <row r="3168" spans="2:5">
      <c r="B3168" t="s">
        <v>2697</v>
      </c>
      <c r="D3168" t="s">
        <v>26</v>
      </c>
      <c r="E3168">
        <f>SUMIF(数据源!R2205:R10771,C3168,数据源!M2205:M10771)</f>
        <v>0</v>
      </c>
    </row>
    <row r="3169" spans="2:5">
      <c r="B3169" t="s">
        <v>2688</v>
      </c>
      <c r="D3169" t="s">
        <v>25</v>
      </c>
      <c r="E3169">
        <f>SUMIF(数据源!R1203:R9769,C3169,数据源!M1203:M9769)</f>
        <v>0</v>
      </c>
    </row>
    <row r="3170" spans="2:5">
      <c r="B3170" t="s">
        <v>2690</v>
      </c>
      <c r="D3170" t="s">
        <v>25</v>
      </c>
      <c r="E3170">
        <f>SUMIF(数据源!R1474:R10040,C3170,数据源!M1474:M10040)</f>
        <v>0</v>
      </c>
    </row>
    <row r="3171" spans="2:5">
      <c r="B3171" t="s">
        <v>2700</v>
      </c>
      <c r="D3171" t="s">
        <v>25</v>
      </c>
      <c r="E3171">
        <f>SUMIF(数据源!R1568:R10134,C3171,数据源!M1568:M10134)</f>
        <v>0</v>
      </c>
    </row>
    <row r="3172" spans="2:5">
      <c r="B3172" t="s">
        <v>2685</v>
      </c>
      <c r="D3172" t="s">
        <v>25</v>
      </c>
      <c r="E3172">
        <f>SUMIF(数据源!R328:R8894,C3172,数据源!M328:M8894)</f>
        <v>0</v>
      </c>
    </row>
    <row r="3173" spans="2:5">
      <c r="B3173" t="s">
        <v>2690</v>
      </c>
      <c r="D3173" t="s">
        <v>25</v>
      </c>
      <c r="E3173">
        <f>SUMIF(数据源!R1253:R9819,C3173,数据源!M1253:M9819)</f>
        <v>0</v>
      </c>
    </row>
    <row r="3174" spans="2:5">
      <c r="B3174" t="s">
        <v>2688</v>
      </c>
      <c r="D3174" t="s">
        <v>25</v>
      </c>
      <c r="E3174">
        <f>SUMIF(数据源!R1131:R9697,C3174,数据源!M1131:M9697)</f>
        <v>0</v>
      </c>
    </row>
    <row r="3175" spans="2:5">
      <c r="B3175" t="s">
        <v>2697</v>
      </c>
      <c r="D3175" t="s">
        <v>26</v>
      </c>
      <c r="E3175">
        <f>SUMIF(数据源!R2344:R10910,C3175,数据源!M2344:M10910)</f>
        <v>0</v>
      </c>
    </row>
    <row r="3176" spans="2:5">
      <c r="B3176" t="s">
        <v>2689</v>
      </c>
      <c r="D3176" t="s">
        <v>25</v>
      </c>
      <c r="E3176">
        <f>SUMIF(数据源!R35:R8601,C3176,数据源!M35:M8601)</f>
        <v>0</v>
      </c>
    </row>
    <row r="3177" spans="2:5">
      <c r="B3177" t="s">
        <v>2687</v>
      </c>
      <c r="D3177" t="s">
        <v>25</v>
      </c>
      <c r="E3177">
        <f>SUMIF(数据源!R670:R9236,C3177,数据源!M670:M9236)</f>
        <v>0</v>
      </c>
    </row>
    <row r="3178" spans="2:5">
      <c r="B3178" t="s">
        <v>2687</v>
      </c>
      <c r="D3178" t="s">
        <v>25</v>
      </c>
      <c r="E3178">
        <f>SUMIF(数据源!R646:R9212,C3178,数据源!M646:M9212)</f>
        <v>0</v>
      </c>
    </row>
    <row r="3179" spans="2:5">
      <c r="B3179" t="s">
        <v>2688</v>
      </c>
      <c r="D3179" t="s">
        <v>25</v>
      </c>
      <c r="E3179">
        <f>SUMIF(数据源!R806:R9372,C3179,数据源!M806:M9372)</f>
        <v>0</v>
      </c>
    </row>
    <row r="3180" spans="2:5">
      <c r="B3180" t="s">
        <v>2687</v>
      </c>
      <c r="D3180" t="s">
        <v>25</v>
      </c>
      <c r="E3180">
        <f>SUMIF(数据源!R742:R9308,C3180,数据源!M742:M9308)</f>
        <v>0</v>
      </c>
    </row>
    <row r="3181" spans="2:5">
      <c r="B3181" t="s">
        <v>2688</v>
      </c>
      <c r="D3181" t="s">
        <v>25</v>
      </c>
      <c r="E3181">
        <f>SUMIF(数据源!R1130:R9696,C3181,数据源!M1130:M9696)</f>
        <v>0</v>
      </c>
    </row>
    <row r="3182" spans="2:5">
      <c r="B3182" t="s">
        <v>2688</v>
      </c>
      <c r="D3182" t="s">
        <v>25</v>
      </c>
      <c r="E3182">
        <f>SUMIF(数据源!R754:R9320,C3182,数据源!M754:M9320)</f>
        <v>0</v>
      </c>
    </row>
    <row r="3183" spans="2:5">
      <c r="B3183" t="s">
        <v>2688</v>
      </c>
      <c r="D3183" t="s">
        <v>25</v>
      </c>
      <c r="E3183">
        <f>SUMIF(数据源!R1081:R9647,C3183,数据源!M1081:M9647)</f>
        <v>0</v>
      </c>
    </row>
    <row r="3184" spans="2:5">
      <c r="B3184" t="s">
        <v>2697</v>
      </c>
      <c r="D3184" t="s">
        <v>26</v>
      </c>
      <c r="E3184">
        <f>SUMIF(数据源!R2161:R10727,C3184,数据源!M2161:M10727)</f>
        <v>0</v>
      </c>
    </row>
    <row r="3185" spans="2:5">
      <c r="B3185" t="s">
        <v>2696</v>
      </c>
      <c r="D3185" t="s">
        <v>27</v>
      </c>
      <c r="E3185">
        <f>SUMIF(数据源!R2765:R11331,C3185,数据源!M2765:M11331)</f>
        <v>0</v>
      </c>
    </row>
    <row r="3186" spans="2:5">
      <c r="B3186" t="s">
        <v>2687</v>
      </c>
      <c r="D3186" t="s">
        <v>25</v>
      </c>
      <c r="E3186">
        <f>SUMIF(数据源!R722:R9288,C3186,数据源!M722:M9288)</f>
        <v>0</v>
      </c>
    </row>
    <row r="3187" spans="2:5">
      <c r="B3187" t="s">
        <v>2688</v>
      </c>
      <c r="D3187" t="s">
        <v>25</v>
      </c>
      <c r="E3187">
        <f>SUMIF(数据源!R1016:R9582,C3187,数据源!M1016:M9582)</f>
        <v>0</v>
      </c>
    </row>
    <row r="3188" spans="2:5">
      <c r="B3188" t="s">
        <v>2700</v>
      </c>
      <c r="D3188" t="s">
        <v>25</v>
      </c>
      <c r="E3188">
        <f>SUMIF(数据源!R1539:R10105,C3188,数据源!M1539:M10105)</f>
        <v>0</v>
      </c>
    </row>
    <row r="3189" spans="2:5">
      <c r="B3189" t="s">
        <v>2698</v>
      </c>
      <c r="D3189" t="s">
        <v>27</v>
      </c>
      <c r="E3189">
        <f>SUMIF(数据源!R3133:R11699,C3189,数据源!M3133:M11699)</f>
        <v>0</v>
      </c>
    </row>
    <row r="3190" spans="2:5">
      <c r="B3190" t="s">
        <v>2685</v>
      </c>
      <c r="D3190" t="s">
        <v>25</v>
      </c>
      <c r="E3190">
        <f>SUMIF(数据源!R285:R8851,C3190,数据源!M285:M8851)</f>
        <v>0</v>
      </c>
    </row>
    <row r="3191" spans="2:5">
      <c r="B3191" t="s">
        <v>2696</v>
      </c>
      <c r="D3191" t="s">
        <v>27</v>
      </c>
      <c r="E3191">
        <f>SUMIF(数据源!R2628:R11194,C3191,数据源!M2628:M11194)</f>
        <v>0</v>
      </c>
    </row>
    <row r="3192" spans="2:5">
      <c r="B3192" t="s">
        <v>2698</v>
      </c>
      <c r="D3192" t="s">
        <v>27</v>
      </c>
      <c r="E3192">
        <f>SUMIF(数据源!R3083:R11649,C3192,数据源!M3083:M11649)</f>
        <v>0</v>
      </c>
    </row>
    <row r="3193" spans="2:5">
      <c r="B3193" t="s">
        <v>2697</v>
      </c>
      <c r="D3193" t="s">
        <v>26</v>
      </c>
      <c r="E3193">
        <f>SUMIF(数据源!R2241:R10807,C3193,数据源!M2241:M10807)</f>
        <v>0</v>
      </c>
    </row>
    <row r="3194" spans="2:5">
      <c r="B3194" t="s">
        <v>2697</v>
      </c>
      <c r="D3194" t="s">
        <v>26</v>
      </c>
      <c r="E3194">
        <f>SUMIF(数据源!R2097:R10663,C3194,数据源!M2097:M10663)</f>
        <v>0</v>
      </c>
    </row>
    <row r="3195" spans="2:5">
      <c r="B3195" t="s">
        <v>2699</v>
      </c>
      <c r="D3195" t="s">
        <v>26</v>
      </c>
      <c r="E3195">
        <f>SUMIF(数据源!R2432:R10998,C3195,数据源!M2432:M10998)</f>
        <v>0</v>
      </c>
    </row>
    <row r="3196" spans="2:5">
      <c r="B3196" t="s">
        <v>2685</v>
      </c>
      <c r="D3196" t="s">
        <v>25</v>
      </c>
      <c r="E3196">
        <f>SUMIF(数据源!R230:R8796,C3196,数据源!M230:M8796)</f>
        <v>0</v>
      </c>
    </row>
    <row r="3197" spans="2:5">
      <c r="B3197" t="s">
        <v>2696</v>
      </c>
      <c r="D3197" t="s">
        <v>27</v>
      </c>
      <c r="E3197">
        <f>SUMIF(数据源!R2804:R11370,C3197,数据源!M2804:M11370)</f>
        <v>0</v>
      </c>
    </row>
    <row r="3198" spans="2:5">
      <c r="B3198" t="s">
        <v>2697</v>
      </c>
      <c r="D3198" t="s">
        <v>26</v>
      </c>
      <c r="E3198">
        <f>SUMIF(数据源!R2146:R10712,C3198,数据源!M2146:M10712)</f>
        <v>0</v>
      </c>
    </row>
    <row r="3199" spans="2:5">
      <c r="B3199" t="s">
        <v>2688</v>
      </c>
      <c r="D3199" t="s">
        <v>25</v>
      </c>
      <c r="E3199">
        <f>SUMIF(数据源!R1180:R9746,C3199,数据源!M1180:M9746)</f>
        <v>0</v>
      </c>
    </row>
    <row r="3200" spans="2:5">
      <c r="B3200" t="s">
        <v>2686</v>
      </c>
      <c r="D3200" t="s">
        <v>27</v>
      </c>
      <c r="E3200">
        <f>SUMIF(数据源!R2888:R11454,C3200,数据源!M2888:M11454)</f>
        <v>0</v>
      </c>
    </row>
    <row r="3201" spans="2:5">
      <c r="B3201" t="s">
        <v>2697</v>
      </c>
      <c r="D3201" t="s">
        <v>26</v>
      </c>
      <c r="E3201">
        <f>SUMIF(数据源!R2396:R10962,C3201,数据源!M2396:M10962)</f>
        <v>0</v>
      </c>
    </row>
    <row r="3202" spans="2:5">
      <c r="B3202" t="s">
        <v>2697</v>
      </c>
      <c r="D3202" t="s">
        <v>26</v>
      </c>
      <c r="E3202">
        <f>SUMIF(数据源!R2290:R10856,C3202,数据源!M2290:M10856)</f>
        <v>0</v>
      </c>
    </row>
    <row r="3203" spans="2:5">
      <c r="B3203" t="s">
        <v>2690</v>
      </c>
      <c r="D3203" t="s">
        <v>25</v>
      </c>
      <c r="E3203">
        <f>SUMIF(数据源!R1268:R9834,C3203,数据源!M1268:M9834)</f>
        <v>0</v>
      </c>
    </row>
    <row r="3204" spans="2:5">
      <c r="B3204" t="s">
        <v>2685</v>
      </c>
      <c r="D3204" t="s">
        <v>25</v>
      </c>
      <c r="E3204">
        <f>SUMIF(数据源!R267:R8833,C3204,数据源!M267:M8833)</f>
        <v>0</v>
      </c>
    </row>
    <row r="3205" spans="2:5">
      <c r="B3205" t="s">
        <v>2700</v>
      </c>
      <c r="D3205" t="s">
        <v>25</v>
      </c>
      <c r="E3205">
        <f>SUMIF(数据源!R1552:R10118,C3205,数据源!M1552:M10118)</f>
        <v>0</v>
      </c>
    </row>
    <row r="3206" spans="2:5">
      <c r="B3206" t="s">
        <v>2694</v>
      </c>
      <c r="D3206" t="s">
        <v>25</v>
      </c>
      <c r="E3206">
        <f>SUMIF(数据源!R1779:R10345,C3206,数据源!M1779:M10345)</f>
        <v>0</v>
      </c>
    </row>
    <row r="3207" spans="2:5">
      <c r="B3207" t="s">
        <v>2688</v>
      </c>
      <c r="D3207" t="s">
        <v>25</v>
      </c>
      <c r="E3207">
        <f>SUMIF(数据源!R1204:R9770,C3207,数据源!M1204:M9770)</f>
        <v>0</v>
      </c>
    </row>
    <row r="3208" spans="2:5">
      <c r="B3208" t="s">
        <v>2700</v>
      </c>
      <c r="D3208" t="s">
        <v>25</v>
      </c>
      <c r="E3208">
        <f>SUMIF(数据源!R1493:R10059,C3208,数据源!M1493:M10059)</f>
        <v>0</v>
      </c>
    </row>
    <row r="3209" spans="2:5">
      <c r="B3209" t="s">
        <v>2685</v>
      </c>
      <c r="D3209" t="s">
        <v>25</v>
      </c>
      <c r="E3209">
        <f>SUMIF(数据源!R315:R8881,C3209,数据源!M315:M8881)</f>
        <v>0</v>
      </c>
    </row>
    <row r="3210" spans="2:5">
      <c r="B3210" t="s">
        <v>2701</v>
      </c>
      <c r="D3210" t="s">
        <v>25</v>
      </c>
      <c r="E3210">
        <f>SUMIF(数据源!R1577:R10143,C3210,数据源!M1577:M10143)</f>
        <v>0</v>
      </c>
    </row>
    <row r="3211" spans="2:5">
      <c r="B3211" t="s">
        <v>2697</v>
      </c>
      <c r="D3211" t="s">
        <v>26</v>
      </c>
      <c r="E3211">
        <f>SUMIF(数据源!R2168:R10734,C3211,数据源!M2168:M10734)</f>
        <v>0</v>
      </c>
    </row>
    <row r="3212" spans="2:5">
      <c r="B3212" t="s">
        <v>2701</v>
      </c>
      <c r="D3212" t="s">
        <v>25</v>
      </c>
      <c r="E3212">
        <f>SUMIF(数据源!R1604:R10170,C3212,数据源!M1604:M10170)</f>
        <v>0</v>
      </c>
    </row>
    <row r="3213" spans="2:5">
      <c r="B3213" t="s">
        <v>2688</v>
      </c>
      <c r="D3213" t="s">
        <v>25</v>
      </c>
      <c r="E3213">
        <f>SUMIF(数据源!R881:R9447,C3213,数据源!M881:M9447)</f>
        <v>0</v>
      </c>
    </row>
    <row r="3214" spans="2:5">
      <c r="B3214" t="s">
        <v>2688</v>
      </c>
      <c r="D3214" t="s">
        <v>25</v>
      </c>
      <c r="E3214">
        <f>SUMIF(数据源!R1208:R9774,C3214,数据源!M1208:M9774)</f>
        <v>0</v>
      </c>
    </row>
    <row r="3215" spans="2:5">
      <c r="B3215" t="s">
        <v>2696</v>
      </c>
      <c r="D3215" t="s">
        <v>27</v>
      </c>
      <c r="E3215">
        <f>SUMIF(数据源!R2737:R11303,C3215,数据源!M2737:M11303)</f>
        <v>0</v>
      </c>
    </row>
    <row r="3216" spans="2:5">
      <c r="B3216" t="s">
        <v>2697</v>
      </c>
      <c r="D3216" t="s">
        <v>26</v>
      </c>
      <c r="E3216">
        <f>SUMIF(数据源!R2209:R10775,C3216,数据源!M2209:M10775)</f>
        <v>0</v>
      </c>
    </row>
    <row r="3217" spans="2:8">
      <c r="B3217" t="s">
        <v>2687</v>
      </c>
      <c r="D3217" t="s">
        <v>25</v>
      </c>
      <c r="E3217">
        <f>SUMIF(数据源!R725:R9291,C3217,数据源!M725:M9291)</f>
        <v>0</v>
      </c>
      <c r="G3217" t="s">
        <v>2697</v>
      </c>
      <c r="H3217" t="str">
        <f>VLOOKUP(G3217,B3211:B3224,1,0)</f>
        <v>Office Furnishings</v>
      </c>
    </row>
    <row r="3218" spans="2:5">
      <c r="B3218" t="s">
        <v>2688</v>
      </c>
      <c r="D3218" t="s">
        <v>25</v>
      </c>
      <c r="E3218">
        <f>SUMIF(数据源!R1169:R9735,C3218,数据源!M1169:M9735)</f>
        <v>0</v>
      </c>
    </row>
    <row r="3219" spans="2:5">
      <c r="B3219" t="s">
        <v>2690</v>
      </c>
      <c r="D3219" t="s">
        <v>25</v>
      </c>
      <c r="E3219">
        <f>SUMIF(数据源!R1470:R10036,C3219,数据源!M1470:M10036)</f>
        <v>0</v>
      </c>
    </row>
    <row r="3220" spans="2:5">
      <c r="B3220" t="s">
        <v>2685</v>
      </c>
      <c r="D3220" t="s">
        <v>25</v>
      </c>
      <c r="E3220">
        <f>SUMIF(数据源!R204:R8770,C3220,数据源!M204:M8770)</f>
        <v>0</v>
      </c>
    </row>
    <row r="3221" spans="2:5">
      <c r="B3221" t="s">
        <v>2696</v>
      </c>
      <c r="D3221" t="s">
        <v>27</v>
      </c>
      <c r="E3221">
        <f>SUMIF(数据源!R2693:R11259,C3221,数据源!M2693:M11259)</f>
        <v>0</v>
      </c>
    </row>
    <row r="3222" spans="2:5">
      <c r="B3222" t="s">
        <v>2685</v>
      </c>
      <c r="D3222" t="s">
        <v>25</v>
      </c>
      <c r="E3222">
        <f>SUMIF(数据源!R486:R9052,C3222,数据源!M486:M9052)</f>
        <v>0</v>
      </c>
    </row>
    <row r="3223" spans="2:5">
      <c r="B3223" t="s">
        <v>2689</v>
      </c>
      <c r="D3223" t="s">
        <v>25</v>
      </c>
      <c r="E3223">
        <f>SUMIF(数据源!R30:R8596,C3223,数据源!M30:M8596)</f>
        <v>0</v>
      </c>
    </row>
    <row r="3224" spans="2:5">
      <c r="B3224" t="s">
        <v>2690</v>
      </c>
      <c r="D3224" t="s">
        <v>25</v>
      </c>
      <c r="E3224">
        <f>SUMIF(数据源!R1419:R9985,C3224,数据源!M1419:M9985)</f>
        <v>0</v>
      </c>
    </row>
    <row r="3225" spans="2:5">
      <c r="B3225" t="s">
        <v>2690</v>
      </c>
      <c r="D3225" t="s">
        <v>25</v>
      </c>
      <c r="E3225">
        <f>SUMIF(数据源!R1252:R9818,C3225,数据源!M1252:M9818)</f>
        <v>0</v>
      </c>
    </row>
    <row r="3226" spans="2:5">
      <c r="B3226" t="s">
        <v>2690</v>
      </c>
      <c r="D3226" t="s">
        <v>25</v>
      </c>
      <c r="E3226">
        <f>SUMIF(数据源!R1377:R9943,C3226,数据源!M1377:M9943)</f>
        <v>0</v>
      </c>
    </row>
    <row r="3227" spans="2:5">
      <c r="B3227" t="s">
        <v>2700</v>
      </c>
      <c r="D3227" t="s">
        <v>25</v>
      </c>
      <c r="E3227">
        <f>SUMIF(数据源!R1527:R10093,C3227,数据源!M1527:M10093)</f>
        <v>0</v>
      </c>
    </row>
    <row r="3228" spans="2:5">
      <c r="B3228" t="s">
        <v>2697</v>
      </c>
      <c r="D3228" t="s">
        <v>26</v>
      </c>
      <c r="E3228">
        <f>SUMIF(数据源!R2141:R10707,C3228,数据源!M2141:M10707)</f>
        <v>0</v>
      </c>
    </row>
    <row r="3229" spans="2:5">
      <c r="B3229" t="s">
        <v>2690</v>
      </c>
      <c r="D3229" t="s">
        <v>25</v>
      </c>
      <c r="E3229">
        <f>SUMIF(数据源!R1378:R9944,C3229,数据源!M1378:M9944)</f>
        <v>0</v>
      </c>
    </row>
    <row r="3230" spans="2:5">
      <c r="B3230" t="s">
        <v>2698</v>
      </c>
      <c r="D3230" t="s">
        <v>27</v>
      </c>
      <c r="E3230">
        <f>SUMIF(数据源!R3018:R11584,C3230,数据源!M3018:M11584)</f>
        <v>0</v>
      </c>
    </row>
    <row r="3231" spans="2:5">
      <c r="B3231" t="s">
        <v>2700</v>
      </c>
      <c r="D3231" t="s">
        <v>25</v>
      </c>
      <c r="E3231">
        <f>SUMIF(数据源!R1504:R10070,C3231,数据源!M1504:M10070)</f>
        <v>0</v>
      </c>
    </row>
    <row r="3232" spans="2:5">
      <c r="B3232" t="s">
        <v>2687</v>
      </c>
      <c r="D3232" t="s">
        <v>25</v>
      </c>
      <c r="E3232">
        <f>SUMIF(数据源!R715:R9281,C3232,数据源!M715:M9281)</f>
        <v>0</v>
      </c>
    </row>
    <row r="3233" spans="2:5">
      <c r="B3233" t="s">
        <v>2690</v>
      </c>
      <c r="D3233" t="s">
        <v>25</v>
      </c>
      <c r="E3233">
        <f>SUMIF(数据源!R1363:R9929,C3233,数据源!M1363:M9929)</f>
        <v>0</v>
      </c>
    </row>
    <row r="3234" spans="2:5">
      <c r="B3234" t="s">
        <v>2692</v>
      </c>
      <c r="D3234" t="s">
        <v>25</v>
      </c>
      <c r="E3234">
        <f>SUMIF(数据源!R566:R9132,C3234,数据源!M566:M9132)</f>
        <v>0</v>
      </c>
    </row>
    <row r="3235" spans="2:5">
      <c r="B3235" t="s">
        <v>2688</v>
      </c>
      <c r="D3235" t="s">
        <v>25</v>
      </c>
      <c r="E3235">
        <f>SUMIF(数据源!R968:R9534,C3235,数据源!M968:M9534)</f>
        <v>0</v>
      </c>
    </row>
    <row r="3236" spans="2:5">
      <c r="B3236" t="s">
        <v>2688</v>
      </c>
      <c r="D3236" t="s">
        <v>25</v>
      </c>
      <c r="E3236">
        <f>SUMIF(数据源!R1213:R9779,C3236,数据源!M1213:M9779)</f>
        <v>0</v>
      </c>
    </row>
    <row r="3237" spans="2:5">
      <c r="B3237" t="s">
        <v>2700</v>
      </c>
      <c r="D3237" t="s">
        <v>25</v>
      </c>
      <c r="E3237">
        <f>SUMIF(数据源!R1569:R10135,C3237,数据源!M1569:M10135)</f>
        <v>0</v>
      </c>
    </row>
    <row r="3238" spans="2:5">
      <c r="B3238" t="s">
        <v>2692</v>
      </c>
      <c r="D3238" t="s">
        <v>25</v>
      </c>
      <c r="E3238">
        <f>SUMIF(数据源!R617:R9183,C3238,数据源!M617:M9183)</f>
        <v>0</v>
      </c>
    </row>
    <row r="3239" spans="2:5">
      <c r="B3239" t="s">
        <v>2687</v>
      </c>
      <c r="D3239" t="s">
        <v>25</v>
      </c>
      <c r="E3239">
        <f>SUMIF(数据源!R671:R9237,C3239,数据源!M671:M9237)</f>
        <v>0</v>
      </c>
    </row>
    <row r="3240" spans="2:5">
      <c r="B3240" t="s">
        <v>2688</v>
      </c>
      <c r="D3240" t="s">
        <v>25</v>
      </c>
      <c r="E3240">
        <f>SUMIF(数据源!R991:R9557,C3240,数据源!M991:M9557)</f>
        <v>0</v>
      </c>
    </row>
    <row r="3241" spans="2:5">
      <c r="B3241" t="s">
        <v>2700</v>
      </c>
      <c r="D3241" t="s">
        <v>25</v>
      </c>
      <c r="E3241">
        <f>SUMIF(数据源!R1531:R10097,C3241,数据源!M1531:M10097)</f>
        <v>0</v>
      </c>
    </row>
    <row r="3242" spans="2:5">
      <c r="B3242" t="s">
        <v>2688</v>
      </c>
      <c r="D3242" t="s">
        <v>25</v>
      </c>
      <c r="E3242">
        <f>SUMIF(数据源!R1152:R9718,C3242,数据源!M1152:M9718)</f>
        <v>0</v>
      </c>
    </row>
    <row r="3243" spans="2:5">
      <c r="B3243" t="s">
        <v>2697</v>
      </c>
      <c r="D3243" t="s">
        <v>26</v>
      </c>
      <c r="E3243">
        <f>SUMIF(数据源!R2118:R10684,C3243,数据源!M2118:M10684)</f>
        <v>0</v>
      </c>
    </row>
    <row r="3244" spans="2:5">
      <c r="B3244" t="s">
        <v>2697</v>
      </c>
      <c r="D3244" t="s">
        <v>26</v>
      </c>
      <c r="E3244">
        <f>SUMIF(数据源!R2212:R10778,C3244,数据源!M2212:M10778)</f>
        <v>0</v>
      </c>
    </row>
    <row r="3245" spans="2:5">
      <c r="B3245" t="s">
        <v>2690</v>
      </c>
      <c r="D3245" t="s">
        <v>25</v>
      </c>
      <c r="E3245">
        <f>SUMIF(数据源!R1288:R9854,C3245,数据源!M1288:M9854)</f>
        <v>0</v>
      </c>
    </row>
    <row r="3246" spans="2:5">
      <c r="B3246" t="s">
        <v>2685</v>
      </c>
      <c r="D3246" t="s">
        <v>25</v>
      </c>
      <c r="E3246">
        <f>SUMIF(数据源!R201:R8767,C3246,数据源!M201:M8767)</f>
        <v>0</v>
      </c>
    </row>
    <row r="3247" spans="2:5">
      <c r="B3247" t="s">
        <v>2694</v>
      </c>
      <c r="D3247" t="s">
        <v>25</v>
      </c>
      <c r="E3247">
        <f>SUMIF(数据源!R1734:R10300,C3247,数据源!M1734:M10300)</f>
        <v>0</v>
      </c>
    </row>
    <row r="3248" spans="2:5">
      <c r="B3248" t="s">
        <v>2688</v>
      </c>
      <c r="D3248" t="s">
        <v>25</v>
      </c>
      <c r="E3248">
        <f>SUMIF(数据源!R1037:R9603,C3248,数据源!M1037:M9603)</f>
        <v>0</v>
      </c>
    </row>
    <row r="3249" spans="2:5">
      <c r="B3249" t="s">
        <v>2700</v>
      </c>
      <c r="D3249" t="s">
        <v>25</v>
      </c>
      <c r="E3249">
        <f>SUMIF(数据源!R1483:R10049,C3249,数据源!M1483:M10049)</f>
        <v>0</v>
      </c>
    </row>
    <row r="3250" spans="2:5">
      <c r="B3250" t="s">
        <v>2685</v>
      </c>
      <c r="D3250" t="s">
        <v>25</v>
      </c>
      <c r="E3250">
        <f>SUMIF(数据源!R340:R8906,C3250,数据源!M340:M8906)</f>
        <v>0</v>
      </c>
    </row>
    <row r="3251" spans="2:5">
      <c r="B3251" t="s">
        <v>2688</v>
      </c>
      <c r="D3251" t="s">
        <v>25</v>
      </c>
      <c r="E3251">
        <f>SUMIF(数据源!R908:R9474,C3251,数据源!M908:M9474)</f>
        <v>0</v>
      </c>
    </row>
    <row r="3252" spans="2:5">
      <c r="B3252" t="s">
        <v>2688</v>
      </c>
      <c r="D3252" t="s">
        <v>25</v>
      </c>
      <c r="E3252">
        <f>SUMIF(数据源!R1193:R9759,C3252,数据源!M1193:M9759)</f>
        <v>0</v>
      </c>
    </row>
    <row r="3253" spans="2:5">
      <c r="B3253" t="s">
        <v>2701</v>
      </c>
      <c r="D3253" t="s">
        <v>25</v>
      </c>
      <c r="E3253">
        <f>SUMIF(数据源!R1571:R10137,C3253,数据源!M1571:M10137)</f>
        <v>0</v>
      </c>
    </row>
    <row r="3254" spans="2:5">
      <c r="B3254" t="s">
        <v>2688</v>
      </c>
      <c r="D3254" t="s">
        <v>25</v>
      </c>
      <c r="E3254">
        <f>SUMIF(数据源!R1198:R9764,C3254,数据源!M1198:M9764)</f>
        <v>0</v>
      </c>
    </row>
    <row r="3255" spans="2:5">
      <c r="B3255" t="s">
        <v>2688</v>
      </c>
      <c r="D3255" t="s">
        <v>25</v>
      </c>
      <c r="E3255">
        <f>SUMIF(数据源!R765:R9331,C3255,数据源!M765:M9331)</f>
        <v>0</v>
      </c>
    </row>
    <row r="3256" spans="2:5">
      <c r="B3256" t="s">
        <v>2701</v>
      </c>
      <c r="D3256" t="s">
        <v>25</v>
      </c>
      <c r="E3256">
        <f>SUMIF(数据源!R1608:R10174,C3256,数据源!M1608:M10174)</f>
        <v>0</v>
      </c>
    </row>
    <row r="3257" spans="2:5">
      <c r="B3257" t="s">
        <v>2697</v>
      </c>
      <c r="D3257" t="s">
        <v>26</v>
      </c>
      <c r="E3257">
        <f>SUMIF(数据源!R2342:R10908,C3257,数据源!M2342:M10908)</f>
        <v>0</v>
      </c>
    </row>
    <row r="3258" spans="2:5">
      <c r="B3258" t="s">
        <v>2685</v>
      </c>
      <c r="D3258" t="s">
        <v>25</v>
      </c>
      <c r="E3258">
        <f>SUMIF(数据源!R199:R8765,C3258,数据源!M199:M8765)</f>
        <v>0</v>
      </c>
    </row>
    <row r="3259" spans="2:5">
      <c r="B3259" t="s">
        <v>2689</v>
      </c>
      <c r="D3259" t="s">
        <v>25</v>
      </c>
      <c r="E3259">
        <f>SUMIF(数据源!R91:R8657,C3259,数据源!M91:M8657)</f>
        <v>0</v>
      </c>
    </row>
    <row r="3260" spans="2:5">
      <c r="B3260" t="s">
        <v>2688</v>
      </c>
      <c r="D3260" t="s">
        <v>25</v>
      </c>
      <c r="E3260">
        <f>SUMIF(数据源!R982:R9548,C3260,数据源!M982:M9548)</f>
        <v>0</v>
      </c>
    </row>
    <row r="3261" spans="2:5">
      <c r="B3261" t="s">
        <v>2690</v>
      </c>
      <c r="D3261" t="s">
        <v>25</v>
      </c>
      <c r="E3261">
        <f>SUMIF(数据源!R1391:R9957,C3261,数据源!M1391:M9957)</f>
        <v>0</v>
      </c>
    </row>
    <row r="3262" spans="2:5">
      <c r="B3262" t="s">
        <v>2700</v>
      </c>
      <c r="D3262" t="s">
        <v>25</v>
      </c>
      <c r="E3262">
        <f>SUMIF(数据源!R1530:R10096,C3262,数据源!M1530:M10096)</f>
        <v>0</v>
      </c>
    </row>
    <row r="3263" spans="2:5">
      <c r="B3263" t="s">
        <v>2697</v>
      </c>
      <c r="D3263" t="s">
        <v>26</v>
      </c>
      <c r="E3263">
        <f>SUMIF(数据源!R2207:R10773,C3263,数据源!M2207:M10773)</f>
        <v>0</v>
      </c>
    </row>
    <row r="3264" spans="2:5">
      <c r="B3264" t="s">
        <v>2687</v>
      </c>
      <c r="D3264" t="s">
        <v>25</v>
      </c>
      <c r="E3264">
        <f>SUMIF(数据源!R664:R9230,C3264,数据源!M664:M9230)</f>
        <v>0</v>
      </c>
    </row>
    <row r="3265" spans="2:5">
      <c r="B3265" t="s">
        <v>2685</v>
      </c>
      <c r="D3265" t="s">
        <v>25</v>
      </c>
      <c r="E3265">
        <f>SUMIF(数据源!R395:R8961,C3265,数据源!M395:M8961)</f>
        <v>0</v>
      </c>
    </row>
    <row r="3266" spans="2:5">
      <c r="B3266" t="s">
        <v>2690</v>
      </c>
      <c r="D3266" t="s">
        <v>25</v>
      </c>
      <c r="E3266">
        <f>SUMIF(数据源!R1357:R9923,C3266,数据源!M1357:M9923)</f>
        <v>0</v>
      </c>
    </row>
    <row r="3267" spans="2:5">
      <c r="B3267" t="s">
        <v>2686</v>
      </c>
      <c r="D3267" t="s">
        <v>27</v>
      </c>
      <c r="E3267">
        <f>SUMIF(数据源!R2879:R11445,C3267,数据源!M2879:M11445)</f>
        <v>0</v>
      </c>
    </row>
    <row r="3268" spans="2:5">
      <c r="B3268" t="s">
        <v>2685</v>
      </c>
      <c r="D3268" t="s">
        <v>25</v>
      </c>
      <c r="E3268">
        <f>SUMIF(数据源!R206:R8772,C3268,数据源!M206:M8772)</f>
        <v>0</v>
      </c>
    </row>
    <row r="3269" spans="2:5">
      <c r="B3269" t="s">
        <v>2685</v>
      </c>
      <c r="D3269" t="s">
        <v>25</v>
      </c>
      <c r="E3269">
        <f>SUMIF(数据源!R502:R9068,C3269,数据源!M502:M9068)</f>
        <v>0</v>
      </c>
    </row>
    <row r="3270" spans="2:5">
      <c r="B3270" t="s">
        <v>2688</v>
      </c>
      <c r="D3270" t="s">
        <v>25</v>
      </c>
      <c r="E3270">
        <f>SUMIF(数据源!R1167:R9733,C3270,数据源!M1167:M9733)</f>
        <v>0</v>
      </c>
    </row>
    <row r="3271" spans="2:5">
      <c r="B3271" t="s">
        <v>2696</v>
      </c>
      <c r="D3271" t="s">
        <v>27</v>
      </c>
      <c r="E3271">
        <f>SUMIF(数据源!R2702:R11268,C3271,数据源!M2702:M11268)</f>
        <v>0</v>
      </c>
    </row>
    <row r="3272" spans="2:5">
      <c r="B3272" t="s">
        <v>2685</v>
      </c>
      <c r="D3272" t="s">
        <v>25</v>
      </c>
      <c r="E3272">
        <f>SUMIF(数据源!R500:R9066,C3272,数据源!M500:M9066)</f>
        <v>0</v>
      </c>
    </row>
    <row r="3273" spans="2:5">
      <c r="B3273" t="s">
        <v>2697</v>
      </c>
      <c r="D3273" t="s">
        <v>26</v>
      </c>
      <c r="E3273">
        <f>SUMIF(数据源!R2384:R10950,C3273,数据源!M2384:M10950)</f>
        <v>0</v>
      </c>
    </row>
    <row r="3274" spans="2:5">
      <c r="B3274" t="s">
        <v>2688</v>
      </c>
      <c r="D3274" t="s">
        <v>25</v>
      </c>
      <c r="E3274">
        <f>SUMIF(数据源!R1088:R9654,C3274,数据源!M1088:M9654)</f>
        <v>0</v>
      </c>
    </row>
    <row r="3275" spans="2:5">
      <c r="B3275" t="s">
        <v>2690</v>
      </c>
      <c r="D3275" t="s">
        <v>25</v>
      </c>
      <c r="E3275">
        <f>SUMIF(数据源!R1420:R9986,C3275,数据源!M1420:M9986)</f>
        <v>0</v>
      </c>
    </row>
    <row r="3276" spans="2:5">
      <c r="B3276" t="s">
        <v>2696</v>
      </c>
      <c r="D3276" t="s">
        <v>27</v>
      </c>
      <c r="E3276">
        <f>SUMIF(数据源!R2767:R11333,C3276,数据源!M2767:M11333)</f>
        <v>0</v>
      </c>
    </row>
    <row r="3277" spans="2:5">
      <c r="B3277" t="s">
        <v>2698</v>
      </c>
      <c r="D3277" t="s">
        <v>27</v>
      </c>
      <c r="E3277">
        <f>SUMIF(数据源!R3204:R11770,C3277,数据源!M3204:M11770)</f>
        <v>0</v>
      </c>
    </row>
    <row r="3278" spans="2:5">
      <c r="B3278" t="s">
        <v>2690</v>
      </c>
      <c r="D3278" t="s">
        <v>25</v>
      </c>
      <c r="E3278">
        <f>SUMIF(数据源!R1299:R9865,C3278,数据源!M1299:M9865)</f>
        <v>0</v>
      </c>
    </row>
    <row r="3279" spans="2:5">
      <c r="B3279" t="s">
        <v>2700</v>
      </c>
      <c r="D3279" t="s">
        <v>25</v>
      </c>
      <c r="E3279">
        <f>SUMIF(数据源!R1506:R10072,C3279,数据源!M1506:M10072)</f>
        <v>0</v>
      </c>
    </row>
    <row r="3280" spans="2:5">
      <c r="B3280" t="s">
        <v>2696</v>
      </c>
      <c r="D3280" t="s">
        <v>27</v>
      </c>
      <c r="E3280">
        <f>SUMIF(数据源!R2644:R11210,C3280,数据源!M2644:M11210)</f>
        <v>0</v>
      </c>
    </row>
    <row r="3281" spans="2:5">
      <c r="B3281" t="s">
        <v>2688</v>
      </c>
      <c r="D3281" t="s">
        <v>25</v>
      </c>
      <c r="E3281">
        <f>SUMIF(数据源!R900:R9466,C3281,数据源!M900:M9466)</f>
        <v>0</v>
      </c>
    </row>
    <row r="3282" spans="2:5">
      <c r="B3282" t="s">
        <v>2690</v>
      </c>
      <c r="D3282" t="s">
        <v>25</v>
      </c>
      <c r="E3282">
        <f>SUMIF(数据源!R1379:R9945,C3282,数据源!M1379:M9945)</f>
        <v>0</v>
      </c>
    </row>
    <row r="3283" spans="2:5">
      <c r="B3283" t="s">
        <v>2685</v>
      </c>
      <c r="D3283" t="s">
        <v>25</v>
      </c>
      <c r="E3283">
        <f>SUMIF(数据源!R283:R8849,C3283,数据源!M283:M8849)</f>
        <v>0</v>
      </c>
    </row>
    <row r="3284" spans="2:5">
      <c r="B3284" t="s">
        <v>2697</v>
      </c>
      <c r="D3284" t="s">
        <v>26</v>
      </c>
      <c r="E3284">
        <f>SUMIF(数据源!R2164:R10730,C3284,数据源!M2164:M10730)</f>
        <v>0</v>
      </c>
    </row>
    <row r="3285" spans="2:5">
      <c r="B3285" t="s">
        <v>2687</v>
      </c>
      <c r="D3285" t="s">
        <v>25</v>
      </c>
      <c r="E3285">
        <f>SUMIF(数据源!R672:R9238,C3285,数据源!M672:M9238)</f>
        <v>0</v>
      </c>
    </row>
    <row r="3286" spans="2:5">
      <c r="B3286" t="s">
        <v>2688</v>
      </c>
      <c r="D3286" t="s">
        <v>25</v>
      </c>
      <c r="E3286">
        <f>SUMIF(数据源!R792:R9358,C3286,数据源!M792:M9358)</f>
        <v>0</v>
      </c>
    </row>
    <row r="3287" spans="2:5">
      <c r="B3287" t="s">
        <v>2690</v>
      </c>
      <c r="D3287" t="s">
        <v>25</v>
      </c>
      <c r="E3287">
        <f>SUMIF(数据源!R1239:R9805,C3287,数据源!M1239:M9805)</f>
        <v>0</v>
      </c>
    </row>
    <row r="3288" spans="2:5">
      <c r="B3288" t="s">
        <v>2685</v>
      </c>
      <c r="D3288" t="s">
        <v>25</v>
      </c>
      <c r="E3288">
        <f>SUMIF(数据源!R290:R8856,C3288,数据源!M290:M8856)</f>
        <v>0</v>
      </c>
    </row>
    <row r="3289" spans="2:5">
      <c r="B3289" t="s">
        <v>2688</v>
      </c>
      <c r="D3289" t="s">
        <v>25</v>
      </c>
      <c r="E3289">
        <f>SUMIF(数据源!R870:R9436,C3289,数据源!M870:M9436)</f>
        <v>0</v>
      </c>
    </row>
    <row r="3290" spans="2:5">
      <c r="B3290" t="s">
        <v>2697</v>
      </c>
      <c r="D3290" t="s">
        <v>26</v>
      </c>
      <c r="E3290">
        <f>SUMIF(数据源!R2341:R10907,C3290,数据源!M2341:M10907)</f>
        <v>0</v>
      </c>
    </row>
    <row r="3291" spans="2:5">
      <c r="B3291" t="s">
        <v>2697</v>
      </c>
      <c r="D3291" t="s">
        <v>26</v>
      </c>
      <c r="E3291">
        <f>SUMIF(数据源!R2221:R10787,C3291,数据源!M2221:M10787)</f>
        <v>0</v>
      </c>
    </row>
    <row r="3292" spans="2:5">
      <c r="B3292" t="s">
        <v>2690</v>
      </c>
      <c r="D3292" t="s">
        <v>25</v>
      </c>
      <c r="E3292">
        <f>SUMIF(数据源!R1289:R9855,C3292,数据源!M1289:M9855)</f>
        <v>0</v>
      </c>
    </row>
    <row r="3293" spans="2:5">
      <c r="B3293" t="s">
        <v>2692</v>
      </c>
      <c r="D3293" t="s">
        <v>25</v>
      </c>
      <c r="E3293">
        <f>SUMIF(数据源!R578:R9144,C3293,数据源!M578:M9144)</f>
        <v>0</v>
      </c>
    </row>
    <row r="3294" spans="2:5">
      <c r="B3294" t="s">
        <v>2688</v>
      </c>
      <c r="D3294" t="s">
        <v>25</v>
      </c>
      <c r="E3294">
        <f>SUMIF(数据源!R920:R9486,C3294,数据源!M920:M9486)</f>
        <v>0</v>
      </c>
    </row>
    <row r="3295" spans="2:5">
      <c r="B3295" t="s">
        <v>2687</v>
      </c>
      <c r="D3295" t="s">
        <v>25</v>
      </c>
      <c r="E3295">
        <f>SUMIF(数据源!R636:R9202,C3295,数据源!M636:M9202)</f>
        <v>0</v>
      </c>
    </row>
    <row r="3296" spans="2:5">
      <c r="B3296" t="s">
        <v>2688</v>
      </c>
      <c r="D3296" t="s">
        <v>25</v>
      </c>
      <c r="E3296">
        <f>SUMIF(数据源!R1175:R9741,C3296,数据源!M1175:M9741)</f>
        <v>0</v>
      </c>
    </row>
    <row r="3297" spans="2:5">
      <c r="B3297" t="s">
        <v>2700</v>
      </c>
      <c r="D3297" t="s">
        <v>25</v>
      </c>
      <c r="E3297">
        <f>SUMIF(数据源!R1564:R10130,C3297,数据源!M1564:M10130)</f>
        <v>0</v>
      </c>
    </row>
    <row r="3298" spans="2:5">
      <c r="B3298" t="s">
        <v>2690</v>
      </c>
      <c r="D3298" t="s">
        <v>25</v>
      </c>
      <c r="E3298">
        <f>SUMIF(数据源!R1441:R10007,C3298,数据源!M1441:M10007)</f>
        <v>0</v>
      </c>
    </row>
    <row r="3299" spans="2:5">
      <c r="B3299" t="s">
        <v>2694</v>
      </c>
      <c r="D3299" t="s">
        <v>25</v>
      </c>
      <c r="E3299">
        <f>SUMIF(数据源!R1817:R10383,C3299,数据源!M1817:M10383)</f>
        <v>0</v>
      </c>
    </row>
    <row r="3300" spans="2:5">
      <c r="B3300" t="s">
        <v>2698</v>
      </c>
      <c r="D3300" t="s">
        <v>27</v>
      </c>
      <c r="E3300">
        <f>SUMIF(数据源!R3231:R11797,C3300,数据源!M3231:M11797)</f>
        <v>0</v>
      </c>
    </row>
    <row r="3301" spans="2:5">
      <c r="B3301" t="s">
        <v>2700</v>
      </c>
      <c r="D3301" t="s">
        <v>25</v>
      </c>
      <c r="E3301">
        <f>SUMIF(数据源!R1558:R10124,C3301,数据源!M1558:M10124)</f>
        <v>0</v>
      </c>
    </row>
    <row r="3302" spans="2:5">
      <c r="B3302" t="s">
        <v>2690</v>
      </c>
      <c r="D3302" t="s">
        <v>25</v>
      </c>
      <c r="E3302">
        <f>SUMIF(数据源!R1409:R9975,C3302,数据源!M1409:M9975)</f>
        <v>0</v>
      </c>
    </row>
    <row r="3303" spans="2:5">
      <c r="B3303" t="s">
        <v>2690</v>
      </c>
      <c r="D3303" t="s">
        <v>25</v>
      </c>
      <c r="E3303">
        <f>SUMIF(数据源!R1414:R9980,C3303,数据源!M1414:M9980)</f>
        <v>0</v>
      </c>
    </row>
    <row r="3304" spans="2:5">
      <c r="B3304" t="s">
        <v>2696</v>
      </c>
      <c r="D3304" t="s">
        <v>27</v>
      </c>
      <c r="E3304">
        <f>SUMIF(数据源!R2578:R11144,C3304,数据源!M2578:M11144)</f>
        <v>0</v>
      </c>
    </row>
    <row r="3305" spans="2:5">
      <c r="B3305" t="s">
        <v>2696</v>
      </c>
      <c r="D3305" t="s">
        <v>27</v>
      </c>
      <c r="E3305">
        <f>SUMIF(数据源!R2677:R11243,C3305,数据源!M2677:M11243)</f>
        <v>0</v>
      </c>
    </row>
    <row r="3306" spans="2:5">
      <c r="B3306" t="s">
        <v>2696</v>
      </c>
      <c r="D3306" t="s">
        <v>27</v>
      </c>
      <c r="E3306">
        <f>SUMIF(数据源!R2695:R11261,C3306,数据源!M2695:M11261)</f>
        <v>0</v>
      </c>
    </row>
    <row r="3307" spans="2:5">
      <c r="B3307" t="s">
        <v>2696</v>
      </c>
      <c r="D3307" t="s">
        <v>27</v>
      </c>
      <c r="E3307">
        <f>SUMIF(数据源!R2712:R11278,C3307,数据源!M2712:M11278)</f>
        <v>0</v>
      </c>
    </row>
    <row r="3308" spans="2:5">
      <c r="B3308" t="s">
        <v>2686</v>
      </c>
      <c r="D3308" t="s">
        <v>27</v>
      </c>
      <c r="E3308">
        <f>SUMIF(数据源!R2904:R11470,C3308,数据源!M2904:M11470)</f>
        <v>0</v>
      </c>
    </row>
    <row r="3309" spans="2:5">
      <c r="B3309" t="s">
        <v>2686</v>
      </c>
      <c r="D3309" t="s">
        <v>27</v>
      </c>
      <c r="E3309">
        <f>SUMIF(数据源!R2908:R11474,C3309,数据源!M2908:M11474)</f>
        <v>0</v>
      </c>
    </row>
    <row r="3310" spans="2:5">
      <c r="B3310" t="s">
        <v>2686</v>
      </c>
      <c r="D3310" t="s">
        <v>27</v>
      </c>
      <c r="E3310">
        <f>SUMIF(数据源!R2953:R11519,C3310,数据源!M2953:M11519)</f>
        <v>0</v>
      </c>
    </row>
    <row r="3311" spans="2:5">
      <c r="B3311" t="s">
        <v>2698</v>
      </c>
      <c r="D3311" t="s">
        <v>27</v>
      </c>
      <c r="E3311">
        <f>SUMIF(数据源!R3038:R11604,C3311,数据源!M3038:M11604)</f>
        <v>0</v>
      </c>
    </row>
    <row r="3312" spans="2:5">
      <c r="B3312" t="s">
        <v>2698</v>
      </c>
      <c r="D3312" t="s">
        <v>27</v>
      </c>
      <c r="E3312">
        <f>SUMIF(数据源!R3187:R11753,C3312,数据源!M3187:M11753)</f>
        <v>0</v>
      </c>
    </row>
    <row r="3313" spans="2:5">
      <c r="B3313" t="s">
        <v>2698</v>
      </c>
      <c r="D3313" t="s">
        <v>27</v>
      </c>
      <c r="E3313">
        <f>SUMIF(数据源!R3193:R11759,C3313,数据源!M3193:M11759)</f>
        <v>0</v>
      </c>
    </row>
    <row r="3314" spans="2:5">
      <c r="B3314" t="s">
        <v>2698</v>
      </c>
      <c r="D3314" t="s">
        <v>27</v>
      </c>
      <c r="E3314">
        <f>SUMIF(数据源!R3296:R11862,C3314,数据源!M3296:M11862)</f>
        <v>0</v>
      </c>
    </row>
    <row r="3315" spans="2:5">
      <c r="B3315" t="s">
        <v>2695</v>
      </c>
      <c r="D3315" t="s">
        <v>26</v>
      </c>
      <c r="E3315">
        <f>SUMIF(数据源!R1879:R10445,C3315,数据源!M1879:M10445)</f>
        <v>0</v>
      </c>
    </row>
    <row r="3316" spans="2:5">
      <c r="B3316" t="s">
        <v>2695</v>
      </c>
      <c r="D3316" t="s">
        <v>26</v>
      </c>
      <c r="E3316">
        <f>SUMIF(数据源!R1903:R10469,C3316,数据源!M1903:M10469)</f>
        <v>0</v>
      </c>
    </row>
    <row r="3317" spans="2:5">
      <c r="B3317" t="s">
        <v>2695</v>
      </c>
      <c r="D3317" t="s">
        <v>26</v>
      </c>
      <c r="E3317">
        <f>SUMIF(数据源!R1921:R10487,C3317,数据源!M1921:M10487)</f>
        <v>0</v>
      </c>
    </row>
    <row r="3318" spans="2:5">
      <c r="B3318" t="s">
        <v>2691</v>
      </c>
      <c r="D3318" t="s">
        <v>26</v>
      </c>
      <c r="E3318">
        <f>SUMIF(数据源!R1963:R10529,C3318,数据源!M1963:M10529)</f>
        <v>0</v>
      </c>
    </row>
    <row r="3319" spans="2:5">
      <c r="B3319" t="s">
        <v>2697</v>
      </c>
      <c r="D3319" t="s">
        <v>26</v>
      </c>
      <c r="E3319">
        <f>SUMIF(数据源!R2169:R10735,C3319,数据源!M2169:M10735)</f>
        <v>0</v>
      </c>
    </row>
    <row r="3320" spans="2:5">
      <c r="B3320" t="s">
        <v>2697</v>
      </c>
      <c r="D3320" t="s">
        <v>26</v>
      </c>
      <c r="E3320">
        <f>SUMIF(数据源!R2175:R10741,C3320,数据源!M2175:M10741)</f>
        <v>0</v>
      </c>
    </row>
    <row r="3321" spans="2:5">
      <c r="B3321" t="s">
        <v>2697</v>
      </c>
      <c r="D3321" t="s">
        <v>26</v>
      </c>
      <c r="E3321">
        <f>SUMIF(数据源!R2188:R10754,C3321,数据源!M2188:M10754)</f>
        <v>0</v>
      </c>
    </row>
    <row r="3322" spans="2:5">
      <c r="B3322" t="s">
        <v>2697</v>
      </c>
      <c r="D3322" t="s">
        <v>26</v>
      </c>
      <c r="E3322">
        <f>SUMIF(数据源!R2307:R10873,C3322,数据源!M2307:M10873)</f>
        <v>0</v>
      </c>
    </row>
    <row r="3323" spans="2:5">
      <c r="B3323" t="s">
        <v>2687</v>
      </c>
      <c r="D3323" t="s">
        <v>25</v>
      </c>
      <c r="E3323">
        <f>SUMIF(数据源!R650:R9216,C3323,数据源!M650:M9216)</f>
        <v>0</v>
      </c>
    </row>
    <row r="3324" spans="2:5">
      <c r="B3324" t="s">
        <v>2694</v>
      </c>
      <c r="D3324" t="s">
        <v>25</v>
      </c>
      <c r="E3324">
        <f>SUMIF(数据源!R1645:R10211,C3324,数据源!M1645:M10211)</f>
        <v>0</v>
      </c>
    </row>
  </sheetData>
  <autoFilter ref="B1:E3324">
    <extLst/>
  </autoFilter>
  <sortState ref="B2:E3324">
    <sortCondition ref="E2" descending="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考题</vt:lpstr>
      <vt:lpstr>数据源</vt:lpstr>
      <vt:lpstr>区域分布</vt:lpstr>
      <vt:lpstr>产品分类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一阵风雨</cp:lastModifiedBy>
  <dcterms:created xsi:type="dcterms:W3CDTF">2006-09-13T11:21:00Z</dcterms:created>
  <dcterms:modified xsi:type="dcterms:W3CDTF">2022-09-14T06:37:15Z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FDF0329CDE674319AE61DD68A465BB4A</vt:lpwstr>
  </property>
  <property fmtid="{D5CDD505-2E9C-101B-9397-08002B2CF9AE}" pid="3" name="KSOProductBuildVer">
    <vt:lpwstr>2052-11.1.0.12358</vt:lpwstr>
  </property>
</Properties>
</file>